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showInkAnnotation="0" defaultThemeVersion="166925"/>
  <xr:revisionPtr revIDLastSave="0" documentId="13_ncr:1_{12AE838C-350F-4A0B-A2C5-7AF704491A65}" xr6:coauthVersionLast="47" xr6:coauthVersionMax="47" xr10:uidLastSave="{00000000-0000-0000-0000-000000000000}"/>
  <bookViews>
    <workbookView xWindow="8535" yWindow="1320" windowWidth="40590" windowHeight="18855" activeTab="9" xr2:uid="{00000000-000D-0000-FFFF-FFFF00000000}"/>
  </bookViews>
  <sheets>
    <sheet name="Acquisitions" sheetId="18" r:id="rId1"/>
    <sheet name="People" sheetId="14" r:id="rId2"/>
    <sheet name="Glossary" sheetId="13" r:id="rId3"/>
    <sheet name="Historical" sheetId="12" r:id="rId4"/>
    <sheet name="Main" sheetId="1" r:id="rId5"/>
    <sheet name="Enterprise-Cloud" sheetId="10" r:id="rId6"/>
    <sheet name="Social-Dating" sheetId="9" r:id="rId7"/>
    <sheet name="Simulation-Technical Design" sheetId="11" r:id="rId8"/>
    <sheet name="AI Investors" sheetId="17" r:id="rId9"/>
    <sheet name="AI" sheetId="15" r:id="rId10"/>
    <sheet name="Revenue" sheetId="16" r:id="rId11"/>
    <sheet name="Media-Games-Design" sheetId="8" r:id="rId12"/>
    <sheet name="Fintech" sheetId="7" r:id="rId13"/>
    <sheet name="Ecommerce" sheetId="5" r:id="rId14"/>
    <sheet name="Security" sheetId="4" r:id="rId15"/>
    <sheet name="FX" sheetId="3" r:id="rId16"/>
    <sheet name="Private" sheetId="2" r:id="rId17"/>
  </sheets>
  <externalReferences>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_xlnm._FilterDatabase" localSheetId="9" hidden="1">AI!$A$2:$L$383</definedName>
    <definedName name="CAD">FX!$C$7</definedName>
    <definedName name="EUR">FX!$C$4</definedName>
    <definedName name="HKD">FX!$C$2</definedName>
    <definedName name="JPY">FX!$C$6</definedName>
    <definedName name="RMB">FX!$C$3</definedName>
    <definedName name="SEK">FX!$C$5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034" i="17" l="1"/>
  <c r="F2972" i="17"/>
  <c r="F2964" i="17"/>
  <c r="G965" i="17"/>
  <c r="F506" i="17"/>
  <c r="F462" i="17"/>
  <c r="F929" i="17"/>
  <c r="F1264" i="17"/>
  <c r="F1857" i="17"/>
  <c r="F1575" i="17"/>
  <c r="F2936" i="17"/>
  <c r="G439" i="17"/>
  <c r="F2931" i="17"/>
  <c r="F2928" i="17"/>
  <c r="F141" i="17"/>
  <c r="F701" i="17"/>
  <c r="F2925" i="17"/>
  <c r="F2924" i="17"/>
  <c r="F889" i="17"/>
  <c r="F886" i="17"/>
  <c r="F2920" i="17"/>
  <c r="G1041" i="17"/>
  <c r="F1046" i="17"/>
  <c r="F995" i="17"/>
  <c r="F961" i="17"/>
  <c r="F1525" i="17"/>
  <c r="F387" i="17"/>
  <c r="F1574" i="17"/>
  <c r="F2919" i="17"/>
  <c r="F2918" i="17"/>
  <c r="E2918" i="17"/>
  <c r="F285" i="17"/>
  <c r="E285" i="17"/>
  <c r="E2917" i="17"/>
  <c r="G1069" i="17"/>
  <c r="F2914" i="17"/>
  <c r="F2728" i="17"/>
  <c r="F2913" i="17"/>
  <c r="F1076" i="17"/>
  <c r="F2912" i="17"/>
  <c r="F2910" i="17"/>
  <c r="F2906" i="17"/>
  <c r="F70" i="17" l="1"/>
  <c r="F2900" i="17"/>
  <c r="E1559" i="17"/>
  <c r="F1558" i="17"/>
  <c r="F1701" i="17"/>
  <c r="F2898" i="17"/>
  <c r="F2897" i="17"/>
  <c r="F2895" i="17"/>
  <c r="F445" i="17"/>
  <c r="F2233" i="17"/>
  <c r="F2662" i="17"/>
  <c r="F173" i="17"/>
  <c r="E875" i="17"/>
  <c r="F875" i="17" s="1"/>
  <c r="F542" i="17"/>
  <c r="F172" i="17"/>
  <c r="F1202" i="17"/>
  <c r="F874" i="17"/>
  <c r="G3" i="17"/>
  <c r="F169" i="17"/>
  <c r="F1766" i="17"/>
  <c r="F2890" i="17"/>
  <c r="F2889" i="17"/>
  <c r="F642" i="17"/>
  <c r="F1542" i="17"/>
  <c r="F2844" i="17"/>
  <c r="K2844" i="17" s="1"/>
  <c r="F2226" i="17"/>
  <c r="F91" i="17"/>
  <c r="F165" i="17"/>
  <c r="G429" i="17"/>
  <c r="F435" i="17"/>
  <c r="F774" i="17"/>
  <c r="F769" i="17" s="1"/>
  <c r="G462" i="17"/>
  <c r="F795" i="17"/>
  <c r="F989" i="17"/>
  <c r="F784" i="17"/>
  <c r="F777" i="17"/>
  <c r="F675" i="17"/>
  <c r="F342" i="17"/>
  <c r="F1080" i="17"/>
  <c r="F1036" i="17"/>
  <c r="F856" i="17"/>
  <c r="F723" i="17"/>
  <c r="G359" i="17"/>
  <c r="F384" i="17"/>
  <c r="F855" i="17"/>
  <c r="F123" i="17"/>
  <c r="G597" i="17"/>
  <c r="F2878" i="17"/>
  <c r="F2872" i="17"/>
  <c r="F2877" i="17"/>
  <c r="F2876" i="17"/>
  <c r="F2875" i="17"/>
  <c r="G1322" i="17"/>
  <c r="F2874" i="17"/>
  <c r="F427" i="17"/>
  <c r="F322" i="17"/>
  <c r="F306" i="17" s="1"/>
  <c r="F2871" i="17"/>
  <c r="P58" i="15"/>
  <c r="F2865" i="17"/>
  <c r="F1632" i="17"/>
  <c r="F2869" i="17"/>
  <c r="E2867" i="17"/>
  <c r="F2867" i="17" s="1"/>
  <c r="E2861" i="17"/>
  <c r="F2861" i="17" s="1"/>
  <c r="E2866" i="17"/>
  <c r="F2619" i="17"/>
  <c r="E2619" i="17"/>
  <c r="E2864" i="17"/>
  <c r="F812" i="17"/>
  <c r="F810" i="17"/>
  <c r="F805" i="17" s="1"/>
  <c r="E810" i="17"/>
  <c r="E2863" i="17"/>
  <c r="F621" i="17"/>
  <c r="E621" i="17"/>
  <c r="E2697" i="17"/>
  <c r="E2585" i="17"/>
  <c r="E2860" i="17"/>
  <c r="E2857" i="17"/>
  <c r="F58" i="15"/>
  <c r="K2843" i="17"/>
  <c r="K2841" i="17"/>
  <c r="K2855" i="17"/>
  <c r="K2850" i="17"/>
  <c r="K2851" i="17"/>
  <c r="F2192" i="17"/>
  <c r="F2854" i="17"/>
  <c r="K2854" i="17" s="1"/>
  <c r="F2849" i="17"/>
  <c r="K2849" i="17" s="1"/>
  <c r="F700" i="17"/>
  <c r="F383" i="17"/>
  <c r="F2191" i="17"/>
  <c r="F2853" i="17"/>
  <c r="K2853" i="17" s="1"/>
  <c r="F271" i="17"/>
  <c r="F2848" i="17"/>
  <c r="K2848" i="17" s="1"/>
  <c r="F699" i="17"/>
  <c r="F2846" i="17"/>
  <c r="K2846" i="17" s="1"/>
  <c r="E1631" i="17"/>
  <c r="F1631" i="17" s="1"/>
  <c r="V51" i="15"/>
  <c r="F2840" i="17"/>
  <c r="F1545" i="17"/>
  <c r="F620" i="17"/>
  <c r="F2839" i="17"/>
  <c r="F283" i="17"/>
  <c r="F2836" i="17"/>
  <c r="I2833" i="17"/>
  <c r="I2830" i="17"/>
  <c r="F2829" i="17"/>
  <c r="F618" i="17"/>
  <c r="F293" i="17"/>
  <c r="F287" i="17"/>
  <c r="F281" i="17"/>
  <c r="F698" i="17"/>
  <c r="F2811" i="17"/>
  <c r="F2825" i="17"/>
  <c r="F927" i="17"/>
  <c r="F2820" i="17"/>
  <c r="F2810" i="17"/>
  <c r="F2117" i="17"/>
  <c r="F2817" i="17"/>
  <c r="F2824" i="17"/>
  <c r="F926" i="17"/>
  <c r="F2822" i="17"/>
  <c r="F2819" i="17"/>
  <c r="F2809" i="17"/>
  <c r="F2816" i="17"/>
  <c r="F1043" i="17"/>
  <c r="F2813" i="17"/>
  <c r="F2798" i="17"/>
  <c r="F2808" i="17"/>
  <c r="F2806" i="17"/>
  <c r="F2279" i="17"/>
  <c r="F1042" i="17"/>
  <c r="G1454" i="17"/>
  <c r="F1456" i="17"/>
  <c r="F1093" i="17"/>
  <c r="F586" i="17"/>
  <c r="F2800" i="17"/>
  <c r="F2796" i="17"/>
  <c r="F2794" i="17"/>
  <c r="F2793" i="17"/>
  <c r="F2790" i="17"/>
  <c r="F733" i="17"/>
  <c r="F2787" i="17"/>
  <c r="F2785" i="17"/>
  <c r="F2783" i="17"/>
  <c r="F2782" i="17"/>
  <c r="F2781" i="17"/>
  <c r="F248" i="17"/>
  <c r="F732" i="17"/>
  <c r="G728" i="17"/>
  <c r="F1357" i="17"/>
  <c r="F2776" i="17"/>
  <c r="F2770" i="17"/>
  <c r="F2775" i="17"/>
  <c r="F2774" i="17"/>
  <c r="F2773" i="17"/>
  <c r="F2501" i="17"/>
  <c r="F2772" i="17"/>
  <c r="F2771" i="17"/>
  <c r="F1350" i="17"/>
  <c r="F2769" i="17"/>
  <c r="F2767" i="17"/>
  <c r="F2766" i="17"/>
  <c r="F2765" i="17"/>
  <c r="G506" i="17"/>
  <c r="F1059" i="17"/>
  <c r="F1123" i="17"/>
  <c r="F1116" i="17" s="1"/>
  <c r="F2256" i="17"/>
  <c r="G183" i="17"/>
  <c r="F206" i="17"/>
  <c r="F2758" i="17"/>
  <c r="F845" i="17"/>
  <c r="F837" i="17" s="1"/>
  <c r="F873" i="17"/>
  <c r="G490" i="17"/>
  <c r="F2212" i="17"/>
  <c r="F2755" i="17"/>
  <c r="F2754" i="17"/>
  <c r="F2753" i="17"/>
  <c r="G819" i="17"/>
  <c r="F823" i="17"/>
  <c r="F2211" i="17"/>
  <c r="G1230" i="17"/>
  <c r="F1233" i="17"/>
  <c r="F833" i="17"/>
  <c r="G1197" i="17"/>
  <c r="G533" i="17"/>
  <c r="G837" i="17"/>
  <c r="G869" i="17"/>
  <c r="F960" i="17"/>
  <c r="F2740" i="17"/>
  <c r="F2739" i="17"/>
  <c r="F925" i="17"/>
  <c r="G498" i="17"/>
  <c r="G588" i="17"/>
  <c r="G1135" i="17"/>
  <c r="G275" i="17"/>
  <c r="E280" i="17"/>
  <c r="F335" i="15"/>
  <c r="F2721" i="17"/>
  <c r="F610" i="17"/>
  <c r="F674" i="17"/>
  <c r="F43" i="17"/>
  <c r="F2720" i="17"/>
  <c r="F609" i="17"/>
  <c r="F425" i="17"/>
  <c r="F122" i="17"/>
  <c r="F2719" i="17"/>
  <c r="F2714" i="17"/>
  <c r="G601" i="17"/>
  <c r="F2717" i="17"/>
  <c r="G769" i="17"/>
  <c r="F2706" i="17"/>
  <c r="F2711" i="17"/>
  <c r="F2710" i="17"/>
  <c r="F2709" i="17"/>
  <c r="F2708" i="17"/>
  <c r="F617" i="17"/>
  <c r="F593" i="17"/>
  <c r="F2701" i="17"/>
  <c r="F592" i="17"/>
  <c r="F2694" i="17"/>
  <c r="F2689" i="17"/>
  <c r="F2700" i="17"/>
  <c r="F502" i="17"/>
  <c r="F2425" i="17"/>
  <c r="F2682" i="17"/>
  <c r="F2680" i="17"/>
  <c r="F2678" i="17"/>
  <c r="F2681" i="17"/>
  <c r="F2676" i="17"/>
  <c r="F2679" i="17"/>
  <c r="F2677" i="17"/>
  <c r="F2675" i="17"/>
  <c r="F2674" i="17"/>
  <c r="F2673" i="17"/>
  <c r="F2672" i="17"/>
  <c r="F2182" i="17"/>
  <c r="F2671" i="17"/>
  <c r="F2670" i="17"/>
  <c r="F2669" i="17"/>
  <c r="F2668" i="17"/>
  <c r="F2667" i="17"/>
  <c r="F2666" i="17"/>
  <c r="F2665" i="17"/>
  <c r="F2660" i="17"/>
  <c r="F2658" i="17"/>
  <c r="F2288" i="17"/>
  <c r="F2657" i="17"/>
  <c r="F1551" i="17"/>
  <c r="F2656" i="17"/>
  <c r="F2655" i="17"/>
  <c r="F2019" i="17"/>
  <c r="F2654" i="17"/>
  <c r="F2601" i="17"/>
  <c r="F1628" i="17"/>
  <c r="F2653" i="17"/>
  <c r="F279" i="17"/>
  <c r="F444" i="17"/>
  <c r="F2640" i="17"/>
  <c r="F1136" i="17"/>
  <c r="F1135" i="17" s="1"/>
  <c r="F245" i="17"/>
  <c r="F278" i="17"/>
  <c r="F2638" i="17"/>
  <c r="F2636" i="17"/>
  <c r="F494" i="17"/>
  <c r="F535" i="17"/>
  <c r="F40" i="17"/>
  <c r="F356" i="17"/>
  <c r="F2634" i="17"/>
  <c r="F493" i="17"/>
  <c r="F415" i="17"/>
  <c r="F534" i="17"/>
  <c r="F2631" i="17"/>
  <c r="F39" i="17"/>
  <c r="F355" i="17"/>
  <c r="F244" i="17"/>
  <c r="F2629" i="17"/>
  <c r="F2628" i="17"/>
  <c r="F2627" i="17"/>
  <c r="F2626" i="17"/>
  <c r="F2596" i="17"/>
  <c r="F2625" i="17"/>
  <c r="F591" i="17"/>
  <c r="F2624" i="17"/>
  <c r="F2623" i="17"/>
  <c r="F2622" i="17"/>
  <c r="F501" i="17"/>
  <c r="F822" i="17"/>
  <c r="F2618" i="17"/>
  <c r="F2617" i="17"/>
  <c r="F2616" i="17"/>
  <c r="F2615" i="17"/>
  <c r="F2595" i="17"/>
  <c r="F2614" i="17"/>
  <c r="F2613" i="17"/>
  <c r="F730" i="17"/>
  <c r="F2612" i="17"/>
  <c r="F2611" i="17"/>
  <c r="F2610" i="17"/>
  <c r="F84" i="17"/>
  <c r="F590" i="17"/>
  <c r="F2594" i="17"/>
  <c r="F2593" i="17"/>
  <c r="F2592" i="17"/>
  <c r="F2587" i="17"/>
  <c r="F2583" i="17"/>
  <c r="F2580" i="17"/>
  <c r="F2107" i="17"/>
  <c r="F2572" i="17"/>
  <c r="F2570" i="17"/>
  <c r="F2566" i="17"/>
  <c r="F2565" i="17"/>
  <c r="F2564" i="17"/>
  <c r="F2563" i="17"/>
  <c r="F1683" i="17"/>
  <c r="F237" i="17"/>
  <c r="F139" i="17"/>
  <c r="F2557" i="17"/>
  <c r="F138" i="17"/>
  <c r="F1682" i="17"/>
  <c r="G18" i="17"/>
  <c r="F38" i="17"/>
  <c r="F2555" i="17"/>
  <c r="F9" i="17"/>
  <c r="F3" i="17" s="1"/>
  <c r="G125" i="17"/>
  <c r="F129" i="17"/>
  <c r="F2553" i="17"/>
  <c r="G100" i="17"/>
  <c r="F2552" i="17"/>
  <c r="F2461" i="17"/>
  <c r="F2041" i="17"/>
  <c r="F2551" i="17"/>
  <c r="F697" i="17"/>
  <c r="F2548" i="17"/>
  <c r="F2550" i="17"/>
  <c r="F666" i="17"/>
  <c r="F2549" i="17"/>
  <c r="G784" i="17"/>
  <c r="F2540" i="17"/>
  <c r="F2539" i="17"/>
  <c r="F2537" i="17"/>
  <c r="F2536" i="17"/>
  <c r="F2532" i="17"/>
  <c r="F2528" i="17"/>
  <c r="F2526" i="17"/>
  <c r="F2525" i="17"/>
  <c r="F2523" i="17"/>
  <c r="G1036" i="17"/>
  <c r="F1111" i="17"/>
  <c r="G952" i="17"/>
  <c r="G1435" i="17"/>
  <c r="G1250" i="17"/>
  <c r="G1202" i="17"/>
  <c r="F235" i="17"/>
  <c r="F640" i="17"/>
  <c r="F205" i="17"/>
  <c r="G1218" i="17"/>
  <c r="G989" i="17"/>
  <c r="G858" i="17"/>
  <c r="F866" i="17"/>
  <c r="G1059" i="17"/>
  <c r="F37" i="17"/>
  <c r="F2517" i="17"/>
  <c r="F2516" i="17"/>
  <c r="F2515" i="17"/>
  <c r="F67" i="17"/>
  <c r="F204" i="17"/>
  <c r="F1337" i="17"/>
  <c r="G1095" i="17"/>
  <c r="F2514" i="17"/>
  <c r="F1101" i="17"/>
  <c r="G1332" i="17"/>
  <c r="F1336" i="17"/>
  <c r="F2513" i="17"/>
  <c r="F442" i="17"/>
  <c r="F2511" i="17"/>
  <c r="F2491" i="17"/>
  <c r="F2175" i="17"/>
  <c r="F2512" i="17"/>
  <c r="F441" i="17"/>
  <c r="F2490" i="17"/>
  <c r="F2174" i="17"/>
  <c r="F2508" i="17"/>
  <c r="F440" i="17"/>
  <c r="F2507" i="17"/>
  <c r="F959" i="17"/>
  <c r="G1223" i="17"/>
  <c r="F1223" i="17"/>
  <c r="F2496" i="17"/>
  <c r="F2495" i="17"/>
  <c r="F2494" i="17"/>
  <c r="F758" i="17"/>
  <c r="F2493" i="17"/>
  <c r="G1475" i="17"/>
  <c r="G1415" i="17"/>
  <c r="G812" i="17"/>
  <c r="S44" i="15"/>
  <c r="G1310" i="17"/>
  <c r="F865" i="17"/>
  <c r="F581" i="17"/>
  <c r="G1439" i="17"/>
  <c r="G1105" i="17"/>
  <c r="G1080" i="17"/>
  <c r="G1086" i="17"/>
  <c r="G646" i="17"/>
  <c r="F659" i="17"/>
  <c r="G1449" i="17"/>
  <c r="F1449" i="17"/>
  <c r="G1052" i="17"/>
  <c r="G293" i="17"/>
  <c r="G1471" i="17"/>
  <c r="F1471" i="17"/>
  <c r="G542" i="17"/>
  <c r="G1116" i="17"/>
  <c r="G624" i="17"/>
  <c r="G878" i="17"/>
  <c r="F2476" i="17"/>
  <c r="F2475" i="17"/>
  <c r="F2465" i="17"/>
  <c r="F2474" i="17"/>
  <c r="F2473" i="17"/>
  <c r="F2017" i="17"/>
  <c r="L2472" i="17"/>
  <c r="L379" i="17"/>
  <c r="L2460" i="17"/>
  <c r="L2469" i="17"/>
  <c r="L2467" i="17"/>
  <c r="L2466" i="17"/>
  <c r="L2463" i="17"/>
  <c r="L2471" i="17"/>
  <c r="F2456" i="17"/>
  <c r="F2455" i="17"/>
  <c r="F2451" i="17"/>
  <c r="G613" i="17"/>
  <c r="F2449" i="17"/>
  <c r="G1384" i="17"/>
  <c r="F1384" i="17"/>
  <c r="G1494" i="17"/>
  <c r="F1498" i="17"/>
  <c r="F1850" i="17"/>
  <c r="F2448" i="17"/>
  <c r="F1244" i="17"/>
  <c r="G1270" i="17"/>
  <c r="G1510" i="17"/>
  <c r="G1490" i="17"/>
  <c r="F2445" i="17"/>
  <c r="F2013" i="17"/>
  <c r="F2444" i="17"/>
  <c r="F2440" i="17"/>
  <c r="F2247" i="17"/>
  <c r="F2439" i="17"/>
  <c r="F164" i="17"/>
  <c r="F1875" i="17"/>
  <c r="F1968" i="17"/>
  <c r="F1324" i="17"/>
  <c r="F1322" i="17" s="1"/>
  <c r="F2438" i="17"/>
  <c r="G1409" i="17"/>
  <c r="F1409" i="17"/>
  <c r="G795" i="17"/>
  <c r="G1462" i="17"/>
  <c r="F1462" i="17"/>
  <c r="R125" i="17"/>
  <c r="O125" i="17"/>
  <c r="O132" i="17"/>
  <c r="R100" i="17"/>
  <c r="Q93" i="17"/>
  <c r="O93" i="17"/>
  <c r="R79" i="17"/>
  <c r="O79" i="17"/>
  <c r="R86" i="17"/>
  <c r="O86" i="17"/>
  <c r="Q45" i="17"/>
  <c r="N45" i="17"/>
  <c r="M18" i="17"/>
  <c r="R18" i="17"/>
  <c r="N18" i="17"/>
  <c r="F2422" i="17"/>
  <c r="F397" i="17"/>
  <c r="F391" i="17" s="1"/>
  <c r="F636" i="17"/>
  <c r="F2419" i="17"/>
  <c r="F2415" i="17"/>
  <c r="F2414" i="17"/>
  <c r="F2418" i="17"/>
  <c r="F2417" i="17"/>
  <c r="F2416" i="17"/>
  <c r="F957" i="17"/>
  <c r="F2412" i="17"/>
  <c r="F2411" i="17"/>
  <c r="F2410" i="17"/>
  <c r="F2409" i="17"/>
  <c r="F2402" i="17"/>
  <c r="F2405" i="17"/>
  <c r="F2404" i="17"/>
  <c r="F2396" i="17"/>
  <c r="G468" i="17"/>
  <c r="F477" i="17"/>
  <c r="F2401" i="17"/>
  <c r="F605" i="17"/>
  <c r="F2399" i="17"/>
  <c r="F117" i="17"/>
  <c r="Q100" i="17" s="1"/>
  <c r="F2395" i="17"/>
  <c r="F2389" i="17"/>
  <c r="F89" i="15"/>
  <c r="F2385" i="17"/>
  <c r="F2384" i="17"/>
  <c r="F2382" i="17"/>
  <c r="F2381" i="17"/>
  <c r="G929" i="17"/>
  <c r="G132" i="17"/>
  <c r="G143" i="17"/>
  <c r="G1141" i="17"/>
  <c r="F1317" i="17"/>
  <c r="G1350" i="17"/>
  <c r="G1423" i="17"/>
  <c r="G1063" i="17"/>
  <c r="G939" i="17"/>
  <c r="G1466" i="17"/>
  <c r="F657" i="17"/>
  <c r="F604" i="17"/>
  <c r="F2352" i="17"/>
  <c r="F603" i="17"/>
  <c r="F2354" i="17"/>
  <c r="F2351" i="17"/>
  <c r="F2350" i="17"/>
  <c r="F2346" i="17"/>
  <c r="F2122" i="17"/>
  <c r="F2345" i="17"/>
  <c r="F2344" i="17"/>
  <c r="J563" i="17"/>
  <c r="I889" i="17"/>
  <c r="F2340" i="17"/>
  <c r="F2339" i="17"/>
  <c r="F2338" i="17"/>
  <c r="F2337" i="17"/>
  <c r="F2336" i="17"/>
  <c r="G1458" i="17"/>
  <c r="G1257" i="17"/>
  <c r="G1427" i="17"/>
  <c r="G1501" i="17"/>
  <c r="G1327" i="17"/>
  <c r="F1327" i="17"/>
  <c r="G563" i="17"/>
  <c r="G1294" i="17"/>
  <c r="F1294" i="17"/>
  <c r="G93" i="17"/>
  <c r="F2333" i="17"/>
  <c r="F2332" i="17"/>
  <c r="G325" i="17"/>
  <c r="G679" i="17"/>
  <c r="G901" i="17"/>
  <c r="F558" i="17"/>
  <c r="F2308" i="17"/>
  <c r="F556" i="17"/>
  <c r="F2306" i="17"/>
  <c r="F1953" i="17"/>
  <c r="F2303" i="17"/>
  <c r="F2300" i="17"/>
  <c r="F2215" i="17"/>
  <c r="F793" i="17"/>
  <c r="F831" i="17"/>
  <c r="G1481" i="17"/>
  <c r="G805" i="17"/>
  <c r="F498" i="17" l="1"/>
  <c r="F439" i="17"/>
  <c r="F1041" i="17"/>
  <c r="F563" i="17"/>
  <c r="J564" i="17" s="1"/>
  <c r="F588" i="17"/>
  <c r="F601" i="17"/>
  <c r="F613" i="17"/>
  <c r="F533" i="17"/>
  <c r="F869" i="17"/>
  <c r="F819" i="17"/>
  <c r="F852" i="17"/>
  <c r="F828" i="17"/>
  <c r="F728" i="17"/>
  <c r="J306" i="17"/>
  <c r="J391" i="17"/>
  <c r="F646" i="17"/>
  <c r="F275" i="17"/>
  <c r="F1332" i="17"/>
  <c r="J889" i="17"/>
  <c r="G86" i="17"/>
  <c r="G1388" i="17"/>
  <c r="F1388" i="17"/>
  <c r="G1299" i="17"/>
  <c r="F1299" i="17"/>
  <c r="G1283" i="17"/>
  <c r="G1235" i="17"/>
  <c r="G1182" i="17"/>
  <c r="G1169" i="17"/>
  <c r="F2198" i="17"/>
  <c r="F598" i="17"/>
  <c r="F597" i="17" s="1"/>
  <c r="F2195" i="17"/>
  <c r="F2194" i="17"/>
  <c r="F1088" i="17"/>
  <c r="F1477" i="17"/>
  <c r="F1475" i="17" s="1"/>
  <c r="F2170" i="17"/>
  <c r="F1171" i="17"/>
  <c r="F1169" i="17" s="1"/>
  <c r="F422" i="17"/>
  <c r="F418" i="17" s="1"/>
  <c r="F157" i="17"/>
  <c r="F2152" i="17"/>
  <c r="F2141" i="17"/>
  <c r="F2138" i="17"/>
  <c r="F1055" i="17"/>
  <c r="G1244" i="17"/>
  <c r="G1175" i="17"/>
  <c r="F943" i="17"/>
  <c r="F2140" i="17"/>
  <c r="F2137" i="17"/>
  <c r="F968" i="17"/>
  <c r="F1054" i="17"/>
  <c r="G1431" i="17"/>
  <c r="F942" i="17"/>
  <c r="F967" i="17"/>
  <c r="F626" i="17"/>
  <c r="F2129" i="17"/>
  <c r="F1495" i="17"/>
  <c r="F1494" i="17" s="1"/>
  <c r="F2125" i="17"/>
  <c r="F2115" i="17"/>
  <c r="F2128" i="17"/>
  <c r="F2127" i="17"/>
  <c r="F2124" i="17"/>
  <c r="F2121" i="17"/>
  <c r="F2119" i="17"/>
  <c r="F2114" i="17"/>
  <c r="F2111" i="17"/>
  <c r="F2102" i="17"/>
  <c r="F1087" i="17"/>
  <c r="F2100" i="17"/>
  <c r="F2099" i="17"/>
  <c r="F2098" i="17"/>
  <c r="F2097" i="17"/>
  <c r="F2096" i="17"/>
  <c r="F2095" i="17"/>
  <c r="F2094" i="17"/>
  <c r="F2081" i="17"/>
  <c r="F2080" i="17"/>
  <c r="F1194" i="17"/>
  <c r="F2079" i="17"/>
  <c r="F2078" i="17"/>
  <c r="F2077" i="17"/>
  <c r="G1126" i="17"/>
  <c r="F1882" i="17"/>
  <c r="F2057" i="17"/>
  <c r="F1146" i="17"/>
  <c r="F1129" i="17"/>
  <c r="F1126" i="17" s="1"/>
  <c r="F2063" i="17"/>
  <c r="F2060" i="17"/>
  <c r="F1887" i="17"/>
  <c r="F2062" i="17"/>
  <c r="F1881" i="17"/>
  <c r="F2059" i="17"/>
  <c r="F1886" i="17"/>
  <c r="F2056" i="17"/>
  <c r="G1372" i="17"/>
  <c r="G790" i="17"/>
  <c r="F792" i="17"/>
  <c r="F1099" i="17"/>
  <c r="F1939" i="17"/>
  <c r="F1418" i="17"/>
  <c r="F1415" i="17" s="1"/>
  <c r="F2026" i="17"/>
  <c r="G1189" i="17"/>
  <c r="G1339" i="17"/>
  <c r="G668" i="17"/>
  <c r="F2031" i="17"/>
  <c r="F2025" i="17"/>
  <c r="F2030" i="17"/>
  <c r="F2024" i="17"/>
  <c r="F2048" i="17"/>
  <c r="F1199" i="17"/>
  <c r="F2033" i="17"/>
  <c r="F2029" i="17"/>
  <c r="F2022" i="17"/>
  <c r="F2047" i="17"/>
  <c r="F1198" i="17"/>
  <c r="F2045" i="17"/>
  <c r="F2038" i="17"/>
  <c r="F2036" i="17"/>
  <c r="F2035" i="17"/>
  <c r="F2034" i="17"/>
  <c r="F2032" i="17"/>
  <c r="F2028" i="17"/>
  <c r="F2023" i="17"/>
  <c r="F374" i="17"/>
  <c r="F1822" i="17"/>
  <c r="F114" i="17"/>
  <c r="O100" i="17" s="1"/>
  <c r="F1982" i="17"/>
  <c r="F1692" i="17"/>
  <c r="G1264" i="17"/>
  <c r="G1357" i="17"/>
  <c r="G1505" i="17"/>
  <c r="F1617" i="17"/>
  <c r="F1978" i="17"/>
  <c r="F1618" i="17"/>
  <c r="F1694" i="17"/>
  <c r="F1693" i="17"/>
  <c r="F1974" i="17"/>
  <c r="G1208" i="17"/>
  <c r="F1734" i="17"/>
  <c r="F1733" i="17"/>
  <c r="F1732" i="17"/>
  <c r="F1507" i="17"/>
  <c r="F1505" i="17" s="1"/>
  <c r="F1698" i="17"/>
  <c r="G1303" i="17"/>
  <c r="F1307" i="17"/>
  <c r="F1303" i="17" s="1"/>
  <c r="J287" i="17"/>
  <c r="J293" i="17"/>
  <c r="F1070" i="17"/>
  <c r="F1069" i="17" s="1"/>
  <c r="F1952" i="17"/>
  <c r="G1287" i="17"/>
  <c r="G1165" i="17"/>
  <c r="F1165" i="17"/>
  <c r="G418" i="17"/>
  <c r="G1405" i="17"/>
  <c r="G1008" i="17"/>
  <c r="F1936" i="17"/>
  <c r="F1621" i="17"/>
  <c r="G777" i="17"/>
  <c r="F148" i="15"/>
  <c r="F49" i="17"/>
  <c r="F106" i="17"/>
  <c r="F1596" i="17"/>
  <c r="F1595" i="17"/>
  <c r="F1219" i="17"/>
  <c r="F1218" i="17" s="1"/>
  <c r="F1594" i="17"/>
  <c r="F1593" i="17"/>
  <c r="F1592" i="17"/>
  <c r="F1096" i="17"/>
  <c r="F1871" i="17"/>
  <c r="F1924" i="17"/>
  <c r="F1703" i="17"/>
  <c r="F430" i="17"/>
  <c r="F429" i="17" s="1"/>
  <c r="G1400" i="17"/>
  <c r="F1400" i="17"/>
  <c r="G1343" i="17"/>
  <c r="G1276" i="17"/>
  <c r="G909" i="17"/>
  <c r="G1396" i="17"/>
  <c r="G1377" i="17"/>
  <c r="F1436" i="17"/>
  <c r="F1435" i="17" s="1"/>
  <c r="F1673" i="17"/>
  <c r="F1672" i="17"/>
  <c r="F1671" i="17"/>
  <c r="F1670" i="17"/>
  <c r="F966" i="17"/>
  <c r="F1906" i="17"/>
  <c r="F1901" i="17"/>
  <c r="F1455" i="17"/>
  <c r="F1454" i="17" s="1"/>
  <c r="G1443" i="17"/>
  <c r="F1363" i="17"/>
  <c r="G1363" i="17"/>
  <c r="G981" i="17"/>
  <c r="G1151" i="17"/>
  <c r="G213" i="17"/>
  <c r="G209" i="17"/>
  <c r="G79" i="17"/>
  <c r="G179" i="17"/>
  <c r="G239" i="17"/>
  <c r="F1485" i="17"/>
  <c r="G1485" i="17"/>
  <c r="G852" i="17"/>
  <c r="G995" i="17"/>
  <c r="G974" i="17"/>
  <c r="G737" i="17"/>
  <c r="A164" i="15"/>
  <c r="A169" i="15" s="1"/>
  <c r="A173" i="15" s="1"/>
  <c r="A180" i="15" s="1"/>
  <c r="A181" i="15" s="1"/>
  <c r="A182" i="15" s="1"/>
  <c r="A183" i="15" s="1"/>
  <c r="A184" i="15" s="1"/>
  <c r="A185" i="15" s="1"/>
  <c r="A186" i="15" s="1"/>
  <c r="A189" i="15" s="1"/>
  <c r="A240" i="15" s="1"/>
  <c r="A241" i="15" s="1"/>
  <c r="A191" i="15" s="1"/>
  <c r="A193" i="15" s="1"/>
  <c r="A248" i="15" s="1"/>
  <c r="A250" i="15" s="1"/>
  <c r="A251" i="15" s="1"/>
  <c r="A203" i="15" s="1"/>
  <c r="F1652" i="17"/>
  <c r="F1651" i="17"/>
  <c r="F1650" i="17"/>
  <c r="F1649" i="17"/>
  <c r="F1144" i="17"/>
  <c r="F1762" i="17"/>
  <c r="F1761" i="17"/>
  <c r="F1765" i="17"/>
  <c r="F1760" i="17"/>
  <c r="F1759" i="17"/>
  <c r="F1874" i="17"/>
  <c r="F965" i="17" l="1"/>
  <c r="F100" i="17"/>
  <c r="F1052" i="17"/>
  <c r="F1141" i="17"/>
  <c r="F1095" i="17"/>
  <c r="F1086" i="17"/>
  <c r="J100" i="17"/>
  <c r="F1197" i="17"/>
  <c r="P100" i="17"/>
  <c r="F1814" i="17"/>
  <c r="F1665" i="17"/>
  <c r="F1810" i="17"/>
  <c r="F1667" i="17"/>
  <c r="F1666" i="17"/>
  <c r="F1272" i="17"/>
  <c r="F1270" i="17" s="1"/>
  <c r="F1807" i="17"/>
  <c r="F1669" i="17"/>
  <c r="F1668" i="17"/>
  <c r="F1804" i="17"/>
  <c r="F1801" i="17"/>
  <c r="F1798" i="17"/>
  <c r="F1251" i="17"/>
  <c r="F1250" i="17" s="1"/>
  <c r="F1794" i="17"/>
  <c r="F1791" i="17"/>
  <c r="F1648" i="17"/>
  <c r="F1788" i="17"/>
  <c r="F862" i="17"/>
  <c r="F1647" i="17"/>
  <c r="F1773" i="17"/>
  <c r="F1777" i="17"/>
  <c r="F954" i="17"/>
  <c r="F1769" i="17"/>
  <c r="F1646" i="17"/>
  <c r="F1779" i="17"/>
  <c r="F1776" i="17"/>
  <c r="F1635" i="17"/>
  <c r="F1772" i="17"/>
  <c r="F1768" i="17"/>
  <c r="F953" i="17"/>
  <c r="F1440" i="17"/>
  <c r="F1439" i="17" s="1"/>
  <c r="F1106" i="17"/>
  <c r="F1105" i="17" s="1"/>
  <c r="F1280" i="17"/>
  <c r="F1276" i="17" s="1"/>
  <c r="F715" i="17"/>
  <c r="F60" i="17"/>
  <c r="O45" i="17" s="1"/>
  <c r="G1021" i="17"/>
  <c r="F1026" i="17"/>
  <c r="F1591" i="17"/>
  <c r="F1590" i="17"/>
  <c r="F1589" i="17"/>
  <c r="F1588" i="17"/>
  <c r="F750" i="17"/>
  <c r="F906" i="17"/>
  <c r="F901" i="17" s="1"/>
  <c r="F268" i="17"/>
  <c r="F1025" i="17"/>
  <c r="F625" i="17"/>
  <c r="F624" i="17" s="1"/>
  <c r="F1581" i="17"/>
  <c r="G741" i="17"/>
  <c r="G250" i="17"/>
  <c r="F1758" i="17"/>
  <c r="F1757" i="17"/>
  <c r="F1756" i="17"/>
  <c r="F1512" i="17"/>
  <c r="F1510" i="17" s="1"/>
  <c r="F1710" i="17"/>
  <c r="F1491" i="17"/>
  <c r="F1490" i="17" s="1"/>
  <c r="F1721" i="17"/>
  <c r="F1720" i="17"/>
  <c r="F1719" i="17"/>
  <c r="F1718" i="17"/>
  <c r="F1717" i="17"/>
  <c r="F976" i="17"/>
  <c r="F974" i="17" s="1"/>
  <c r="F1375" i="17"/>
  <c r="F1344" i="17"/>
  <c r="F1343" i="17" s="1"/>
  <c r="F1424" i="17"/>
  <c r="F1423" i="17" s="1"/>
  <c r="F1620" i="17"/>
  <c r="F526" i="17"/>
  <c r="F266" i="17"/>
  <c r="F1898" i="17"/>
  <c r="F1064" i="17"/>
  <c r="F1063" i="17" s="1"/>
  <c r="F749" i="17"/>
  <c r="G1392" i="17"/>
  <c r="F940" i="17"/>
  <c r="F939" i="17" s="1"/>
  <c r="F1467" i="17"/>
  <c r="F1466" i="17" s="1"/>
  <c r="F1459" i="17"/>
  <c r="F1458" i="17" s="1"/>
  <c r="F1021" i="17" l="1"/>
  <c r="F952" i="17"/>
  <c r="F741" i="17"/>
  <c r="F694" i="17"/>
  <c r="F1258" i="17"/>
  <c r="F1257" i="17" s="1"/>
  <c r="F670" i="17"/>
  <c r="F668" i="17" s="1"/>
  <c r="F1177" i="17"/>
  <c r="F1483" i="17"/>
  <c r="F524" i="17"/>
  <c r="F1379" i="17"/>
  <c r="F1700" i="17"/>
  <c r="F1428" i="17"/>
  <c r="F1427" i="17" s="1"/>
  <c r="F1378" i="17"/>
  <c r="F1654" i="17"/>
  <c r="F1653" i="17"/>
  <c r="F523" i="17"/>
  <c r="F882" i="17"/>
  <c r="F878" i="17" s="1"/>
  <c r="F1870" i="17"/>
  <c r="F1661" i="17"/>
  <c r="F1231" i="17"/>
  <c r="F1230" i="17" s="1"/>
  <c r="F1657" i="17"/>
  <c r="F1482" i="17"/>
  <c r="F764" i="17"/>
  <c r="F761" i="17" s="1"/>
  <c r="G344" i="17"/>
  <c r="F1237" i="17"/>
  <c r="F1184" i="17"/>
  <c r="F1284" i="17"/>
  <c r="F1283" i="17" s="1"/>
  <c r="F1236" i="17"/>
  <c r="F1183" i="17"/>
  <c r="G391" i="17"/>
  <c r="G45" i="17"/>
  <c r="F1213" i="17"/>
  <c r="F1176" i="17"/>
  <c r="F1374" i="17"/>
  <c r="F1372" i="17" s="1"/>
  <c r="F1433" i="17"/>
  <c r="F1431" i="17" s="1"/>
  <c r="F1212" i="17"/>
  <c r="F984" i="17"/>
  <c r="F981" i="17" s="1"/>
  <c r="F1191" i="17"/>
  <c r="F1189" i="17" s="1"/>
  <c r="F1341" i="17"/>
  <c r="F1339" i="17" s="1"/>
  <c r="F226" i="17"/>
  <c r="F714" i="17"/>
  <c r="F710" i="17" s="1"/>
  <c r="F1614" i="17"/>
  <c r="F1613" i="17"/>
  <c r="F1612" i="17"/>
  <c r="F188" i="17"/>
  <c r="F1288" i="17"/>
  <c r="F1287" i="17" s="1"/>
  <c r="F1583" i="17"/>
  <c r="F1406" i="17"/>
  <c r="F1405" i="17" s="1"/>
  <c r="F1397" i="17"/>
  <c r="F1396" i="17" s="1"/>
  <c r="F1584" i="17"/>
  <c r="F331" i="17"/>
  <c r="F325" i="17" s="1"/>
  <c r="F1444" i="17"/>
  <c r="F1443" i="17" s="1"/>
  <c r="F1502" i="17"/>
  <c r="F1501" i="17" s="1"/>
  <c r="F1674" i="17"/>
  <c r="F348" i="17"/>
  <c r="F186" i="17"/>
  <c r="F347" i="17"/>
  <c r="F692" i="17"/>
  <c r="F346" i="17"/>
  <c r="F184" i="17"/>
  <c r="G409" i="17"/>
  <c r="G688" i="17"/>
  <c r="F363" i="17"/>
  <c r="F359" i="17" s="1"/>
  <c r="F51" i="17"/>
  <c r="F45" i="17" s="1"/>
  <c r="G519" i="17"/>
  <c r="F148" i="17"/>
  <c r="F143" i="17" s="1"/>
  <c r="F1153" i="17"/>
  <c r="F1151" i="17" s="1"/>
  <c r="F521" i="17"/>
  <c r="F27" i="17"/>
  <c r="O18" i="17" s="1"/>
  <c r="F215" i="17"/>
  <c r="F211" i="17"/>
  <c r="F133" i="17"/>
  <c r="F132" i="17" s="1"/>
  <c r="F214" i="17"/>
  <c r="F94" i="17"/>
  <c r="F93" i="17" s="1"/>
  <c r="F210" i="17"/>
  <c r="F80" i="17"/>
  <c r="F79" i="17" s="1"/>
  <c r="F180" i="17"/>
  <c r="F179" i="17" s="1"/>
  <c r="F87" i="17"/>
  <c r="F86" i="17" s="1"/>
  <c r="F240" i="17"/>
  <c r="F239" i="17" s="1"/>
  <c r="F126" i="17"/>
  <c r="F125" i="17" s="1"/>
  <c r="F411" i="17"/>
  <c r="F409" i="17" s="1"/>
  <c r="F23" i="17"/>
  <c r="P18" i="17" s="1"/>
  <c r="F222" i="17"/>
  <c r="F1616" i="17"/>
  <c r="F1311" i="17"/>
  <c r="F1310" i="17" s="1"/>
  <c r="F1394" i="17"/>
  <c r="F1392" i="17" s="1"/>
  <c r="F491" i="17"/>
  <c r="F490" i="17" s="1"/>
  <c r="G710" i="17"/>
  <c r="G548" i="17"/>
  <c r="G1367" i="17"/>
  <c r="F1367" i="17"/>
  <c r="F1009" i="17"/>
  <c r="F1008" i="17" s="1"/>
  <c r="G828" i="17"/>
  <c r="G217" i="17"/>
  <c r="G1317" i="17"/>
  <c r="G306" i="17"/>
  <c r="G889" i="17"/>
  <c r="G1155" i="17"/>
  <c r="F1157" i="17"/>
  <c r="F1155" i="17" s="1"/>
  <c r="F680" i="17"/>
  <c r="F679" i="17" s="1"/>
  <c r="F859" i="17"/>
  <c r="F858" i="17" s="1"/>
  <c r="G453" i="17"/>
  <c r="F455" i="17"/>
  <c r="F19" i="17"/>
  <c r="F549" i="17"/>
  <c r="F548" i="17" s="1"/>
  <c r="F454" i="17"/>
  <c r="F1516" i="17"/>
  <c r="F791" i="17"/>
  <c r="F790" i="17" s="1"/>
  <c r="G287" i="17"/>
  <c r="F471" i="17"/>
  <c r="F468" i="17" s="1"/>
  <c r="F252" i="17"/>
  <c r="F250" i="17" s="1"/>
  <c r="G761" i="17"/>
  <c r="F738" i="17"/>
  <c r="A137" i="15"/>
  <c r="A198" i="15" s="1"/>
  <c r="A202" i="15" s="1"/>
  <c r="A259" i="15" s="1"/>
  <c r="A265" i="15" s="1"/>
  <c r="F688" i="17" l="1"/>
  <c r="F18" i="17"/>
  <c r="F453" i="17"/>
  <c r="F1175" i="17"/>
  <c r="F519" i="17"/>
  <c r="J519" i="17" s="1"/>
  <c r="F1182" i="17"/>
  <c r="F344" i="17"/>
  <c r="J325" i="17"/>
  <c r="F217" i="17"/>
  <c r="J217" i="17" s="1"/>
  <c r="F183" i="17"/>
  <c r="J183" i="17" s="1"/>
  <c r="J679" i="17"/>
  <c r="F737" i="17"/>
  <c r="J737" i="17" s="1"/>
  <c r="J548" i="17"/>
  <c r="F1208" i="17"/>
  <c r="Q18" i="17"/>
  <c r="F1235" i="17"/>
  <c r="J45" i="17"/>
  <c r="P45" i="17"/>
  <c r="P125" i="17"/>
  <c r="J86" i="17"/>
  <c r="P86" i="17"/>
  <c r="P79" i="17"/>
  <c r="P93" i="17"/>
  <c r="P132" i="17"/>
  <c r="J250" i="17"/>
  <c r="J143" i="17"/>
  <c r="F1481" i="17"/>
  <c r="F209" i="17"/>
  <c r="F1377" i="17"/>
  <c r="F213" i="17"/>
  <c r="A128" i="15"/>
  <c r="A60" i="15"/>
  <c r="A62" i="15" s="1"/>
  <c r="A63" i="15" s="1"/>
  <c r="A64" i="15" s="1"/>
  <c r="A93" i="15" s="1"/>
  <c r="J359" i="17" l="1"/>
  <c r="A121" i="15"/>
  <c r="A92" i="15"/>
  <c r="A107" i="15" s="1"/>
  <c r="A109" i="15" s="1"/>
  <c r="A67" i="15" s="1"/>
  <c r="A118" i="15" s="1"/>
  <c r="A91" i="15" s="1"/>
  <c r="A113" i="15" s="1"/>
  <c r="A47" i="15"/>
  <c r="A27" i="15" s="1"/>
  <c r="A53" i="15" s="1"/>
  <c r="A54" i="15" s="1"/>
  <c r="A56" i="15" s="1"/>
  <c r="A72" i="15" s="1"/>
  <c r="F5" i="10"/>
  <c r="H5" i="10"/>
  <c r="E5" i="10" s="1"/>
  <c r="F7" i="1"/>
  <c r="H7" i="1"/>
  <c r="E7" i="1" s="1"/>
  <c r="E17" i="10"/>
  <c r="F17" i="10"/>
  <c r="A114" i="15" l="1"/>
  <c r="A122" i="15" s="1"/>
  <c r="A123" i="15" s="1"/>
  <c r="A124" i="15" s="1"/>
  <c r="G5" i="10"/>
  <c r="G7" i="1"/>
  <c r="G17" i="10"/>
  <c r="G8" i="8"/>
  <c r="G24" i="8"/>
  <c r="Z24" i="8"/>
  <c r="F8" i="7" l="1"/>
  <c r="H8" i="7"/>
  <c r="E8" i="7" s="1"/>
  <c r="G8" i="7" l="1"/>
  <c r="O3" i="16"/>
  <c r="N3" i="16"/>
  <c r="M3" i="16"/>
  <c r="L3" i="16"/>
  <c r="K3" i="16"/>
  <c r="J3" i="16"/>
  <c r="I3" i="16"/>
  <c r="H3" i="16"/>
  <c r="G3" i="16"/>
  <c r="F3" i="16"/>
  <c r="E3" i="16"/>
  <c r="D3" i="16"/>
  <c r="C3" i="16"/>
  <c r="F6" i="1" l="1"/>
  <c r="W5" i="1" l="1"/>
  <c r="V5" i="1"/>
  <c r="U5" i="1"/>
  <c r="T5" i="1"/>
  <c r="O5" i="1"/>
  <c r="N5" i="1"/>
  <c r="M5" i="1"/>
  <c r="K5" i="1"/>
  <c r="L5" i="1" s="1"/>
  <c r="O12" i="16" l="1"/>
  <c r="O10" i="16" l="1"/>
  <c r="D2" i="16" l="1"/>
  <c r="E2" i="16" s="1"/>
  <c r="F2" i="16" s="1"/>
  <c r="G2" i="16" s="1"/>
  <c r="H2" i="16" s="1"/>
  <c r="I2" i="16" s="1"/>
  <c r="J2" i="16" s="1"/>
  <c r="K2" i="16" s="1"/>
  <c r="L2" i="16" s="1"/>
  <c r="M2" i="16" s="1"/>
  <c r="N2" i="16" s="1"/>
  <c r="O2" i="16" s="1"/>
  <c r="K4" i="1" l="1"/>
  <c r="F4" i="1" l="1"/>
  <c r="F11" i="10" l="1"/>
  <c r="F7" i="8" l="1"/>
  <c r="F6" i="8"/>
  <c r="H7" i="8"/>
  <c r="E7" i="8" s="1"/>
  <c r="H6" i="8"/>
  <c r="E6" i="8" s="1"/>
  <c r="G6" i="8" l="1"/>
  <c r="G7" i="8"/>
  <c r="H14" i="8"/>
  <c r="E14" i="8" s="1"/>
  <c r="F14" i="8"/>
  <c r="F9" i="5"/>
  <c r="H9" i="5"/>
  <c r="E9" i="5" s="1"/>
  <c r="G9" i="5" l="1"/>
  <c r="H3" i="5"/>
  <c r="E3" i="5" s="1"/>
  <c r="F24" i="5" l="1"/>
  <c r="H24" i="5"/>
  <c r="E24" i="5" s="1"/>
  <c r="G24" i="5" l="1"/>
  <c r="F8" i="9"/>
  <c r="H8" i="9"/>
  <c r="E8" i="9" s="1"/>
  <c r="G8" i="9" l="1"/>
  <c r="Z8" i="9" s="1"/>
  <c r="H6" i="10"/>
  <c r="N6" i="10"/>
  <c r="M6" i="10"/>
  <c r="K6" i="10"/>
  <c r="L6" i="10" s="1"/>
  <c r="H9" i="8"/>
  <c r="E9" i="8" s="1"/>
  <c r="F9" i="8"/>
  <c r="W4" i="1"/>
  <c r="V4" i="1"/>
  <c r="U4" i="1"/>
  <c r="T4" i="1"/>
  <c r="G9" i="8" l="1"/>
  <c r="G7" i="9"/>
  <c r="H4" i="10"/>
  <c r="E3" i="9" l="1"/>
  <c r="F3" i="9"/>
  <c r="F7" i="7" l="1"/>
  <c r="H7" i="7"/>
  <c r="E7" i="7" s="1"/>
  <c r="W3" i="10"/>
  <c r="V3" i="10"/>
  <c r="U3" i="10"/>
  <c r="T3" i="10"/>
  <c r="O3" i="10"/>
  <c r="N3" i="10"/>
  <c r="M3" i="10"/>
  <c r="K3" i="10"/>
  <c r="L3" i="10" s="1"/>
  <c r="H3" i="10"/>
  <c r="F3" i="10"/>
  <c r="E3" i="10"/>
  <c r="H4" i="9"/>
  <c r="F19" i="8"/>
  <c r="E19" i="8"/>
  <c r="G3" i="10" l="1"/>
  <c r="S3" i="10" s="1"/>
  <c r="G7" i="7"/>
  <c r="G19" i="8"/>
  <c r="Q3" i="10" l="1"/>
  <c r="P3" i="10"/>
  <c r="R3" i="10"/>
  <c r="H7" i="11"/>
  <c r="E7" i="11" s="1"/>
  <c r="F7" i="11"/>
  <c r="H6" i="11"/>
  <c r="E6" i="11" s="1"/>
  <c r="F6" i="11"/>
  <c r="H5" i="11"/>
  <c r="E5" i="11" s="1"/>
  <c r="F5" i="11"/>
  <c r="F4" i="11"/>
  <c r="E4" i="11"/>
  <c r="H3" i="11"/>
  <c r="E3" i="11" s="1"/>
  <c r="F3" i="11"/>
  <c r="H5" i="8"/>
  <c r="G7" i="11" l="1"/>
  <c r="G3" i="11"/>
  <c r="G5" i="11"/>
  <c r="G6" i="11"/>
  <c r="G4" i="11"/>
  <c r="F13" i="10"/>
  <c r="H13" i="10"/>
  <c r="E13" i="10" s="1"/>
  <c r="G13" i="10" l="1"/>
  <c r="F15" i="10"/>
  <c r="H15" i="10"/>
  <c r="E15" i="10" s="1"/>
  <c r="F20" i="10"/>
  <c r="H20" i="10"/>
  <c r="E20" i="10" s="1"/>
  <c r="G20" i="10" l="1"/>
  <c r="G15" i="10"/>
  <c r="H12" i="10"/>
  <c r="F12" i="10"/>
  <c r="E12" i="10"/>
  <c r="H11" i="10"/>
  <c r="E11" i="10" s="1"/>
  <c r="H10" i="10"/>
  <c r="F10" i="10"/>
  <c r="E10" i="10"/>
  <c r="G12" i="10" l="1"/>
  <c r="G10" i="10"/>
  <c r="G11" i="10"/>
  <c r="F5" i="8" l="1"/>
  <c r="E5" i="8"/>
  <c r="H9" i="10"/>
  <c r="E9" i="10" s="1"/>
  <c r="F9" i="10"/>
  <c r="F8" i="10"/>
  <c r="E8" i="10"/>
  <c r="F7" i="10"/>
  <c r="E7" i="10"/>
  <c r="F6" i="10"/>
  <c r="E6" i="10"/>
  <c r="F4" i="10"/>
  <c r="E4" i="10"/>
  <c r="G6" i="10" l="1"/>
  <c r="G7" i="10"/>
  <c r="G8" i="10"/>
  <c r="G9" i="10"/>
  <c r="G5" i="8"/>
  <c r="G4" i="10"/>
  <c r="F13" i="8" l="1"/>
  <c r="H13" i="8"/>
  <c r="E13" i="8" s="1"/>
  <c r="G13" i="8" l="1"/>
  <c r="F4" i="9"/>
  <c r="E4" i="9"/>
  <c r="O3" i="9"/>
  <c r="N3" i="9"/>
  <c r="M3" i="9"/>
  <c r="K3" i="9"/>
  <c r="L3" i="9" s="1"/>
  <c r="H3" i="9"/>
  <c r="G3" i="9" l="1"/>
  <c r="Z3" i="9" s="1"/>
  <c r="G4" i="9"/>
  <c r="F4" i="5" l="1" a="1"/>
  <c r="F4" i="5" s="1"/>
  <c r="E4" i="5"/>
  <c r="F13" i="5"/>
  <c r="E13" i="5"/>
  <c r="H6" i="1"/>
  <c r="E6" i="1" s="1"/>
  <c r="G6" i="1" s="1"/>
  <c r="E10" i="8" a="1"/>
  <c r="E10" i="8" s="1"/>
  <c r="F4" i="8"/>
  <c r="E4" i="8"/>
  <c r="H3" i="8"/>
  <c r="F3" i="8"/>
  <c r="E3" i="8"/>
  <c r="G4" i="5" l="1"/>
  <c r="G13" i="5"/>
  <c r="G4" i="8"/>
  <c r="G3" i="8"/>
  <c r="H8" i="1" l="1"/>
  <c r="F8" i="1"/>
  <c r="E8" i="1"/>
  <c r="O4" i="1"/>
  <c r="N4" i="1"/>
  <c r="M4" i="1"/>
  <c r="L4" i="1"/>
  <c r="H4" i="1"/>
  <c r="G8" i="1" l="1"/>
  <c r="H5" i="1"/>
  <c r="L2" i="1"/>
  <c r="F3" i="5" l="1"/>
  <c r="G3" i="5" s="1"/>
  <c r="F5" i="5" a="1"/>
  <c r="F5" i="5" s="1"/>
  <c r="E5" i="5"/>
  <c r="G5" i="5" l="1"/>
  <c r="G14" i="8"/>
  <c r="Z14" i="8" s="1"/>
  <c r="F5" i="1"/>
  <c r="E5" i="1"/>
  <c r="G5" i="1" l="1"/>
  <c r="E4" i="1"/>
  <c r="S5" i="1" l="1"/>
  <c r="P5" i="1"/>
  <c r="Q5" i="1"/>
  <c r="R5" i="1"/>
  <c r="G4" i="1"/>
  <c r="Q4" i="1" l="1"/>
  <c r="Q2" i="1" s="1"/>
  <c r="R4" i="1"/>
  <c r="R2" i="1" s="1"/>
  <c r="S4" i="1"/>
  <c r="S2" i="1" s="1"/>
  <c r="P4" i="1"/>
  <c r="P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tc={7C1EDB1D-26F3-4F99-8930-0D6731320806}</author>
    <author>tc={EC8BF999-2174-4EA9-BB40-29C22C304290}</author>
  </authors>
  <commentList>
    <comment ref="I563" authorId="0" shapeId="0" xr:uid="{7C1EDB1D-26F3-4F99-8930-0D6731320806}">
      <text>
        <t>[Threaded comment]
Your version of Excel allows you to read this threaded comment; however, any edits to it will get removed if the file is opened in a newer version of Excel. Learn more: https://go.microsoft.com/fwlink/?linkid=870924
Comment:
    Amplify Partners V, Amplify Select (6/13/22)</t>
      </text>
    </comment>
    <comment ref="I679" authorId="1" shapeId="0" xr:uid="{EC8BF999-2174-4EA9-BB40-29C22C304290}">
      <text>
        <t>[Threaded comment]
Your version of Excel allows you to read this threaded comment; however, any edits to it will get removed if the file is opened in a newer version of Excel. Learn more: https://go.microsoft.com/fwlink/?linkid=870924
Comment:
    Radical Ventures II (5/7/19)</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tc={8D32030C-E7C6-654F-8763-F83B4645B655}</author>
    <author>tc={31E15604-D972-2C48-8C95-6B04D469FE75}</author>
  </authors>
  <commentList>
    <comment ref="I25" authorId="0" shapeId="0" xr:uid="{8D32030C-E7C6-654F-8763-F83B4645B655}">
      <text>
        <t>[Threaded comment]
Your version of Excel allows you to read this threaded comment; however, any edits to it will get removed if the file is opened in a newer version of Excel. Learn more: https://go.microsoft.com/fwlink/?linkid=870924
Comment:
    Tom Built GPT-3</t>
      </text>
    </comment>
    <comment ref="D138" authorId="1" shapeId="0" xr:uid="{31E15604-D972-2C48-8C95-6B04D469FE75}">
      <text>
        <t>[Threaded comment]
Your version of Excel allows you to read this threaded comment; however, any edits to it will get removed if the file is opened in a newer version of Excel. Learn more: https://go.microsoft.com/fwlink/?linkid=870924
Comment:
    https://techcrunch.com/2022/11/10/ai-powered-note-taking-app-mem-raises-23-5m-openai/</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tc={9A7BDD87-4728-4B2C-A2F9-F452DF1FAEF5}</author>
  </authors>
  <commentList>
    <comment ref="E30" authorId="0" shapeId="0" xr:uid="{9A7BDD87-4728-4B2C-A2F9-F452DF1FAEF5}">
      <text>
        <t>[Threaded comment]
Your version of Excel allows you to read this threaded comment; however, any edits to it will get removed if the file is opened in a newer version of Excel. Learn more: https://go.microsoft.com/fwlink/?linkid=870924
Comment:
    Series A with ARod, Thrive, Tiger, Marc Lore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<sst xmlns="http://schemas.openxmlformats.org/spreadsheetml/2006/main" count="15749" uniqueCount="4512">
  <si>
    <t>Name</t>
  </si>
  <si>
    <t>Ticker</t>
  </si>
  <si>
    <t>Price</t>
  </si>
  <si>
    <t>MC</t>
  </si>
  <si>
    <t>Net Cash</t>
  </si>
  <si>
    <t>EV</t>
  </si>
  <si>
    <t>Update</t>
  </si>
  <si>
    <t>Microsoft</t>
  </si>
  <si>
    <t>MSFT</t>
  </si>
  <si>
    <t>Google</t>
  </si>
  <si>
    <t>GOOG</t>
  </si>
  <si>
    <t>Amazon</t>
  </si>
  <si>
    <t>AMZN</t>
  </si>
  <si>
    <t>Meta</t>
  </si>
  <si>
    <t>Q122</t>
  </si>
  <si>
    <t>TenCent</t>
  </si>
  <si>
    <t>700 HK</t>
  </si>
  <si>
    <t>Alibaba</t>
  </si>
  <si>
    <t>BABA</t>
  </si>
  <si>
    <t>Adobe</t>
  </si>
  <si>
    <t>ADBE</t>
  </si>
  <si>
    <t>Salesforce</t>
  </si>
  <si>
    <t>CRM</t>
  </si>
  <si>
    <t>Oracle</t>
  </si>
  <si>
    <t>ORCL</t>
  </si>
  <si>
    <t>SAP</t>
  </si>
  <si>
    <t>Intuit</t>
  </si>
  <si>
    <t>INTU</t>
  </si>
  <si>
    <t>JD</t>
  </si>
  <si>
    <t>ServiceNow</t>
  </si>
  <si>
    <t>NOW</t>
  </si>
  <si>
    <t>Paypal</t>
  </si>
  <si>
    <t>PYPL</t>
  </si>
  <si>
    <t>Stripe</t>
  </si>
  <si>
    <t>AirBnB</t>
  </si>
  <si>
    <t>ABNB</t>
  </si>
  <si>
    <t>Shopify</t>
  </si>
  <si>
    <t>SHOP</t>
  </si>
  <si>
    <t>Baidu</t>
  </si>
  <si>
    <t>BIDU</t>
  </si>
  <si>
    <t>Atlassian</t>
  </si>
  <si>
    <t>TEAM</t>
  </si>
  <si>
    <t>Uber</t>
  </si>
  <si>
    <t>UBER</t>
  </si>
  <si>
    <t>Snowflake</t>
  </si>
  <si>
    <t>SNOW</t>
  </si>
  <si>
    <t>Autodesk</t>
  </si>
  <si>
    <t>ADSK</t>
  </si>
  <si>
    <t>Cadence Design</t>
  </si>
  <si>
    <t>CDNS</t>
  </si>
  <si>
    <t>Workday</t>
  </si>
  <si>
    <t>WDAY</t>
  </si>
  <si>
    <t>Datadog</t>
  </si>
  <si>
    <t>DDOG</t>
  </si>
  <si>
    <t>Epic Games</t>
  </si>
  <si>
    <t>Klarna</t>
  </si>
  <si>
    <t>The Trade Desk</t>
  </si>
  <si>
    <t>TDD</t>
  </si>
  <si>
    <t>Canva</t>
  </si>
  <si>
    <t>FTX</t>
  </si>
  <si>
    <t>DoorDash</t>
  </si>
  <si>
    <t>DASH</t>
  </si>
  <si>
    <t>ANSYS</t>
  </si>
  <si>
    <t>ANSS</t>
  </si>
  <si>
    <t>Instacart</t>
  </si>
  <si>
    <t>Paycom</t>
  </si>
  <si>
    <t>PAYC</t>
  </si>
  <si>
    <t>DocuSign</t>
  </si>
  <si>
    <t>DOCU</t>
  </si>
  <si>
    <t>HubSpot</t>
  </si>
  <si>
    <t>HUBS</t>
  </si>
  <si>
    <t>Coinbase</t>
  </si>
  <si>
    <t>COIN</t>
  </si>
  <si>
    <t>AppLovin</t>
  </si>
  <si>
    <t>APP</t>
  </si>
  <si>
    <t>Spotify</t>
  </si>
  <si>
    <t>SPOT</t>
  </si>
  <si>
    <t>Roblox</t>
  </si>
  <si>
    <t>RBLX</t>
  </si>
  <si>
    <t>ZoomInfo</t>
  </si>
  <si>
    <t>ZI</t>
  </si>
  <si>
    <t>Check Point</t>
  </si>
  <si>
    <t>CHKP</t>
  </si>
  <si>
    <t>SS&amp;C</t>
  </si>
  <si>
    <t>SSNC</t>
  </si>
  <si>
    <t>Tyler Technologies</t>
  </si>
  <si>
    <t>TYL</t>
  </si>
  <si>
    <t>Chime</t>
  </si>
  <si>
    <t>Unity Software</t>
  </si>
  <si>
    <t>U</t>
  </si>
  <si>
    <t>BILL</t>
  </si>
  <si>
    <t>Aspen Technology</t>
  </si>
  <si>
    <t>AZPN</t>
  </si>
  <si>
    <t>PTC</t>
  </si>
  <si>
    <t>NICE</t>
  </si>
  <si>
    <t>Dynatrace</t>
  </si>
  <si>
    <t>DT</t>
  </si>
  <si>
    <t>DiDi</t>
  </si>
  <si>
    <t>DIDI</t>
  </si>
  <si>
    <t>Citrix</t>
  </si>
  <si>
    <t>Open Text</t>
  </si>
  <si>
    <t>OTEX</t>
  </si>
  <si>
    <t>Fair Isaac</t>
  </si>
  <si>
    <t>FICO</t>
  </si>
  <si>
    <t>Paylocity</t>
  </si>
  <si>
    <t>PCTY</t>
  </si>
  <si>
    <t>Zendesk</t>
  </si>
  <si>
    <t>ZEN</t>
  </si>
  <si>
    <t>Bentley</t>
  </si>
  <si>
    <t>BSY</t>
  </si>
  <si>
    <t>Figma</t>
  </si>
  <si>
    <t>Full Truck Alliance</t>
  </si>
  <si>
    <t>YMM</t>
  </si>
  <si>
    <t>Qualtrics</t>
  </si>
  <si>
    <t>XM</t>
  </si>
  <si>
    <t>Ceridian</t>
  </si>
  <si>
    <t>CDAY</t>
  </si>
  <si>
    <t>Globant</t>
  </si>
  <si>
    <t>GLOB</t>
  </si>
  <si>
    <t>GoPuff</t>
  </si>
  <si>
    <t>Manhattan Associates</t>
  </si>
  <si>
    <t>MANH</t>
  </si>
  <si>
    <t>Gitlab</t>
  </si>
  <si>
    <t>GTLB</t>
  </si>
  <si>
    <t>Flexport</t>
  </si>
  <si>
    <t>Avalara</t>
  </si>
  <si>
    <t>AVLR</t>
  </si>
  <si>
    <t>Elastic</t>
  </si>
  <si>
    <t>ESTC</t>
  </si>
  <si>
    <t>ProCore</t>
  </si>
  <si>
    <t>PCOR</t>
  </si>
  <si>
    <t>GuideWire</t>
  </si>
  <si>
    <t>GWRE</t>
  </si>
  <si>
    <t>Bumble</t>
  </si>
  <si>
    <t>BMBL</t>
  </si>
  <si>
    <t>Lyft</t>
  </si>
  <si>
    <t>LYFT</t>
  </si>
  <si>
    <t>CDK Global</t>
  </si>
  <si>
    <t>CDK</t>
  </si>
  <si>
    <t>RingCentral</t>
  </si>
  <si>
    <t>RNG</t>
  </si>
  <si>
    <t>WIX</t>
  </si>
  <si>
    <t>SquareSpace</t>
  </si>
  <si>
    <t>SQSP</t>
  </si>
  <si>
    <t>Anthropic</t>
  </si>
  <si>
    <t>Conjecture</t>
  </si>
  <si>
    <t>Main</t>
  </si>
  <si>
    <t>Phreesia</t>
  </si>
  <si>
    <t>PHR</t>
  </si>
  <si>
    <t>Valuation</t>
  </si>
  <si>
    <t>USDHKD</t>
  </si>
  <si>
    <t>USDRMB</t>
  </si>
  <si>
    <t>Palantir</t>
  </si>
  <si>
    <t>PLTR</t>
  </si>
  <si>
    <t>None</t>
  </si>
  <si>
    <t>Palo Alto Networks</t>
  </si>
  <si>
    <t>PANW</t>
  </si>
  <si>
    <t>CrowdStrike</t>
  </si>
  <si>
    <t>CRWD</t>
  </si>
  <si>
    <t>FTNT</t>
  </si>
  <si>
    <t>Fortinet</t>
  </si>
  <si>
    <t>Ebay</t>
  </si>
  <si>
    <t>EBAY</t>
  </si>
  <si>
    <t>Etsy</t>
  </si>
  <si>
    <t>ETSY</t>
  </si>
  <si>
    <t>SQ</t>
  </si>
  <si>
    <t>Visa</t>
  </si>
  <si>
    <t>V</t>
  </si>
  <si>
    <t>Mastercard</t>
  </si>
  <si>
    <t>Twitter</t>
  </si>
  <si>
    <t>TWTR</t>
  </si>
  <si>
    <t>Electronic Arts</t>
  </si>
  <si>
    <t>EA</t>
  </si>
  <si>
    <t>Take-Two</t>
  </si>
  <si>
    <t>TTWO</t>
  </si>
  <si>
    <t>Activision</t>
  </si>
  <si>
    <t>ATVI</t>
  </si>
  <si>
    <t>Nintendo</t>
  </si>
  <si>
    <t>Veeva</t>
  </si>
  <si>
    <t>VEEV</t>
  </si>
  <si>
    <t>Constellation</t>
  </si>
  <si>
    <t>CSU CN</t>
  </si>
  <si>
    <t>ZM</t>
  </si>
  <si>
    <t>Dassault</t>
  </si>
  <si>
    <t>DSY FP</t>
  </si>
  <si>
    <t>VMWare</t>
  </si>
  <si>
    <t>VMW</t>
  </si>
  <si>
    <t>Synopsys</t>
  </si>
  <si>
    <t>SNPS</t>
  </si>
  <si>
    <t>Zscaler</t>
  </si>
  <si>
    <t>ZS</t>
  </si>
  <si>
    <t>MongoDB</t>
  </si>
  <si>
    <t>MDB</t>
  </si>
  <si>
    <t>Splunk</t>
  </si>
  <si>
    <t>SPLK</t>
  </si>
  <si>
    <t>Twilio</t>
  </si>
  <si>
    <t>TWLO</t>
  </si>
  <si>
    <t>Cloudflare</t>
  </si>
  <si>
    <t>NET</t>
  </si>
  <si>
    <t>Okta</t>
  </si>
  <si>
    <t>OKTA</t>
  </si>
  <si>
    <t>Akamai</t>
  </si>
  <si>
    <t>AKAM</t>
  </si>
  <si>
    <t>META</t>
  </si>
  <si>
    <t>Booking</t>
  </si>
  <si>
    <t>BKNG</t>
  </si>
  <si>
    <t>Pinduoduo</t>
  </si>
  <si>
    <t>PDD</t>
  </si>
  <si>
    <t>Q222</t>
  </si>
  <si>
    <t>Global Shop Solutions</t>
  </si>
  <si>
    <t>ERP</t>
  </si>
  <si>
    <t>Description</t>
  </si>
  <si>
    <t>Fintech</t>
  </si>
  <si>
    <t>Supply Chain</t>
  </si>
  <si>
    <t>AI</t>
  </si>
  <si>
    <t>EURUSD</t>
  </si>
  <si>
    <t>NPV</t>
  </si>
  <si>
    <t>Discount</t>
  </si>
  <si>
    <t>Terminal</t>
  </si>
  <si>
    <t>ROIC</t>
  </si>
  <si>
    <t>Upside</t>
  </si>
  <si>
    <t>S/O</t>
  </si>
  <si>
    <t>Founded</t>
  </si>
  <si>
    <t>Coursera</t>
  </si>
  <si>
    <t>COUR</t>
  </si>
  <si>
    <t>Upwork</t>
  </si>
  <si>
    <t>UPWK</t>
  </si>
  <si>
    <t>Hexagon</t>
  </si>
  <si>
    <t>HEXA.B SS</t>
  </si>
  <si>
    <t>Q421</t>
  </si>
  <si>
    <t>Schrodinger</t>
  </si>
  <si>
    <t>SDGR</t>
  </si>
  <si>
    <t>Last</t>
  </si>
  <si>
    <t>USDSEK</t>
  </si>
  <si>
    <t>Matterport</t>
  </si>
  <si>
    <t>MTTR</t>
  </si>
  <si>
    <t>EPS 22</t>
  </si>
  <si>
    <t>EV/E 22</t>
  </si>
  <si>
    <t>EV/E 23</t>
  </si>
  <si>
    <t>EV/E 24</t>
  </si>
  <si>
    <t>7974 JP</t>
  </si>
  <si>
    <t>USDJPY</t>
  </si>
  <si>
    <t>USDCAD</t>
  </si>
  <si>
    <t>Jar</t>
  </si>
  <si>
    <t>Funding</t>
  </si>
  <si>
    <t>112m</t>
  </si>
  <si>
    <t>Lysto</t>
  </si>
  <si>
    <t>Gaming</t>
  </si>
  <si>
    <t>Investors</t>
  </si>
  <si>
    <t>Tiger</t>
  </si>
  <si>
    <t>Mojo</t>
  </si>
  <si>
    <t>Block</t>
  </si>
  <si>
    <t>Stake</t>
  </si>
  <si>
    <t>peach.cool</t>
  </si>
  <si>
    <t>BeReal</t>
  </si>
  <si>
    <t>Onlyfans</t>
  </si>
  <si>
    <t>Private</t>
  </si>
  <si>
    <t>Games24x7</t>
  </si>
  <si>
    <t>CD Projekt</t>
  </si>
  <si>
    <t>Ubisoft</t>
  </si>
  <si>
    <t>UBI FP</t>
  </si>
  <si>
    <t>x</t>
  </si>
  <si>
    <t>Meituan</t>
  </si>
  <si>
    <t>3690 HK</t>
  </si>
  <si>
    <t>IBM</t>
  </si>
  <si>
    <t>S&amp;P Global</t>
  </si>
  <si>
    <t>SPGI</t>
  </si>
  <si>
    <t>Sony</t>
  </si>
  <si>
    <t>6758 JP</t>
  </si>
  <si>
    <t>Automatic Data Processing</t>
  </si>
  <si>
    <t>ADP</t>
  </si>
  <si>
    <t>Netflix</t>
  </si>
  <si>
    <t>NFLX</t>
  </si>
  <si>
    <t>Fiserv</t>
  </si>
  <si>
    <t>FISV</t>
  </si>
  <si>
    <t>Netease</t>
  </si>
  <si>
    <t>NTES</t>
  </si>
  <si>
    <t>Intercontinental</t>
  </si>
  <si>
    <t>ICE</t>
  </si>
  <si>
    <t>Paychex</t>
  </si>
  <si>
    <t>PAYX</t>
  </si>
  <si>
    <t>Adyen</t>
  </si>
  <si>
    <t>ADYEN NA</t>
  </si>
  <si>
    <t>Gemini</t>
  </si>
  <si>
    <t>Drift</t>
  </si>
  <si>
    <t>Magic Eden</t>
  </si>
  <si>
    <t>ByteDance</t>
  </si>
  <si>
    <t>Pinterest</t>
  </si>
  <si>
    <t>PINS</t>
  </si>
  <si>
    <t>Kuaishou</t>
  </si>
  <si>
    <t>1024 HK</t>
  </si>
  <si>
    <t>Weibo</t>
  </si>
  <si>
    <t>WB</t>
  </si>
  <si>
    <t>Sea</t>
  </si>
  <si>
    <t>SE</t>
  </si>
  <si>
    <t>Mercadolibre</t>
  </si>
  <si>
    <t>MELI</t>
  </si>
  <si>
    <t>MSCI</t>
  </si>
  <si>
    <t>Global Payments</t>
  </si>
  <si>
    <t>GPN</t>
  </si>
  <si>
    <t>Arista</t>
  </si>
  <si>
    <t>ANET</t>
  </si>
  <si>
    <t>Experian</t>
  </si>
  <si>
    <t>EXPN LN</t>
  </si>
  <si>
    <t>Zoom</t>
  </si>
  <si>
    <t>Discover</t>
  </si>
  <si>
    <t>DFS</t>
  </si>
  <si>
    <t>Naver</t>
  </si>
  <si>
    <t>035420 KS</t>
  </si>
  <si>
    <t>Verisk</t>
  </si>
  <si>
    <t>VRSK</t>
  </si>
  <si>
    <t>Coupang</t>
  </si>
  <si>
    <t>CPNG</t>
  </si>
  <si>
    <t>Copart</t>
  </si>
  <si>
    <t>CPRT</t>
  </si>
  <si>
    <t>Nasdaq</t>
  </si>
  <si>
    <t>NDAQ</t>
  </si>
  <si>
    <t>Goto Gojek Tokopedia</t>
  </si>
  <si>
    <t>GOTO IJ</t>
  </si>
  <si>
    <t>JD Health</t>
  </si>
  <si>
    <t>6618 HK</t>
  </si>
  <si>
    <t>Amadeus</t>
  </si>
  <si>
    <t>AMS SM</t>
  </si>
  <si>
    <t>MA</t>
  </si>
  <si>
    <t>Simulations Plus</t>
  </si>
  <si>
    <t>Certera</t>
  </si>
  <si>
    <t>Discord</t>
  </si>
  <si>
    <t>Match</t>
  </si>
  <si>
    <t>MTCH</t>
  </si>
  <si>
    <t>Hinge</t>
  </si>
  <si>
    <t>Reddit</t>
  </si>
  <si>
    <t>Signal</t>
  </si>
  <si>
    <t>Truth Social</t>
  </si>
  <si>
    <t>DWAC</t>
  </si>
  <si>
    <t>Quora</t>
  </si>
  <si>
    <t>Telegram</t>
  </si>
  <si>
    <t>SecondLife</t>
  </si>
  <si>
    <t>Hashicorp</t>
  </si>
  <si>
    <t>Kakao</t>
  </si>
  <si>
    <t>035720 KS</t>
  </si>
  <si>
    <t>Z Holdings</t>
  </si>
  <si>
    <t>4689 JP</t>
  </si>
  <si>
    <t>Mozilla</t>
  </si>
  <si>
    <t>Opera</t>
  </si>
  <si>
    <t>Javascript</t>
  </si>
  <si>
    <t>WebGL</t>
  </si>
  <si>
    <t>OpenGL</t>
  </si>
  <si>
    <t>API</t>
  </si>
  <si>
    <t>application programming interface</t>
  </si>
  <si>
    <t>canvas</t>
  </si>
  <si>
    <t>HTML object</t>
  </si>
  <si>
    <t>DirectX</t>
  </si>
  <si>
    <t>Three.js</t>
  </si>
  <si>
    <t>Unity</t>
  </si>
  <si>
    <t>DOS</t>
  </si>
  <si>
    <t>FAT</t>
  </si>
  <si>
    <t>File Allocation Table</t>
  </si>
  <si>
    <t>MySpace</t>
  </si>
  <si>
    <t>BASIC</t>
  </si>
  <si>
    <t>Q322</t>
  </si>
  <si>
    <t>Hive Social</t>
  </si>
  <si>
    <t>Wizz</t>
  </si>
  <si>
    <t>Life360</t>
  </si>
  <si>
    <t>Google Meet</t>
  </si>
  <si>
    <t>Mastodon</t>
  </si>
  <si>
    <t>Plenty of Fish</t>
  </si>
  <si>
    <t>Tumblr?</t>
  </si>
  <si>
    <t>Wink</t>
  </si>
  <si>
    <t>Grindr</t>
  </si>
  <si>
    <t>Hily</t>
  </si>
  <si>
    <t>Kik</t>
  </si>
  <si>
    <t>Yubo</t>
  </si>
  <si>
    <t>Monkey Run</t>
  </si>
  <si>
    <t>WooPlus</t>
  </si>
  <si>
    <t>CougarD</t>
  </si>
  <si>
    <t>Fizz</t>
  </si>
  <si>
    <t>Glow</t>
  </si>
  <si>
    <t>Ashley Madison</t>
  </si>
  <si>
    <t>Stir</t>
  </si>
  <si>
    <t>Zoosk</t>
  </si>
  <si>
    <t>3Fun</t>
  </si>
  <si>
    <t>Upward</t>
  </si>
  <si>
    <t>SLP</t>
  </si>
  <si>
    <t>SideFX</t>
  </si>
  <si>
    <t>HCP</t>
  </si>
  <si>
    <t>Snap</t>
  </si>
  <si>
    <t>SNAP</t>
  </si>
  <si>
    <t>Redfin</t>
  </si>
  <si>
    <t>RDFN</t>
  </si>
  <si>
    <t>Opendoor</t>
  </si>
  <si>
    <t>Q422</t>
  </si>
  <si>
    <t>SONY</t>
  </si>
  <si>
    <t>Replit</t>
  </si>
  <si>
    <t>NowCoder</t>
  </si>
  <si>
    <t>Turing</t>
  </si>
  <si>
    <t>NC</t>
  </si>
  <si>
    <t>Q</t>
  </si>
  <si>
    <t>Sprinklr</t>
  </si>
  <si>
    <t>CXM</t>
  </si>
  <si>
    <t>MathWorks</t>
  </si>
  <si>
    <t>Matlab</t>
  </si>
  <si>
    <t>OpenAI</t>
  </si>
  <si>
    <t>Series B</t>
  </si>
  <si>
    <t>Claude</t>
  </si>
  <si>
    <t>Cohere</t>
  </si>
  <si>
    <t>AI21 Labs</t>
  </si>
  <si>
    <t>Doximity</t>
  </si>
  <si>
    <t>Nextracker</t>
  </si>
  <si>
    <t>Confluent</t>
  </si>
  <si>
    <t>Pinecone</t>
  </si>
  <si>
    <t>Langchain</t>
  </si>
  <si>
    <t>Last Round</t>
  </si>
  <si>
    <t>Size</t>
  </si>
  <si>
    <t>Product</t>
  </si>
  <si>
    <t>People</t>
  </si>
  <si>
    <t>Stability AI</t>
  </si>
  <si>
    <t>C3</t>
  </si>
  <si>
    <t>Perplexity AI</t>
  </si>
  <si>
    <t>Character AI</t>
  </si>
  <si>
    <t>Hugging Face</t>
  </si>
  <si>
    <t>Jasper</t>
  </si>
  <si>
    <t>Fetch.ai</t>
  </si>
  <si>
    <t>Weights and Biases</t>
  </si>
  <si>
    <t>Glean</t>
  </si>
  <si>
    <t>Typeface</t>
  </si>
  <si>
    <t>Cruise</t>
  </si>
  <si>
    <t>Databricks</t>
  </si>
  <si>
    <t>Tesla</t>
  </si>
  <si>
    <t>Olive</t>
  </si>
  <si>
    <t>Notes</t>
  </si>
  <si>
    <t>Healthcare</t>
  </si>
  <si>
    <t>Adept AI</t>
  </si>
  <si>
    <t>Inflection AI</t>
  </si>
  <si>
    <t>Moveworks</t>
  </si>
  <si>
    <t>Zoovu</t>
  </si>
  <si>
    <t>Nauto</t>
  </si>
  <si>
    <t>Concert AI</t>
  </si>
  <si>
    <t>Clarify Health</t>
  </si>
  <si>
    <t>Innovaccer</t>
  </si>
  <si>
    <t>Verbit</t>
  </si>
  <si>
    <t>Yi+</t>
  </si>
  <si>
    <t>K Health</t>
  </si>
  <si>
    <t>Observe.AI</t>
  </si>
  <si>
    <t>Climavision</t>
  </si>
  <si>
    <t>Parametrix AI</t>
  </si>
  <si>
    <t>People.ai</t>
  </si>
  <si>
    <t>Game, NPC world</t>
  </si>
  <si>
    <t>Ascertain</t>
  </si>
  <si>
    <t>Noam Shazeer</t>
  </si>
  <si>
    <t>Inworld</t>
  </si>
  <si>
    <t>Wizard</t>
  </si>
  <si>
    <t>Ecommerce</t>
  </si>
  <si>
    <t>The Applied AI Company</t>
  </si>
  <si>
    <t>Irreverant Labs</t>
  </si>
  <si>
    <t>Modular</t>
  </si>
  <si>
    <t>Neo Cybernetica</t>
  </si>
  <si>
    <t>Stealth</t>
  </si>
  <si>
    <t>AXON Networks</t>
  </si>
  <si>
    <t>Orchestration</t>
  </si>
  <si>
    <t>Search</t>
  </si>
  <si>
    <t>Magic</t>
  </si>
  <si>
    <t>Programming</t>
  </si>
  <si>
    <t>Exafunction</t>
  </si>
  <si>
    <t>EnCharge AI</t>
  </si>
  <si>
    <t>Generally Intelligent</t>
  </si>
  <si>
    <t>Fixie.ai</t>
  </si>
  <si>
    <t>Enchanted Tools</t>
  </si>
  <si>
    <t>Tenyx</t>
  </si>
  <si>
    <t>Haiper</t>
  </si>
  <si>
    <t>Notion</t>
  </si>
  <si>
    <t>Sequoia, Coatue, Shine</t>
  </si>
  <si>
    <t>275 Series C 10/8/2021</t>
  </si>
  <si>
    <t>50m Series B 4/2/2020 at 2B</t>
  </si>
  <si>
    <t>Niantic</t>
  </si>
  <si>
    <t>Paddle</t>
  </si>
  <si>
    <t>Benchling</t>
  </si>
  <si>
    <t>Vercel</t>
  </si>
  <si>
    <t>BlueSky</t>
  </si>
  <si>
    <t>AWS</t>
  </si>
  <si>
    <t>TikTok</t>
  </si>
  <si>
    <t>Cadence</t>
  </si>
  <si>
    <t>MicroPro</t>
  </si>
  <si>
    <t>Fielded WordStar, first word processor</t>
  </si>
  <si>
    <t>VisiCalc</t>
  </si>
  <si>
    <t>Q123</t>
  </si>
  <si>
    <t>Cerner</t>
  </si>
  <si>
    <t>PeopleSoft</t>
  </si>
  <si>
    <t>Siebel</t>
  </si>
  <si>
    <t>Instagram</t>
  </si>
  <si>
    <t>Aquantive</t>
  </si>
  <si>
    <t>Red Hat</t>
  </si>
  <si>
    <t>Total</t>
  </si>
  <si>
    <t>FSD</t>
  </si>
  <si>
    <t>Command</t>
  </si>
  <si>
    <t>TSLA</t>
  </si>
  <si>
    <t>Midjourney</t>
  </si>
  <si>
    <t>N/A</t>
  </si>
  <si>
    <t>FB</t>
  </si>
  <si>
    <t>Llama</t>
  </si>
  <si>
    <t>Yann Le Cun</t>
  </si>
  <si>
    <t>GPT4, ChatGPT</t>
  </si>
  <si>
    <t>Self-Funded</t>
  </si>
  <si>
    <t>Paperspace</t>
  </si>
  <si>
    <t>Nomic</t>
  </si>
  <si>
    <t>Chroma</t>
  </si>
  <si>
    <t>Jurassic-2</t>
  </si>
  <si>
    <t>Docs</t>
  </si>
  <si>
    <t>HuggingChat</t>
  </si>
  <si>
    <t>Clement Delangue</t>
  </si>
  <si>
    <t>OpenAssistant</t>
  </si>
  <si>
    <t>Trainium, Bedrock, Infernium</t>
  </si>
  <si>
    <t>MAUs</t>
  </si>
  <si>
    <t>MC/MAU</t>
  </si>
  <si>
    <t>MAU</t>
  </si>
  <si>
    <t>Essential AI</t>
  </si>
  <si>
    <t>Roper</t>
  </si>
  <si>
    <t>ROP</t>
  </si>
  <si>
    <t>Beijing Kingsoft</t>
  </si>
  <si>
    <t>688111 CH</t>
  </si>
  <si>
    <t>iFlyTek</t>
  </si>
  <si>
    <t>002230 CH</t>
  </si>
  <si>
    <t>Kaspi</t>
  </si>
  <si>
    <t>KSPI KZ</t>
  </si>
  <si>
    <t>Obic</t>
  </si>
  <si>
    <t>4684 JP</t>
  </si>
  <si>
    <t>Wisetech</t>
  </si>
  <si>
    <t>WTC AU</t>
  </si>
  <si>
    <t>Hundsun</t>
  </si>
  <si>
    <t>600570 CH</t>
  </si>
  <si>
    <t>20 HK</t>
  </si>
  <si>
    <t>SenseTime</t>
  </si>
  <si>
    <t>Gen Digital</t>
  </si>
  <si>
    <t>GEN</t>
  </si>
  <si>
    <t>Sage</t>
  </si>
  <si>
    <t>SGE LN</t>
  </si>
  <si>
    <t>YonYou</t>
  </si>
  <si>
    <t>600588 CH</t>
  </si>
  <si>
    <t>Bill Holdings</t>
  </si>
  <si>
    <t>002410 CH Equity</t>
  </si>
  <si>
    <t>Glodon</t>
  </si>
  <si>
    <t>Samsara</t>
  </si>
  <si>
    <t>IOT</t>
  </si>
  <si>
    <t>HarveyAI</t>
  </si>
  <si>
    <t>Legal</t>
  </si>
  <si>
    <t>Series A</t>
  </si>
  <si>
    <t>Descript</t>
  </si>
  <si>
    <t>Mem</t>
  </si>
  <si>
    <t>Speak</t>
  </si>
  <si>
    <t>Email</t>
  </si>
  <si>
    <t>Seed</t>
  </si>
  <si>
    <t>HyperWrite</t>
  </si>
  <si>
    <t>OthersideAI</t>
  </si>
  <si>
    <t>Stable Diffusion</t>
  </si>
  <si>
    <t>Emad Mostaque</t>
  </si>
  <si>
    <t>Aidan Gomez, Nick Frosst</t>
  </si>
  <si>
    <t>Blockchain Dev Platform</t>
  </si>
  <si>
    <t>DWF Labs</t>
  </si>
  <si>
    <t>Lightspeed, GV, M12, Menlo Ventures</t>
  </si>
  <si>
    <t>Vector Store</t>
  </si>
  <si>
    <t>Assistant</t>
  </si>
  <si>
    <t>Pi</t>
  </si>
  <si>
    <t>Chatbot</t>
  </si>
  <si>
    <t>Ashish Vaswani, Niki Parmar</t>
  </si>
  <si>
    <t>Elad Gil, Thrive Capital</t>
  </si>
  <si>
    <t>Wysa</t>
  </si>
  <si>
    <t>Series C</t>
  </si>
  <si>
    <t>Andrew Mason</t>
  </si>
  <si>
    <t>Health</t>
  </si>
  <si>
    <t>Spellbook</t>
  </si>
  <si>
    <t>Voice AI</t>
  </si>
  <si>
    <t>Hippocratic</t>
  </si>
  <si>
    <t>Gan.ai</t>
  </si>
  <si>
    <t>ElevenLabs</t>
  </si>
  <si>
    <t>Writesonic</t>
  </si>
  <si>
    <t>Workhack</t>
  </si>
  <si>
    <t>Orby AI</t>
  </si>
  <si>
    <t>Consensus</t>
  </si>
  <si>
    <t>Kumo.AI</t>
  </si>
  <si>
    <t>Hume AI</t>
  </si>
  <si>
    <t>SapientAI</t>
  </si>
  <si>
    <t>Autonomize AI</t>
  </si>
  <si>
    <t>Predibase</t>
  </si>
  <si>
    <t>Fabi.ai</t>
  </si>
  <si>
    <t>MURF.AI</t>
  </si>
  <si>
    <t>CodiumAI</t>
  </si>
  <si>
    <t>Wispr</t>
  </si>
  <si>
    <t>Yoodli</t>
  </si>
  <si>
    <t>prezent.ai</t>
  </si>
  <si>
    <t>Artera</t>
  </si>
  <si>
    <t>Booth AI</t>
  </si>
  <si>
    <t>Xerataus IQX</t>
  </si>
  <si>
    <t>Kognitos</t>
  </si>
  <si>
    <t>Kubiya.ai</t>
  </si>
  <si>
    <t>Protex AI</t>
  </si>
  <si>
    <t>Mana</t>
  </si>
  <si>
    <t>One AI</t>
  </si>
  <si>
    <t>Capitol</t>
  </si>
  <si>
    <t>Ask-AI</t>
  </si>
  <si>
    <t>Immutable</t>
  </si>
  <si>
    <t>$15m Series A</t>
  </si>
  <si>
    <t>Prior Round</t>
  </si>
  <si>
    <t>Character.ai</t>
  </si>
  <si>
    <t>Nvidia</t>
  </si>
  <si>
    <t>NVDA</t>
  </si>
  <si>
    <t>Deeproute</t>
  </si>
  <si>
    <t>Self-Driving Car</t>
  </si>
  <si>
    <t>Chinese</t>
  </si>
  <si>
    <t>Glance</t>
  </si>
  <si>
    <t>Trading around 8000 in secondary markets</t>
  </si>
  <si>
    <t>200m Series D</t>
  </si>
  <si>
    <t>Vianai</t>
  </si>
  <si>
    <t>Tecton</t>
  </si>
  <si>
    <t>Subtype</t>
  </si>
  <si>
    <t>Consumer</t>
  </si>
  <si>
    <t>Enterprise</t>
  </si>
  <si>
    <t>Tool</t>
  </si>
  <si>
    <t>Anyscale</t>
  </si>
  <si>
    <t>OctoML</t>
  </si>
  <si>
    <t>Snorkel AI</t>
  </si>
  <si>
    <t>Content</t>
  </si>
  <si>
    <t>Figure</t>
  </si>
  <si>
    <t>Supremind</t>
  </si>
  <si>
    <t>Big Surveillance</t>
  </si>
  <si>
    <t>Weaviate</t>
  </si>
  <si>
    <t>2019</t>
  </si>
  <si>
    <t>2022</t>
  </si>
  <si>
    <t>Abacus.AI</t>
  </si>
  <si>
    <t>Datagen</t>
  </si>
  <si>
    <t>Avatars</t>
  </si>
  <si>
    <t>2018</t>
  </si>
  <si>
    <t>AI Rudder</t>
  </si>
  <si>
    <t>Call Center</t>
  </si>
  <si>
    <t>d-Matrix</t>
  </si>
  <si>
    <t>Compute</t>
  </si>
  <si>
    <t>Lambda Labs</t>
  </si>
  <si>
    <t>Vedrai</t>
  </si>
  <si>
    <t>MLOps</t>
  </si>
  <si>
    <t>Agents</t>
  </si>
  <si>
    <t>Prompt</t>
  </si>
  <si>
    <t>Video</t>
  </si>
  <si>
    <t>Business Intelligence</t>
  </si>
  <si>
    <t>Sub-Subtype</t>
  </si>
  <si>
    <t>Language Model</t>
  </si>
  <si>
    <t>Surveillance</t>
  </si>
  <si>
    <t>Voice</t>
  </si>
  <si>
    <t>Automotive</t>
  </si>
  <si>
    <t>Hardware</t>
  </si>
  <si>
    <t>Tome</t>
  </si>
  <si>
    <t>2020</t>
  </si>
  <si>
    <t>Lightning AI</t>
  </si>
  <si>
    <t>Skan.ai</t>
  </si>
  <si>
    <t>Games</t>
  </si>
  <si>
    <t>Arize AI</t>
  </si>
  <si>
    <t>Sima.AI</t>
  </si>
  <si>
    <t>V7</t>
  </si>
  <si>
    <t>Robust Intelligence</t>
  </si>
  <si>
    <t>Imagen</t>
  </si>
  <si>
    <t>Photos</t>
  </si>
  <si>
    <t>Robotics</t>
  </si>
  <si>
    <t>Jina AI</t>
  </si>
  <si>
    <t>Nr2</t>
  </si>
  <si>
    <t>Searching for investments for investors</t>
  </si>
  <si>
    <t>Merlyn Mind</t>
  </si>
  <si>
    <t>Upstage AI</t>
  </si>
  <si>
    <t>ExpressSteuer</t>
  </si>
  <si>
    <t>Taxes</t>
  </si>
  <si>
    <t>Aleph Alpha</t>
  </si>
  <si>
    <t>Surge AI</t>
  </si>
  <si>
    <t>Heartex</t>
  </si>
  <si>
    <t>Pre-Seed</t>
  </si>
  <si>
    <t>Aiola</t>
  </si>
  <si>
    <t>TruEra</t>
  </si>
  <si>
    <t>Aporia</t>
  </si>
  <si>
    <t>Deci AI</t>
  </si>
  <si>
    <t>Phaidra</t>
  </si>
  <si>
    <t>Plant</t>
  </si>
  <si>
    <t>Waymo</t>
  </si>
  <si>
    <t>Scale</t>
  </si>
  <si>
    <t>Nabla</t>
  </si>
  <si>
    <t>Hour One</t>
  </si>
  <si>
    <t>Pactum</t>
  </si>
  <si>
    <t>Procurement</t>
  </si>
  <si>
    <t>Wiz.ai</t>
  </si>
  <si>
    <t>Deepdub</t>
  </si>
  <si>
    <t>Daloopa</t>
  </si>
  <si>
    <t>Finance</t>
  </si>
  <si>
    <t>Axios HQ</t>
  </si>
  <si>
    <t>Artificial Reality</t>
  </si>
  <si>
    <t>Roboflow</t>
  </si>
  <si>
    <t>Computer Vision</t>
  </si>
  <si>
    <t>Rasgo</t>
  </si>
  <si>
    <t>TruLens</t>
  </si>
  <si>
    <t>Synthesis AI</t>
  </si>
  <si>
    <t>Torre</t>
  </si>
  <si>
    <t>Recruiting</t>
  </si>
  <si>
    <t>Alethea AI</t>
  </si>
  <si>
    <t>Zuva</t>
  </si>
  <si>
    <t>Xembly</t>
  </si>
  <si>
    <t>Customer Service</t>
  </si>
  <si>
    <t>Encord</t>
  </si>
  <si>
    <t>SuperAnnotate</t>
  </si>
  <si>
    <t>Graft</t>
  </si>
  <si>
    <t>Zowie</t>
  </si>
  <si>
    <t>Text-to-3D</t>
  </si>
  <si>
    <t>Bridgewise</t>
  </si>
  <si>
    <t>Numbers Station</t>
  </si>
  <si>
    <t>Replicate</t>
  </si>
  <si>
    <t>Vectice</t>
  </si>
  <si>
    <t>Autism</t>
  </si>
  <si>
    <t>Datarobot</t>
  </si>
  <si>
    <t>hOS</t>
  </si>
  <si>
    <t>Credo AI</t>
  </si>
  <si>
    <t>Synthetaic</t>
  </si>
  <si>
    <t>Voxel51</t>
  </si>
  <si>
    <t>Faros AI</t>
  </si>
  <si>
    <t>Baseten</t>
  </si>
  <si>
    <t>LatticeFlow</t>
  </si>
  <si>
    <t>Lavender</t>
  </si>
  <si>
    <t>Rewrite cold emails</t>
  </si>
  <si>
    <t>CopyAI</t>
  </si>
  <si>
    <t>Marketing copy</t>
  </si>
  <si>
    <t>Sales</t>
  </si>
  <si>
    <t>Rephrase.ai</t>
  </si>
  <si>
    <t>Test Suites</t>
  </si>
  <si>
    <t>Robin AI</t>
  </si>
  <si>
    <t>Contracts</t>
  </si>
  <si>
    <t>Got It AI</t>
  </si>
  <si>
    <t>Koxy AI</t>
  </si>
  <si>
    <t>Auto</t>
  </si>
  <si>
    <t>Driver assistance</t>
  </si>
  <si>
    <t>Acquired</t>
  </si>
  <si>
    <t>Insurance</t>
  </si>
  <si>
    <t>RWD</t>
  </si>
  <si>
    <t>Personal Computing</t>
  </si>
  <si>
    <t>Supernormal</t>
  </si>
  <si>
    <t>Meetings</t>
  </si>
  <si>
    <t>Satya Nadella</t>
  </si>
  <si>
    <t>Jeff Dean</t>
  </si>
  <si>
    <t>Series E</t>
  </si>
  <si>
    <t>Labeling</t>
  </si>
  <si>
    <t>Y Combinator</t>
  </si>
  <si>
    <t>Wellington</t>
  </si>
  <si>
    <t>Human Capital</t>
  </si>
  <si>
    <t>Greenoaks</t>
  </si>
  <si>
    <t>Founders Fund</t>
  </si>
  <si>
    <t>Durable Capital Partners</t>
  </si>
  <si>
    <t>Dragoneer Investment Group</t>
  </si>
  <si>
    <t>Coatue</t>
  </si>
  <si>
    <t>Fund</t>
  </si>
  <si>
    <t>Round</t>
  </si>
  <si>
    <t>Company</t>
  </si>
  <si>
    <t>Scale.ai</t>
  </si>
  <si>
    <t>Raised</t>
  </si>
  <si>
    <t>Date</t>
  </si>
  <si>
    <t>Alexandr Wang</t>
  </si>
  <si>
    <t>Series D</t>
  </si>
  <si>
    <t>Tiger, Bradley Horowitz</t>
  </si>
  <si>
    <t>Lucy Guo co-founder</t>
  </si>
  <si>
    <t>Series D: 3.5B valuation</t>
  </si>
  <si>
    <t>All</t>
  </si>
  <si>
    <t>Founders Fund, Thrive, Spark, Next Play, Index, Mike Krieger, Kevin Systrom, Coatue, Adam D'Angelo, Accel</t>
  </si>
  <si>
    <t>Thrive Capital</t>
  </si>
  <si>
    <t>Spark Capital</t>
  </si>
  <si>
    <t>Next Play Ventures</t>
  </si>
  <si>
    <t>Index Ventures</t>
  </si>
  <si>
    <t>Accel</t>
  </si>
  <si>
    <t>Y Combinator, Justin Kan, Index, Drew Houston, Accel</t>
  </si>
  <si>
    <t>Y Combinator, Outlander Fund I, Nat Friedman, Ilya Sukhar, Guillermo Rauch, Greg Brockman, Charlie Cheever, Accel</t>
  </si>
  <si>
    <t>Outlander Fund</t>
  </si>
  <si>
    <t>Spark, Zoom, Sound, Salesforce, Menlo, Google</t>
  </si>
  <si>
    <t>Zoom Ventures</t>
  </si>
  <si>
    <t>Sound Ventures</t>
  </si>
  <si>
    <t>Salesforce Ventures</t>
  </si>
  <si>
    <t>Menlo Ventures</t>
  </si>
  <si>
    <t>One-Off</t>
  </si>
  <si>
    <t>ChatGPT, Bing, Co-Pilot</t>
  </si>
  <si>
    <t>Bard, TensorFlow</t>
  </si>
  <si>
    <t>James McClave, Jaan Tallinn, Eric Schmidt, Dustin Moskovitz, CERR</t>
  </si>
  <si>
    <t>Coatue, Fourth Revolution, Kadmos, Lightspeed, O'Shaughnessy</t>
  </si>
  <si>
    <t>CEO is sketchy</t>
  </si>
  <si>
    <t>O'Shaughnessy</t>
  </si>
  <si>
    <t>Lightspeed Venture Partners</t>
  </si>
  <si>
    <t>Kadmos</t>
  </si>
  <si>
    <t>Fourth Revolution</t>
  </si>
  <si>
    <t>Inovia, Thomvest, SentinelOne, Schroders, Salesforce, Oracle, Nvidia, Mirae, Index, DTCP</t>
  </si>
  <si>
    <t>Inovia</t>
  </si>
  <si>
    <t>SentinelOne</t>
  </si>
  <si>
    <t>Schroders</t>
  </si>
  <si>
    <t>Mirae</t>
  </si>
  <si>
    <t>DTCP</t>
  </si>
  <si>
    <t>Tiger, Section32, Radical Ventures, Index Ventures, Geoff Hinton, Raqel Urtasun, Fei-Fei Li, Pieter Abbeel</t>
  </si>
  <si>
    <t>Section 32</t>
  </si>
  <si>
    <t>Radical Ventures</t>
  </si>
  <si>
    <t>Section 32, Raqel Urtasun, Radical Ventures, Pieter Abebeel, Index Ventures, Geoff Hinton, Fei-Fei Li</t>
  </si>
  <si>
    <t>Tiger, Coatue, Y Combinator, Wellington, Index, Human Capital, Greenoaks, Founders Fund, Durable Capital, Dragoneer</t>
  </si>
  <si>
    <t>Lux Capital, Thirty Five Ventures, SVA, Sequoia Capital, Cygni Capital, Coatue, Betaworks, Rich Kleiman, Olivier Pomel, Kevin Durant, AIX Ventures, Addition, A.Capital</t>
  </si>
  <si>
    <t>Lux Capital</t>
  </si>
  <si>
    <t>Huggingface</t>
  </si>
  <si>
    <t>Thirty Five Ventures</t>
  </si>
  <si>
    <t>SVA</t>
  </si>
  <si>
    <t>Sequoia</t>
  </si>
  <si>
    <t>Cygni Capital</t>
  </si>
  <si>
    <t>Betaworks</t>
  </si>
  <si>
    <t>AIX Ventures</t>
  </si>
  <si>
    <t>Addition</t>
  </si>
  <si>
    <t>A.Capital</t>
  </si>
  <si>
    <t>Addition, Rich Kleiman, Richard Socher, Paul St. John, Olivier Pomel, Lux Capital, Kevin Durant, Florian Douetteau, Dev Ittycheria, Betaworks, Augusto Marietti, Alex Wang, A. Capital</t>
  </si>
  <si>
    <t>Lux Capital, Thirty Five Ventures, Betaworks, A. Capital, Greg Brockman, Richard Socher, Charles Zedlewski, Augusto Marietti</t>
  </si>
  <si>
    <t>Thirty Five Ventures, Kevin Durant, Betaworks, A. Capital, Ronny Conway</t>
  </si>
  <si>
    <t>Thibaud Elziere, Terrence Rohan, SVA, Richard Socher, Clement Benoit, Betaworks</t>
  </si>
  <si>
    <t>Angel</t>
  </si>
  <si>
    <t>IPO</t>
  </si>
  <si>
    <t>Thomas Siebel</t>
  </si>
  <si>
    <t>Series F</t>
  </si>
  <si>
    <t>TPG Growth, Sutter Hill Ventures, The Rise Fund, Breyer Capital</t>
  </si>
  <si>
    <t>John Morgan, Dave Rogenmoser</t>
  </si>
  <si>
    <t>Coatue, Insight Partners, Foundation Capital, Bessemer, IVP, HubSpot, Founders Circle</t>
  </si>
  <si>
    <t>Quarry, Bossanova</t>
  </si>
  <si>
    <t>AAF, Foundation, Four Cities</t>
  </si>
  <si>
    <t>Quebec</t>
  </si>
  <si>
    <t>HQ</t>
  </si>
  <si>
    <t>Writing</t>
  </si>
  <si>
    <t>Insight Partners</t>
  </si>
  <si>
    <t>IVP</t>
  </si>
  <si>
    <t>HubSpot Ventures</t>
  </si>
  <si>
    <t>Founders Circle Capital</t>
  </si>
  <si>
    <t>Foundation Capital</t>
  </si>
  <si>
    <t>Bessemer Venture Partners</t>
  </si>
  <si>
    <t>Quarry</t>
  </si>
  <si>
    <t>Bossanova</t>
  </si>
  <si>
    <t>Four Cities</t>
  </si>
  <si>
    <t>AAF Management</t>
  </si>
  <si>
    <t>Toronto</t>
  </si>
  <si>
    <t>London</t>
  </si>
  <si>
    <t>San Francisco</t>
  </si>
  <si>
    <t>Hong Kong</t>
  </si>
  <si>
    <t>Anhui, China</t>
  </si>
  <si>
    <t>Mountain View, CA</t>
  </si>
  <si>
    <t>Redwood City, CA</t>
  </si>
  <si>
    <t>Menlo Park, CA</t>
  </si>
  <si>
    <t>Santa Clara, CA</t>
  </si>
  <si>
    <t>Seattle</t>
  </si>
  <si>
    <t>Austin</t>
  </si>
  <si>
    <t>Redmond, WA</t>
  </si>
  <si>
    <t>Palo Alto, CA</t>
  </si>
  <si>
    <t>Reid Hoffman, Mustafa Suleyman</t>
  </si>
  <si>
    <t>Greylock</t>
  </si>
  <si>
    <t>Said they wanted to raise $600m in March 2023, hasn’t materialized</t>
  </si>
  <si>
    <t>Model Tool Platform</t>
  </si>
  <si>
    <t>Nvidia, Coatue, Bond, Insight Partners, Felicis</t>
  </si>
  <si>
    <t>Weights &amp; Biases</t>
  </si>
  <si>
    <t>Bond</t>
  </si>
  <si>
    <t>Felicis</t>
  </si>
  <si>
    <t>Insight Partners, Bloomberg Beta, Richard Socher, Jeff Hammerbacher, Nat Friedman, Trinity Ventures, Pieter Abbeel, Coatue, Tom Preston-Werner</t>
  </si>
  <si>
    <t>Trinity Ventures</t>
  </si>
  <si>
    <t>Bloomberg Beta</t>
  </si>
  <si>
    <t>Trinity Ventures, Hack VC, Gaingels, Bloomberg Beta</t>
  </si>
  <si>
    <t>Hack VC</t>
  </si>
  <si>
    <t>Gaingels</t>
  </si>
  <si>
    <t>Lukas Biewald, Chris Pelt, Shawn Lewis</t>
  </si>
  <si>
    <t>OpenAI is a customer</t>
  </si>
  <si>
    <t>Uses GPT3.5</t>
  </si>
  <si>
    <t>Public benefit corp, EA-coded</t>
  </si>
  <si>
    <t>Wanted higher valuation</t>
  </si>
  <si>
    <t>Runway</t>
  </si>
  <si>
    <t>Text-to-Video</t>
  </si>
  <si>
    <t>Andreessen Horowitz, A.Capital, Elad Gil, Nat Friedman, SVA</t>
  </si>
  <si>
    <t>Noam invented transformers</t>
  </si>
  <si>
    <t>a16z</t>
  </si>
  <si>
    <t>Elad Gil</t>
  </si>
  <si>
    <t>Nat Friedman</t>
  </si>
  <si>
    <t>A.Capital, SVA, Paul Buchheit, Nat Friedman, Elad Gil</t>
  </si>
  <si>
    <t>David Luan</t>
  </si>
  <si>
    <t>Pre-product…</t>
  </si>
  <si>
    <t>Greylock, Andrej Karpathy, Addition, Chris Re, Howie Liu, Joe Morrissey, Root Ventures, Sarah Meyohas, Scott Belsky</t>
  </si>
  <si>
    <t>Spark Capital, General Catalyst, PSP Growth, NVDA, MSFT, Greylock, Frontiers Capital, Caterina Fake, Atlassian, Addition, A.Capital, SVA, Workday</t>
  </si>
  <si>
    <t>General Catalyst</t>
  </si>
  <si>
    <t>PSP Growth</t>
  </si>
  <si>
    <t>Frontiers Capital</t>
  </si>
  <si>
    <t>Discord Bot</t>
  </si>
  <si>
    <t>David Holz</t>
  </si>
  <si>
    <t>No outside investors, only 9 employees</t>
  </si>
  <si>
    <t>South SF, CA</t>
  </si>
  <si>
    <t>Softbank</t>
  </si>
  <si>
    <t>Series D: 5B valuation</t>
  </si>
  <si>
    <t>Series C: 3.9B valuation</t>
  </si>
  <si>
    <t>Tiger, Silver Lake, Fidelity, HOPU, Qualcomm, 5Y, Singtel Innov8</t>
  </si>
  <si>
    <t>Alibaba, Temasek, Suning</t>
  </si>
  <si>
    <t>Zhongping, WANDA, TCL, CDH, Sailing, StarVC, Infore, Huarong, Everbright</t>
  </si>
  <si>
    <t>Li Xu, Xiagang Wang, Bing Xu</t>
  </si>
  <si>
    <t>Rogue VC, Google</t>
  </si>
  <si>
    <t>Rogue</t>
  </si>
  <si>
    <t>Madrona</t>
  </si>
  <si>
    <t>Compound</t>
  </si>
  <si>
    <t>Amplify</t>
  </si>
  <si>
    <t>Lux, Madrona, Felicis, Compound, Coatue, Amplify</t>
  </si>
  <si>
    <t>Coatue, Amplify, Compound, Lux</t>
  </si>
  <si>
    <t>Lux</t>
  </si>
  <si>
    <t>Amplify, Lux, Compound, Bossanova</t>
  </si>
  <si>
    <t>Cristobal Valenzuela, Anastasis Germanidis</t>
  </si>
  <si>
    <t>Text-to-video, text-to-speech</t>
  </si>
  <si>
    <t>Alibaba, Glory Ventures, Jeneration Capital, Geely, Fosun, Yunqi</t>
  </si>
  <si>
    <t>Shenzhen</t>
  </si>
  <si>
    <t>Maxwell Zhou</t>
  </si>
  <si>
    <t>Speech</t>
  </si>
  <si>
    <t>Qingfeng Lu</t>
  </si>
  <si>
    <t>Vector Database</t>
  </si>
  <si>
    <t>Edo Liberty</t>
  </si>
  <si>
    <t>Popular VectorDB</t>
  </si>
  <si>
    <t>a16z, ICONIQ, Menlo, Wing Venture</t>
  </si>
  <si>
    <t>Wing Venture</t>
  </si>
  <si>
    <t>Wing, Tiger, Menlo</t>
  </si>
  <si>
    <t>Wing</t>
  </si>
  <si>
    <t>Tiger, Madrona, Amplify, Addition</t>
  </si>
  <si>
    <t>Luis Ceze</t>
  </si>
  <si>
    <t>Built on Apache TVM</t>
  </si>
  <si>
    <t>ML Platform</t>
  </si>
  <si>
    <t>Addition, Amplify, Madrona</t>
  </si>
  <si>
    <t>Amplify, Madrona</t>
  </si>
  <si>
    <t>Madrona, Amplify</t>
  </si>
  <si>
    <t>BlackRock, Addition, Lightspeed, Greylock, Google Ventures, Nepenthe, Stonebridge, Walden</t>
  </si>
  <si>
    <t>Lee Fixel</t>
  </si>
  <si>
    <t>Quiet</t>
  </si>
  <si>
    <t>Snorkel Flow: Data Labeling</t>
  </si>
  <si>
    <t>Blackrock</t>
  </si>
  <si>
    <t>Stonebridge Ventures</t>
  </si>
  <si>
    <t>Nepenthe Capital</t>
  </si>
  <si>
    <t>Lightspeed, Nepenthe, In-Q-Tel, Greylock, Google, Boston Trust Walden, Blackrock</t>
  </si>
  <si>
    <t>In-Q-Tel</t>
  </si>
  <si>
    <t>Boston Trust Walden Company</t>
  </si>
  <si>
    <t>Greylock, In-Q-Tel, Google</t>
  </si>
  <si>
    <t>SVA, Greylock, Google, Accel, In-Q-Tel</t>
  </si>
  <si>
    <t>Tel Aviv, Israel</t>
  </si>
  <si>
    <t>Ori Goshen</t>
  </si>
  <si>
    <t>Ahren Innovation, Pitango VC, TPY Capital, Walden Catalyst</t>
  </si>
  <si>
    <t>Walden Catalyst</t>
  </si>
  <si>
    <t>Pitango VC, TPY Capital</t>
  </si>
  <si>
    <t>T. Rowe Price, Tiger, Temasek, Silver Lake, PerryCreek, Mubadala, Magna, Fidelity, CPPIB, AutoNation, a16z, Alphabet</t>
  </si>
  <si>
    <t>T. Rowe Price</t>
  </si>
  <si>
    <t>Temasek</t>
  </si>
  <si>
    <t>Silver Lake</t>
  </si>
  <si>
    <t>Perry Creek</t>
  </si>
  <si>
    <t>Mubadala</t>
  </si>
  <si>
    <t>Magna</t>
  </si>
  <si>
    <t>CPPIB</t>
  </si>
  <si>
    <t>AutoNation</t>
  </si>
  <si>
    <t>Fidelity</t>
  </si>
  <si>
    <t>Originally a Google division</t>
  </si>
  <si>
    <t>Silver Lake, CPPIB, Mubadala, Magna, AutoNation, a16z, Alphabet</t>
  </si>
  <si>
    <t>Tekedra Mawakana, Dmitri Dolgov</t>
  </si>
  <si>
    <t>Video Editor</t>
  </si>
  <si>
    <t>OpenAI, Spark, Redpoint, Daniel Gross, a16z</t>
  </si>
  <si>
    <t>Spark Capital, Redpoint, a16z, HubSpot Ventures</t>
  </si>
  <si>
    <t>a16z, Redpoint</t>
  </si>
  <si>
    <t>VianOps, ML Monitoring</t>
  </si>
  <si>
    <t>Vishal Sikka</t>
  </si>
  <si>
    <t>Softbank, Jim Davidson, Jerry Yang, Henry Kravis, George Roberts</t>
  </si>
  <si>
    <t>Seems like a zero</t>
  </si>
  <si>
    <t>Enterprise Search</t>
  </si>
  <si>
    <t>Sequoia, Slack Fund, Lightspeed, Kleiner Perkins, General Catalyst</t>
  </si>
  <si>
    <t>Arvind Jain</t>
  </si>
  <si>
    <t>Slack</t>
  </si>
  <si>
    <t>Kleiner Perkins</t>
  </si>
  <si>
    <t>General Catalyst, Slack, Lightpseed, Kleiner Perkins</t>
  </si>
  <si>
    <t>Lightspeed, Kleiner Perkins, Slack</t>
  </si>
  <si>
    <t>Not an AI company</t>
  </si>
  <si>
    <t>Seems overhyped</t>
  </si>
  <si>
    <t>Feature Store</t>
  </si>
  <si>
    <t>Kleiner Perkins, Tiger, Snowflake, Sequoia, Databricks, Bain, a16z</t>
  </si>
  <si>
    <t>Original Uber AI team</t>
  </si>
  <si>
    <t>Bain</t>
  </si>
  <si>
    <t>Sequoia, a16z</t>
  </si>
  <si>
    <t>Sequoia, a16z, Lux</t>
  </si>
  <si>
    <t>Sequoia, a16z, SVA, Lux</t>
  </si>
  <si>
    <t>Sequoia China, Gaorong, 5Y</t>
  </si>
  <si>
    <t>5Y, Gaorong</t>
  </si>
  <si>
    <t>Crazy video game NPC thingy</t>
  </si>
  <si>
    <t>Liu Yongsheng</t>
  </si>
  <si>
    <t>Michael Del Balso, Kevin Stumpf</t>
  </si>
  <si>
    <t>Series C-2</t>
  </si>
  <si>
    <t>Intel Capital</t>
  </si>
  <si>
    <t>Sancus</t>
  </si>
  <si>
    <t>Series C-1</t>
  </si>
  <si>
    <t>NEA</t>
  </si>
  <si>
    <t>Team who created Ray</t>
  </si>
  <si>
    <t>Ion Stoica, Michael Jordan, Philipp Moritz, Robert Nishihara</t>
  </si>
  <si>
    <t>Intel, Addition, Foundation, Sancus</t>
  </si>
  <si>
    <t>a16z, Addition, NEA, Intel, Foundation</t>
  </si>
  <si>
    <t>NEA, Intel, Foundation, a16z</t>
  </si>
  <si>
    <t>a16z, The House Fund, NEA, Intel, Dwight Crow, Ant Group, Amplify, 11.2 Capital</t>
  </si>
  <si>
    <t>Ant Group</t>
  </si>
  <si>
    <t>11.2 Capital</t>
  </si>
  <si>
    <t>The House Fund</t>
  </si>
  <si>
    <t>Benchmark</t>
  </si>
  <si>
    <t>Raising $20m from Sequoia</t>
  </si>
  <si>
    <t>Harrison Chase</t>
  </si>
  <si>
    <t>Arvind Sundararajan</t>
  </si>
  <si>
    <t>Tiger, Index, Coatue, Alkeon</t>
  </si>
  <si>
    <t>Alkeon</t>
  </si>
  <si>
    <t>Index, Decibel, Coatue</t>
  </si>
  <si>
    <t>Decibel</t>
  </si>
  <si>
    <t>Series A: $45m valuation</t>
  </si>
  <si>
    <t>Index Ventures, Eric Schmidt, Decibel Partners, Erica Schultz, Jeannette Furstenberg, Jerry Yang, Mariam Naficy, Ram Shriram</t>
  </si>
  <si>
    <t>Seed: 18m valuation</t>
  </si>
  <si>
    <t>Eric Schmidt, Ram Shriram, Paul Buchheit, Kkosla Ventures, Keval Desai, Elad Gil, Don Burnette, Deep Nishar, Avichal Garg</t>
  </si>
  <si>
    <t>Enterprise focus</t>
  </si>
  <si>
    <t>Popular tool</t>
  </si>
  <si>
    <t>Platform</t>
  </si>
  <si>
    <t>Koshla Ventures</t>
  </si>
  <si>
    <t>Italian company</t>
  </si>
  <si>
    <t>Italy</t>
  </si>
  <si>
    <t>Not disclosed</t>
  </si>
  <si>
    <t>Pietro Giuliani, Giorgio Chiellini, Andrea Bocelli</t>
  </si>
  <si>
    <t>Andy Konwinski</t>
  </si>
  <si>
    <t>Search engine</t>
  </si>
  <si>
    <t>Susan Wojcicki, Soleio Cuervo, Paul Buchheit, NEA, Nat Friedman, Jeff Dean, Elad Gil, Databricks, Bob Muglia</t>
  </si>
  <si>
    <t>Perplexity</t>
  </si>
  <si>
    <t>Elad Gil, Yann LeCun, Pieter Abbeel, Oriol Vinyals, Nat Friedman, Clement Delangue, Ashish Vaswani, Andrej Karpathy, Amjad Masad</t>
  </si>
  <si>
    <t>Singaporean GPT call centers</t>
  </si>
  <si>
    <t>VenturesLab, Tiger, Peak XV, Huashan Capital, First Plus, Coatue, Cathay Innovation</t>
  </si>
  <si>
    <t>VenturesLab</t>
  </si>
  <si>
    <t>Peak XV Partners</t>
  </si>
  <si>
    <t>Huashan Capital</t>
  </si>
  <si>
    <t>First Plus</t>
  </si>
  <si>
    <t>Sequoia Capital China, Peak XV, Zizhu Xiaomiao Fund, ZhenFund, IMO Ventures, Huashan Capital</t>
  </si>
  <si>
    <t>Sequoia Capital China</t>
  </si>
  <si>
    <t>IMO Ventures</t>
  </si>
  <si>
    <t>ZhenFund</t>
  </si>
  <si>
    <t>Zizhu Xiaomiao Fund</t>
  </si>
  <si>
    <t>Zizhu Xiaomiao Fund, Huashan Capital, ZhenFund, IMO Ventures</t>
  </si>
  <si>
    <t>Singapore</t>
  </si>
  <si>
    <t>Abhay Parasnis</t>
  </si>
  <si>
    <t>Microsoft, M12</t>
  </si>
  <si>
    <t>Seekr Technologies</t>
  </si>
  <si>
    <t>Virginia</t>
  </si>
  <si>
    <t>Pat Condo</t>
  </si>
  <si>
    <t>Netherlands</t>
  </si>
  <si>
    <t>Index Ventures, NEA, Battery Ventures, Cortical Ventures, ING Ventures, Zetta Venture Partners</t>
  </si>
  <si>
    <t>ING Ventures</t>
  </si>
  <si>
    <t>Zetta Venture Partners</t>
  </si>
  <si>
    <t>Cortical Ventures</t>
  </si>
  <si>
    <t>Battery Ventures</t>
  </si>
  <si>
    <t>NEA, Cortical Ventures, Zetta, SAV, ING Ventures, GTMfund</t>
  </si>
  <si>
    <t>SAV</t>
  </si>
  <si>
    <t>GTMfund</t>
  </si>
  <si>
    <t>Zetta Venture Partners, ING Ventures, Alex van Leeuwen</t>
  </si>
  <si>
    <t>SK Hynix, Playground Global, Microsoft, Nautilus Venture Partners, Marvell, Entrada Ventures</t>
  </si>
  <si>
    <t>Playground Global</t>
  </si>
  <si>
    <t>Nautilus Venture Partners</t>
  </si>
  <si>
    <t>Marvell</t>
  </si>
  <si>
    <t>Entrada Ventures</t>
  </si>
  <si>
    <t>Note</t>
  </si>
  <si>
    <t>TSVC</t>
  </si>
  <si>
    <t>AI Chip</t>
  </si>
  <si>
    <t>Sid Sheth</t>
  </si>
  <si>
    <t>Lightspeed, Greylock, Coatue, Wing Venture Capital, Eric Schmidt, Emad Mostaque, David Luan, Bipul Sinha, Audacious Ventures, 8VC</t>
  </si>
  <si>
    <t>8VC</t>
  </si>
  <si>
    <t>Audacious Ventures</t>
  </si>
  <si>
    <t>Coatue, Greylock, Audacious Ventures</t>
  </si>
  <si>
    <t>500 Global, Greylock</t>
  </si>
  <si>
    <t>Powerpoint</t>
  </si>
  <si>
    <t>PyTorch Lightning</t>
  </si>
  <si>
    <t>Coatue, Mantis, Index, Firstminute, Bain</t>
  </si>
  <si>
    <t>Mantis Venture Capital</t>
  </si>
  <si>
    <t>Firstminute Capital</t>
  </si>
  <si>
    <t>Index, Firstminute, Bain</t>
  </si>
  <si>
    <t>SVA, Bain</t>
  </si>
  <si>
    <t>Dell, Zetta, Liberty Global Ventures, GSR Ventures, Firebolt Ventures, Citi Ventures, Cathay Innovation</t>
  </si>
  <si>
    <t>Dell</t>
  </si>
  <si>
    <t>Liberty Global Ventures</t>
  </si>
  <si>
    <t>GSR Ventures</t>
  </si>
  <si>
    <t>Firebolt Ventures</t>
  </si>
  <si>
    <t>Citi Ventures</t>
  </si>
  <si>
    <t>Cathay Innovation, Zetta, Plug and Play, Firebolt, Citi, Bloomberg Beta</t>
  </si>
  <si>
    <t>Plug and Play</t>
  </si>
  <si>
    <t>Healthcare LLM</t>
  </si>
  <si>
    <t>Alex Miller, Munjal Shah, Vishal Parikh</t>
  </si>
  <si>
    <t>General Analyst, a16z</t>
  </si>
  <si>
    <t>Maryland</t>
  </si>
  <si>
    <t>Hippocratic AI</t>
  </si>
  <si>
    <t>Scale Venture Partners, Viola Ventures, TLV Partners, Spider Capital</t>
  </si>
  <si>
    <t>Scale Venture Partners</t>
  </si>
  <si>
    <t>Datagen Technologies</t>
  </si>
  <si>
    <t>TLV Partners</t>
  </si>
  <si>
    <t>Spider Capital</t>
  </si>
  <si>
    <t>Viola Ventures, TLV Partners, Spider Capital, Operator Partners, Matias Ventures, Michael Black</t>
  </si>
  <si>
    <t>Viola Ventures</t>
  </si>
  <si>
    <t>Operator Partners</t>
  </si>
  <si>
    <t>Matias Ventures</t>
  </si>
  <si>
    <t>TLV Partners, Spider Capital, Philippe Suchet</t>
  </si>
  <si>
    <t>Gil Elbaz</t>
  </si>
  <si>
    <t>Ilya Gelfenbeyn, Kylan Gibbs, Michael Ermolenko</t>
  </si>
  <si>
    <t>Synthetic character library, mainly enterprise but very cool</t>
  </si>
  <si>
    <t>Inworld AI</t>
  </si>
  <si>
    <t>The Venture Reality Fund</t>
  </si>
  <si>
    <t>Micron Ventures</t>
  </si>
  <si>
    <t>NTT Docomo Ventures</t>
  </si>
  <si>
    <t>HTC</t>
  </si>
  <si>
    <t>First Spark Ventures</t>
  </si>
  <si>
    <t>CRV</t>
  </si>
  <si>
    <t>Bitkraft Ventures</t>
  </si>
  <si>
    <t>Intel Capital, Section 32, The Venture Reality Fund, SK, NTT Docomo Ventures, Micron Ventures, Microsoft, LG Technology Ventures, Kleiner Perkins, HTC, Founders Fund, First Spark Ventures, CRV, Bitkraft Ventures</t>
  </si>
  <si>
    <t>Bitkraft Ventures, Disney, The Venture Reality Fund, Nate Mitchell, NaHC03, Microsoft, Kleiner Perkins, CRV</t>
  </si>
  <si>
    <t>NaHCO3</t>
  </si>
  <si>
    <t>Kleiner Perkins, CRV, The.AI Ventures, Sequoia, Meta</t>
  </si>
  <si>
    <t>The.AI Ventures</t>
  </si>
  <si>
    <t>Character templates for NPCs</t>
  </si>
  <si>
    <t>NEA, Marc Lore, Accel</t>
  </si>
  <si>
    <t>New York, NY</t>
  </si>
  <si>
    <t>Marc Lore, Melissa Bridgeford</t>
  </si>
  <si>
    <t>G42, Plug and Play, HCS, ARM, Arya Bolurfrushan, Price Stefan</t>
  </si>
  <si>
    <t>G42</t>
  </si>
  <si>
    <t>ARM Holding</t>
  </si>
  <si>
    <t>HCS Beteiligungsgesellschaft</t>
  </si>
  <si>
    <t>DeepDoc, Insurance</t>
  </si>
  <si>
    <t>David Raskino, Rahul Sood</t>
  </si>
  <si>
    <t>a16z, Keen Crypto, Mantis Venture Capital, Solana Ventures, Unlock Venture Partners, Sonam Kapoor Ahuja, Michael Ovitz, Keen Crypto, Infinity Ventures Crypto, Advancit Capital, Capitoria</t>
  </si>
  <si>
    <t>MechaFightClub fail, pivot from crypto</t>
  </si>
  <si>
    <t>Seed: $25m valuation</t>
  </si>
  <si>
    <t>a16z, Unlock Venture Partners, Mantis Venture Capital, Advancit, Keen Crypto</t>
  </si>
  <si>
    <t>Berkeley, CA</t>
  </si>
  <si>
    <t>Aparna Dhinakaran, Jason Lopatecki</t>
  </si>
  <si>
    <t>TCV</t>
  </si>
  <si>
    <t>Swift Ventures</t>
  </si>
  <si>
    <t>Battery Ventures, Trinity Ventures, The House Fund, Swift Ventures, Foundation Capital</t>
  </si>
  <si>
    <t>TCV, Swift Ventures, Foundation Capital, Battery Ventures</t>
  </si>
  <si>
    <t>Trinity Ventures, Foundation Capital, Brett Wilson</t>
  </si>
  <si>
    <t>Observability &amp; Monitoring</t>
  </si>
  <si>
    <t>Palette, semiconductors</t>
  </si>
  <si>
    <t>Temasek, Radical Ventures, Partech, Oriol Vinyals, Jose Valim, Francois Collet, Ashish Vaswani, Amadeus Capital, Air Street Capital</t>
  </si>
  <si>
    <t>Alberto Rizzoli</t>
  </si>
  <si>
    <t>Air Street Capital</t>
  </si>
  <si>
    <t>Partech</t>
  </si>
  <si>
    <t>Amadeus Capital</t>
  </si>
  <si>
    <t>Amadeus, Partech, Miele Venture, Air Street</t>
  </si>
  <si>
    <t>Pre Seed</t>
  </si>
  <si>
    <t>Miele Venture</t>
  </si>
  <si>
    <t>Ecommerce BS</t>
  </si>
  <si>
    <t>Magic (magic.dev)</t>
  </si>
  <si>
    <t>10x Founders</t>
  </si>
  <si>
    <t>Auto-programmer</t>
  </si>
  <si>
    <t>Capital G, Xavier Sarras, Roland Boubela, Noam Brown, Nat Friedman, Mehdi Ghissassi, Klaudius Kalcher, Fredrik Hjelm, Florian Huber, Elad Gil, Daniel Dippold, Bryan Pellegrino, Arthur Breitman, Amplify Partners, Adam Jafer, 10x Founders</t>
  </si>
  <si>
    <t>GPT Lawyer</t>
  </si>
  <si>
    <t>Facet.ai</t>
  </si>
  <si>
    <t>Resemble.ai</t>
  </si>
  <si>
    <t>craiyon AI</t>
  </si>
  <si>
    <t>sudowrite</t>
  </si>
  <si>
    <t>Visual Electric</t>
  </si>
  <si>
    <t>Steve AI</t>
  </si>
  <si>
    <t>Mistral AI</t>
  </si>
  <si>
    <t>Google, Greylock, SVA, Factory</t>
  </si>
  <si>
    <t>Factory</t>
  </si>
  <si>
    <t>Chris Lattner, Tim Davis</t>
  </si>
  <si>
    <t>Gabriel Pereyra, Winston Weinberg</t>
  </si>
  <si>
    <t>Sequoia, OpenAI, Conviction VC, SVA, Elad Gil</t>
  </si>
  <si>
    <t>15000 waiting list</t>
  </si>
  <si>
    <t>Harvey</t>
  </si>
  <si>
    <t>Conviction VC</t>
  </si>
  <si>
    <t>Infinitus Systems (infinitus.ai)</t>
  </si>
  <si>
    <t>Clinical call automation</t>
  </si>
  <si>
    <t>Google Ventures, Kleiner Perkins, Operator Partners, Coatue, Aashima Gupta</t>
  </si>
  <si>
    <t>Infinitus Systems</t>
  </si>
  <si>
    <t>Coatue, Kleiner Perkins, Tau Ventures, Quiet Capital, Qasar Younis, Ian Goodfellow, Gradient Ventures, Gokul Rajaram, Firebolt Ventures, Aparna Chennapragada</t>
  </si>
  <si>
    <t>Keen Technologies</t>
  </si>
  <si>
    <t>AGI</t>
  </si>
  <si>
    <t>Tau Ventures</t>
  </si>
  <si>
    <t>Quiet Capital</t>
  </si>
  <si>
    <t>Gradient Ventures</t>
  </si>
  <si>
    <t>Seed Round</t>
  </si>
  <si>
    <t>OpenAI, Jeff Dean, Elad Gil</t>
  </si>
  <si>
    <t>Yaron Singer</t>
  </si>
  <si>
    <t>Tiger, Sequoia, Harpoon, Engineering Capital</t>
  </si>
  <si>
    <t>Stress Test AI Models</t>
  </si>
  <si>
    <t>Harpoon</t>
  </si>
  <si>
    <t>Engineering Capital</t>
  </si>
  <si>
    <t>Sequoia, Ram Shriram, Harpoon, Engineering Capital, Alex Balkanski</t>
  </si>
  <si>
    <t>Sequoia, Engineering</t>
  </si>
  <si>
    <t>Ron Oren, Yoav Chai, Yotam Gil</t>
  </si>
  <si>
    <t>Lightroom editing assistant</t>
  </si>
  <si>
    <t>Summit, NFX</t>
  </si>
  <si>
    <t>NFX</t>
  </si>
  <si>
    <t>Berlin</t>
  </si>
  <si>
    <t>Han Xiao, Xuanbin He</t>
  </si>
  <si>
    <t>Canaan, Yunqi Partners, SAP.iO, Mango Capital, GGV Capital</t>
  </si>
  <si>
    <t>GGV Capital, SAP.iO, Yunqi Partners</t>
  </si>
  <si>
    <t>Yunqi Partners</t>
  </si>
  <si>
    <t>Multimodal LLM? LLMops</t>
  </si>
  <si>
    <t>Canaan</t>
  </si>
  <si>
    <t>SAP.iO</t>
  </si>
  <si>
    <t>Mango Capital</t>
  </si>
  <si>
    <t>GGV Capital</t>
  </si>
  <si>
    <t>Noogata</t>
  </si>
  <si>
    <t>Play.HT</t>
  </si>
  <si>
    <t>Dust</t>
  </si>
  <si>
    <t>Credo Ventures, Concept Ventures</t>
  </si>
  <si>
    <t>Nat Friedman, Daniel Gross</t>
  </si>
  <si>
    <t>Voice API</t>
  </si>
  <si>
    <t>a16z, Nat Friedman, Daniel Gross (unofficial)</t>
  </si>
  <si>
    <t>Eleven Labs</t>
  </si>
  <si>
    <t>LLM tools</t>
  </si>
  <si>
    <t>Tabnine</t>
  </si>
  <si>
    <t>ZeroEyes</t>
  </si>
  <si>
    <t>Moxxie Ventures, Thomson Reuters Ventures, Bling Capital, Concrete Ventures, BDC Venture Capital, Good News Ventures, Inovia Capital, N49P, The LegalTech Fund</t>
  </si>
  <si>
    <t>Moxxie Ventures</t>
  </si>
  <si>
    <t>Thomson Reuters Ventures</t>
  </si>
  <si>
    <t>The LegalTech Fund</t>
  </si>
  <si>
    <t>N49P</t>
  </si>
  <si>
    <t>Concere Ventures</t>
  </si>
  <si>
    <t>Bling Capital</t>
  </si>
  <si>
    <t>BDC Venture Capital</t>
  </si>
  <si>
    <t>Good News Ventures</t>
  </si>
  <si>
    <t>Path Ventures</t>
  </si>
  <si>
    <t>Genesis, Pelorus Venture Capital, Killick Capital, Good News Ventures, Concrete Ventures</t>
  </si>
  <si>
    <t>Los Angeles</t>
  </si>
  <si>
    <t>Heath Ahrens</t>
  </si>
  <si>
    <t>Consumer Voice UGC</t>
  </si>
  <si>
    <t>Pieces</t>
  </si>
  <si>
    <t>Jason Kuperberg, Matt Shumer, Miles Feldstein</t>
  </si>
  <si>
    <t>Active Capital, Cortical Ventures, Siqi Chen, Nick Frosst, Madrona, Ivan Zhang, Furqan Rydhan, Aidan Gomez</t>
  </si>
  <si>
    <t>Otherside AI</t>
  </si>
  <si>
    <t>Active Capital</t>
  </si>
  <si>
    <t>Madrona, New York Venture Partners, Hustle Fund, Chapter One Ventures, Active Capital, Matt Gibstein</t>
  </si>
  <si>
    <t>Hustle Fund</t>
  </si>
  <si>
    <t>Chapter One Ventures</t>
  </si>
  <si>
    <t>New York Venture Partners</t>
  </si>
  <si>
    <t>Mimica Automation</t>
  </si>
  <si>
    <t>Percepta</t>
  </si>
  <si>
    <t>Grit</t>
  </si>
  <si>
    <t>Stephen Balaban</t>
  </si>
  <si>
    <t>GPU Cluster</t>
  </si>
  <si>
    <t>Mercato Partners, Gradient Ventures, Bloomberg Beta, Crescent Cove Advisors, 1517 Fund, Lukas Biewald, Jeff Hammerbacher, Greg Brockman, Georges Harik, Garry Tan, Adam D'Angelo</t>
  </si>
  <si>
    <t>Razer, Gradient Ventures, Bloomberg Beta, Georges Harik, 1517 Fund</t>
  </si>
  <si>
    <t>Gradient Ventures, Bloomberg Beta, 1517 Fund</t>
  </si>
  <si>
    <t>Quantiphi</t>
  </si>
  <si>
    <t>Utilidata</t>
  </si>
  <si>
    <t>Amjad Massad</t>
  </si>
  <si>
    <t>a16z, Y Combinator, SVA, Khosla Ventures, Coatue, Bloomberg Beta, ARK Ventures, Naval Ravikant, Hamilton Helmer</t>
  </si>
  <si>
    <t>Khosla Ventures</t>
  </si>
  <si>
    <t>ARK Ventures</t>
  </si>
  <si>
    <t>Series B: 720m valuation</t>
  </si>
  <si>
    <t>Coatue, a16z, Bloomberg Beta, Fifth Down Capital, Not Boring, Reach Capital, Volt Capital, Vinay Hiremath, Mattia Astori</t>
  </si>
  <si>
    <t>Volt Capital</t>
  </si>
  <si>
    <t>Not Boring</t>
  </si>
  <si>
    <t>Reach Capital</t>
  </si>
  <si>
    <t>Fifth Down Capital</t>
  </si>
  <si>
    <t>A.Capital, SVA</t>
  </si>
  <si>
    <t>a16z, Amino Capital</t>
  </si>
  <si>
    <t>Ycombinator, Amino Capital, Reach Capital, Bloomberg Beta</t>
  </si>
  <si>
    <t>Salem, New Hampshire</t>
  </si>
  <si>
    <t>Jeremy Achin, Dmytro Zahanych</t>
  </si>
  <si>
    <t>NEA, Open Field Capital, B5 Capital, Cortical Ventures</t>
  </si>
  <si>
    <t>Open Field Capital</t>
  </si>
  <si>
    <t>B5 Capital</t>
  </si>
  <si>
    <t>Satya Nitta</t>
  </si>
  <si>
    <t>Aisera</t>
  </si>
  <si>
    <t>Learn Capital</t>
  </si>
  <si>
    <t>Robots for teachers</t>
  </si>
  <si>
    <t>South Korea</t>
  </si>
  <si>
    <t>Consumer AI</t>
  </si>
  <si>
    <t>Diverse</t>
  </si>
  <si>
    <t>Softbank Ventures Asia, Company K Partners, Stonebridge Capital, TBT, Primer Sazze Partners, Premier Partners</t>
  </si>
  <si>
    <t>German Tax returns</t>
  </si>
  <si>
    <t>CLARA Analytics</t>
  </si>
  <si>
    <t>Project A Ventures, Insight Partners, Mountain Partners, Feliks Eyser</t>
  </si>
  <si>
    <t>ExpressSteur</t>
  </si>
  <si>
    <t>Mountain Partners</t>
  </si>
  <si>
    <t>Tim Stracke, Kai Hansen, Christian Wenger, Aurelia Ventures</t>
  </si>
  <si>
    <t>True Growth Capital</t>
  </si>
  <si>
    <t>Jale Beteiligungs</t>
  </si>
  <si>
    <t>Hamburg</t>
  </si>
  <si>
    <t>John Carmack</t>
  </si>
  <si>
    <t>2019?</t>
  </si>
  <si>
    <t>Nat Friedman, Daniel Gross, Patrick Collison, Tobi Lutke, Sequoia, Capital Factory, Jim Keller</t>
  </si>
  <si>
    <t>No official announcement</t>
  </si>
  <si>
    <t>Dallas</t>
  </si>
  <si>
    <t>Jonas Andrulis, Samuel Weinbach</t>
  </si>
  <si>
    <t>Heidelberg</t>
  </si>
  <si>
    <t>LLMs</t>
  </si>
  <si>
    <t>UVC Partners, Earlybird Venture Capital, Lakestar, LEA Partners, Cavalry Ventures, 468 Capital</t>
  </si>
  <si>
    <t>LEA Partners, Cavalry Ventures, 468 Capital, Public</t>
  </si>
  <si>
    <t>Aible</t>
  </si>
  <si>
    <t>Enterprise Analytics</t>
  </si>
  <si>
    <t>Edwin Chen</t>
  </si>
  <si>
    <t>Birdie</t>
  </si>
  <si>
    <t>Mason</t>
  </si>
  <si>
    <t>Zegami</t>
  </si>
  <si>
    <t>Irvine, CA</t>
  </si>
  <si>
    <t>Pachama</t>
  </si>
  <si>
    <t>Networking</t>
  </si>
  <si>
    <t>Michael Malyuk</t>
  </si>
  <si>
    <t>Fathom Radiant</t>
  </si>
  <si>
    <t>John Snow Labs</t>
  </si>
  <si>
    <t>Redpoint, Swift Ventures, Bow Capital, Unusual Ventures</t>
  </si>
  <si>
    <t>Unusual Ventures</t>
  </si>
  <si>
    <t>Redpoint</t>
  </si>
  <si>
    <t>Bow Capital</t>
  </si>
  <si>
    <t>San Jose</t>
  </si>
  <si>
    <t>Varun Mohan</t>
  </si>
  <si>
    <t>GPUs</t>
  </si>
  <si>
    <t>Greenoaks, Founders Fund</t>
  </si>
  <si>
    <t>Greenoaks, Carlos Delatorre, Howie Liu, Nitesh Banta, Richard Socher, Sahir Azam, Spencer Kimball</t>
  </si>
  <si>
    <t>Kili Technology</t>
  </si>
  <si>
    <t>Paris</t>
  </si>
  <si>
    <t>Data Cleaning</t>
  </si>
  <si>
    <t>Francois-Xavier Leduc</t>
  </si>
  <si>
    <t>Balderton Capital, Serena, Headline, Chris Schagen, Dimitri Sirota, Financiere Saint James, Olivier Pailhes</t>
  </si>
  <si>
    <t>Headline, Stanislas de Bentzmann, Gus Robertson, Financiere Saint James, Olivier Pomel, Serena</t>
  </si>
  <si>
    <t>Guy Ernest</t>
  </si>
  <si>
    <t>Algo</t>
  </si>
  <si>
    <t>Quarrio</t>
  </si>
  <si>
    <t>New Era Capital, Hamilton Lane</t>
  </si>
  <si>
    <t>Manufacturing NLP</t>
  </si>
  <si>
    <t>New Era Capital Partners</t>
  </si>
  <si>
    <t>Hamilton Lane</t>
  </si>
  <si>
    <t>Anupam Datta, Shayak Sen, Will Uppington</t>
  </si>
  <si>
    <t>Menlo Ventures, Wing Venture Capital, Harpoon, Greylock, Forgepoint Capital, Data Community Fund, Conversion Capital, B Capital Group</t>
  </si>
  <si>
    <t>Forgepoint</t>
  </si>
  <si>
    <t>Data Community Fund</t>
  </si>
  <si>
    <t>Conversion Capital</t>
  </si>
  <si>
    <t>B Capital Group</t>
  </si>
  <si>
    <t>Wing Venture Capital, Harpoon, Greylock, Data Community Fund, Conversion Capital, B Capital Group</t>
  </si>
  <si>
    <t>Greylock, Wing Venture Capital, Conversion Capital, Aaref Hilaly</t>
  </si>
  <si>
    <t>Alon Gubkin, Liran Hason</t>
  </si>
  <si>
    <t>Tiger, Vertex Ventures, TLV Partners, Tal Ventures, Samsung NEXT</t>
  </si>
  <si>
    <t>Vertex Ventures</t>
  </si>
  <si>
    <t>Tal Ventures</t>
  </si>
  <si>
    <t>Vertex Ventures, TLV Partners, Yevgeny Dibrov, Nadir Izrael, Gili Raanan</t>
  </si>
  <si>
    <t>Hardware Platform</t>
  </si>
  <si>
    <t>Jonathan Elial, Ran El-Yaniv, Yonatan Geifman</t>
  </si>
  <si>
    <t>Petuum</t>
  </si>
  <si>
    <t>CloudFactory</t>
  </si>
  <si>
    <t>Square Peg Capital, Jibe Ventures, Insight Partners, ICON - Israel Collaboration Network, Fort Ross Ventures, Emerge</t>
  </si>
  <si>
    <t>Square Peg</t>
  </si>
  <si>
    <t>Emerge</t>
  </si>
  <si>
    <t>Jibe Ventures</t>
  </si>
  <si>
    <t>Fort Ross Ventures</t>
  </si>
  <si>
    <t>ICON - Israel</t>
  </si>
  <si>
    <t>Insight Partners, Vintage Investment Partners, Square Peg Capital, Samsung NEXT, Fort Ross Ventures, Emerge</t>
  </si>
  <si>
    <t>Vintage Investment Partners</t>
  </si>
  <si>
    <t>Square Peg, Emerge, Danny Hadar</t>
  </si>
  <si>
    <t>Starshot Capital, Vela Partners, Section 32, Root and Shoot Ventures, Mustafa Suleyman, Helena, Flying Fish Partners, Character, Ahren Innovation Capital</t>
  </si>
  <si>
    <t>Starshot Capital</t>
  </si>
  <si>
    <t>Vela Partners</t>
  </si>
  <si>
    <t>Root and Shoot Ventures</t>
  </si>
  <si>
    <t>Helena</t>
  </si>
  <si>
    <t>Character</t>
  </si>
  <si>
    <t>Flying Fish Partners</t>
  </si>
  <si>
    <t>Ahren Innovation Capital</t>
  </si>
  <si>
    <t>Flying Fish Partners, Starshot Capital, Section 32, Root and Shoot Partners, Outcomes Fund, Mark Cuban, Character</t>
  </si>
  <si>
    <t>Outcomes Fund</t>
  </si>
  <si>
    <t>Flying Fish Partners, U Washington, Section 32, NJF Capital, Firstminute Capital</t>
  </si>
  <si>
    <t>NJF</t>
  </si>
  <si>
    <t>Industrial</t>
  </si>
  <si>
    <t>Sweetch</t>
  </si>
  <si>
    <t>Navina</t>
  </si>
  <si>
    <t>Curai Health</t>
  </si>
  <si>
    <t>GPT-3, patient conversations</t>
  </si>
  <si>
    <t>Julien Codorniou</t>
  </si>
  <si>
    <t>Alexandre Lebrun, Delphine Groll, Martin Raison</t>
  </si>
  <si>
    <t>Virtual Presenters</t>
  </si>
  <si>
    <t>Insight Partners, Remagine Ventures, Kindred Ventures, Galaxy Interactive, Eynat Guez, Digital Horizon, Cerca Partners, Amaranthine</t>
  </si>
  <si>
    <t>Remagine Ventures</t>
  </si>
  <si>
    <t>Kindred Ventures</t>
  </si>
  <si>
    <t>Galaxy Interactive</t>
  </si>
  <si>
    <t>Digital Horizon</t>
  </si>
  <si>
    <t>Cerca Partners</t>
  </si>
  <si>
    <t>Amaranthine</t>
  </si>
  <si>
    <t>Reimagine Ventures, Kindred Ventures, Galaxy Interactive, Amaranthine</t>
  </si>
  <si>
    <t>Reimagine Ventures</t>
  </si>
  <si>
    <t>togetherAI</t>
  </si>
  <si>
    <t>Automated Contract Negotiation</t>
  </si>
  <si>
    <t>Kaspar Korjus, Kristjan Korjus, Martin Rand</t>
  </si>
  <si>
    <t>3VC, Taavet+Sten, Project A Ventures, NordicNinja VC, Metaplanet Holdings, Maersk Growth, Atomico</t>
  </si>
  <si>
    <t>3VC</t>
  </si>
  <si>
    <t>Taavet+Sten</t>
  </si>
  <si>
    <t>Project A Ventures</t>
  </si>
  <si>
    <t>NordicNinjaVC</t>
  </si>
  <si>
    <t>Metaplanet Holdings</t>
  </si>
  <si>
    <t>Maersk Growth</t>
  </si>
  <si>
    <t>Atomico</t>
  </si>
  <si>
    <t>Atomico, Taavet Hinrikus, Sten Tamkivi, Project A Ventures, Ott Kaukver, Metaplanet Holdings</t>
  </si>
  <si>
    <t>Chub.ai (chub.ai)</t>
  </si>
  <si>
    <t>Spicychat.ai</t>
  </si>
  <si>
    <t>Crushon.ai</t>
  </si>
  <si>
    <t>Faraday.dev</t>
  </si>
  <si>
    <t>Poe.com (Quora)</t>
  </si>
  <si>
    <t>Pirr.app</t>
  </si>
  <si>
    <t>Replika</t>
  </si>
  <si>
    <t>Janitor AI</t>
  </si>
  <si>
    <t>Nastia ai</t>
  </si>
  <si>
    <t>Anima ai (myanima.ai)</t>
  </si>
  <si>
    <t>Agnaistic</t>
  </si>
  <si>
    <t>GooseAI</t>
  </si>
  <si>
    <t>NovelAI</t>
  </si>
  <si>
    <t>InferKit</t>
  </si>
  <si>
    <t>TextSynth</t>
  </si>
  <si>
    <t>Dreamily</t>
  </si>
  <si>
    <t>KoboldAI (Github)</t>
  </si>
  <si>
    <t>Chatfai</t>
  </si>
  <si>
    <t>Holo</t>
  </si>
  <si>
    <t>Project A Ventures, Producement, DocuSign</t>
  </si>
  <si>
    <t>Waymark</t>
  </si>
  <si>
    <t>Docusign</t>
  </si>
  <si>
    <t>Producement</t>
  </si>
  <si>
    <t>Taavet Hinrikus, Sten Tamkivi, Ott Kaukver, Jaan Tallinn</t>
  </si>
  <si>
    <t>Crackhead stuff, I love it</t>
  </si>
  <si>
    <t>Kanjun Qiu, Josh Albrecht</t>
  </si>
  <si>
    <t>Arithmer</t>
  </si>
  <si>
    <t>Lightspeed, YC, Threshold Ventures, Tom Brown, Jonas Schneider, Drew Houston, Astera Institute, Arash Ferdowsi</t>
  </si>
  <si>
    <t>Dario Amodei, Tom Brown</t>
  </si>
  <si>
    <t>YC</t>
  </si>
  <si>
    <t>Samanyou Garg</t>
  </si>
  <si>
    <t>HOF Capital, Soma Capital, Rebel Fund, Broom Ventures, BluePointe Ventures, Atlas Pacific Capital, Amino Capital</t>
  </si>
  <si>
    <t>Sourceress</t>
  </si>
  <si>
    <t>HOF Capital</t>
  </si>
  <si>
    <t>Soma Capital</t>
  </si>
  <si>
    <t>Rebel Fund</t>
  </si>
  <si>
    <t>Broom Ventures</t>
  </si>
  <si>
    <t>BluePointe Ventures</t>
  </si>
  <si>
    <t>Atlas Pacific Capital</t>
  </si>
  <si>
    <t>Amino Capital</t>
  </si>
  <si>
    <t>GPT-generated content</t>
  </si>
  <si>
    <t>Los Altos Hills, CA</t>
  </si>
  <si>
    <t>Dennis Xu, Kevin Moody</t>
  </si>
  <si>
    <t>Productivity tool, note-taking</t>
  </si>
  <si>
    <t>OpenAI, Oana Olteanu, Firestream Ventures, Material V</t>
  </si>
  <si>
    <t xml:space="preserve">a16z, Unusual Ventures, The Todd &amp; Rahul Angel Fund, Shrug Capital, Floodgate, Dreamers VC, a16z Cultural Leadership Fund, Tony Liu, Todd Goldberg, Rahul Vohra, Lenny Rachitsky, Julia Lipton, Harry Stebbings, </t>
  </si>
  <si>
    <t>Unusual Ventures, Floodgate</t>
  </si>
  <si>
    <t>Material V</t>
  </si>
  <si>
    <t>Shrug Capital</t>
  </si>
  <si>
    <t>Floodgate</t>
  </si>
  <si>
    <t>The Todd &amp; Rahul Angel Fund</t>
  </si>
  <si>
    <t>Dreamers VC</t>
  </si>
  <si>
    <t>Tokyo</t>
  </si>
  <si>
    <t>Tokushima Taisho Bank, Pegasus Tech Ventures</t>
  </si>
  <si>
    <t>Toyota Tsusho, Sumitomo Mitsui Trust Bank, Mitsui Sumitomo Insurance VC, Japan Investment Adviser, JAFCO</t>
  </si>
  <si>
    <t>Mitsui Sumitomo Insurance VC, Tokushima Taisho Bank</t>
  </si>
  <si>
    <t>Mitsui Sumitomo Insurance Venture Capital</t>
  </si>
  <si>
    <t>Hillhouse, Gaorong Capital, Yunqi Partners, Wavemaker Partners, Singtel Innov8, K3 Ventures, Insignia Venture Partners, GGV Capital</t>
  </si>
  <si>
    <t>ZWC Partners, GGV Capital, Insignia Ventures Partners, Wavemaker Partners</t>
  </si>
  <si>
    <t>ZWC Partners</t>
  </si>
  <si>
    <t>Customer Service bots</t>
  </si>
  <si>
    <t>Dubbing</t>
  </si>
  <si>
    <t>Nir Krakowski, Ofir Krakowski</t>
  </si>
  <si>
    <t>Insight Partners, Swift Ventures, Stardom Ventures, Matias Ventures, Booster Ventures Roi Tiger, Kevin Reilly, Gideon Marks, Emiliano Calemzuk, Danny Grander, Daniel Chadash</t>
  </si>
  <si>
    <t>deepdub</t>
  </si>
  <si>
    <t>Booster Ventures</t>
  </si>
  <si>
    <t>Stardom Ventures</t>
  </si>
  <si>
    <t>Hillhouse</t>
  </si>
  <si>
    <t>wiz.ai</t>
  </si>
  <si>
    <t>Gaorang</t>
  </si>
  <si>
    <t>Wavemaker</t>
  </si>
  <si>
    <t>Singtel Innov8</t>
  </si>
  <si>
    <t>K3 Ventures</t>
  </si>
  <si>
    <t>Insignia Venture Partners</t>
  </si>
  <si>
    <t>Daniel Chen, Jeremy Huang, Thomas Li</t>
  </si>
  <si>
    <t>Document retrieval, data extraction</t>
  </si>
  <si>
    <t>Credit Suisse NEXT Investors, Hack VC, Uncorrelated Ventures, Nexus Venture Partners, Bossanova Investimentos</t>
  </si>
  <si>
    <t>Nexus Venture Partners</t>
  </si>
  <si>
    <t>Credit Suisse NEXT Partners</t>
  </si>
  <si>
    <t>Uncorrelated Ventures</t>
  </si>
  <si>
    <t>Rossum</t>
  </si>
  <si>
    <t>Former Axios, communications software</t>
  </si>
  <si>
    <t>Roy Schwartz, Jim VandeHei</t>
  </si>
  <si>
    <t>Greycroft, Glade Brook, Cox Enterprises</t>
  </si>
  <si>
    <t>Glade Brook</t>
  </si>
  <si>
    <t>Cox Enterprises</t>
  </si>
  <si>
    <t>Campbell, CA</t>
  </si>
  <si>
    <t>Reliance Jio, Naver</t>
  </si>
  <si>
    <t>Two Platforms (two.ai)</t>
  </si>
  <si>
    <t>AutoCameo, video</t>
  </si>
  <si>
    <t>Reliance Jio</t>
  </si>
  <si>
    <t>Two.ai</t>
  </si>
  <si>
    <t>Conversational Bots</t>
  </si>
  <si>
    <t>Bots</t>
  </si>
  <si>
    <t>Together Fund, Nexus Venture Partners, The New Normal Fund</t>
  </si>
  <si>
    <t>Abridge</t>
  </si>
  <si>
    <t>Delaware</t>
  </si>
  <si>
    <t>Akshat Tyagi</t>
  </si>
  <si>
    <t>Des Moines, Iowa</t>
  </si>
  <si>
    <t>Brad Dwyer, Joseph Nelson</t>
  </si>
  <si>
    <t>Craft Ventures, Sam Altman, Quiet Capital, Mike Maples Jr, Max Altman, Lachy Groom, Joe Morrissey, Jack Altman, Harry Hurst, Greg Brockman, DJ Patil, Cassidy Williams</t>
  </si>
  <si>
    <t>Computer vision models, dev tools</t>
  </si>
  <si>
    <t>Craft Ventures</t>
  </si>
  <si>
    <t>Craft Ventures, Next Level Ventures, Lachy Groom, Leore Avidar, Kevin Liu, James Tamplin, Elizabeth Caven, Calvin French-Owen, Aston Motes</t>
  </si>
  <si>
    <t>Next Level Ventures</t>
  </si>
  <si>
    <t>Pittsburgh</t>
  </si>
  <si>
    <t>Wittington Ventures, Whistler Capital Partners, UPMC Enterprises, Union Square Ventures, Pillar VC, Bessemer Venture Partners</t>
  </si>
  <si>
    <t>Doctor notes</t>
  </si>
  <si>
    <t>Florian Metze, Sandeep Konam, Shivdev Rao</t>
  </si>
  <si>
    <t>Wittington Ventures</t>
  </si>
  <si>
    <t>Union Square Ventures</t>
  </si>
  <si>
    <t>Whistler Capital Partners</t>
  </si>
  <si>
    <t>Pillar VC</t>
  </si>
  <si>
    <t>Union Square Ventures, UPMC, Zen Chu, Pillar VC, KdT Ventures, Bessemer Venture Partners, Esther Dyson, Aneesh Chopra</t>
  </si>
  <si>
    <t>KdT Ventures</t>
  </si>
  <si>
    <t>Bessemer Venture partners</t>
  </si>
  <si>
    <t>Pillar VC, KdT Ventures</t>
  </si>
  <si>
    <t>Data inconsistency</t>
  </si>
  <si>
    <t>Jared Parker, Patrick Dougherty</t>
  </si>
  <si>
    <t>Insight Partners, Unusual Ventures</t>
  </si>
  <si>
    <t>Data generation, synthetic data</t>
  </si>
  <si>
    <t>Yashar Behzadi</t>
  </si>
  <si>
    <t>468 Capital, Strawberry Creek Ventures, Sorenson Ventures, PJC, Kubera Venture Capital, iRobot Ventures, Boom Capital, Bee Partners</t>
  </si>
  <si>
    <t>468 Capital</t>
  </si>
  <si>
    <t>Sorenson Ventures</t>
  </si>
  <si>
    <t>PJC</t>
  </si>
  <si>
    <t>Kubera Venture Capital</t>
  </si>
  <si>
    <t>iRobot Ventures</t>
  </si>
  <si>
    <t>Boom Capital</t>
  </si>
  <si>
    <t>Bee Partners</t>
  </si>
  <si>
    <t>Strawberry Creek Ventures</t>
  </si>
  <si>
    <t>Swift Ventures, PJC, LETA Capital, Kubera Venture Capital, iRobot Ventures, Bossanova Investimentos, Boom Capital, Bee Capital</t>
  </si>
  <si>
    <t>LETA Capital</t>
  </si>
  <si>
    <t>Hemison.ai</t>
  </si>
  <si>
    <t>Tempus</t>
  </si>
  <si>
    <t>Hyro</t>
  </si>
  <si>
    <t>AIRS Medical</t>
  </si>
  <si>
    <t>Woebot Health</t>
  </si>
  <si>
    <t>Yembo</t>
  </si>
  <si>
    <t>DataVisor</t>
  </si>
  <si>
    <t>Mind Foundry</t>
  </si>
  <si>
    <t>PolyAI</t>
  </si>
  <si>
    <t>SandboxAQ</t>
  </si>
  <si>
    <t>AssemblyAI</t>
  </si>
  <si>
    <t>ElevateAI</t>
  </si>
  <si>
    <t>Mighty AI (Uber)</t>
  </si>
  <si>
    <t>Paravision</t>
  </si>
  <si>
    <t>Telmai</t>
  </si>
  <si>
    <t>Observability</t>
  </si>
  <si>
    <t>Productivity</t>
  </si>
  <si>
    <t>NEA, Pear VC, Wing Venture Capital</t>
  </si>
  <si>
    <t>Bella Liu, Will Lu</t>
  </si>
  <si>
    <t>Pear VC</t>
  </si>
  <si>
    <t>Automates by watching you work</t>
  </si>
  <si>
    <t>Glasswing Ventures, .406 Ventures, Zetta Venture Partners, Y Combinator</t>
  </si>
  <si>
    <t>Glasswing Ventures</t>
  </si>
  <si>
    <t>.406 Ventures</t>
  </si>
  <si>
    <t>norby.io</t>
  </si>
  <si>
    <t>Estonia</t>
  </si>
  <si>
    <t>IntelliAgent</t>
  </si>
  <si>
    <t>Verticalls.ai</t>
  </si>
  <si>
    <t>Capacity</t>
  </si>
  <si>
    <t>Retrocausal</t>
  </si>
  <si>
    <t>Cognitive Space</t>
  </si>
  <si>
    <t>Twosense.ai</t>
  </si>
  <si>
    <t>Paper Crane</t>
  </si>
  <si>
    <t>Common Sense Machines</t>
  </si>
  <si>
    <t>BotChain</t>
  </si>
  <si>
    <t>Alexander Torrenegra, Andres Cajiao</t>
  </si>
  <si>
    <t>Emma Group, TBD Angels, Simma Capital, Salkantay Ventures, MatterScale Ventures, Rodrigo Schmidt, Mike Shoemaker, Michael Lazerow, Kass Lazerow, Haiping Zhao, Diego Piacentini, Brian Requarth</t>
  </si>
  <si>
    <t>Emma Group</t>
  </si>
  <si>
    <t>TBD Angels</t>
  </si>
  <si>
    <t>Simma Capital</t>
  </si>
  <si>
    <t>Salkantay Ventures</t>
  </si>
  <si>
    <t>MatterScale Ventures</t>
  </si>
  <si>
    <t>Beta Ventures, The Ark Fund</t>
  </si>
  <si>
    <t>Arif Khan</t>
  </si>
  <si>
    <t>Kid Venture Capital</t>
  </si>
  <si>
    <t>Multicoin Capital, Mark Cuban, IOSG Ventures, Crypto.com, Bitkraft Ventures, Alameda Ventures, 6th Man Ventures</t>
  </si>
  <si>
    <t>Insight Partners, Alexander Hudek, Noah Waisberg</t>
  </si>
  <si>
    <t>Document AI</t>
  </si>
  <si>
    <t>2023</t>
  </si>
  <si>
    <t>LLM</t>
  </si>
  <si>
    <t>Lightspeed, Index Ventures, Sofina, Redpoint, Motier Ventures, LocalGlobe, La Famiglia, JCDecaux Holding SA, Headline, Firstminute, Exor, Bpifrance, Eric Schmidt, Xavier Niel, Rodolphe Saade</t>
  </si>
  <si>
    <t>Timothee Lacroix, Guillaume Lample, Arthur Mensch</t>
  </si>
  <si>
    <t>Worked on Llama at META</t>
  </si>
  <si>
    <t>Sofina</t>
  </si>
  <si>
    <t>Motier Ventures</t>
  </si>
  <si>
    <t>La Famiglia</t>
  </si>
  <si>
    <t>JCDeaux</t>
  </si>
  <si>
    <t>Headline</t>
  </si>
  <si>
    <t>Exor</t>
  </si>
  <si>
    <t>BPI France</t>
  </si>
  <si>
    <t>DarwinAI</t>
  </si>
  <si>
    <t>Ontario</t>
  </si>
  <si>
    <t>Covariant</t>
  </si>
  <si>
    <t>BDC Venture Capital, Obvious Ventures, Inovia Capital, Honeywell</t>
  </si>
  <si>
    <t>Manufacturing</t>
  </si>
  <si>
    <t>Quality control, efficiency for electronics manufacturing</t>
  </si>
  <si>
    <t>Obvious Ventures</t>
  </si>
  <si>
    <t>Honeywell</t>
  </si>
  <si>
    <t>Honeywell, ACVC Partners</t>
  </si>
  <si>
    <t>ACVC</t>
  </si>
  <si>
    <t>Wharton Alumni Angels, The Archangel Fund, REDDS Capital, Honeywell, Guindy Alumni Angels</t>
  </si>
  <si>
    <t>Obvious Ventures, Inovia Capital</t>
  </si>
  <si>
    <t>"Chief of staff"</t>
  </si>
  <si>
    <t>Jason Flaks</t>
  </si>
  <si>
    <t>Norwest Venture Partners, Seven Peaks Ventures, Lightspeed, Ascend</t>
  </si>
  <si>
    <t>Norwest</t>
  </si>
  <si>
    <t>Seven Peaks Ventures</t>
  </si>
  <si>
    <t>Ascend</t>
  </si>
  <si>
    <t>Ohio</t>
  </si>
  <si>
    <t>Suvrat Bhooshan</t>
  </si>
  <si>
    <t>Personalized Videos</t>
  </si>
  <si>
    <t>Surge, Emergent Ventures</t>
  </si>
  <si>
    <t>Surge</t>
  </si>
  <si>
    <t>Emergent Ventures</t>
  </si>
  <si>
    <t>Itamer Arel, Ron Chrisley</t>
  </si>
  <si>
    <t>AMP Robotics</t>
  </si>
  <si>
    <t>StageOne Ventures, Point72 Ventures, Pathbreaker Ventures, Morado Ventures, Cota Capital, Coelius Capital, AME Cloud Ventures, Zach Coelius, John Lilly, Jaan Tallinn, Georges Harik</t>
  </si>
  <si>
    <t>StageOne Ventures</t>
  </si>
  <si>
    <t>Point72 Ventures</t>
  </si>
  <si>
    <t>Pathbreaker Ventures</t>
  </si>
  <si>
    <t>Morado Ventures</t>
  </si>
  <si>
    <t>Cota Capital</t>
  </si>
  <si>
    <t>Coelius Capital</t>
  </si>
  <si>
    <t>AME Cloud Ventures</t>
  </si>
  <si>
    <t>Eric Landau</t>
  </si>
  <si>
    <t>Landing AI</t>
  </si>
  <si>
    <t>CRV, Y Combinator, Harpoon, Crane</t>
  </si>
  <si>
    <t>Computer Vision, Annotation</t>
  </si>
  <si>
    <t>CRV, Y Combinator, WndrCo, Harvard, Des Traynor, Crane Venture</t>
  </si>
  <si>
    <t>Crane</t>
  </si>
  <si>
    <t>Harvard Management</t>
  </si>
  <si>
    <t>WndrCo</t>
  </si>
  <si>
    <t>Davit Badalyan, Tigran Petrosyan</t>
  </si>
  <si>
    <t>Base10 Partners, Runa Capital, Point Nine, Plug and Play, Fathom Capital</t>
  </si>
  <si>
    <t>Training Data platform, CV pipeline</t>
  </si>
  <si>
    <t>Base10 Partners</t>
  </si>
  <si>
    <t>Runa Capital</t>
  </si>
  <si>
    <t>Point Nine</t>
  </si>
  <si>
    <t>Fathom Capital</t>
  </si>
  <si>
    <t>SmartGateVC</t>
  </si>
  <si>
    <t>Granatus Ventures</t>
  </si>
  <si>
    <t>Berkeley SkyDeck Fund</t>
  </si>
  <si>
    <t>Point Nine, SmartGateVC, Runa Capital, Point Nine, Granatus Ventures, Fathom Capital, Berkeley SkyDeck Fund</t>
  </si>
  <si>
    <t>SmartGateVC, Granatus Ventures</t>
  </si>
  <si>
    <t>Primer</t>
  </si>
  <si>
    <t>Google Ventures, SVA, NEA, Formula Ventures, Essence VC</t>
  </si>
  <si>
    <t>Formula</t>
  </si>
  <si>
    <t>Essence VC</t>
  </si>
  <si>
    <t>Adam Oliner</t>
  </si>
  <si>
    <t>Former head of ML at Slack</t>
  </si>
  <si>
    <t>Maja Schaefer, Matt Ciolek</t>
  </si>
  <si>
    <t>Tiger, Inovo VC, Gradient Ventures, 10x Founders, Jack Altman</t>
  </si>
  <si>
    <t>Inovo</t>
  </si>
  <si>
    <t>Gradient Ventures, 10x Founders, Pascal Weinberger, Jack Altman</t>
  </si>
  <si>
    <t>Inovo VC</t>
  </si>
  <si>
    <t>Verse.io</t>
  </si>
  <si>
    <t>Connor Zwick</t>
  </si>
  <si>
    <t>Education</t>
  </si>
  <si>
    <t>Squirrel AI Learning</t>
  </si>
  <si>
    <t>Ava</t>
  </si>
  <si>
    <t>OpenAI, Lachy Groom, Justin Mateen, Josh Buckley, Gokul Rajaram, Buckley Ventures, Founders Fund</t>
  </si>
  <si>
    <t>English teacher</t>
  </si>
  <si>
    <t>Buckley Ventures</t>
  </si>
  <si>
    <t>Justin Mateen, JAM Fund</t>
  </si>
  <si>
    <t>JAM Fund</t>
  </si>
  <si>
    <t>Khosla Ventures, Y Combinator, Investo, Justin Mateen</t>
  </si>
  <si>
    <t>Bhavin Shah</t>
  </si>
  <si>
    <t>Botpress</t>
  </si>
  <si>
    <t>Tiger, Alkeon</t>
  </si>
  <si>
    <t>Sapphire Ventures</t>
  </si>
  <si>
    <t>Sapphire Ventures, Kleiner Perkins, ICONIQ Capital, Lightspeed, Comerica Bank's Technology, Bain, John Thompson</t>
  </si>
  <si>
    <t>Comerica</t>
  </si>
  <si>
    <t>Lightspeed, Bain</t>
  </si>
  <si>
    <t>Employee Experience</t>
  </si>
  <si>
    <t>Alan Cowen</t>
  </si>
  <si>
    <t>Neural Magic</t>
  </si>
  <si>
    <t>Union Square Ventures, Wisdom Ventures, Northwell Holdings, LG Technology Ventures, Comcast Ventures, Evan Sharp</t>
  </si>
  <si>
    <t>Wisdom Ventures</t>
  </si>
  <si>
    <t>Northwell Holdings</t>
  </si>
  <si>
    <t>Comcast</t>
  </si>
  <si>
    <t>Aegis Ventures</t>
  </si>
  <si>
    <t>Emotion analysis</t>
  </si>
  <si>
    <t>Brett Adcock</t>
  </si>
  <si>
    <t>Sunnyvale, CA</t>
  </si>
  <si>
    <t>Crazy killer robots</t>
  </si>
  <si>
    <t>Parkway Venture Capital, Tamarack Global, Moving Capital, Habitat Partners, FJ Labs, BOLD Ventures, Aliya Capital partners, Till Reuter</t>
  </si>
  <si>
    <t>Parkway Venture Capital</t>
  </si>
  <si>
    <t>Tamarack Global</t>
  </si>
  <si>
    <t>Moving Capital</t>
  </si>
  <si>
    <t>Habitat Partners</t>
  </si>
  <si>
    <t>FJ Labs</t>
  </si>
  <si>
    <t>BOLD Ventures</t>
  </si>
  <si>
    <t>Aliya Capital</t>
  </si>
  <si>
    <t>Blueshift</t>
  </si>
  <si>
    <t>Detroit</t>
  </si>
  <si>
    <t>Pivoted to AI</t>
  </si>
  <si>
    <t>Shanghai</t>
  </si>
  <si>
    <t>ZJ Innopark, Linear Capital, Guochuang Zhongding</t>
  </si>
  <si>
    <t>Creo Capital, Redpoint Ventures China, Linear Venture, Peihua Capital</t>
  </si>
  <si>
    <t>Linear Venture, Shanghai International, Redpoint Ventures China</t>
  </si>
  <si>
    <t>Unimpressive</t>
  </si>
  <si>
    <t>Ziyu Wang</t>
  </si>
  <si>
    <t>Zhipu</t>
  </si>
  <si>
    <t>"Alternative to AutoML", low-code declarative ML platform</t>
  </si>
  <si>
    <t>Devvret Rishi</t>
  </si>
  <si>
    <t>Felicis, Sancus Ventures, Greylock, Factory, Zoubin Gharamani, Yi Wang, Varun Badhwar, Remi El-Ouazzane, Ben Hamner, Anthony Goldbloomb</t>
  </si>
  <si>
    <t>Tel Aviv</t>
  </si>
  <si>
    <t>Dor Eligula, Gabriel Diamant, Or Eligula</t>
  </si>
  <si>
    <t>Unsupervised</t>
  </si>
  <si>
    <t>Group 11, L4 Venture Builder, Mangrove</t>
  </si>
  <si>
    <t>Finance research</t>
  </si>
  <si>
    <t>Group 11</t>
  </si>
  <si>
    <t>L4 Venture Builder</t>
  </si>
  <si>
    <t>Construct AI</t>
  </si>
  <si>
    <t>Intrinsic</t>
  </si>
  <si>
    <t>Austin, TX</t>
  </si>
  <si>
    <t>Madrona, Norwest Venture Partners, Factory, Jeff Hammerbacher, Charles Zedlewski</t>
  </si>
  <si>
    <t>Data stack automation</t>
  </si>
  <si>
    <t>ICONIQ</t>
  </si>
  <si>
    <t>Firestreak</t>
  </si>
  <si>
    <t>Ben Firshman</t>
  </si>
  <si>
    <t>a16z, Sequoia Capital, SVA, YC, Guillermo Rauch, Dylan Field, Lachy Groom, Andrej Karpathy</t>
  </si>
  <si>
    <t>Hosting Models</t>
  </si>
  <si>
    <t>Lei Tang, Marc Dupuis</t>
  </si>
  <si>
    <t>English-to-SQL</t>
  </si>
  <si>
    <t>SQL</t>
  </si>
  <si>
    <t>Yoshihiro Daejeon</t>
  </si>
  <si>
    <t>Japanese and weird.</t>
  </si>
  <si>
    <t>Mostly Japanese clients, not clear what they do exactly</t>
  </si>
  <si>
    <t>CharacterGPT, Interactive Agent NFTs</t>
  </si>
  <si>
    <t>AI Safety</t>
  </si>
  <si>
    <t>LULWUT</t>
  </si>
  <si>
    <t>Connor Leahy</t>
  </si>
  <si>
    <t>Seekar Technologies</t>
  </si>
  <si>
    <t>Coachvox AI</t>
  </si>
  <si>
    <t>Plural Platform</t>
  </si>
  <si>
    <t>Plural Platform, Metaplanet, Nat Friedman</t>
  </si>
  <si>
    <t>Pre-product</t>
  </si>
  <si>
    <t>Cyril Brignone</t>
  </si>
  <si>
    <t>Crosslink Capital</t>
  </si>
  <si>
    <t>Global Founders Capital</t>
  </si>
  <si>
    <t>Spider Capital, Crosslink Capital, Global Founders Capital</t>
  </si>
  <si>
    <t>Sorenson Ventures, Crosslink Capital, Spider Capital, Silicon Valley Bank, Global Founders Capital</t>
  </si>
  <si>
    <t>Analog Inference</t>
  </si>
  <si>
    <t>Pictory</t>
  </si>
  <si>
    <t>Former DataRobot team</t>
  </si>
  <si>
    <t>QoL app</t>
  </si>
  <si>
    <t>NEA, Sequoia Capital, IA Ventures, Critical Ventures, B5 Capital</t>
  </si>
  <si>
    <t>Jeremy Achin</t>
  </si>
  <si>
    <t>IA Ventures</t>
  </si>
  <si>
    <t>Critical Ventures</t>
  </si>
  <si>
    <t>Boston</t>
  </si>
  <si>
    <t>Sands Capital, Decibel Partners, AI Fund</t>
  </si>
  <si>
    <t>Sands Capital</t>
  </si>
  <si>
    <t>AI Fund</t>
  </si>
  <si>
    <t>Decibel, Village Global, AI Fund</t>
  </si>
  <si>
    <t>Village Global</t>
  </si>
  <si>
    <t>AI Compliance, Ethics</t>
  </si>
  <si>
    <t>South San Francisco</t>
  </si>
  <si>
    <t>Tanay Kothari</t>
  </si>
  <si>
    <t>Neo</t>
  </si>
  <si>
    <t>TriplePoint</t>
  </si>
  <si>
    <t>Modern Venture Partners</t>
  </si>
  <si>
    <t>TriplePoint Capital, Neo, NEA, Modern Venture Partners, 8VC, Vijay Krishnan, Fred Ehrsam, Arash Ferdowski</t>
  </si>
  <si>
    <t>Mind-reading wearable</t>
  </si>
  <si>
    <t>NEA, 8VC, AIX Ventures, Vijay Krishnan</t>
  </si>
  <si>
    <t>Testing code generation</t>
  </si>
  <si>
    <t>8VC, GTMfund, Correlation Ventures</t>
  </si>
  <si>
    <t>Correlation Ventures</t>
  </si>
  <si>
    <t>Ganesh Padmanabhan</t>
  </si>
  <si>
    <t>Syllable</t>
  </si>
  <si>
    <t>Ambi Robotics</t>
  </si>
  <si>
    <t>Asset Management Ventures (AMV), ATX Venture Partners, Loop Ventures, Next Practices Group</t>
  </si>
  <si>
    <t>Asset Management Ventures (AMV)</t>
  </si>
  <si>
    <t>Loop Ventures</t>
  </si>
  <si>
    <t>ATX Venture Partners</t>
  </si>
  <si>
    <t>Next Practices Group</t>
  </si>
  <si>
    <t>Hessam Bagherinezhad, Justin Uberti, Matt Welsh, Zach Koch</t>
  </si>
  <si>
    <t>Javascript library</t>
  </si>
  <si>
    <t>Redpoint, Signalfire, Madrona, Bloomberg Beta, Zetta, Kearny Jackson</t>
  </si>
  <si>
    <t>Signalfire</t>
  </si>
  <si>
    <t>Zetta, SignalFire, Bloomberg Beta, Kearny Jackson</t>
  </si>
  <si>
    <t>Seattle, WA</t>
  </si>
  <si>
    <t>Serverless</t>
  </si>
  <si>
    <t>Amir Haghighat, Pankaj Gupta, Philip Howes, Tuhin Srivastava</t>
  </si>
  <si>
    <t>Greylock, South Park Commons, AI Fund, Caffeinated Capital, DJ Patil, Dylan Field, Greg Brockman, Lachy Groom, Mustafa Suleyman</t>
  </si>
  <si>
    <t>South Park Commons</t>
  </si>
  <si>
    <t>Caffeinated Capital</t>
  </si>
  <si>
    <t>Greylock, South Park Commons, Lachy Groom, Jean-Denis Greze, Jay Simons, Dev Ittycheria, Cristina Cordova</t>
  </si>
  <si>
    <t>Glass Health</t>
  </si>
  <si>
    <t>Delafield, Wisconsin</t>
  </si>
  <si>
    <t>Corey Jaskolski</t>
  </si>
  <si>
    <t>Image labeling</t>
  </si>
  <si>
    <t>Lupa Systems</t>
  </si>
  <si>
    <t>Lupa Systems, TitletownTech, Esri, Booz Allen Ventures, Betaworks Ventures</t>
  </si>
  <si>
    <t>Titletown Tech</t>
  </si>
  <si>
    <t>Esri</t>
  </si>
  <si>
    <t>Booz Allen</t>
  </si>
  <si>
    <t>Ann Arbor, MI</t>
  </si>
  <si>
    <t>Brian Moore</t>
  </si>
  <si>
    <t>Computer Vision platform</t>
  </si>
  <si>
    <t>Datrics</t>
  </si>
  <si>
    <t>Top Harvest Capital</t>
  </si>
  <si>
    <t>Shasta Ventures</t>
  </si>
  <si>
    <t>Drive Capital</t>
  </si>
  <si>
    <t>eLab Ventures</t>
  </si>
  <si>
    <t>Top Harvest Capital, Shasta Ventures, Drive Capital</t>
  </si>
  <si>
    <t>Vitaly Gordon</t>
  </si>
  <si>
    <t>DevOps, monitoring</t>
  </si>
  <si>
    <t>SignalFire, Salesforce, Global Founders Capital, Maynard Webb, Frederic Kerrest, Adam Gross</t>
  </si>
  <si>
    <t>Former Salesforce people</t>
  </si>
  <si>
    <t>Mental Health</t>
  </si>
  <si>
    <t>Sydney, Australia</t>
  </si>
  <si>
    <t>Scalare Partners</t>
  </si>
  <si>
    <t>OpenSpace</t>
  </si>
  <si>
    <t>Chatbot customer service</t>
  </si>
  <si>
    <t>Bravo</t>
  </si>
  <si>
    <t>Zurich, Switzerland</t>
  </si>
  <si>
    <t>Andreas Krause, Martin Vechev, Pavol Bielik, Petar Tsankov</t>
  </si>
  <si>
    <t>OpenOcean, Atlantic Bridge, FPV Ventures, Global Founders Capital, b2venture</t>
  </si>
  <si>
    <t>OpenOcean</t>
  </si>
  <si>
    <t>Atlantic Bridge</t>
  </si>
  <si>
    <t>FPV Ventures</t>
  </si>
  <si>
    <t>Spark</t>
  </si>
  <si>
    <t>Big Data</t>
  </si>
  <si>
    <t>a16z, NEA, Franklin Templeton, Morgan Stanley</t>
  </si>
  <si>
    <t>Zuoyebang</t>
  </si>
  <si>
    <t>Edtech</t>
  </si>
  <si>
    <t>2013?</t>
  </si>
  <si>
    <t>Nuro</t>
  </si>
  <si>
    <t>UBTech Robotics</t>
  </si>
  <si>
    <t>Chinese AI/robotics</t>
  </si>
  <si>
    <t>MEGVII</t>
  </si>
  <si>
    <t>4Paradigm</t>
  </si>
  <si>
    <t>SambaNova Systems</t>
  </si>
  <si>
    <t>ContentSquare</t>
  </si>
  <si>
    <t>Momenta</t>
  </si>
  <si>
    <t>EV FSD</t>
  </si>
  <si>
    <t>Dataminr</t>
  </si>
  <si>
    <t>Pony.ai</t>
  </si>
  <si>
    <t>Dataiku</t>
  </si>
  <si>
    <t>MegaRobo</t>
  </si>
  <si>
    <t>HighRadius</t>
  </si>
  <si>
    <t>MiningLamp</t>
  </si>
  <si>
    <t>PatSnap</t>
  </si>
  <si>
    <t>b2venture</t>
  </si>
  <si>
    <t>ETH spinoff</t>
  </si>
  <si>
    <t>Global Founders Capital, b2venture</t>
  </si>
  <si>
    <t>Playment</t>
  </si>
  <si>
    <t>Weka</t>
  </si>
  <si>
    <t>Norwest Venture Partners, Signia Venture Partners</t>
  </si>
  <si>
    <t>Lavendar</t>
  </si>
  <si>
    <t>Signia Venture Partners</t>
  </si>
  <si>
    <t>Signia Venture Partners, Position Ventures, CapitalX, Troy Osinoff, CapitalX, Braydan Young, Arash Ferdowsi, Alex Lieberman</t>
  </si>
  <si>
    <t>CapitalX</t>
  </si>
  <si>
    <t>Position Ventures</t>
  </si>
  <si>
    <t>Will Allred</t>
  </si>
  <si>
    <t>Memphis, Tennessee</t>
  </si>
  <si>
    <t>Chris Lu</t>
  </si>
  <si>
    <t>Wing Venture Capital, Tiger Global, Sequoia, Craft Ventures, Elad Gil</t>
  </si>
  <si>
    <t>Atelier Ventures</t>
  </si>
  <si>
    <t>Craft Ventures, Sequoia Capital, Atelier Ventures</t>
  </si>
  <si>
    <t>Unpopular Ventures, Bill Yu</t>
  </si>
  <si>
    <t>Generative video, audio</t>
  </si>
  <si>
    <t>San Francisco, CA</t>
  </si>
  <si>
    <t>Ashray Malhotra, Nisheeth Lahoti, Shivam Mangla</t>
  </si>
  <si>
    <t>Red Ventures, Silver Lake, 8VC</t>
  </si>
  <si>
    <t>Red Ventures</t>
  </si>
  <si>
    <t>Rephrase AI</t>
  </si>
  <si>
    <t>Rephrase.AI</t>
  </si>
  <si>
    <t>AV8 Ventures</t>
  </si>
  <si>
    <t>Techstars</t>
  </si>
  <si>
    <t>Lightspeed India, AV8 Ventures</t>
  </si>
  <si>
    <t>Dedy Kredo, Itamar Friedman</t>
  </si>
  <si>
    <t>Workera</t>
  </si>
  <si>
    <t>Vine Ventures, TLV Partners</t>
  </si>
  <si>
    <t>Vine Ventures</t>
  </si>
  <si>
    <t>Richard Robinson</t>
  </si>
  <si>
    <t>Plural Platform, Episode 1, Tom Blomfield</t>
  </si>
  <si>
    <t>Episode 1</t>
  </si>
  <si>
    <t>SoftBank, Forward Partners, Episode 1, Tom Blomfield</t>
  </si>
  <si>
    <t>Forward Partners</t>
  </si>
  <si>
    <t>Episode 1, Will Martin, Will Brooks, Paul Massara, Oliver Burgel, Al Giles</t>
  </si>
  <si>
    <t>Amol Kelkar, Chandra Khatri, David Chu, Hung Tran, James Cremer, Peter Relan</t>
  </si>
  <si>
    <t>Enterprise LLM with 'guardrails'</t>
  </si>
  <si>
    <t>Relan Global</t>
  </si>
  <si>
    <t>Capricorn, Cito, TSVC</t>
  </si>
  <si>
    <t>YouWeb, Intel, Fosun RZ</t>
  </si>
  <si>
    <t>Salt Security</t>
  </si>
  <si>
    <t>Smart APIs?</t>
  </si>
  <si>
    <t>Lovo</t>
  </si>
  <si>
    <t>Salt Lake City, Utah</t>
  </si>
  <si>
    <t>Matrix Partners India, Elevation Capital, Yamini Bhat, Pushkar Mukewar, Ajay Arora, Ankit Bhati, Ashwini Asokan</t>
  </si>
  <si>
    <t>Elevation Capital, Vidit Aatrey, Sanjeev Barnwal, Kashyap Deorah, Ashish Goel</t>
  </si>
  <si>
    <t>Voice generation</t>
  </si>
  <si>
    <t>Elevation Capital</t>
  </si>
  <si>
    <t>Murf.AI</t>
  </si>
  <si>
    <t>Sweden</t>
  </si>
  <si>
    <t>Colin Treseler</t>
  </si>
  <si>
    <t>Transcribes meeting notes</t>
  </si>
  <si>
    <t>Balderton Capital, Acequia Capital, byFounders, EQT Ventures</t>
  </si>
  <si>
    <t>Balderton Capital</t>
  </si>
  <si>
    <t>byFounders</t>
  </si>
  <si>
    <t>EQT Ventures</t>
  </si>
  <si>
    <t>Acequia Capital</t>
  </si>
  <si>
    <t>Sixth Street</t>
  </si>
  <si>
    <t>Declaration Partners, SymphonyAI, Maverick, AllianceBernstein</t>
  </si>
  <si>
    <t>SymphonyAI</t>
  </si>
  <si>
    <t>Cambridge, MA</t>
  </si>
  <si>
    <t>Stellantis</t>
  </si>
  <si>
    <t>Softbank, Greylock, Toyota Ventures, Playground Global, GM Ventures, BMW I Ventures, DNX Ventures</t>
  </si>
  <si>
    <t>Playground Global, GM Ventures, Mitsui, DNX Ventures, Index Ventures</t>
  </si>
  <si>
    <t>Markus Linder</t>
  </si>
  <si>
    <t>FTV Capital</t>
  </si>
  <si>
    <t>Target Global, Beringea</t>
  </si>
  <si>
    <t>Beringea</t>
  </si>
  <si>
    <t>Element AI (ServiceNow)</t>
  </si>
  <si>
    <t>Caisse de Depot, M12, McKinsey, Pegasus Tech Ventures, Real Ventures, Hanwha Asset, DCVC</t>
  </si>
  <si>
    <t>Hammad Syed, Mahmoud Felfel</t>
  </si>
  <si>
    <t>Montreal</t>
  </si>
  <si>
    <t>Great TTS product</t>
  </si>
  <si>
    <t>Y Combinator, 500 Global</t>
  </si>
  <si>
    <t>500 Global</t>
  </si>
  <si>
    <t>Play.ht</t>
  </si>
  <si>
    <t>Todd Gottula</t>
  </si>
  <si>
    <t>Strados Labs</t>
  </si>
  <si>
    <t>Softbank, Spark, Sigmas Group, Rivas Capital, KKR, Insight Partners, Blackrock, Aspenwood Ventures, Memorial Hermann Hospital</t>
  </si>
  <si>
    <t>India</t>
  </si>
  <si>
    <t>May be defunct</t>
  </si>
  <si>
    <t>Rad AI</t>
  </si>
  <si>
    <t>Healthcare Platform</t>
  </si>
  <si>
    <t>Mubadala Capital Ventures, Tiger, Steadview, Schonfeld, Whale Rock, M12, Avidity, Dragoneer, OMERS</t>
  </si>
  <si>
    <t>Jumio (PE)</t>
  </si>
  <si>
    <t>Identity/KYC</t>
  </si>
  <si>
    <t>KYC</t>
  </si>
  <si>
    <t>Legal Transcription</t>
  </si>
  <si>
    <t>Eigen Technologies</t>
  </si>
  <si>
    <t>Digital Reasoning</t>
  </si>
  <si>
    <t>Enlitic</t>
  </si>
  <si>
    <t>Third Point Ventures, TCP Venture Capital, Vertex Growth Fund, Titan Capital partners, TCP Venture Capital, Sapphire Ventures, Smasung NEXT, More Capital, Disruptive AI Venture Capital, 40 North</t>
  </si>
  <si>
    <t>Beijing, China</t>
  </si>
  <si>
    <t>Zhang Mo</t>
  </si>
  <si>
    <t>Kogniz</t>
  </si>
  <si>
    <t>CV</t>
  </si>
  <si>
    <t>ZGC Group</t>
  </si>
  <si>
    <t>Chinese clients</t>
  </si>
  <si>
    <t>Sidney.ai</t>
  </si>
  <si>
    <t>D-ID.ai</t>
  </si>
  <si>
    <t>Moore Threads</t>
  </si>
  <si>
    <t>Enflame</t>
  </si>
  <si>
    <t>Cerebras</t>
  </si>
  <si>
    <t>Vastai Technologies</t>
  </si>
  <si>
    <t>Builder.ai</t>
  </si>
  <si>
    <t>Gong.io</t>
  </si>
  <si>
    <t>ThoughtSpot</t>
  </si>
  <si>
    <t>NotCo</t>
  </si>
  <si>
    <t>Skydio</t>
  </si>
  <si>
    <t>Meero</t>
  </si>
  <si>
    <t>Light Years Beyond</t>
  </si>
  <si>
    <t>AlphaSense</t>
  </si>
  <si>
    <t>GraphCore</t>
  </si>
  <si>
    <t>Shift Technology</t>
  </si>
  <si>
    <t>Plus</t>
  </si>
  <si>
    <t>EightFold AI</t>
  </si>
  <si>
    <t>Immunai</t>
  </si>
  <si>
    <t>Shield AI</t>
  </si>
  <si>
    <t>Soterea</t>
  </si>
  <si>
    <t>InterVenn</t>
  </si>
  <si>
    <t>Wayve</t>
  </si>
  <si>
    <t>Paradox</t>
  </si>
  <si>
    <t>Outreach</t>
  </si>
  <si>
    <t>Censius</t>
  </si>
  <si>
    <t>Groq</t>
  </si>
  <si>
    <t>Applied Intuition</t>
  </si>
  <si>
    <t>Vast Data</t>
  </si>
  <si>
    <t>H2O.ai</t>
  </si>
  <si>
    <t>Domino</t>
  </si>
  <si>
    <t>Labelbox</t>
  </si>
  <si>
    <t>Runpod</t>
  </si>
  <si>
    <t>Banana.dev</t>
  </si>
  <si>
    <t>Path Robotics</t>
  </si>
  <si>
    <t>ContractpodAI</t>
  </si>
  <si>
    <t>Cresta</t>
  </si>
  <si>
    <t>Privitar</t>
  </si>
  <si>
    <t>Relational.ai</t>
  </si>
  <si>
    <t>Habana</t>
  </si>
  <si>
    <t>Helsing</t>
  </si>
  <si>
    <t>Run.ai</t>
  </si>
  <si>
    <t>DeepL</t>
  </si>
  <si>
    <t>Digits</t>
  </si>
  <si>
    <t>Akasa</t>
  </si>
  <si>
    <t>Iguazio</t>
  </si>
  <si>
    <t>Neeva</t>
  </si>
  <si>
    <t>Unlearn</t>
  </si>
  <si>
    <t>Healx</t>
  </si>
  <si>
    <t>Comet</t>
  </si>
  <si>
    <t>Gretel</t>
  </si>
  <si>
    <t>Synthesia</t>
  </si>
  <si>
    <t>Otter.ai</t>
  </si>
  <si>
    <t>Leapyear</t>
  </si>
  <si>
    <t>Spring Discovery</t>
  </si>
  <si>
    <t>HireEz</t>
  </si>
  <si>
    <t>Tonic</t>
  </si>
  <si>
    <t>Parallel Domain</t>
  </si>
  <si>
    <t>MosaicML</t>
  </si>
  <si>
    <t>Impira</t>
  </si>
  <si>
    <t>Anyword</t>
  </si>
  <si>
    <t>Mostly AI</t>
  </si>
  <si>
    <t>Relyance</t>
  </si>
  <si>
    <t>Hebbia</t>
  </si>
  <si>
    <t>Gantry</t>
  </si>
  <si>
    <t>Superb AI</t>
  </si>
  <si>
    <t>Writer (writer.com)</t>
  </si>
  <si>
    <t>Outerbounds</t>
  </si>
  <si>
    <t>Coiled</t>
  </si>
  <si>
    <t>Luminai</t>
  </si>
  <si>
    <t>Galileo</t>
  </si>
  <si>
    <t>Scop Network</t>
  </si>
  <si>
    <t>Inceptive</t>
  </si>
  <si>
    <t>Bardeen</t>
  </si>
  <si>
    <t>EdgeDB</t>
  </si>
  <si>
    <t>Northbeam</t>
  </si>
  <si>
    <t>Rewind.ai</t>
  </si>
  <si>
    <t>Clear ML</t>
  </si>
  <si>
    <t>Heydey</t>
  </si>
  <si>
    <t>Regie.ai</t>
  </si>
  <si>
    <t>WhyLabs</t>
  </si>
  <si>
    <t>Neptune AI</t>
  </si>
  <si>
    <t>Omneky</t>
  </si>
  <si>
    <t>Docugami</t>
  </si>
  <si>
    <t>Kinetix</t>
  </si>
  <si>
    <t>Seldon</t>
  </si>
  <si>
    <t>Verta.ai</t>
  </si>
  <si>
    <t>Wonder Dynamics</t>
  </si>
  <si>
    <t>Wellsaid</t>
  </si>
  <si>
    <t>Swapp</t>
  </si>
  <si>
    <t>Kaskada</t>
  </si>
  <si>
    <t>Janus</t>
  </si>
  <si>
    <t>Copysmith</t>
  </si>
  <si>
    <t>Rosebud</t>
  </si>
  <si>
    <t>Deep Motion</t>
  </si>
  <si>
    <t>Fellow AI</t>
  </si>
  <si>
    <t>Hidden Door</t>
  </si>
  <si>
    <t>Voicemod</t>
  </si>
  <si>
    <t>OmniML</t>
  </si>
  <si>
    <t>Science.io</t>
  </si>
  <si>
    <t>Hopsworks</t>
  </si>
  <si>
    <t>Modal</t>
  </si>
  <si>
    <t>Tymely</t>
  </si>
  <si>
    <t>Wombo.ai</t>
  </si>
  <si>
    <t>Replica Studios</t>
  </si>
  <si>
    <t>Activeloop</t>
  </si>
  <si>
    <t>Modern Intelligence</t>
  </si>
  <si>
    <t>FeatureForm</t>
  </si>
  <si>
    <t>Twelve Labs</t>
  </si>
  <si>
    <t>Neu.ro</t>
  </si>
  <si>
    <t>Modzy</t>
  </si>
  <si>
    <t>Bento ML</t>
  </si>
  <si>
    <t>Circle Labs</t>
  </si>
  <si>
    <t>Dashworks</t>
  </si>
  <si>
    <t>AI Dungeon</t>
  </si>
  <si>
    <t>Claid (Let's Enhance)</t>
  </si>
  <si>
    <t>Datasaur</t>
  </si>
  <si>
    <t>Mubert</t>
  </si>
  <si>
    <t>Latitude.io</t>
  </si>
  <si>
    <t>Infuse AI</t>
  </si>
  <si>
    <t>Connectly</t>
  </si>
  <si>
    <t>Tavus</t>
  </si>
  <si>
    <t>Basetwo</t>
  </si>
  <si>
    <t>Regression Games</t>
  </si>
  <si>
    <t>Soundful</t>
  </si>
  <si>
    <t>Slai</t>
  </si>
  <si>
    <t>Superwise</t>
  </si>
  <si>
    <t>Buzz Solutions</t>
  </si>
  <si>
    <t>Humanloop</t>
  </si>
  <si>
    <t>Mintlify</t>
  </si>
  <si>
    <t>ZenML</t>
  </si>
  <si>
    <t>Plask</t>
  </si>
  <si>
    <t>Diagram</t>
  </si>
  <si>
    <t>ApertureData</t>
  </si>
  <si>
    <t>Adaya.ai</t>
  </si>
  <si>
    <t>Shaped AI</t>
  </si>
  <si>
    <t>CatalyzeX</t>
  </si>
  <si>
    <t>Compose AI</t>
  </si>
  <si>
    <t>Coqui</t>
  </si>
  <si>
    <t>Radical</t>
  </si>
  <si>
    <t>Aiva.ai</t>
  </si>
  <si>
    <t>Oxipit</t>
  </si>
  <si>
    <t>Dagshub</t>
  </si>
  <si>
    <t>SwingVision</t>
  </si>
  <si>
    <t>Valohai</t>
  </si>
  <si>
    <t>UbiOps</t>
  </si>
  <si>
    <t>Anduril</t>
  </si>
  <si>
    <t>Metaphor</t>
  </si>
  <si>
    <t>Evidently AI</t>
  </si>
  <si>
    <t>Hypotenuse AI</t>
  </si>
  <si>
    <t>Narrative</t>
  </si>
  <si>
    <t>Juice Labs</t>
  </si>
  <si>
    <t>Sieve</t>
  </si>
  <si>
    <t>OpenLayer</t>
  </si>
  <si>
    <t>Subsalt</t>
  </si>
  <si>
    <t>Elai.io</t>
  </si>
  <si>
    <t>Bhuman</t>
  </si>
  <si>
    <t>Cogram</t>
  </si>
  <si>
    <t>Unweave</t>
  </si>
  <si>
    <t>Mirage</t>
  </si>
  <si>
    <t>Qualdo</t>
  </si>
  <si>
    <t>Matrice AI</t>
  </si>
  <si>
    <t>Stenography</t>
  </si>
  <si>
    <t>Contenda</t>
  </si>
  <si>
    <t>Protecto.ai</t>
  </si>
  <si>
    <t>Chalk.ai</t>
  </si>
  <si>
    <t>Cerebrium</t>
  </si>
  <si>
    <t>3852.ai</t>
  </si>
  <si>
    <t>Playground.ai</t>
  </si>
  <si>
    <t>Everyprompt</t>
  </si>
  <si>
    <t>Tiyaro</t>
  </si>
  <si>
    <t>PromptLoop</t>
  </si>
  <si>
    <t>Ask Edith</t>
  </si>
  <si>
    <t>Debuild</t>
  </si>
  <si>
    <t>Claypot.ai</t>
  </si>
  <si>
    <t>DeepAI</t>
  </si>
  <si>
    <t>Vizcom</t>
  </si>
  <si>
    <t>Civixa</t>
  </si>
  <si>
    <t>Lexica</t>
  </si>
  <si>
    <t>Smartwriter.ai</t>
  </si>
  <si>
    <t>Explainpaper</t>
  </si>
  <si>
    <t>Growthbar</t>
  </si>
  <si>
    <t>LetterDrop</t>
  </si>
  <si>
    <t>Rytr</t>
  </si>
  <si>
    <t>Cleanlab</t>
  </si>
  <si>
    <t>Ryme.ai</t>
  </si>
  <si>
    <t>Xiaoice (fka Bombax)</t>
  </si>
  <si>
    <t>Digital humans, chatbot</t>
  </si>
  <si>
    <t>Hillhouse, Wuyuan Capital, Northern Light Venture, Neumann Advisors, NetEase, IDG Capital, GGV Capital, 5Y Capital</t>
  </si>
  <si>
    <t>Microsoft spinout? 660m users WW?</t>
  </si>
  <si>
    <t>Buoy Health</t>
  </si>
  <si>
    <t>Allon Bloch</t>
  </si>
  <si>
    <t>Healthcare app</t>
  </si>
  <si>
    <t>Valor Equity Partners, PICO Venture Partners, GGV Capital, Primary Ventures, Max Ventures, Marcy Venture Partners, LTS Investments, Kaiser Permanente, Counterpart Advisors, BoxGroup, Bienville Capital, Atreides Ventures, 14W</t>
  </si>
  <si>
    <t>Valor Equity Partners</t>
  </si>
  <si>
    <t>PICO Venture Partners</t>
  </si>
  <si>
    <t>Primary Ventures</t>
  </si>
  <si>
    <t>Max Ventures</t>
  </si>
  <si>
    <t>Marcy Venture Partners</t>
  </si>
  <si>
    <t>LTS Investments</t>
  </si>
  <si>
    <t>Kaiser Permanente</t>
  </si>
  <si>
    <t>Counterpart Advisors</t>
  </si>
  <si>
    <t>BoxGroup</t>
  </si>
  <si>
    <t>Bienville Capital</t>
  </si>
  <si>
    <t>Atreides Ventures</t>
  </si>
  <si>
    <t>14W</t>
  </si>
  <si>
    <t>Lerer Hippeau</t>
  </si>
  <si>
    <t>Elevance Health</t>
  </si>
  <si>
    <t>Blackpine</t>
  </si>
  <si>
    <t>Mangrove VC / Capital Partners</t>
  </si>
  <si>
    <t>Valor Equity Partners, PICO Venture Partners, Max Ventures, Marcy Venture Partners, Atreides Management, 14W</t>
  </si>
  <si>
    <t>Mangrove, 14W, Primary, Max, Lerer Hippeau, Elevance Health, Comcast, BoxGroup, BlackPine, 14W</t>
  </si>
  <si>
    <t>Mangrove, Comcast, 14W, Primary Ventures, Max Ventures, Lerer Hippeau, BoxGroup, bessemer</t>
  </si>
  <si>
    <t>Primary Venture Partners, Mangrove, Lerer Hippeau, Comcast</t>
  </si>
  <si>
    <t>Call center</t>
  </si>
  <si>
    <t>Vanti AI</t>
  </si>
  <si>
    <t>Sharath Keshava Narayana, Swapnil Jain</t>
  </si>
  <si>
    <t>Call Centers</t>
  </si>
  <si>
    <t>Softbank, Zoom, Steadview, Scale, NGP Capital, Nexus Venture Partners, Next47, Menlo Ventures, Emergent Ventures</t>
  </si>
  <si>
    <t>Observe.ai</t>
  </si>
  <si>
    <t>Steadview Capital</t>
  </si>
  <si>
    <t>NGP Capital</t>
  </si>
  <si>
    <t>Next47</t>
  </si>
  <si>
    <t>Observe AI</t>
  </si>
  <si>
    <t>Menlo Ventures, Scale Venture Partners, NGP Capital, Next47, Emergent Ventures, Bossanova Investimentos</t>
  </si>
  <si>
    <t>Scale Venture Partners, Steadview, Nexuxs Venture, Emergent, 01 Advisors</t>
  </si>
  <si>
    <t>01 Advisors</t>
  </si>
  <si>
    <t>Nexus Venture Partners, Y Combinator, MGV, Liquid 2 Ventures, Hack VC, Emergent Ventures, Nick Candito, Jonathan Downey, Gokul Rajaram</t>
  </si>
  <si>
    <t>MGV</t>
  </si>
  <si>
    <t>Liquid 2 Ventures</t>
  </si>
  <si>
    <t>Scale Venture Partners, Steadview Capital, Nexus Venture Partners, Emergent Ventures, 01 Advisors</t>
  </si>
  <si>
    <t>Loiusville, KY</t>
  </si>
  <si>
    <t>Weather</t>
  </si>
  <si>
    <t>Chris Goode</t>
  </si>
  <si>
    <t>The Rise Fund</t>
  </si>
  <si>
    <t>Forecasting. "Dalton AI"</t>
  </si>
  <si>
    <t>Esha Joshi, Varun Puri</t>
  </si>
  <si>
    <t>Communication</t>
  </si>
  <si>
    <t>Communication improvement tool</t>
  </si>
  <si>
    <t>Madrona, Cercano Management, J4.Ventures, Ascend, Renn Vara, Maureen Taylor, Jeff Richards, Dave Rosenberg</t>
  </si>
  <si>
    <t>Cercano Management</t>
  </si>
  <si>
    <t>J4.Ventures</t>
  </si>
  <si>
    <t>Allen AI, Madrona</t>
  </si>
  <si>
    <t>Allen Institute for AI</t>
  </si>
  <si>
    <t>Charlotte, NC</t>
  </si>
  <si>
    <t>Lucien Leighton</t>
  </si>
  <si>
    <t>Seoul, South Korea</t>
  </si>
  <si>
    <t>Vcat.ai (Pion)</t>
  </si>
  <si>
    <t>Premier Partners, SmileGate, KT Investment, KB Investment</t>
  </si>
  <si>
    <t>AI promotional videos</t>
  </si>
  <si>
    <t>San Jose, CA</t>
  </si>
  <si>
    <t>Clear Ventures, Wipro Ventures, Engineering Capital</t>
  </si>
  <si>
    <t>Binny Gill</t>
  </si>
  <si>
    <t>BPO</t>
  </si>
  <si>
    <t>Exception handling</t>
  </si>
  <si>
    <t>Clear Ventures</t>
  </si>
  <si>
    <t>Wipro Ventures</t>
  </si>
  <si>
    <t>Engineering Capital, Clear Ventures</t>
  </si>
  <si>
    <t>Amit Eyal Govrin, Shaked Askayo</t>
  </si>
  <si>
    <t>DevOps</t>
  </si>
  <si>
    <t>Hyperwise Ventures, Pierre Lamond, Giora Yaron, Avery More</t>
  </si>
  <si>
    <t>Hyperwise</t>
  </si>
  <si>
    <t>ChatGPT for DevOps</t>
  </si>
  <si>
    <t>Workplace Safety</t>
  </si>
  <si>
    <t>Ciarán O'Mara, Dan Hobbs</t>
  </si>
  <si>
    <t>Kebotix</t>
  </si>
  <si>
    <t>Swoop (W2O)</t>
  </si>
  <si>
    <t>Animato</t>
  </si>
  <si>
    <t>Minion.ai</t>
  </si>
  <si>
    <t>Recraft</t>
  </si>
  <si>
    <t>Flair</t>
  </si>
  <si>
    <t>ValueBase</t>
  </si>
  <si>
    <t>Cursor</t>
  </si>
  <si>
    <t>PolyCorp</t>
  </si>
  <si>
    <t>Sameday</t>
  </si>
  <si>
    <t>Ghostwrite</t>
  </si>
  <si>
    <t>Rowy</t>
  </si>
  <si>
    <t>Birch</t>
  </si>
  <si>
    <t>Samaya AI</t>
  </si>
  <si>
    <t>Secret Weapons</t>
  </si>
  <si>
    <t>Pixelcut</t>
  </si>
  <si>
    <t>AniML</t>
  </si>
  <si>
    <t>Forefront</t>
  </si>
  <si>
    <t>CCTV CV</t>
  </si>
  <si>
    <t>Notion Capital, SCOR Ventures, Playfair Capital, Flexport, Firstminute Capital, Elkstone Capital Partners, CircleRock Capital</t>
  </si>
  <si>
    <t>Notion Capital</t>
  </si>
  <si>
    <t>SCOR Ventures</t>
  </si>
  <si>
    <t>Playfair Capital</t>
  </si>
  <si>
    <t>Elkstone Capital Partners</t>
  </si>
  <si>
    <t>CircleRock</t>
  </si>
  <si>
    <t>Conversational</t>
  </si>
  <si>
    <t>Bobby Tang, James Lo</t>
  </si>
  <si>
    <t>CoPilot AI</t>
  </si>
  <si>
    <t>Mana (withmana.com)</t>
  </si>
  <si>
    <t>Various tools</t>
  </si>
  <si>
    <t>Goodwater Capital</t>
  </si>
  <si>
    <t>Global Founders, Flash Ventures</t>
  </si>
  <si>
    <t>London, UK</t>
  </si>
  <si>
    <t>Flash Ventures</t>
  </si>
  <si>
    <t>Amit Ben Shahar, Asi Shefer, Aviv Dror, Yochai Levi</t>
  </si>
  <si>
    <t>Low-code, no-code API</t>
  </si>
  <si>
    <t>TechAviv Founder Partners, Ariel Maislos, Tomer Weingarten</t>
  </si>
  <si>
    <t>TechAviv Founder Partners</t>
  </si>
  <si>
    <t>Pretty cool</t>
  </si>
  <si>
    <t>Shaun Modi</t>
  </si>
  <si>
    <t>HMOs</t>
  </si>
  <si>
    <t>468 Capital, Tokyo Black, Sanno Capital, Nomad Capital, Fuel Capital, AirAngels, Designer Fund, Chase Coleman, Brian Chesky, John McCormick</t>
  </si>
  <si>
    <t>Tokyo Black</t>
  </si>
  <si>
    <t>Sanno Capital</t>
  </si>
  <si>
    <t>Nomad Capital</t>
  </si>
  <si>
    <t>Fuel Capital</t>
  </si>
  <si>
    <t>Designer Fund</t>
  </si>
  <si>
    <t>AirAngels</t>
  </si>
  <si>
    <t>Dr. Alon Talmor</t>
  </si>
  <si>
    <t>ex-Salesforce</t>
  </si>
  <si>
    <t>Enterprise search</t>
  </si>
  <si>
    <t>Vertex Ventures Israel, State of Mind Ventures, Web Summit Ventures, Interplay, GuideStar Ventures, GTMfund, Gefen Capital, Firsthand Technology Value Fund, Alliance Global Partners, Yakir Daniel, Ran Sarig, Or Hiltch, Omri Barzilay, Michael Matias, Guy Zipori, Efi Cohen, Barak Goldstein</t>
  </si>
  <si>
    <t>State of Mind Ventures</t>
  </si>
  <si>
    <t>Web Summit Ventures</t>
  </si>
  <si>
    <t>Interplay</t>
  </si>
  <si>
    <t>GuideStar Ventures</t>
  </si>
  <si>
    <t>Gefen Capital</t>
  </si>
  <si>
    <t>Firsthand Technology Value Fund</t>
  </si>
  <si>
    <t>Alliance Global Partners</t>
  </si>
  <si>
    <t>Ask AI (Irvine, CA)</t>
  </si>
  <si>
    <t>NinjaTech AI</t>
  </si>
  <si>
    <t>Babak Pahlavan, Sam Naghshineh</t>
  </si>
  <si>
    <t>SRI Ventures, DCVC, Candou Ventures, Laszlo Bock</t>
  </si>
  <si>
    <t>ex-GOOG, META, AWS</t>
  </si>
  <si>
    <t>Enterprise personal assistant</t>
  </si>
  <si>
    <t>SRI Ventures</t>
  </si>
  <si>
    <t>DCVC</t>
  </si>
  <si>
    <t>Candou Ventures</t>
  </si>
  <si>
    <t>Los Altos, CA</t>
  </si>
  <si>
    <t>Rajat Mishra</t>
  </si>
  <si>
    <t>Greycroft, WestWave Capital, Emergent Ventures, Zoom</t>
  </si>
  <si>
    <t>Slideshow/presentations</t>
  </si>
  <si>
    <t>Presentations</t>
  </si>
  <si>
    <t>Greycroft</t>
  </si>
  <si>
    <t>WestWave Capital</t>
  </si>
  <si>
    <t>Reka</t>
  </si>
  <si>
    <t>Healthcare, IVR</t>
  </si>
  <si>
    <t>Israel Krush, Rom Cohen</t>
  </si>
  <si>
    <t>Pryon</t>
  </si>
  <si>
    <t>Macquarie Capital, Spero Ventures, Mindset Ventures, K20 Fund, Black Opal Ventures, Hanaco Venture Capital, Liberty Mutual Strategic Ventures</t>
  </si>
  <si>
    <t>Macquarie Capital</t>
  </si>
  <si>
    <t>Spero Ventures</t>
  </si>
  <si>
    <t>Mindset Ventures</t>
  </si>
  <si>
    <t>Liberty Mutual Strategic Ventures</t>
  </si>
  <si>
    <t>K20 Fund</t>
  </si>
  <si>
    <t>Hanaco Venture Capital</t>
  </si>
  <si>
    <t>Black Opal Ventures</t>
  </si>
  <si>
    <t>Spero Ventures, Twilio, Spider Capital, Mindset Ventures, Hanaco Venture Capital, Entrepreneurs Roundtable Accelerator</t>
  </si>
  <si>
    <t>Hanaco Venture Capital, Spider Capital, ERA Capital Partners</t>
  </si>
  <si>
    <t>Entrepreneurs Roundtable Accelerator (ERA Capital Partners?)</t>
  </si>
  <si>
    <t>Entrepreneurs Roundtable Accelerator, Dorm Room Fund, Cornell Tech</t>
  </si>
  <si>
    <t>Dorm Room Fund</t>
  </si>
  <si>
    <t>Cornell Tech</t>
  </si>
  <si>
    <t>DST Global Partners, Radical Ventures, Snowflake</t>
  </si>
  <si>
    <t>Contextual AI</t>
  </si>
  <si>
    <t>LlamaIndex</t>
  </si>
  <si>
    <t>2022?</t>
  </si>
  <si>
    <t>Reka AI</t>
  </si>
  <si>
    <t>DST Global</t>
  </si>
  <si>
    <t>Yasa: enterprise LLM</t>
  </si>
  <si>
    <t>Georgian, Twilio, Point72 Ventures, Khosla Ventures, Amadeus Capital Partners</t>
  </si>
  <si>
    <t>Georgian</t>
  </si>
  <si>
    <t>Khosla Ventures, Sands Capital Ventures, Point72 Ventures, Passion Capital, Entrepreneur First, Amadeus Capital Partners</t>
  </si>
  <si>
    <t>Passion Capital</t>
  </si>
  <si>
    <t>Entrepreneur First</t>
  </si>
  <si>
    <t>Point72 Ventures, Sands Capital Ventures, Passion Capital, Entrepreneur First, Amadeus Capital Partners</t>
  </si>
  <si>
    <t>UiPath</t>
  </si>
  <si>
    <t>Patient communication</t>
  </si>
  <si>
    <t>Lead Edge Capital, Summation Health Ventures, Structure Capital, Martin Ventures, Jackson Square Ventures, Health Velocity Capital, Freestyle Capital</t>
  </si>
  <si>
    <t>Lead Edge Capital</t>
  </si>
  <si>
    <t>Summation Health Ventures</t>
  </si>
  <si>
    <t>Structure Capital</t>
  </si>
  <si>
    <t>Martin Ventures</t>
  </si>
  <si>
    <t>Jackson Square Ventures</t>
  </si>
  <si>
    <t>Freestyle Capital</t>
  </si>
  <si>
    <t>Health Velocity Capital</t>
  </si>
  <si>
    <t>Techstars, Freestyle Capital</t>
  </si>
  <si>
    <t>Jackson Square Ventures, TenOneTen Ventures, Techstars, Freestyle Capital</t>
  </si>
  <si>
    <t>TenOneTen Ventures, Freestyle Capital, Cedars-Sinai Accelerator, Techstars</t>
  </si>
  <si>
    <t>Techstars, Cedars-Sinai Accelerator, Arch Grants</t>
  </si>
  <si>
    <t>Artera (artera.io, Well Health)</t>
  </si>
  <si>
    <t>Guillaume De Zwirek, Joe Tischler</t>
  </si>
  <si>
    <t>Santa Barbara, CA</t>
  </si>
  <si>
    <t>ArteraAI (artera.com)</t>
  </si>
  <si>
    <t>Andre Esteva</t>
  </si>
  <si>
    <t>Diagnostics</t>
  </si>
  <si>
    <t>Coatue, Breyer Capital, J&amp;J, Koch Disruptive Technologies, Walden Catalyst, Time Ventures, TheFactory, Steve Blank, Michael Driscoll, Marc Benioff, Lip-Bu Tan, Jim Breyer, Jeff Dean, Dennis Wong, Clarence So, Chris Re, Amarjit Gill</t>
  </si>
  <si>
    <t>San Francisco, AI</t>
  </si>
  <si>
    <t>Photography</t>
  </si>
  <si>
    <t>Photo</t>
  </si>
  <si>
    <t>Oleg Rogynskyy</t>
  </si>
  <si>
    <t>Revenue/Sales Management</t>
  </si>
  <si>
    <t>Mubadala Capital, Akkadian Ventures, Sand Hill Angels, Lightspeed Venture Partners, ICONIQ, Gaingels</t>
  </si>
  <si>
    <t>ICONIQ, Y Combinator, Maropost Ventures, GGV Capital, Frontline Ventures, a16z, Lightspeed Venture Partners, John Thompson, Godfrey Sullivan, Frank Slootman</t>
  </si>
  <si>
    <t>Akkadian Ventures</t>
  </si>
  <si>
    <t>Sand Hill Angels</t>
  </si>
  <si>
    <t>Maropost Ventures</t>
  </si>
  <si>
    <t>Frontline Ventures</t>
  </si>
  <si>
    <t>a16z, Lightspeed Venture Partners, GGV Capital, Y Combinator</t>
  </si>
  <si>
    <t>Lightspeed, Y Combinator, SVA, Shasta Ventures, Mindrock Capital, Index Ventures, Ross Mason, Kendall Collins, Jake Seid, Dharmesh Shah, David Schellhase, Brian Goldfarb</t>
  </si>
  <si>
    <t>Mindrock Capital</t>
  </si>
  <si>
    <t>Zillionzire, Y Combinator, SVA, Haystack, Garage Technology Ventures, CSC Upshot, 408 Ventures, Aventures Capital</t>
  </si>
  <si>
    <t>Zillionize</t>
  </si>
  <si>
    <t>Haystack</t>
  </si>
  <si>
    <t>Garage Technology Ventures</t>
  </si>
  <si>
    <t>CSC Upshot</t>
  </si>
  <si>
    <t>408 Ventures</t>
  </si>
  <si>
    <t>Aventures Capital</t>
  </si>
  <si>
    <t>Potrero</t>
  </si>
  <si>
    <t>Northwell, Aegis Ventures</t>
  </si>
  <si>
    <t>Venture studio/platform</t>
  </si>
  <si>
    <t>Peltarion (King.com/ATVI)</t>
  </si>
  <si>
    <t>Stockholm, Sweden</t>
  </si>
  <si>
    <t>Euclidean Capital, FAM AB, EQT Ventures</t>
  </si>
  <si>
    <t>AB Tasty</t>
  </si>
  <si>
    <t>Anzu Partners, The E14 Fund, Silicon Catalyst, Scout Ventures, Schams Ventures, Alumni Ventures, AlleyCorp</t>
  </si>
  <si>
    <t>FPGA</t>
  </si>
  <si>
    <t>FPGA for AI</t>
  </si>
  <si>
    <t>Brooklyn, NY</t>
  </si>
  <si>
    <t>Daniel Kobran, Dillon Erb</t>
  </si>
  <si>
    <t>Sorenson Capital, Intel Capital, SineWave Ventures, Battery Ventures, Rocketship.vc, Initialized Capital</t>
  </si>
  <si>
    <t>GPU Cloud Compute</t>
  </si>
  <si>
    <t>Ludlow Ventures, Initialized Capital, DCVC</t>
  </si>
  <si>
    <t>Transmedia Capital, InnoSpring Seed Fund, DCVC, Amino Capital</t>
  </si>
  <si>
    <t>Zillionize, Ludlow Ventures, Fusion Fund</t>
  </si>
  <si>
    <t>Y Combinator, QueensBridge Venture Partners, InnoSpring Seed Fund, Center Electric</t>
  </si>
  <si>
    <t>SineWave Ventures</t>
  </si>
  <si>
    <t>Rocketship.vc</t>
  </si>
  <si>
    <t>Initialized Capital</t>
  </si>
  <si>
    <t>Ludlow Ventures</t>
  </si>
  <si>
    <t>Lupa Systems, Titletown Tech, Betaworks, Esri, Booz Allen, Betaworks Ventures</t>
  </si>
  <si>
    <t>Lupa Systems, TitletownTech, Betawork Ventures</t>
  </si>
  <si>
    <t>Vector</t>
  </si>
  <si>
    <t>Quiet Capital, Spencer Kimball, Naval Ravikant, Max Altman, Jordan Tigani, Jack Altman, Guillermo Rauch, Amjad Masad, Akshay Kothari</t>
  </si>
  <si>
    <t>Nat Friedman, James Cham, Daniel Gross, Anthony Goldbloom</t>
  </si>
  <si>
    <t>My favorite VDB</t>
  </si>
  <si>
    <t>Data Explorer</t>
  </si>
  <si>
    <t>LLMOps</t>
  </si>
  <si>
    <t>Andriy Mulyar</t>
  </si>
  <si>
    <t>Dentistry</t>
  </si>
  <si>
    <t>Asaf Moses</t>
  </si>
  <si>
    <t>Boston, MA</t>
  </si>
  <si>
    <t>Christian Salem</t>
  </si>
  <si>
    <t>Scientific Research</t>
  </si>
  <si>
    <t>Draper Associates, Winklevoss Capital, Alumni Ventures, Nomad Capital, Rob May, Kevin Carter, Brian Pokorny, Billy Draper</t>
  </si>
  <si>
    <t>Winklevoss Capital, Permit Ventures, Laurence Innovation, Chey Capital, Bettor Capital, Sam Parr, Peter Jennings, Mike R. Walsh, Joe Speiser</t>
  </si>
  <si>
    <t>Research</t>
  </si>
  <si>
    <t>Draper Associates</t>
  </si>
  <si>
    <t>Winklevoss Capital</t>
  </si>
  <si>
    <t>Alumni Capital</t>
  </si>
  <si>
    <t>Permit Ventures</t>
  </si>
  <si>
    <t>Laurence Innovation</t>
  </si>
  <si>
    <t>Chey Capital</t>
  </si>
  <si>
    <t>Bettor Capital</t>
  </si>
  <si>
    <t>Medical AI</t>
  </si>
  <si>
    <t>Not really AI</t>
  </si>
  <si>
    <t>Sequoia Capital, SVA, A.Capital Ventures, Ronald Conway, Michael Stoppelman, Michael Ovitz, Kevin Hartz, Frank Slootman, Clement Delangue</t>
  </si>
  <si>
    <t>Revenue/BI</t>
  </si>
  <si>
    <t>Kumo</t>
  </si>
  <si>
    <t>Kumo.ai</t>
  </si>
  <si>
    <t>Sequoia, SVA, A.Capital, Tristan handy, Sridhar Ramaswamy, Ronald Conway, Rob Eldridge, Li Fan, Igor Perisic, Greg Greeley, David Chaiken, Cory Scott</t>
  </si>
  <si>
    <t>KIMO</t>
  </si>
  <si>
    <t>Krishna Deepak Nallamilli, Rens ter Weijde</t>
  </si>
  <si>
    <t>Individualized learning paths</t>
  </si>
  <si>
    <t>Amsterdam</t>
  </si>
  <si>
    <t>Dong Wang, Hema Raghavan, Jure Leskovec, Vanja Josifovski</t>
  </si>
  <si>
    <t>Jerome Monceaux</t>
  </si>
  <si>
    <t>Humanoid</t>
  </si>
  <si>
    <t>Mirokai, furry robot</t>
  </si>
  <si>
    <t>Audio</t>
  </si>
  <si>
    <t>3D Reconstruction</t>
  </si>
  <si>
    <t>Bangalore, India</t>
  </si>
  <si>
    <t>Jo Aggarwal, Ramakant Vempati</t>
  </si>
  <si>
    <t>Not really AI, using chatbot</t>
  </si>
  <si>
    <t>Practo</t>
  </si>
  <si>
    <t>Neteera</t>
  </si>
  <si>
    <t>HealthQuad, W Health Ventures, Pi Ventures, Kae Capital, Google Assistant Investments, British International Investment</t>
  </si>
  <si>
    <t>W Health Ventures, Pi Ventures, Kae Capital, Google Assistant Investments</t>
  </si>
  <si>
    <t>Pi Ventures, Kae Capital</t>
  </si>
  <si>
    <t xml:space="preserve">Kae Capital, </t>
  </si>
  <si>
    <t>Asian startup search engine</t>
  </si>
  <si>
    <t>Jordan Monnet, Maxim Parr</t>
  </si>
  <si>
    <t>Simon Robey, Jacob Rothschild</t>
  </si>
  <si>
    <t>Cambridge, UK</t>
  </si>
  <si>
    <t>"Agentverse"</t>
  </si>
  <si>
    <t>Humayun Sheikh, Thomas Hain, Toby Simpson</t>
  </si>
  <si>
    <t>GDA Group</t>
  </si>
  <si>
    <t>Outlier Ventures, Blockwall</t>
  </si>
  <si>
    <t>Hard to take seriously</t>
  </si>
  <si>
    <t>Avaamo</t>
  </si>
  <si>
    <t>Debanjan Saha, Jeremy Achin, Thomas DeGodoy</t>
  </si>
  <si>
    <t>Series G</t>
  </si>
  <si>
    <t>Tiger, Altimeter, Sutter Hill, Salesforce, HMC Capital, Franklin Templeton, Counterpoint Global</t>
  </si>
  <si>
    <t>DataRobot</t>
  </si>
  <si>
    <t>Altimeter</t>
  </si>
  <si>
    <t>Sutter Hill Ventures</t>
  </si>
  <si>
    <t>HMC Capital</t>
  </si>
  <si>
    <t>Franklin Templeton Investments</t>
  </si>
  <si>
    <t>Counterpoint Global</t>
  </si>
  <si>
    <t>Oryx Ventures</t>
  </si>
  <si>
    <t>Glynn Capital</t>
  </si>
  <si>
    <t>ClearBridge Investments</t>
  </si>
  <si>
    <t>Altimeter Capital, T. Rowe Price, Tiger, Silver Lake, Sapphire Ventures, Oryx Ventures, NEA, Glynn Capital, ClearBridge, BlackRock, B Capital, Snowflake, Salesforce, J-Ventures, HP Enterprise</t>
  </si>
  <si>
    <t>J-Ventures</t>
  </si>
  <si>
    <t>Hewlett Packard Enterprise</t>
  </si>
  <si>
    <t>Sapphire Ventures, World Innovation Lab, Tiger, Sands Capital Ventures, Oryx Ventures, MEA, Meritech Capital, Intel, GoldenArc, Geodesic, EDBI, DFJ Growth, AllianceBernstein</t>
  </si>
  <si>
    <t>World Innovation Lab</t>
  </si>
  <si>
    <t>Meritech Capital</t>
  </si>
  <si>
    <t>GoldenArc Capital</t>
  </si>
  <si>
    <t>Geodesic Capital</t>
  </si>
  <si>
    <t>EDBI</t>
  </si>
  <si>
    <t>DFJ Growth</t>
  </si>
  <si>
    <t>AllianceBernstein</t>
  </si>
  <si>
    <t>Sapphire Ventures, Meritech Capital Partners, NEA, Intel, IA Ventures, DFJ Growth</t>
  </si>
  <si>
    <t>NEA, Plug and Play, Omega Venture, Accomplice</t>
  </si>
  <si>
    <t>Omega Venture Partners</t>
  </si>
  <si>
    <t>Accomplice</t>
  </si>
  <si>
    <t>Gladly</t>
  </si>
  <si>
    <t>Joseph Reisinger, Matt Stanton</t>
  </si>
  <si>
    <t>Image Tools</t>
  </si>
  <si>
    <t>Image</t>
  </si>
  <si>
    <t>Image Workflow</t>
  </si>
  <si>
    <t>Two Sigma Ventures, Spacecadet Ventures, South Park Commons, Slow Ventures, Basis Set Ventures, Accel</t>
  </si>
  <si>
    <t>Two Sigma Ventures</t>
  </si>
  <si>
    <t>Facet</t>
  </si>
  <si>
    <t>Spacecadet Ventures</t>
  </si>
  <si>
    <t>Slow Ventures</t>
  </si>
  <si>
    <t>Basis Set Ventures</t>
  </si>
  <si>
    <t>Spacecadet Ventures, 10X Capital</t>
  </si>
  <si>
    <t>10X Capital</t>
  </si>
  <si>
    <t>Gaingels, Accel, Bossanova, South Park Commons, Slow Ventures, Pareto Holdings, Kevin Mahaffey, Edward Lando</t>
  </si>
  <si>
    <t>Toronto, Canada</t>
  </si>
  <si>
    <t>Saqib Muhammad, Zohaib Ahmed</t>
  </si>
  <si>
    <t>Modulate</t>
  </si>
  <si>
    <t>Firstminute Capital, Craft Ventures, Betaworks, AET Fund</t>
  </si>
  <si>
    <t>Resemble AI</t>
  </si>
  <si>
    <t>Resemble</t>
  </si>
  <si>
    <t>AET Fund</t>
  </si>
  <si>
    <t>GMG Ventures, Firstminute Capital, Craft Ventures, Canaan Partners, Betaworks Ventures, AET Fund</t>
  </si>
  <si>
    <t>Houston, TX</t>
  </si>
  <si>
    <t>Text-to-Image</t>
  </si>
  <si>
    <t>PicSo</t>
  </si>
  <si>
    <t>2080 Ventures</t>
  </si>
  <si>
    <t>Alison Darcy</t>
  </si>
  <si>
    <t>Corporate</t>
  </si>
  <si>
    <t>Leaps by Bayer</t>
  </si>
  <si>
    <t>Temasek, Jazz, What If, Owl Ventures, NEA, Mirae Asset, Kicker Ventures, Gaingels, Bossanova, BlackRock, Alumni Ventures, AI Fund</t>
  </si>
  <si>
    <t>Jazz Venture Partners</t>
  </si>
  <si>
    <t>Owl Ventures</t>
  </si>
  <si>
    <t>What If Ventures</t>
  </si>
  <si>
    <t>Kicker Ventures</t>
  </si>
  <si>
    <t>AI Fund, NEA, Social Discovery Group, Jazz Venture Partners, Gaingels</t>
  </si>
  <si>
    <t>Social Discovery Group</t>
  </si>
  <si>
    <t>Amit Gupta</t>
  </si>
  <si>
    <t>AI Trader</t>
  </si>
  <si>
    <t>Copy</t>
  </si>
  <si>
    <t>Sequoia Capital, XYZ Venture Capital, Tiny Super Computer Investment Company, Seedcamp, GG1, Motier Ventures, Connect, AI Grant, Romain Niccoli, Olivier Pomel, Nicolas Brusson, Matthieu Rouif, Mathilde Collin, Julien Codorniou, Julien Chaumond, Jean-Charles, Samuelian-Werve, Irwan Bello, Igor Babushkin, Howie Liu, Eleonore Crespo, Charles Gorintin</t>
  </si>
  <si>
    <t>XYZ Venture Capital</t>
  </si>
  <si>
    <t>Tiny Super Computer Investment Company</t>
  </si>
  <si>
    <t>Seedcamp</t>
  </si>
  <si>
    <t>GG1</t>
  </si>
  <si>
    <t>Connect</t>
  </si>
  <si>
    <t>Tools</t>
  </si>
  <si>
    <t>Business tools, very generic</t>
  </si>
  <si>
    <t>Sausalito, CA</t>
  </si>
  <si>
    <t>Design Tool</t>
  </si>
  <si>
    <t>Design</t>
  </si>
  <si>
    <t>Abu Dhabi, UAE</t>
  </si>
  <si>
    <t>G42 (Group 42, UAE)</t>
  </si>
  <si>
    <t>UAE based, 10B fund, Conglomerate</t>
  </si>
  <si>
    <t>Mubadala, Silver Lake</t>
  </si>
  <si>
    <t>Dror Weiss, Eran Yahav</t>
  </si>
  <si>
    <t>Code completion</t>
  </si>
  <si>
    <t>Samsung NEXT, Qualcomm Ventures, OurCrowd, TPY Capital, Khosla Ventures, Hetz Ventures, Headline</t>
  </si>
  <si>
    <t>TPY Capital</t>
  </si>
  <si>
    <t>Qualcomm</t>
  </si>
  <si>
    <t>OurCrowd</t>
  </si>
  <si>
    <t>Hetz Ventures</t>
  </si>
  <si>
    <t>Headline, TPY Capital, Khosla, Hetz</t>
  </si>
  <si>
    <t>AI Gun Detection</t>
  </si>
  <si>
    <t>Safety</t>
  </si>
  <si>
    <t>Philadelphia, PA</t>
  </si>
  <si>
    <t>Billy Hunter, Caleb Jones, Dustin Brooks, Mike Lahiff, Rob Huberty, Sam Alaimo, Tim Sulzer</t>
  </si>
  <si>
    <t>Octave Ventures LLC, Legion Capital, Grateful Ventures, Alpha Intelligence Capital, Alliance Holdings GP</t>
  </si>
  <si>
    <t>Natoma, Legion Capital, Grateful Ventures, Backswing Ventures</t>
  </si>
  <si>
    <t>Irving, Texas</t>
  </si>
  <si>
    <t>Ruben Amarasingham</t>
  </si>
  <si>
    <t>Concord Health Partners, OSF Ventures, Children's Health</t>
  </si>
  <si>
    <t>Hospital readmission</t>
  </si>
  <si>
    <t>OSF Ventures</t>
  </si>
  <si>
    <t>Concord Health Partners</t>
  </si>
  <si>
    <t>Children's Health</t>
  </si>
  <si>
    <t>Pacific Advantage Capital, Jump Capital, Tribeca Early Stage Partners, Saint Francis Health System, PCCI, Children's Health</t>
  </si>
  <si>
    <t>Raphael Holca-Lamarre, Tuhin Chakraborty</t>
  </si>
  <si>
    <t>Indy</t>
  </si>
  <si>
    <t>Khosla Ventures, Episode 1, Entrepreneur First</t>
  </si>
  <si>
    <t>Business process automation</t>
  </si>
  <si>
    <t>Automation</t>
  </si>
  <si>
    <t>Entrepreneur First, Episode 1</t>
  </si>
  <si>
    <t>Shoplifting</t>
  </si>
  <si>
    <t>Retail</t>
  </si>
  <si>
    <t>Jonathan Mak, Neil Gramopadhye, Philippe Sawaya</t>
  </si>
  <si>
    <t>ADT</t>
  </si>
  <si>
    <t>Code refactoring</t>
  </si>
  <si>
    <t>Verb.ai</t>
  </si>
  <si>
    <t>Valinor Earth</t>
  </si>
  <si>
    <t>Cosmin Radoi, Morgante Pell</t>
  </si>
  <si>
    <t>Asif Hasan</t>
  </si>
  <si>
    <t>Marlborough, MA</t>
  </si>
  <si>
    <t>Casetext</t>
  </si>
  <si>
    <t>Multiples</t>
  </si>
  <si>
    <t>Providence, RI</t>
  </si>
  <si>
    <t>Lightmatter</t>
  </si>
  <si>
    <t>Jeremy Wilson</t>
  </si>
  <si>
    <t>Utilities/energy</t>
  </si>
  <si>
    <t>Energy</t>
  </si>
  <si>
    <t>Moore, Nvidia, MUUS, Microsoft, Keyframe, Braemar</t>
  </si>
  <si>
    <t>Moore</t>
  </si>
  <si>
    <t>MUUS</t>
  </si>
  <si>
    <t>Keyframe</t>
  </si>
  <si>
    <t>Braemar</t>
  </si>
  <si>
    <t>Keyframe, Braemar, American Electric Power</t>
  </si>
  <si>
    <t>American Electric Power</t>
  </si>
  <si>
    <t>Bremar Energy</t>
  </si>
  <si>
    <t>Jayant Lakshmikanthan</t>
  </si>
  <si>
    <t>Aspen Capital Group, Oak HC/FT</t>
  </si>
  <si>
    <t>Aspen Capital Group</t>
  </si>
  <si>
    <t>Oak HC/FT</t>
  </si>
  <si>
    <t>Determines where QC could replace RSA</t>
  </si>
  <si>
    <t>Security</t>
  </si>
  <si>
    <t>T. Rowe Price, Time Ventures, Eric Schmidt, Breyer Capital</t>
  </si>
  <si>
    <t>Not Really AI, ex-Google</t>
  </si>
  <si>
    <t>MatrixSpace</t>
  </si>
  <si>
    <t>CoreWeave</t>
  </si>
  <si>
    <t>Christos Tryfonas, Muddu Sudhakar</t>
  </si>
  <si>
    <t>Thoma Bravo, Goldman Sachs, Zoom, World Innovation Lab, Webb Investment Network, True Ventures, Silicon Valley Bank, Sherpalo Ventures, Norwest Venture Partners, Menlo Ventures, Khosla Ventures, Icon Ventures, First Round Capital</t>
  </si>
  <si>
    <t>Service desk for customers and employees</t>
  </si>
  <si>
    <t>Service</t>
  </si>
  <si>
    <t>Thoma Bravo</t>
  </si>
  <si>
    <t>Goldman Sachs</t>
  </si>
  <si>
    <t>Webb Investment Network</t>
  </si>
  <si>
    <t>True Ventures</t>
  </si>
  <si>
    <t>Sherpalo Ventures</t>
  </si>
  <si>
    <t>Aiersa</t>
  </si>
  <si>
    <t>First Round Capital</t>
  </si>
  <si>
    <t>Icon Ventures, World Innovation Lab, Webb Investment Network, True Ventures, Sherpalo Ventures, Norwest Venture Partners, Menlo Ventures, Khosla Ventures, First Round Capital</t>
  </si>
  <si>
    <t>Norwest, Webb, True, Menlo, Khosla, First Round, Ram Shriram</t>
  </si>
  <si>
    <t>Audio transcription</t>
  </si>
  <si>
    <t>Dylan Fox</t>
  </si>
  <si>
    <t>Insight Partners, Y Combinator, TechNexus, Accel</t>
  </si>
  <si>
    <t>TechNexus</t>
  </si>
  <si>
    <t>Accel, Y Combinator, TechNexus, Nat Friedman, John Collison, Daniel Gross</t>
  </si>
  <si>
    <t>Nat Friedman, John Collison, Daniel Gross, TechNexus</t>
  </si>
  <si>
    <t>Uniphore (Jacada)</t>
  </si>
  <si>
    <t>Alexandre Hadade, Everton Cherman, Patricia Osorio</t>
  </si>
  <si>
    <t>Customer Feedback</t>
  </si>
  <si>
    <t>Customer</t>
  </si>
  <si>
    <t>Softbank, Upload Ventures, Illuminate Ventures, Scale-Up Ventures, Fusion Fund, Endeavor Catalyst, Astella</t>
  </si>
  <si>
    <t>Upload Ventures</t>
  </si>
  <si>
    <t>Illuminate Ventures</t>
  </si>
  <si>
    <t>Scale-Up Ventures</t>
  </si>
  <si>
    <t>Fusion Fund</t>
  </si>
  <si>
    <t>Endeavor Catalyst</t>
  </si>
  <si>
    <t>Astella</t>
  </si>
  <si>
    <t>SQL queries</t>
  </si>
  <si>
    <t>Creandum, Tobias Lutke, Sebastian Wallin, Renaud Visage, Fredrik Bjork, Christian Reber</t>
  </si>
  <si>
    <t>Explainable AI</t>
  </si>
  <si>
    <t>Oxford, UK</t>
  </si>
  <si>
    <t>RT Capital Management, Oxford Investmenet Consultants, Future Planet Capital</t>
  </si>
  <si>
    <t>RT Capital Management</t>
  </si>
  <si>
    <t>Oxford Investment Consultants (Oxford Science Enterprises, Oxford University Innovation)</t>
  </si>
  <si>
    <t>Future Planet Capital</t>
  </si>
  <si>
    <t>Zegami (acquired by Videntai)</t>
  </si>
  <si>
    <t>Videntai</t>
  </si>
  <si>
    <t>SESAMm</t>
  </si>
  <si>
    <t>Carbon Credits</t>
  </si>
  <si>
    <t>Brian Liston</t>
  </si>
  <si>
    <t>Future Positive, Zinal Growth, Wollemi, The Twenty Minute VC, Sweet Capital, Social Capital, Seaya, Saltwater Capital, ReGen Ventures, Plus Capital, Oreilly AlphaTech Ventures, My Climate Journey Collective, Lowercarbon Capital, Climate Pledge Fund, Breakthrough Energy Ventures, AirAngels, Aglae Ventures, Tobias Lutke, Seth Goldman, Serena Williams, Sahil Lavingia, Ram Shriram, Portia de Rossi, Miguel Nogales, Matias Muchnick, Marcos Galperin, Manu Ginobilli, Khaled Naim, Joe Gebbia, Fabrice Grinda, Ellen DeGeneres, Claire Hughes Johnson, Azeem Azhar, Alexis Ohanian, Alexander Will</t>
  </si>
  <si>
    <t>Climate Change</t>
  </si>
  <si>
    <t>BS, not AI</t>
  </si>
  <si>
    <t>Interconnect</t>
  </si>
  <si>
    <t>"Optical Fabric"</t>
  </si>
  <si>
    <t>Boulder, CO</t>
  </si>
  <si>
    <t>Michael Andregg</t>
  </si>
  <si>
    <t>Khosla Ventures, Founders Fund, Jaan Tallinn</t>
  </si>
  <si>
    <t>Omnix</t>
  </si>
  <si>
    <t>Cognitive Operational Systems</t>
  </si>
  <si>
    <t>Jonas Cleveland</t>
  </si>
  <si>
    <t>Inventory robots</t>
  </si>
  <si>
    <t>Old, haven't raised in long time</t>
  </si>
  <si>
    <t>HumanSignal</t>
  </si>
  <si>
    <t>Delaware, US</t>
  </si>
  <si>
    <t>No Investors</t>
  </si>
  <si>
    <t>private and profitable, no investors or debt'</t>
  </si>
  <si>
    <t>Troy, MI</t>
  </si>
  <si>
    <t>Amjad Hussain</t>
  </si>
  <si>
    <t>mostly SaaS, "AI infused"</t>
  </si>
  <si>
    <t>Venture</t>
  </si>
  <si>
    <t>Plymouth Growth</t>
  </si>
  <si>
    <t>Integrity Growth Partners, The K Fund</t>
  </si>
  <si>
    <t>Sumo Logic</t>
  </si>
  <si>
    <t>Artifact Capital</t>
  </si>
  <si>
    <t>NLP business queries</t>
  </si>
  <si>
    <t>Pittsburgh, PA</t>
  </si>
  <si>
    <t>Eric Xing, Ning Li, Qirong Ho</t>
  </si>
  <si>
    <t>No-Code ML Automation</t>
  </si>
  <si>
    <t>Softbank, Advantech</t>
  </si>
  <si>
    <t>Advantech</t>
  </si>
  <si>
    <t>Advantech Capital, Tencent, Oriza Ventures, Northern Light Venture Capital</t>
  </si>
  <si>
    <t>Oriza Ventures</t>
  </si>
  <si>
    <t>Northern Light Venture Capital</t>
  </si>
  <si>
    <t>Tencent</t>
  </si>
  <si>
    <t>Seems dead</t>
  </si>
  <si>
    <t>Tachyum</t>
  </si>
  <si>
    <t>San Diego, CA</t>
  </si>
  <si>
    <t>Brightflow AI</t>
  </si>
  <si>
    <t>Siddharth Mohan, Zach Rattner</t>
  </si>
  <si>
    <t>AI Inspections for Moving &amp; Insurance</t>
  </si>
  <si>
    <t>Logistics</t>
  </si>
  <si>
    <t xml:space="preserve">Imagen Capital Partners, </t>
  </si>
  <si>
    <t>Imagen Capital Partners</t>
  </si>
  <si>
    <t>Tenstorrent</t>
  </si>
  <si>
    <t>Covariance</t>
  </si>
  <si>
    <t>Emeryville, CA</t>
  </si>
  <si>
    <t>Fulfillment</t>
  </si>
  <si>
    <t>Peter Chen, Pieter Abbeel, Rocky Duan, Tianhao Zhang</t>
  </si>
  <si>
    <t>Index Ventures, Radical Ventures, Northgate Capital, Gates Frontier Fund, CPPIB, Amplify Partners, AIX Ventures</t>
  </si>
  <si>
    <t>Northgate Capital</t>
  </si>
  <si>
    <t>Gates Frontier Fund</t>
  </si>
  <si>
    <t>Index Ventures, Temasek, Radical Ventures, CPPIB, Amplify</t>
  </si>
  <si>
    <t>Frees Fund</t>
  </si>
  <si>
    <t>Index Ventures, Radical Ventures, Amplify Partners</t>
  </si>
  <si>
    <t>Amplify Partners</t>
  </si>
  <si>
    <t>Amplify Partners, SVA, Samsung NEXT, Lux Capital, Frees Fund, A.Capital, 11.2 Capital</t>
  </si>
  <si>
    <t>Armorblox (Cisco)</t>
  </si>
  <si>
    <t>Acquired on 6/1/23</t>
  </si>
  <si>
    <t>Anand Raghavan, Arjun Sambamoorthy, Chetan Anand, Dhananjay Sampath</t>
  </si>
  <si>
    <t>Next47, General Catalyst, Polaris Ventures, Unusual Ventures, John Thompson, Gerhard Eschelbeck, DJ Patil</t>
  </si>
  <si>
    <t>General Catalyst, Point72 Ventures, Mango Capital, Ronald Conway, Ramu Arunachalam, Oliver Friedrichs, John Thompson, Gerhard Eschelbeck, DJ Patil</t>
  </si>
  <si>
    <t>Acquired in 2019</t>
  </si>
  <si>
    <t>Training Data for Avs</t>
  </si>
  <si>
    <t>AiFi</t>
  </si>
  <si>
    <t>Phantom AI</t>
  </si>
  <si>
    <t>Andrew Dudum, Charlie Melbye, Don Holly, Jon Mumm</t>
  </si>
  <si>
    <t>J2 Ventures, Red Cell Partners, Marlinspike Capital, Perot Jain, Atomic, HID Global, Icon Ventures</t>
  </si>
  <si>
    <t>J2 Ventures</t>
  </si>
  <si>
    <t>Perot Jain</t>
  </si>
  <si>
    <t>Marlinspike Capital</t>
  </si>
  <si>
    <t>Red Cell Partners</t>
  </si>
  <si>
    <t>HID Global</t>
  </si>
  <si>
    <t>Atomic</t>
  </si>
  <si>
    <t>Icon Ventures, Khosla Ventures, Felicis</t>
  </si>
  <si>
    <t>Khosla Ventures, Felicis, Cherubic Ventures</t>
  </si>
  <si>
    <t>Cherubic Ventures</t>
  </si>
  <si>
    <t>SVA, UpHonest Capital, Wei Guo, Atomic</t>
  </si>
  <si>
    <t>AUM</t>
  </si>
  <si>
    <t>% AI</t>
  </si>
  <si>
    <t>Video Call EQ (autism)</t>
  </si>
  <si>
    <t>Eau Claire, Wisconsin</t>
  </si>
  <si>
    <t>Ali Aziz, Amy Noll, Catherine Davis, Chandra De Keyser, Yury Shubin</t>
  </si>
  <si>
    <t>IPMD</t>
  </si>
  <si>
    <t>Pera Labs</t>
  </si>
  <si>
    <t>Canadian, Fei-Fei Li, raising fund III</t>
  </si>
  <si>
    <t>Reading, UK</t>
  </si>
  <si>
    <t>Mark Sears, Tom Puskarich</t>
  </si>
  <si>
    <t>Deepgram</t>
  </si>
  <si>
    <t>Spectrm</t>
  </si>
  <si>
    <t>Weatherford Capital, FTV Capital</t>
  </si>
  <si>
    <t>Weatherford</t>
  </si>
  <si>
    <t>The Social Entrepreneurs Fund, Sovereign's Capital, Dolma Impact Fund</t>
  </si>
  <si>
    <t>Rockefeller Foundation</t>
  </si>
  <si>
    <t>Avi Tal, David Tal</t>
  </si>
  <si>
    <t>Defy.vc, Simplexity Ventures, Silicon Valley Bank, OurCrowd, Moderne Ventures, Freestyle Capital, Constance Freedman</t>
  </si>
  <si>
    <t>AI lead follow-up</t>
  </si>
  <si>
    <t>Not core AI</t>
  </si>
  <si>
    <t>Jed Putterman</t>
  </si>
  <si>
    <t>MindsDB</t>
  </si>
  <si>
    <t>Axelera AI</t>
  </si>
  <si>
    <t>Accidents</t>
  </si>
  <si>
    <t>Ulu Ventures, VentureStudio, The Indy Fund, K20 Fund, H. Barton Asset Management, Tom Chavez</t>
  </si>
  <si>
    <t>Ulu Ventures</t>
  </si>
  <si>
    <t>VentureStudio</t>
  </si>
  <si>
    <t>The Indy Fund</t>
  </si>
  <si>
    <t>H. Barton Asset Management</t>
  </si>
  <si>
    <t>The Entrepreneurs' Fund</t>
  </si>
  <si>
    <t>The Entrepreneurs' Fund, Tom Chavez, Auren Hoffman</t>
  </si>
  <si>
    <t>TextQL</t>
  </si>
  <si>
    <t>Lourdes Agapito, Matthias Niessner, Steffen Tjerrild, Victor Riperbelli</t>
  </si>
  <si>
    <t>Accel, nVentures, Kleiner Perkins, Google Ventures, FirstMark, Olivier Pomel, Amjad Masad, Alex Wang</t>
  </si>
  <si>
    <t>nVentures</t>
  </si>
  <si>
    <t>FirstMark</t>
  </si>
  <si>
    <t>Kleiner Perkins, Seedcap, s16vc, MMC Ventures, LDV Capital, Google Ventures, FirstMark</t>
  </si>
  <si>
    <t>s16vc</t>
  </si>
  <si>
    <t>MMC Ventures</t>
  </si>
  <si>
    <t>LDV Capital</t>
  </si>
  <si>
    <t>FirstMark, MMC Ventures</t>
  </si>
  <si>
    <t>LDV Capital, VAS Ventures, Tiny VC, Seedcamp, MMC Ventures, Taavet Hinrikus, Mark Cuban</t>
  </si>
  <si>
    <t>VAS Ventures</t>
  </si>
  <si>
    <t>Tiny VC</t>
  </si>
  <si>
    <t>Mark Cuban</t>
  </si>
  <si>
    <t>Steven Jiang, Xinwen Zhang</t>
  </si>
  <si>
    <t>Recruitment</t>
  </si>
  <si>
    <t>Conductive Ventures, Duke Chung</t>
  </si>
  <si>
    <t>Conductive Ventures</t>
  </si>
  <si>
    <t>HireEZ</t>
  </si>
  <si>
    <t>Oceanpine Capital</t>
  </si>
  <si>
    <t>Fiddler AI</t>
  </si>
  <si>
    <t>Amit Paka, Krishna Gade, Manoj Cheenath</t>
  </si>
  <si>
    <t>Plotly</t>
  </si>
  <si>
    <t>Zira</t>
  </si>
  <si>
    <t>Insight Partners, Lux Capital, Lockheed Martin Ventures, Lightspeed Venture Partners, Haystack, Bossanova, Bloomberg Beta, Amazon Alexa Fund, Alteryx</t>
  </si>
  <si>
    <t>Denyify</t>
  </si>
  <si>
    <t>Lockheed Martin Ventures</t>
  </si>
  <si>
    <t>Lux Capital, Lightspeed Venture Partners, Haystack, Bloomberg Beta</t>
  </si>
  <si>
    <t>Haystack, Lightspeed Venture Partners, Bloomberg</t>
  </si>
  <si>
    <t>Erotica</t>
  </si>
  <si>
    <t>Erotica generator</t>
  </si>
  <si>
    <t>Anna Wallander</t>
  </si>
  <si>
    <t>Vinnova</t>
  </si>
  <si>
    <t>Characters</t>
  </si>
  <si>
    <t>Character Database?</t>
  </si>
  <si>
    <t>Lots of traffic</t>
  </si>
  <si>
    <t>Some guy on reddit</t>
  </si>
  <si>
    <t>Sex</t>
  </si>
  <si>
    <t>Rysana</t>
  </si>
  <si>
    <t>Character.ai clone</t>
  </si>
  <si>
    <t>AI Companion</t>
  </si>
  <si>
    <t>Eugenia Kuyda</t>
  </si>
  <si>
    <t>Khosla Ventures, ACME Capital, Phil Libin, Richard Socher</t>
  </si>
  <si>
    <t>ACME Capital, Y Combinator, Ludlow Ventures, Shervin Pishevar</t>
  </si>
  <si>
    <t>Zillionize, Y Combinator, Justin Waldron</t>
  </si>
  <si>
    <t>Krishna Rangasayee, Steven J. Rosston</t>
  </si>
  <si>
    <t>VentureTech Alliance, Navin Chaddha</t>
  </si>
  <si>
    <t>MSD Partners, Wing Venture Capital, +ND Capital, Fidelity, Dell, Amplify Partners, Alter Venture Partners, Lip-Bu Tan</t>
  </si>
  <si>
    <t>Fidelity, Lip-Bu Tan</t>
  </si>
  <si>
    <t xml:space="preserve">       </t>
  </si>
  <si>
    <t>Adam D'Angelo</t>
  </si>
  <si>
    <t>Questions</t>
  </si>
  <si>
    <t>RizzGPT (rizzgpt.app)</t>
  </si>
  <si>
    <t>Love</t>
  </si>
  <si>
    <t>Offline LLMs</t>
  </si>
  <si>
    <t>VentureTech Alliance</t>
  </si>
  <si>
    <t>SiMa AI</t>
  </si>
  <si>
    <t>MSD Capital</t>
  </si>
  <si>
    <t>+ND Capital</t>
  </si>
  <si>
    <t>SiMa.ai</t>
  </si>
  <si>
    <t>After Venture Partners</t>
  </si>
  <si>
    <t>Alter Venture Partners</t>
  </si>
  <si>
    <t>Adage Capital</t>
  </si>
  <si>
    <t>Fidelity, Wing Venture, +ND Capital, Dell, Amplify, Alter Venture, Adage</t>
  </si>
  <si>
    <t>Dell, Wing, +ND, Amplfiy</t>
  </si>
  <si>
    <t>Anime</t>
  </si>
  <si>
    <t>Shitty quality</t>
  </si>
  <si>
    <t>aetherAI</t>
  </si>
  <si>
    <t>Non-sex</t>
  </si>
  <si>
    <t>Bring-your-own AI chatbot</t>
  </si>
  <si>
    <t>Goose-AI</t>
  </si>
  <si>
    <t>AI Lab</t>
  </si>
  <si>
    <t>GPT-Neo, Fairseq serever</t>
  </si>
  <si>
    <t>Ravi Saraogi, Umesh Sachdev</t>
  </si>
  <si>
    <t>NEA, March Capital, GoldenArc Capital</t>
  </si>
  <si>
    <t>CX</t>
  </si>
  <si>
    <t>Uniphore</t>
  </si>
  <si>
    <t>March Capital</t>
  </si>
  <si>
    <t>Sorenson Capital, Sistema Capital, Serena, Sanabil, National Grid Partners, March Capital, Iron Pillar, Cisco, Chiratae Ventures</t>
  </si>
  <si>
    <t>Sistema Capital</t>
  </si>
  <si>
    <t>Serena</t>
  </si>
  <si>
    <t>Sanabil</t>
  </si>
  <si>
    <t>National Grid Partners</t>
  </si>
  <si>
    <t>Iron Pillar</t>
  </si>
  <si>
    <t>Cisco Investments</t>
  </si>
  <si>
    <t>Chiratae Ventures</t>
  </si>
  <si>
    <t>Patni Wealth Advisors</t>
  </si>
  <si>
    <t>CXO Fund</t>
  </si>
  <si>
    <t>JC2 Ventures</t>
  </si>
  <si>
    <t>IIFL Finance</t>
  </si>
  <si>
    <t>YourNest Venture Capital</t>
  </si>
  <si>
    <t>Indian Angel Network</t>
  </si>
  <si>
    <t>March Capital, Sistema Asia Capital, Patni Wealth Advisors, Patni Family, National Grid Partners, March Capital, Iron Pillar, CXO Fund, Chiratae Ventures</t>
  </si>
  <si>
    <t>JC2 Ventures, IIFL Finance</t>
  </si>
  <si>
    <t>Chiratae Ventures, YourNest Venture Capital</t>
  </si>
  <si>
    <t>Wilmington, DE</t>
  </si>
  <si>
    <t>Storytelling</t>
  </si>
  <si>
    <t>Furries</t>
  </si>
  <si>
    <t>Text-generation</t>
  </si>
  <si>
    <t>Hosts text models</t>
  </si>
  <si>
    <t>BenevolentAI</t>
  </si>
  <si>
    <t>Michael Osborne, Stephen Roberts</t>
  </si>
  <si>
    <t>ML platform</t>
  </si>
  <si>
    <t>Aioi Nissay Dowa Insurance</t>
  </si>
  <si>
    <t>Parkwalk Advisors</t>
  </si>
  <si>
    <t>Parkwalk Advisors, Oxford Science Enterprises</t>
  </si>
  <si>
    <t>Salesforce, Lightspeed, Madrona, GV, Menlo, Microsoft</t>
  </si>
  <si>
    <t>Microsoft, Reid Hoffman, Bill Gates, Eric Schmidt, NVIDIA</t>
  </si>
  <si>
    <t>Was popular before paid tier</t>
  </si>
  <si>
    <t>Writing assistant</t>
  </si>
  <si>
    <t>NSFW Characters</t>
  </si>
  <si>
    <t>ChatFirst</t>
  </si>
  <si>
    <t>Chata.ai</t>
  </si>
  <si>
    <t>Chai (app, Chai Research Corp, Chai.ml)</t>
  </si>
  <si>
    <t>Writing Assistant</t>
  </si>
  <si>
    <t>Petr Baudis, Tomas Gogar, Tomas Tunys</t>
  </si>
  <si>
    <t>Forethought</t>
  </si>
  <si>
    <t>General Catalyst, Verissimo Ventures, Seedcamp, MITON, LocalGlobe, Dig Ventures, Elad Gil</t>
  </si>
  <si>
    <t>Document intake</t>
  </si>
  <si>
    <t>Document</t>
  </si>
  <si>
    <t>KYC, AP, Supply Chain</t>
  </si>
  <si>
    <t>Verissimo Ventures</t>
  </si>
  <si>
    <t>MITON</t>
  </si>
  <si>
    <t>Dig Ventures</t>
  </si>
  <si>
    <t>LocalGlobe, Vijay Pandurangan, StartupYard, Seedcamp, Ryan Petersen, MITON, Michael Stoppelman, Elad Gil</t>
  </si>
  <si>
    <t>StartupYard</t>
  </si>
  <si>
    <t>Miton, StartupYard</t>
  </si>
  <si>
    <t>Berri.ai</t>
  </si>
  <si>
    <t>Ada.cx (Toronto)</t>
  </si>
  <si>
    <t>CX Chatbots</t>
  </si>
  <si>
    <t>David Hariri, Mike Murchison</t>
  </si>
  <si>
    <t>Spark Capital, Tiger, Version One, Giant Ventures, FirstMark, Burst Capital, Bessemer, Accel</t>
  </si>
  <si>
    <t>Ada (CX)</t>
  </si>
  <si>
    <t>Version One Ventures</t>
  </si>
  <si>
    <t>Giant Ventures</t>
  </si>
  <si>
    <t>Burst Capital</t>
  </si>
  <si>
    <t>Ramen Ventures</t>
  </si>
  <si>
    <t>Leaders Fund</t>
  </si>
  <si>
    <t>Accel, Version One, Ramen Ventures, Leaders Fund, FirstMark, Burst Capital, Bessemer, Accel</t>
  </si>
  <si>
    <t>FirstMark, Version One, Leaders Fund, Giant Ventures, Burst Capital, Bessemer, Barney Pell</t>
  </si>
  <si>
    <t>Two Small Fish</t>
  </si>
  <si>
    <t>Bessemer Venture Partners, Version One Ventures, Two Small Fish Ventures</t>
  </si>
  <si>
    <t>NEXT Canada, DMZ</t>
  </si>
  <si>
    <t>Bestever.ai (A6G6)</t>
  </si>
  <si>
    <t>Taylor AI</t>
  </si>
  <si>
    <t>Andrew Ng</t>
  </si>
  <si>
    <t>CodeStory</t>
  </si>
  <si>
    <t>AutoInfra</t>
  </si>
  <si>
    <t>Nowadays</t>
  </si>
  <si>
    <t>Structured</t>
  </si>
  <si>
    <t>AiSDR</t>
  </si>
  <si>
    <t>Sero AI</t>
  </si>
  <si>
    <t>dili</t>
  </si>
  <si>
    <t>Quill AI</t>
  </si>
  <si>
    <t>Happyrobot</t>
  </si>
  <si>
    <t>Inventive AI</t>
  </si>
  <si>
    <t>Cyclone</t>
  </si>
  <si>
    <t>sudocode</t>
  </si>
  <si>
    <t>Roundtable</t>
  </si>
  <si>
    <t>SafetyKit</t>
  </si>
  <si>
    <t>Inlet</t>
  </si>
  <si>
    <t>Flint</t>
  </si>
  <si>
    <t>Osium AI</t>
  </si>
  <si>
    <t>Studdy</t>
  </si>
  <si>
    <t>Trainy</t>
  </si>
  <si>
    <t>Guac</t>
  </si>
  <si>
    <t>Casehopper</t>
  </si>
  <si>
    <t>Respaid</t>
  </si>
  <si>
    <t>Greenlite</t>
  </si>
  <si>
    <t>Epsilla</t>
  </si>
  <si>
    <t>Wyvern AI</t>
  </si>
  <si>
    <t>Outset</t>
  </si>
  <si>
    <t>Arcimus</t>
  </si>
  <si>
    <t>Bronco AI</t>
  </si>
  <si>
    <t>Substantive AI</t>
  </si>
  <si>
    <t>Parea</t>
  </si>
  <si>
    <t>Spine AI</t>
  </si>
  <si>
    <t>Solve Intelligence</t>
  </si>
  <si>
    <t>Contour</t>
  </si>
  <si>
    <t>atla</t>
  </si>
  <si>
    <t>Wayfind</t>
  </si>
  <si>
    <t>Remy Security</t>
  </si>
  <si>
    <t>ChatSeed</t>
  </si>
  <si>
    <t>Linc.</t>
  </si>
  <si>
    <t>Watto AI</t>
  </si>
  <si>
    <t>Mano AI</t>
  </si>
  <si>
    <t>Reworkd</t>
  </si>
  <si>
    <t>YC S23</t>
  </si>
  <si>
    <t>Yuma</t>
  </si>
  <si>
    <t>YC W23</t>
  </si>
  <si>
    <t>Automat</t>
  </si>
  <si>
    <t>SpeedyBrand</t>
  </si>
  <si>
    <t>Lightski</t>
  </si>
  <si>
    <t>Type</t>
  </si>
  <si>
    <t>Meru</t>
  </si>
  <si>
    <t>Persana AI</t>
  </si>
  <si>
    <t>Kyber</t>
  </si>
  <si>
    <t>Metal</t>
  </si>
  <si>
    <t>AiFlow</t>
  </si>
  <si>
    <t>Luca</t>
  </si>
  <si>
    <t>Fabius</t>
  </si>
  <si>
    <t>Vocode</t>
  </si>
  <si>
    <t>Vellum</t>
  </si>
  <si>
    <t>BabylonAI</t>
  </si>
  <si>
    <t>Persist AI</t>
  </si>
  <si>
    <t>Unstatiq</t>
  </si>
  <si>
    <t>Decoherence</t>
  </si>
  <si>
    <t>DealPage</t>
  </si>
  <si>
    <t>DAGWorks</t>
  </si>
  <si>
    <t>Turntable</t>
  </si>
  <si>
    <t>CorgiAI</t>
  </si>
  <si>
    <t>Planar</t>
  </si>
  <si>
    <t>Diffuse Bio</t>
  </si>
  <si>
    <t>Quazel</t>
  </si>
  <si>
    <t>Coldreach</t>
  </si>
  <si>
    <t>MagnaPlay</t>
  </si>
  <si>
    <t>Baselit</t>
  </si>
  <si>
    <t>Clueso</t>
  </si>
  <si>
    <t>Uptrain AI</t>
  </si>
  <si>
    <t>Waveline</t>
  </si>
  <si>
    <t>Psychic</t>
  </si>
  <si>
    <t>SPRX</t>
  </si>
  <si>
    <t>Kurukuru</t>
  </si>
  <si>
    <t>Fairway Health</t>
  </si>
  <si>
    <t>Hadrius</t>
  </si>
  <si>
    <t>Semantic Finance</t>
  </si>
  <si>
    <t>Defog.ai</t>
  </si>
  <si>
    <t>Gloo</t>
  </si>
  <si>
    <t>Fintool</t>
  </si>
  <si>
    <t>222</t>
  </si>
  <si>
    <t>Ariglad</t>
  </si>
  <si>
    <t>Helicone</t>
  </si>
  <si>
    <t>Magicflow</t>
  </si>
  <si>
    <t>Orchid</t>
  </si>
  <si>
    <t>Truewind</t>
  </si>
  <si>
    <t>Wild Moose</t>
  </si>
  <si>
    <t>EzDubs</t>
  </si>
  <si>
    <t>GradientJ</t>
  </si>
  <si>
    <t>inkeep</t>
  </si>
  <si>
    <t>Plutis</t>
  </si>
  <si>
    <t>OpenMeter</t>
  </si>
  <si>
    <t>Iliad</t>
  </si>
  <si>
    <t>Squack</t>
  </si>
  <si>
    <t>Extend</t>
  </si>
  <si>
    <t>langfuse</t>
  </si>
  <si>
    <t>Outerbase</t>
  </si>
  <si>
    <t>Anarchy</t>
  </si>
  <si>
    <t>Dream#d</t>
  </si>
  <si>
    <t>Intently</t>
  </si>
  <si>
    <t>Haven</t>
  </si>
  <si>
    <t>Chart</t>
  </si>
  <si>
    <t>Alex Graveley</t>
  </si>
  <si>
    <t>Buildt</t>
  </si>
  <si>
    <t>Flower</t>
  </si>
  <si>
    <t>LinkGrep</t>
  </si>
  <si>
    <t>Neptyne</t>
  </si>
  <si>
    <t>CreatorML</t>
  </si>
  <si>
    <t>Zenfetch</t>
  </si>
  <si>
    <t>PoplarML</t>
  </si>
  <si>
    <t>JustPaid.io</t>
  </si>
  <si>
    <t>OfOne</t>
  </si>
  <si>
    <t>Tennr</t>
  </si>
  <si>
    <t>Pair AI</t>
  </si>
  <si>
    <t>Rubber Ducky Labs</t>
  </si>
  <si>
    <t>Parabolic</t>
  </si>
  <si>
    <t>CodeComplete</t>
  </si>
  <si>
    <t>Rosettic</t>
  </si>
  <si>
    <t>pyq</t>
  </si>
  <si>
    <t>Latent</t>
  </si>
  <si>
    <t>Lume</t>
  </si>
  <si>
    <t>Paperplane</t>
  </si>
  <si>
    <t>Rollstack</t>
  </si>
  <si>
    <t>Credal.ai</t>
  </si>
  <si>
    <t>Layup</t>
  </si>
  <si>
    <t>Syncly</t>
  </si>
  <si>
    <t>Traceloop</t>
  </si>
  <si>
    <t>Linum</t>
  </si>
  <si>
    <t>Cardinal</t>
  </si>
  <si>
    <t>Stack AI</t>
  </si>
  <si>
    <t>Middleware</t>
  </si>
  <si>
    <t>Avoca</t>
  </si>
  <si>
    <t>Rubbrband</t>
  </si>
  <si>
    <t>Nucleus</t>
  </si>
  <si>
    <t>Chima</t>
  </si>
  <si>
    <t>AlphaWatch AI</t>
  </si>
  <si>
    <t>Lavo Life Sciences</t>
  </si>
  <si>
    <t>Ivy</t>
  </si>
  <si>
    <t>OpenSight</t>
  </si>
  <si>
    <t>Ada Health</t>
  </si>
  <si>
    <t>Claire Novorol, Daniel Nathrath, Martin Hirsch</t>
  </si>
  <si>
    <t>Leaps by Bayer, Bertelsmann, Farallon, Red River West, Vitruvian Partners, Samsung Catalyst Fund, Mutschler Ventures, Inteligo, F4</t>
  </si>
  <si>
    <t>Vitruvian Partners, June Fund, Cumberland VC</t>
  </si>
  <si>
    <t>Symptom Checker</t>
  </si>
  <si>
    <t>Bayer</t>
  </si>
  <si>
    <t>Bertelsmann</t>
  </si>
  <si>
    <t>Farallon</t>
  </si>
  <si>
    <t>Red River West</t>
  </si>
  <si>
    <t>Vitruvian Partners</t>
  </si>
  <si>
    <t>Mutschler Ventures</t>
  </si>
  <si>
    <t>Inteligo</t>
  </si>
  <si>
    <t>F4</t>
  </si>
  <si>
    <t>June Fund</t>
  </si>
  <si>
    <t>Cumberland VC</t>
  </si>
  <si>
    <t>Ada (ada.place, rental AI)</t>
  </si>
  <si>
    <t>Poland</t>
  </si>
  <si>
    <t>YouNick Mint</t>
  </si>
  <si>
    <t>Defunct?</t>
  </si>
  <si>
    <t>mfine</t>
  </si>
  <si>
    <t>More fintech, security than AI</t>
  </si>
  <si>
    <t>Fang Xu, Yinglian Xie</t>
  </si>
  <si>
    <t>Paro</t>
  </si>
  <si>
    <t>Brighton Park Capital, CMFG Ventures, NewView Capital, GSR Ventures</t>
  </si>
  <si>
    <t>Fraud prevention</t>
  </si>
  <si>
    <t>Fraud</t>
  </si>
  <si>
    <t>Sequoia China, NEA, GSR Ventures</t>
  </si>
  <si>
    <t>Genesis Capital, GSR Ventures</t>
  </si>
  <si>
    <t>NEA, GSR Ventures</t>
  </si>
  <si>
    <t>Neal Khosla</t>
  </si>
  <si>
    <t>Chatbot?</t>
  </si>
  <si>
    <t>Carta Healthcare</t>
  </si>
  <si>
    <t>Pre-LLM chatbot? Running out of $?</t>
  </si>
  <si>
    <t>Morningside Venture Investments, Khosla Ventures, General Catalyst</t>
  </si>
  <si>
    <t>Morningside Venture</t>
  </si>
  <si>
    <t>Khosla, General Catalyst, Civilization Ventures</t>
  </si>
  <si>
    <t>Civilization Ventures</t>
  </si>
  <si>
    <t>ThoughtAI</t>
  </si>
  <si>
    <t>Cognosys AI</t>
  </si>
  <si>
    <t>Assaf Egozi, Oren Raboy</t>
  </si>
  <si>
    <t>Growth/Marketing just for Amazon channel</t>
  </si>
  <si>
    <t>Eight Roads Ventures, Allon Ventures</t>
  </si>
  <si>
    <t>Team8, Inference Partners, Conviction VC</t>
  </si>
  <si>
    <t>Eight Roads Ventures</t>
  </si>
  <si>
    <t>Allon Ventures</t>
  </si>
  <si>
    <t>Team8</t>
  </si>
  <si>
    <t>Inference</t>
  </si>
  <si>
    <t>Ronen Lavi, Shay Perera</t>
  </si>
  <si>
    <t>ALIVE Israel HealthTech Fund, Vertex Ventures Israel, Schusterman Foundation, Grove Ventures</t>
  </si>
  <si>
    <t>Vertex Ventures Israel, Schusterman Foundation, Grove Ventures</t>
  </si>
  <si>
    <t>Series D+</t>
  </si>
  <si>
    <t>Ilya Sustkever, Andrej Karpathy, Jakub Pachoki, Sam Altman, Greg Brockman, Jan Leike</t>
  </si>
  <si>
    <t>Helps GPs and physicians prepare to see patients</t>
  </si>
  <si>
    <t>ALIVE Israel HealthTech Fund</t>
  </si>
  <si>
    <t>Schusterman Foundation</t>
  </si>
  <si>
    <t>Grove Ventures</t>
  </si>
  <si>
    <t>Dan Lichtenfeld, Dana Chanan, Keren Shavit, Yoni Nevo, Yossi Bahagon</t>
  </si>
  <si>
    <t>Adherence/Health Coach</t>
  </si>
  <si>
    <t>Entrée Capital, Tal Ventures, Tal Capital, Qure Ventures, Philips, OurCrowd, Noaber, Kortex Ventures, InsurTech.vc, FinTLV Ventures</t>
  </si>
  <si>
    <t>SeedIL Ventures</t>
  </si>
  <si>
    <t>Healthcare revenue management, prior auth, claims management</t>
  </si>
  <si>
    <t>Bradley Mascho, Sean Lane</t>
  </si>
  <si>
    <t>Series H</t>
  </si>
  <si>
    <t>Columbus, OH</t>
  </si>
  <si>
    <t>Vista, Base 10, Tiger</t>
  </si>
  <si>
    <t>225.5 at 1.3B</t>
  </si>
  <si>
    <t>Tiger, Transformation Capital, SVB Capital, Sequoia Capital, Google Ventures, General Catalyst, Drive Capital, Dragoneer</t>
  </si>
  <si>
    <t>General Catalyst, Drive Capital, SVB Capital, Oak HC/FT</t>
  </si>
  <si>
    <t>General Catalyst, Oak HC/FT, Drive Capital</t>
  </si>
  <si>
    <t>Oak HC/FT, Ascension Ventures, Moonshots Capital</t>
  </si>
  <si>
    <t>Adjacent, Closed, Acquired</t>
  </si>
  <si>
    <t>Mya Systems</t>
  </si>
  <si>
    <t>Kanjun Qiu (now Generally Intelligent)</t>
  </si>
  <si>
    <t>2015-2019</t>
  </si>
  <si>
    <t>Y Combinator, WndrCo, South Park Commons, Soma Capital, Rogue Insight Capital, Lightspeed, Endure Capital, Basis Set Ventures, 10x Group, Tyler Willis, Drew Houston, Arash Ferdowsi</t>
  </si>
  <si>
    <t>Rogue Insight Capital</t>
  </si>
  <si>
    <t>Endure Capital</t>
  </si>
  <si>
    <t>10x Group</t>
  </si>
  <si>
    <t>Eneterprise</t>
  </si>
  <si>
    <t>Eric Lefkofsky</t>
  </si>
  <si>
    <t>Chicago, Illinois</t>
  </si>
  <si>
    <t>Concerto Health AI</t>
  </si>
  <si>
    <t>Diagnostics, has a lot of patient data</t>
  </si>
  <si>
    <t>Google, T. Rowe Price, Novo Holdings, Franklin Templeton, Baillie Gifford, Eric Lefkofsky</t>
  </si>
  <si>
    <t>Baillie Gifford, Revolution Growth, Novo Holdings, NEA, Franklin Templeton</t>
  </si>
  <si>
    <t>Baillie Gifford, T. Rowe Price, Revolution Growth, NEA</t>
  </si>
  <si>
    <t>T. Rowe Price, Revolution, NEA</t>
  </si>
  <si>
    <t>Revolution, NEA</t>
  </si>
  <si>
    <t>Arago (acquired by WiseKey)</t>
  </si>
  <si>
    <t>Enterprise IT Automation</t>
  </si>
  <si>
    <t>Sematell</t>
  </si>
  <si>
    <t>AI call center</t>
  </si>
  <si>
    <t>Pre-LLM</t>
  </si>
  <si>
    <t>Franck Auzanneau, Ludovic Mingot</t>
  </si>
  <si>
    <t>Inventoro</t>
  </si>
  <si>
    <t>Verteego</t>
  </si>
  <si>
    <t>2021-2022</t>
  </si>
  <si>
    <t>Sales call AI</t>
  </si>
  <si>
    <t>causaLens</t>
  </si>
  <si>
    <t>AI helpdesk for employees and customers</t>
  </si>
  <si>
    <t>Helpdesk</t>
  </si>
  <si>
    <t>Saint Louis, MO</t>
  </si>
  <si>
    <t>Chris Sims, David Karandish</t>
  </si>
  <si>
    <t>&gt;1500 customers</t>
  </si>
  <si>
    <t>TMC Emerging Technology Fund, Rice Park Capital Management</t>
  </si>
  <si>
    <t>Rice Park, Equity.com</t>
  </si>
  <si>
    <t>Equity.com</t>
  </si>
  <si>
    <t>Andrey Konin, Quoc-Huy Tran, Zeeshan Zia</t>
  </si>
  <si>
    <t>No-code QA/QC for manufacturers</t>
  </si>
  <si>
    <t>Glasswing Ventures, Differential Ventures, Hypertherm Ventures, Argon Ventures</t>
  </si>
  <si>
    <t>500 Global, 500 Startups Vietnam, Atland Ventures, Incubate Fund, Joel Schleicher</t>
  </si>
  <si>
    <t>Differential Ventures</t>
  </si>
  <si>
    <t>Hypertherm Ventures</t>
  </si>
  <si>
    <t>Argon Ventures</t>
  </si>
  <si>
    <t>Incubate Fund</t>
  </si>
  <si>
    <t>Atland Ventures</t>
  </si>
  <si>
    <t>Satellite constellation management</t>
  </si>
  <si>
    <t>Defense</t>
  </si>
  <si>
    <t>Guy de Carufel</t>
  </si>
  <si>
    <t>Grit Ventures, Ultratech Capital, Techstars, SpaceFund, PBJ Capital, Gutbrain Ventures, Glasswing, Deep Ventures, Cultivation Capital, Argon Ventures, Keith Masback</t>
  </si>
  <si>
    <t>Behavioral MFA</t>
  </si>
  <si>
    <t>Auth</t>
  </si>
  <si>
    <t>Preface Ventures, Atypical Ventures, LogicBoost Labs, Brand New Matter, Glasswing Ventures,  Entrepreneurs Roundtable Accelerator, Marc Weiss, Josh Lospinoso</t>
  </si>
  <si>
    <t>Dawud Gordon, John Tanios, Ulf Blanke</t>
  </si>
  <si>
    <t>Entrepreneurs Roundtable Accelerator</t>
  </si>
  <si>
    <t>Preface Ventures</t>
  </si>
  <si>
    <t>Atypical Ventures</t>
  </si>
  <si>
    <t>LogicBoost Labs</t>
  </si>
  <si>
    <t>Brand New Matter</t>
  </si>
  <si>
    <t>Alan Ostetek</t>
  </si>
  <si>
    <t>Geospatial</t>
  </si>
  <si>
    <t>Glasswing</t>
  </si>
  <si>
    <t>Josh Tenenbaum, Max Kleiman-Weiner, Tejas Kulkarni, Vikash Mansinghka</t>
  </si>
  <si>
    <t>3D Perception/Simulation</t>
  </si>
  <si>
    <t>Owkin</t>
  </si>
  <si>
    <t>EvolutionIQ</t>
  </si>
  <si>
    <t>Luma AI</t>
  </si>
  <si>
    <t>Cool Demo</t>
  </si>
  <si>
    <t>SAFE</t>
  </si>
  <si>
    <t>Toyota Ventures, Omidyar Technology Ventures, Intel Capital, Glasswing Ventures, Blindspot Ventures</t>
  </si>
  <si>
    <t>Toyota Ventures</t>
  </si>
  <si>
    <t>Omidyar Technology Ventures</t>
  </si>
  <si>
    <t>Blindspot Ventures</t>
  </si>
  <si>
    <t>wrnch</t>
  </si>
  <si>
    <t>Rob May, Will Murphy</t>
  </si>
  <si>
    <t>Blockchain bot-to-bot</t>
  </si>
  <si>
    <t>Blockchain</t>
  </si>
  <si>
    <t>Galaxy Digital, Glasswing Ventures, Avalon Ventures</t>
  </si>
  <si>
    <t>Galaxy Digital</t>
  </si>
  <si>
    <t>Avalon Ventures</t>
  </si>
  <si>
    <t>Recycling</t>
  </si>
  <si>
    <t>Louisville, CO</t>
  </si>
  <si>
    <t>James Bailey, Matanya Horowitz</t>
  </si>
  <si>
    <t>Waste management, recycling robotics automation</t>
  </si>
  <si>
    <t>Wellington, XN, Valor Equity, Tao Capital, Sidewalk Infrastructure Partners, Sequoia, Range Ventures, Google Ventures, Blue Earth Capital</t>
  </si>
  <si>
    <t>TopMedi AI</t>
  </si>
  <si>
    <t>mayk.it</t>
  </si>
  <si>
    <t>Keymate</t>
  </si>
  <si>
    <t>Depict.ai</t>
  </si>
  <si>
    <t>Cogniflow AI</t>
  </si>
  <si>
    <t>Conductive AI</t>
  </si>
  <si>
    <t>Flowise AI</t>
  </si>
  <si>
    <t>XN, Valor Equity Partners, Sidewalk Infrastructure Partners, Sequoia Capital, Google Ventures, Congruent Ventures, Closed Loop Partners</t>
  </si>
  <si>
    <t>Sequoia Capital, Sidewalk Infrastructure Partners, Prelude Ventures, Congruent Ventures, Closed Loop Partners, BV Investment Partners</t>
  </si>
  <si>
    <t>Baidu Ventures, Congruent Ventures</t>
  </si>
  <si>
    <t>Baidu Ventures</t>
  </si>
  <si>
    <t>Now</t>
  </si>
  <si>
    <t>Congruent Ventures</t>
  </si>
  <si>
    <t>Sidewalk Infrastructure Partners</t>
  </si>
  <si>
    <t>Prelude Ventures</t>
  </si>
  <si>
    <t>Closed Loop Partners</t>
  </si>
  <si>
    <t>BV Investment Ventures</t>
  </si>
  <si>
    <t>XN</t>
  </si>
  <si>
    <t>Tao Capital Partners</t>
  </si>
  <si>
    <t>Range Ventures</t>
  </si>
  <si>
    <t>Blue Earth Capital</t>
  </si>
  <si>
    <t>doc.ai (acquired by SHCR)</t>
  </si>
  <si>
    <t>2016-2021</t>
  </si>
  <si>
    <t>Alan Greene, Anthea Chung, Cheryl Greene, Sam De Brouwer, Walter De Brouwer</t>
  </si>
  <si>
    <t>Medical Research tools</t>
  </si>
  <si>
    <t>Visual inspection for manufacturing</t>
  </si>
  <si>
    <t>McRock Capital, AI Fund, CPPIB, DRIVE Catalyst, Insight Partners, Intel Capital, Samsung Catalyst Fund, Taiwania Capital Management, Walsin Lihwa</t>
  </si>
  <si>
    <t>McRock Capital</t>
  </si>
  <si>
    <t>Walsin Lihwa</t>
  </si>
  <si>
    <t>Samsung (NEXT, Catalyst Fund)</t>
  </si>
  <si>
    <t>Taiwania Capital Management</t>
  </si>
  <si>
    <t>DRIVE Catalyst</t>
  </si>
  <si>
    <t>Intel Capital, Samsung, Lenovo, AI Fund</t>
  </si>
  <si>
    <t>ZMO.ai</t>
  </si>
  <si>
    <t>Sean Gourley</t>
  </si>
  <si>
    <t>Government</t>
  </si>
  <si>
    <t>Seems to be DoD/Gov service</t>
  </si>
  <si>
    <t>Addition, US Innovative Technology Fund</t>
  </si>
  <si>
    <t>Addition, Steadfast, Sands, Hank Crumpton, Lux, DCVC, Amplify</t>
  </si>
  <si>
    <t>US Innovative Technology Fund</t>
  </si>
  <si>
    <t>Steadfast</t>
  </si>
  <si>
    <t>Lux Capital, Section 32, Mubadala, In-Q-Tel, DCVC, Crosslink Capital, Bloomberg Beta, Amplify, AME Cloud Ventures</t>
  </si>
  <si>
    <t>DCVC, Lux, In-Q-Tel, Crosslink, Amplify</t>
  </si>
  <si>
    <t>Lux, Avalon Ventures, Amplify</t>
  </si>
  <si>
    <t>Shanghai, China</t>
  </si>
  <si>
    <t>Derek Li, Jason Wei Zhou, Wei Cui</t>
  </si>
  <si>
    <t>SIG China, CITIC, NGP</t>
  </si>
  <si>
    <t>SIG China, Tiantu Capital, NGP Capital, China-ASEAN etst Investment Cooperation Fund</t>
  </si>
  <si>
    <t>SIG China, Nokia</t>
  </si>
  <si>
    <t>Picterra</t>
  </si>
  <si>
    <t>Pieter Doevendans, Skinner Cheng, Thibault Duchemin</t>
  </si>
  <si>
    <t>Khosla Ventures, Sorenson Ventures, Ring Capital, Lerer Hippeau, FrenchFounders, Initialized Capital</t>
  </si>
  <si>
    <t>Real-time transcription</t>
  </si>
  <si>
    <t>Transcription</t>
  </si>
  <si>
    <t>Ring Capital</t>
  </si>
  <si>
    <t>FrenchFounders</t>
  </si>
  <si>
    <t>Khosla Ventures, Initialized Capital, Day One Ventures</t>
  </si>
  <si>
    <t>Day One</t>
  </si>
  <si>
    <t>Toms Shoes</t>
  </si>
  <si>
    <t>Seraph Group</t>
  </si>
  <si>
    <t>Cantos</t>
  </si>
  <si>
    <t>Boost VC</t>
  </si>
  <si>
    <t>TOMS Shoes, SVA, Seraph Group, Partech, Lerer Hippeau, FJ Labs, Crosslink Capital, Cantos, Boost VC, Xavier Niel, Tim Draper, Steve Blank, Pierre Valade, Blake Mycoskie, The Index Project, Dorm Room Fund</t>
  </si>
  <si>
    <t>Quebec, Canada</t>
  </si>
  <si>
    <t>Sylvain Perron</t>
  </si>
  <si>
    <t>Chatbot automater</t>
  </si>
  <si>
    <t>Chatbots</t>
  </si>
  <si>
    <t>Decibel, Real Ventures, overtime.vc, Inovia Capital, Hike Ventures, Bossanova Investimentos</t>
  </si>
  <si>
    <t>Real Ventures</t>
  </si>
  <si>
    <t>overtime.vc</t>
  </si>
  <si>
    <t>Hike Ventures</t>
  </si>
  <si>
    <t>Panache Ventures, Real Ventures, One Way Ventures, Hike Ventures, Fonds Innovexport, Creative Destruction Lab, BoxOne Ventures</t>
  </si>
  <si>
    <t>Nvidia list</t>
  </si>
  <si>
    <t>NfX list</t>
  </si>
  <si>
    <t>Altimeter list</t>
  </si>
  <si>
    <t>Second Life</t>
  </si>
  <si>
    <t>Smith.ai</t>
  </si>
  <si>
    <t>Algotive</t>
  </si>
  <si>
    <t>Almotive (Stellantis)</t>
  </si>
  <si>
    <t>2015-2022</t>
  </si>
  <si>
    <t>Laszlo Kishonti</t>
  </si>
  <si>
    <t>Budapest, Hungary</t>
  </si>
  <si>
    <t>Self-driving software</t>
  </si>
  <si>
    <t>Dialpad</t>
  </si>
  <si>
    <t>Grammarly</t>
  </si>
  <si>
    <t>ASAPP</t>
  </si>
  <si>
    <t>Datastax</t>
  </si>
  <si>
    <t>Lightricks</t>
  </si>
  <si>
    <t>DupDub</t>
  </si>
  <si>
    <t>Instoried</t>
  </si>
  <si>
    <t>Soul Machines</t>
  </si>
  <si>
    <t>InstaDeep</t>
  </si>
  <si>
    <t>MDClone</t>
  </si>
  <si>
    <t>Eleuther</t>
  </si>
  <si>
    <t>Ushur</t>
  </si>
  <si>
    <t>Kasisto</t>
  </si>
  <si>
    <t>Mutiny</t>
  </si>
  <si>
    <t>Creative Fabrica</t>
  </si>
  <si>
    <t>SeMi Technologies</t>
  </si>
  <si>
    <t>Persado</t>
  </si>
  <si>
    <t>Magnifi</t>
  </si>
  <si>
    <t>Walnut</t>
  </si>
  <si>
    <t>Triple Whale</t>
  </si>
  <si>
    <t>InVideo</t>
  </si>
  <si>
    <t>DeepBrain AI</t>
  </si>
  <si>
    <t>Balto</t>
  </si>
  <si>
    <t>Riverside.fm</t>
  </si>
  <si>
    <t>You.com</t>
  </si>
  <si>
    <t>Textio</t>
  </si>
  <si>
    <t>Atomic AI</t>
  </si>
  <si>
    <t>Mavenoid</t>
  </si>
  <si>
    <t>Unbounce</t>
  </si>
  <si>
    <t>Speak (usespeak.com) or speak.com?</t>
  </si>
  <si>
    <t>Maker AI</t>
  </si>
  <si>
    <t>Veed</t>
  </si>
  <si>
    <t>Matroid</t>
  </si>
  <si>
    <t>Papercup</t>
  </si>
  <si>
    <t>iGenius</t>
  </si>
  <si>
    <t>EliseAI</t>
  </si>
  <si>
    <t>Aqemia</t>
  </si>
  <si>
    <t>Datachat</t>
  </si>
  <si>
    <t>Codacy</t>
  </si>
  <si>
    <t>Corti</t>
  </si>
  <si>
    <t>Air Inc</t>
  </si>
  <si>
    <t>AI Foundation</t>
  </si>
  <si>
    <t>Ultimate</t>
  </si>
  <si>
    <t>Chooch AI</t>
  </si>
  <si>
    <t>Iterative</t>
  </si>
  <si>
    <t>Darrow</t>
  </si>
  <si>
    <t>Symbl</t>
  </si>
  <si>
    <t>Splash</t>
  </si>
  <si>
    <t>Warp</t>
  </si>
  <si>
    <t>TestFit</t>
  </si>
  <si>
    <t>Archistar</t>
  </si>
  <si>
    <t>Endel</t>
  </si>
  <si>
    <t>Salad</t>
  </si>
  <si>
    <t>AiMi</t>
  </si>
  <si>
    <t>Vectara</t>
  </si>
  <si>
    <t>PhotoRoom</t>
  </si>
  <si>
    <t>Pepper Content</t>
  </si>
  <si>
    <t>Uizard</t>
  </si>
  <si>
    <t>Raft</t>
  </si>
  <si>
    <t>Krisp</t>
  </si>
  <si>
    <t>Vu Technologies</t>
  </si>
  <si>
    <t>Beautiful.ai</t>
  </si>
  <si>
    <t>LifeScore</t>
  </si>
  <si>
    <t>Deepset</t>
  </si>
  <si>
    <t>Hazy</t>
  </si>
  <si>
    <t>Madgicx</t>
  </si>
  <si>
    <t>Yepic</t>
  </si>
  <si>
    <t>NeoTax</t>
  </si>
  <si>
    <t>EvenUp</t>
  </si>
  <si>
    <t>Lang.ai</t>
  </si>
  <si>
    <t>Durable</t>
  </si>
  <si>
    <t>Jio Haptik</t>
  </si>
  <si>
    <t>Zero</t>
  </si>
  <si>
    <t>Ginger</t>
  </si>
  <si>
    <t>Fy!</t>
  </si>
  <si>
    <t>Viable</t>
  </si>
  <si>
    <t>Simplified</t>
  </si>
  <si>
    <t>Intento</t>
  </si>
  <si>
    <t>The Simulation</t>
  </si>
  <si>
    <t>Moises</t>
  </si>
  <si>
    <t>Mindtech</t>
  </si>
  <si>
    <t>Bria</t>
  </si>
  <si>
    <t>UneeQ</t>
  </si>
  <si>
    <t>Amberscript</t>
  </si>
  <si>
    <t>NLX</t>
  </si>
  <si>
    <t>DhiWise</t>
  </si>
  <si>
    <t>Outplay</t>
  </si>
  <si>
    <t>MarketMuse</t>
  </si>
  <si>
    <t>Tiamat World</t>
  </si>
  <si>
    <t>Profluent</t>
  </si>
  <si>
    <t>HeyGen</t>
  </si>
  <si>
    <t>Amper</t>
  </si>
  <si>
    <t>Podcastle</t>
  </si>
  <si>
    <t>Valence</t>
  </si>
  <si>
    <t>Personal.ai</t>
  </si>
  <si>
    <t>DataHawk</t>
  </si>
  <si>
    <t>Vozy</t>
  </si>
  <si>
    <t>Contents</t>
  </si>
  <si>
    <t>Verloop</t>
  </si>
  <si>
    <t>GlossAI</t>
  </si>
  <si>
    <t>Metaphysic</t>
  </si>
  <si>
    <t>Seek AI (seek.ai)</t>
  </si>
  <si>
    <t>TermScout</t>
  </si>
  <si>
    <t>Quattr</t>
  </si>
  <si>
    <t>Kiliba</t>
  </si>
  <si>
    <t>theGist</t>
  </si>
  <si>
    <t>Detail</t>
  </si>
  <si>
    <t>Bloom</t>
  </si>
  <si>
    <t>BrandMuscle</t>
  </si>
  <si>
    <t>Zenlytic</t>
  </si>
  <si>
    <t>Data Skrive</t>
  </si>
  <si>
    <t>Colossyan</t>
  </si>
  <si>
    <t>Peech</t>
  </si>
  <si>
    <t>SliceX AI</t>
  </si>
  <si>
    <t>Prisma Labs</t>
  </si>
  <si>
    <t>Masterpiece Studio</t>
  </si>
  <si>
    <t>Scenario</t>
  </si>
  <si>
    <t>DeckRobot</t>
  </si>
  <si>
    <t>Cradle</t>
  </si>
  <si>
    <t>Syntegra</t>
  </si>
  <si>
    <t>Reface</t>
  </si>
  <si>
    <t>Phrasee</t>
  </si>
  <si>
    <t>Astrid</t>
  </si>
  <si>
    <t>Flowrite</t>
  </si>
  <si>
    <t>Certainly</t>
  </si>
  <si>
    <t>Netail</t>
  </si>
  <si>
    <t>Demandwell</t>
  </si>
  <si>
    <t>Wand</t>
  </si>
  <si>
    <t>Neurolabs</t>
  </si>
  <si>
    <t>Novus Writer</t>
  </si>
  <si>
    <t>Obviously.ai</t>
  </si>
  <si>
    <t>Pluralytics</t>
  </si>
  <si>
    <t>Cass</t>
  </si>
  <si>
    <t>Twain</t>
  </si>
  <si>
    <t>Codex</t>
  </si>
  <si>
    <t>Hypothetic</t>
  </si>
  <si>
    <t>Poised</t>
  </si>
  <si>
    <t>Speechify</t>
  </si>
  <si>
    <t>Skippr</t>
  </si>
  <si>
    <t>Boomy</t>
  </si>
  <si>
    <t>Contlo</t>
  </si>
  <si>
    <t>Dob Studio</t>
  </si>
  <si>
    <t>Quillbot</t>
  </si>
  <si>
    <t>Dynamo</t>
  </si>
  <si>
    <t>Voiseed</t>
  </si>
  <si>
    <t>Conversion Maker</t>
  </si>
  <si>
    <t>EmbodyMe</t>
  </si>
  <si>
    <t>Weave.ai</t>
  </si>
  <si>
    <t>10Web</t>
  </si>
  <si>
    <t>Clawdia</t>
  </si>
  <si>
    <t>The.com</t>
  </si>
  <si>
    <t>Staircase</t>
  </si>
  <si>
    <t>Reduct Video</t>
  </si>
  <si>
    <t>Poly (withpoly.com)</t>
  </si>
  <si>
    <t>Pencil</t>
  </si>
  <si>
    <t>Lighton</t>
  </si>
  <si>
    <t>Variational AI</t>
  </si>
  <si>
    <t>XOKind</t>
  </si>
  <si>
    <t>Supertone</t>
  </si>
  <si>
    <t>Agolo</t>
  </si>
  <si>
    <t>Scalenut</t>
  </si>
  <si>
    <t>Potion</t>
  </si>
  <si>
    <t>OneView</t>
  </si>
  <si>
    <t>NuMind</t>
  </si>
  <si>
    <t>Typewise</t>
  </si>
  <si>
    <t>Altered</t>
  </si>
  <si>
    <t>Cohere (Ramp)</t>
  </si>
  <si>
    <t>Ydata</t>
  </si>
  <si>
    <t>MonkeyLearn</t>
  </si>
  <si>
    <t>Summari</t>
  </si>
  <si>
    <t>Attention</t>
  </si>
  <si>
    <t>Windsor</t>
  </si>
  <si>
    <t>NeuralSpace</t>
  </si>
  <si>
    <t>Zocket</t>
  </si>
  <si>
    <t>Stylo</t>
  </si>
  <si>
    <t>Hipsto</t>
  </si>
  <si>
    <t>Cala</t>
  </si>
  <si>
    <t>Pragma</t>
  </si>
  <si>
    <t>Akooda</t>
  </si>
  <si>
    <t>Maverick</t>
  </si>
  <si>
    <t>OASIS</t>
  </si>
  <si>
    <t>Pilot</t>
  </si>
  <si>
    <t>Sonantic</t>
  </si>
  <si>
    <t>Lalaland</t>
  </si>
  <si>
    <t>Andi</t>
  </si>
  <si>
    <t>Hypar</t>
  </si>
  <si>
    <t>Depix</t>
  </si>
  <si>
    <t>Betterdata</t>
  </si>
  <si>
    <t>Krea</t>
  </si>
  <si>
    <t>TrueFoundry</t>
  </si>
  <si>
    <t>Codiga</t>
  </si>
  <si>
    <t>Botco</t>
  </si>
  <si>
    <t>Aflorithmic</t>
  </si>
  <si>
    <t>Boltzbit</t>
  </si>
  <si>
    <t>GGPredict</t>
  </si>
  <si>
    <t>aiXcoder</t>
  </si>
  <si>
    <t>Upword</t>
  </si>
  <si>
    <t>Ecrett</t>
  </si>
  <si>
    <t>SoundRaw</t>
  </si>
  <si>
    <t>Munch</t>
  </si>
  <si>
    <t>Amadeus Code</t>
  </si>
  <si>
    <t>United Robots</t>
  </si>
  <si>
    <t>NeuroX1</t>
  </si>
  <si>
    <t>ZibraAI</t>
  </si>
  <si>
    <t>OpenArt</t>
  </si>
  <si>
    <t>Respeecher</t>
  </si>
  <si>
    <t>Notably</t>
  </si>
  <si>
    <t>Octopize</t>
  </si>
  <si>
    <t>Botika</t>
  </si>
  <si>
    <t>Hypertype</t>
  </si>
  <si>
    <t>WaveAI</t>
  </si>
  <si>
    <t>Tuney</t>
  </si>
  <si>
    <t>WriterZen</t>
  </si>
  <si>
    <t>GoCharlie</t>
  </si>
  <si>
    <t>TextCortex AI</t>
  </si>
  <si>
    <t>Zeta Alpha</t>
  </si>
  <si>
    <t>SuperCreator</t>
  </si>
  <si>
    <t>Vidyo</t>
  </si>
  <si>
    <t>Kaizan</t>
  </si>
  <si>
    <t>NeuraLoom</t>
  </si>
  <si>
    <t>Workorder AI</t>
  </si>
  <si>
    <t>DigitalFirst</t>
  </si>
  <si>
    <t>Beatoven.ai</t>
  </si>
  <si>
    <t>Berserq</t>
  </si>
  <si>
    <t>Aug X Labs</t>
  </si>
  <si>
    <t>Replica Analytics</t>
  </si>
  <si>
    <t>Linguix</t>
  </si>
  <si>
    <t>Cerebrate AI</t>
  </si>
  <si>
    <t>GoatChat</t>
  </si>
  <si>
    <t>Frase</t>
  </si>
  <si>
    <t>WordLift</t>
  </si>
  <si>
    <t>SciSpace</t>
  </si>
  <si>
    <t>LoopinHQ</t>
  </si>
  <si>
    <t>Neuroflash</t>
  </si>
  <si>
    <t>Dubverse</t>
  </si>
  <si>
    <t>Sayso</t>
  </si>
  <si>
    <t>Coxwave</t>
  </si>
  <si>
    <t>Speechki</t>
  </si>
  <si>
    <t>Keys (thekeys.ai)</t>
  </si>
  <si>
    <t>Edgi Learning</t>
  </si>
  <si>
    <t>Save All</t>
  </si>
  <si>
    <t>Correcto</t>
  </si>
  <si>
    <t>Delv AI</t>
  </si>
  <si>
    <t>Inventurist</t>
  </si>
  <si>
    <t>Harmonai (stability?)</t>
  </si>
  <si>
    <t>AskEdith</t>
  </si>
  <si>
    <t>UberDuck</t>
  </si>
  <si>
    <t>Maya</t>
  </si>
  <si>
    <t>Glasp</t>
  </si>
  <si>
    <t>Kamua</t>
  </si>
  <si>
    <t>Motorica</t>
  </si>
  <si>
    <t>Zebracat</t>
  </si>
  <si>
    <t>ForceField IO</t>
  </si>
  <si>
    <t>AudioLabs</t>
  </si>
  <si>
    <t>Felvin</t>
  </si>
  <si>
    <t>Axiom AI</t>
  </si>
  <si>
    <t>Sage SEO</t>
  </si>
  <si>
    <t>Pally</t>
  </si>
  <si>
    <t>Parsnip</t>
  </si>
  <si>
    <t>Kirin</t>
  </si>
  <si>
    <t>Digital Recipe</t>
  </si>
  <si>
    <t>Unthink AI</t>
  </si>
  <si>
    <t>Seenapse</t>
  </si>
  <si>
    <t>Hexo</t>
  </si>
  <si>
    <t>Elomia</t>
  </si>
  <si>
    <t>Wisecut</t>
  </si>
  <si>
    <t>PatentPal</t>
  </si>
  <si>
    <t>MolinAI</t>
  </si>
  <si>
    <t>Jenni</t>
  </si>
  <si>
    <t>Scholarcy</t>
  </si>
  <si>
    <t>Kaedim</t>
  </si>
  <si>
    <t>SampleAd</t>
  </si>
  <si>
    <t>Myth.ai</t>
  </si>
  <si>
    <t>BeyondWords</t>
  </si>
  <si>
    <t>Sapling.ai</t>
  </si>
  <si>
    <t>Write with LAIKA</t>
  </si>
  <si>
    <t>reKnow</t>
  </si>
  <si>
    <t>MutableAI</t>
  </si>
  <si>
    <t>Bloop</t>
  </si>
  <si>
    <t>Quickchat</t>
  </si>
  <si>
    <t>SharePay</t>
  </si>
  <si>
    <t>Incentivai</t>
  </si>
  <si>
    <t>Enzyme</t>
  </si>
  <si>
    <t>Maket</t>
  </si>
  <si>
    <t>Creatext</t>
  </si>
  <si>
    <t>Lumen5</t>
  </si>
  <si>
    <t>CopyMonkey</t>
  </si>
  <si>
    <t>GetAnswer</t>
  </si>
  <si>
    <t>YoDayo</t>
  </si>
  <si>
    <t>Pathway</t>
  </si>
  <si>
    <t>Koalluh</t>
  </si>
  <si>
    <t>Twig.so</t>
  </si>
  <si>
    <t>Broca</t>
  </si>
  <si>
    <t>LongShot AI</t>
  </si>
  <si>
    <t>Avaturn</t>
  </si>
  <si>
    <t>Listnr</t>
  </si>
  <si>
    <t>DeepWord</t>
  </si>
  <si>
    <t>Sloped.xyz</t>
  </si>
  <si>
    <t>Mesolitica</t>
  </si>
  <si>
    <t>QuizMe</t>
  </si>
  <si>
    <t>Ecomtent</t>
  </si>
  <si>
    <t>Glimmer AI</t>
  </si>
  <si>
    <t>Hally AI</t>
  </si>
  <si>
    <t>Sefi AI</t>
  </si>
  <si>
    <t>Sequome</t>
  </si>
  <si>
    <t>Valdi</t>
  </si>
  <si>
    <t>Whizle</t>
  </si>
  <si>
    <t>Stockimg.ai</t>
  </si>
  <si>
    <t>PicUp.ai</t>
  </si>
  <si>
    <t>Kadoa</t>
  </si>
  <si>
    <t>Zubtitle</t>
  </si>
  <si>
    <t>Xoltar</t>
  </si>
  <si>
    <t>Wokelo.ai</t>
  </si>
  <si>
    <t>Topic</t>
  </si>
  <si>
    <t>Blackbox</t>
  </si>
  <si>
    <t>UnScreen</t>
  </si>
  <si>
    <t>Trinka</t>
  </si>
  <si>
    <t>The Culture DAO</t>
  </si>
  <si>
    <t>Textmetrics</t>
  </si>
  <si>
    <t>Tailorbird</t>
  </si>
  <si>
    <t>Strmr</t>
  </si>
  <si>
    <t>Storywizard.ai</t>
  </si>
  <si>
    <t>Starryai</t>
  </si>
  <si>
    <t>Sonify</t>
  </si>
  <si>
    <t>Social Keyboard</t>
  </si>
  <si>
    <t>ShortlyAI</t>
  </si>
  <si>
    <t>Shakespeare</t>
  </si>
  <si>
    <t>Samespace</t>
  </si>
  <si>
    <t>Removebg</t>
  </si>
  <si>
    <t>ReadSpeaker</t>
  </si>
  <si>
    <t>Profile Picture</t>
  </si>
  <si>
    <t>Ponzu</t>
  </si>
  <si>
    <t>Plnia</t>
  </si>
  <si>
    <t>Phaito</t>
  </si>
  <si>
    <t>Peppertype.ai</t>
  </si>
  <si>
    <t>Penelope</t>
  </si>
  <si>
    <t>Panjaya</t>
  </si>
  <si>
    <t>Outwrite</t>
  </si>
  <si>
    <t>Outranking</t>
  </si>
  <si>
    <t>Nyle</t>
  </si>
  <si>
    <t>NLP Labs</t>
  </si>
  <si>
    <t>NeuralText</t>
  </si>
  <si>
    <t>Napkin</t>
  </si>
  <si>
    <t>Musico</t>
  </si>
  <si>
    <t>MirryAI</t>
  </si>
  <si>
    <t>Mark (markcopy.ai)</t>
  </si>
  <si>
    <t>Reach (magicreach.ai)</t>
  </si>
  <si>
    <t>Mage.space</t>
  </si>
  <si>
    <t>LitRPG</t>
  </si>
  <si>
    <t>LALAL</t>
  </si>
  <si>
    <t>Kartiv</t>
  </si>
  <si>
    <t>Growth Marketing Pro</t>
  </si>
  <si>
    <t>Gooey.ai</t>
  </si>
  <si>
    <t>Moonbeam</t>
  </si>
  <si>
    <t>Glimpse.ai</t>
  </si>
  <si>
    <t>Aspect</t>
  </si>
  <si>
    <t>Alpaca (getalpaca.io)</t>
  </si>
  <si>
    <t>GenieLabs</t>
  </si>
  <si>
    <t>Fluento</t>
  </si>
  <si>
    <t>Flowful</t>
  </si>
  <si>
    <t>Flewently</t>
  </si>
  <si>
    <t>Flawless</t>
  </si>
  <si>
    <t>Electric Noir Studios</t>
  </si>
  <si>
    <t>Deep Design Systems</t>
  </si>
  <si>
    <t>Craftly</t>
  </si>
  <si>
    <t>Copy Shark</t>
  </si>
  <si>
    <t>Conto</t>
  </si>
  <si>
    <t>Closers Copy</t>
  </si>
  <si>
    <t>Crone AI</t>
  </si>
  <si>
    <t>Clickable</t>
  </si>
  <si>
    <t>BuildAI</t>
  </si>
  <si>
    <t>Broadn</t>
  </si>
  <si>
    <t>Blend</t>
  </si>
  <si>
    <t>Beewriter</t>
  </si>
  <si>
    <t>B/BLOQS</t>
  </si>
  <si>
    <t>Basch</t>
  </si>
  <si>
    <t>AutoEnhance.ai</t>
  </si>
  <si>
    <t>Article Forge</t>
  </si>
  <si>
    <t>ArtBreeder</t>
  </si>
  <si>
    <t>Aragon</t>
  </si>
  <si>
    <t>AI2sql</t>
  </si>
  <si>
    <t>AdCreative</t>
  </si>
  <si>
    <t>writerly</t>
  </si>
  <si>
    <t>Vizologi</t>
  </si>
  <si>
    <t>TDLR This</t>
  </si>
  <si>
    <t>Thundercontent</t>
  </si>
  <si>
    <t>Synthesys</t>
  </si>
  <si>
    <t>Surfer</t>
  </si>
  <si>
    <t>Subtxt</t>
  </si>
  <si>
    <t>Shuffll</t>
  </si>
  <si>
    <t>ShowHue</t>
  </si>
  <si>
    <t>SEO.ai</t>
  </si>
  <si>
    <t>Quantamix Solutions</t>
  </si>
  <si>
    <t>Qopywriter.ai</t>
  </si>
  <si>
    <t>ProWritingAid</t>
  </si>
  <si>
    <t>Podcast.ai</t>
  </si>
  <si>
    <t>ParagraphAI</t>
  </si>
  <si>
    <t>Osmosis</t>
  </si>
  <si>
    <t>Opus</t>
  </si>
  <si>
    <t>Nyx.gallery</t>
  </si>
  <si>
    <t>Here Be Taverns</t>
  </si>
  <si>
    <t>NoteVibes</t>
  </si>
  <si>
    <t>NLP Cloud</t>
  </si>
  <si>
    <t>Nichesss</t>
  </si>
  <si>
    <t>Neural.love</t>
  </si>
  <si>
    <t>Minerva Solutions</t>
  </si>
  <si>
    <t>MetaDialog</t>
  </si>
  <si>
    <t>Magic Copy</t>
  </si>
  <si>
    <t>Maestra</t>
  </si>
  <si>
    <t>Lyne.ai</t>
  </si>
  <si>
    <t>Looria</t>
  </si>
  <si>
    <t>Loora</t>
  </si>
  <si>
    <t>LEXAI.com</t>
  </si>
  <si>
    <t>Lex.page</t>
  </si>
  <si>
    <t>Leonardo.ai</t>
  </si>
  <si>
    <t>LanguageTool</t>
  </si>
  <si>
    <t>Kai</t>
  </si>
  <si>
    <t>Kafkai</t>
  </si>
  <si>
    <t>Interior AI</t>
  </si>
  <si>
    <t>Ink (inkforall.com)</t>
  </si>
  <si>
    <t>Hi4.ai</t>
  </si>
  <si>
    <t>Headlime</t>
  </si>
  <si>
    <t>Deep Mind Gopher</t>
  </si>
  <si>
    <t>Geniverse</t>
  </si>
  <si>
    <t>Galactica (Amazon, galactica.org)</t>
  </si>
  <si>
    <t>Fliki</t>
  </si>
  <si>
    <t>Fermat.ws</t>
  </si>
  <si>
    <t>Excelformulabot</t>
  </si>
  <si>
    <t>Elicit (elicit.org)</t>
  </si>
  <si>
    <t>DreamFusion</t>
  </si>
  <si>
    <t>DrawAnyone</t>
  </si>
  <si>
    <t>Deep Dream Generator</t>
  </si>
  <si>
    <t>NightCare</t>
  </si>
  <si>
    <t>Copymatic</t>
  </si>
  <si>
    <t>Contentelly</t>
  </si>
  <si>
    <t>ContentBot.ai</t>
  </si>
  <si>
    <t>Consizely</t>
  </si>
  <si>
    <t>CodePilot.ai</t>
  </si>
  <si>
    <t>ChibiAI</t>
  </si>
  <si>
    <t>Capacities</t>
  </si>
  <si>
    <t>Bertha.ai</t>
  </si>
  <si>
    <t>Avatar AI</t>
  </si>
  <si>
    <t>Amazing.photos</t>
  </si>
  <si>
    <t>AISEO.ai</t>
  </si>
  <si>
    <t>AI-writer.com</t>
  </si>
  <si>
    <t>Abtesting.ai</t>
  </si>
  <si>
    <t>Vedia.ai</t>
  </si>
  <si>
    <t>Crait.it</t>
  </si>
  <si>
    <t>text.com</t>
  </si>
  <si>
    <t>Ingest AI</t>
  </si>
  <si>
    <t>DeepFiction AI</t>
  </si>
  <si>
    <t>Call Connect</t>
  </si>
  <si>
    <t>Sonicbox</t>
  </si>
  <si>
    <t>Prime Ventures, Lead Ventures, B Capital, Samsung Catalyst, Inventure, Draper, Day One, Cisco, Bosch Ventures</t>
  </si>
  <si>
    <t>Prime Ventures</t>
  </si>
  <si>
    <t>Almotive</t>
  </si>
  <si>
    <t>Lead Ventures</t>
  </si>
  <si>
    <t>Inventure</t>
  </si>
  <si>
    <t>Bosch Ventures</t>
  </si>
  <si>
    <t>Tamares, Inventure, Draper, Day One, Bosch</t>
  </si>
  <si>
    <t>Tamares</t>
  </si>
  <si>
    <t>2.7 at 5.1</t>
  </si>
  <si>
    <t>Somerville, MA</t>
  </si>
  <si>
    <t>Alex Matveev</t>
  </si>
  <si>
    <t>DeepSparse, SparseML, compute on CPU</t>
  </si>
  <si>
    <t>NEA, Ridgeline, Pillar VC, Comcast Ventures, a16z, Amdocs</t>
  </si>
  <si>
    <t>Ridgeline</t>
  </si>
  <si>
    <t>Amdocs</t>
  </si>
  <si>
    <t>Comcast Ventures, Pillar, NEA, a16z, Amdocs</t>
  </si>
  <si>
    <t>Manyam Mallela, Mehul Shah, Vijay Chittoor</t>
  </si>
  <si>
    <t>Customer data/engagement platform</t>
  </si>
  <si>
    <t>Fort Ross Ventures, Avatar Growth Capital, Storm Ventures, Softbank, Nexus Venture Partners, Conductive Ventures</t>
  </si>
  <si>
    <t>Bengaluru, India</t>
  </si>
  <si>
    <t>Krishna Kadiri, Ritesh Radhakrishnan, Shridhar Marri</t>
  </si>
  <si>
    <t>Suki</t>
  </si>
  <si>
    <t>Unbabel</t>
  </si>
  <si>
    <t>Senseforth (Fractal Analytics)</t>
  </si>
  <si>
    <t>2017 (2000)</t>
  </si>
  <si>
    <t>Wave Computing</t>
  </si>
  <si>
    <t>Customer analytics</t>
  </si>
  <si>
    <t>Bespoke</t>
  </si>
  <si>
    <t>Viscera</t>
  </si>
  <si>
    <t>ICOMWELL</t>
  </si>
  <si>
    <t>Qiming Venture Partners</t>
  </si>
  <si>
    <t>ChatGLM, GLM-130B, CodeGeeX, CogView</t>
  </si>
  <si>
    <t>Pretty crazy</t>
  </si>
  <si>
    <t>DeepLang AI (China)</t>
  </si>
  <si>
    <t>Recurrent AI (NLP, China)</t>
  </si>
  <si>
    <t>Zhihu (China)</t>
  </si>
  <si>
    <t>Unsupervised AI</t>
  </si>
  <si>
    <t>Noah Horton, Tyler Willis</t>
  </si>
  <si>
    <t>Analytics</t>
  </si>
  <si>
    <t>SignalFIre, Cathay Innovation, NextGen Venture Partners, Eniac Ventures, Elad Gil, Coatue</t>
  </si>
  <si>
    <t>NextGen Venture Partners</t>
  </si>
  <si>
    <t>Eniac Ventures</t>
  </si>
  <si>
    <t>Disney Accelerator</t>
  </si>
  <si>
    <t>Construction</t>
  </si>
  <si>
    <t>Jay Cami</t>
  </si>
  <si>
    <t>Carlstadt, NJ</t>
  </si>
  <si>
    <t>Kinect AI</t>
  </si>
  <si>
    <t>Project Management for construction</t>
  </si>
  <si>
    <t>Noon.ai</t>
  </si>
  <si>
    <t>www.intrinsic.ai</t>
  </si>
  <si>
    <t>Ava Robotics</t>
  </si>
  <si>
    <t>Robotics design, FlowState, Open Robotics</t>
  </si>
  <si>
    <t>Alphabet owned?</t>
  </si>
  <si>
    <t>Wendy Tan White</t>
  </si>
  <si>
    <t>CRTificial Intelligence Lab (Tarrasmart, Ashnavas)</t>
  </si>
  <si>
    <t>Algatha</t>
  </si>
  <si>
    <t>Tarrasmart</t>
  </si>
  <si>
    <t>Indonesian effort</t>
  </si>
  <si>
    <t>Defunct</t>
  </si>
  <si>
    <t>Kordel France</t>
  </si>
  <si>
    <t>Dallas, TX</t>
  </si>
  <si>
    <t>Birmingham, UK</t>
  </si>
  <si>
    <t>Behaviol</t>
  </si>
  <si>
    <t>Farm Technologies</t>
  </si>
  <si>
    <t>www.coachvox.ai</t>
  </si>
  <si>
    <t>Voice cloning? Coaching</t>
  </si>
  <si>
    <t>Semiconductors</t>
  </si>
  <si>
    <t>Vishal Sarin</t>
  </si>
  <si>
    <t>Alumni Ventures</t>
  </si>
  <si>
    <t>TDK Ventures</t>
  </si>
  <si>
    <t>MFV Partners, Khosla Ventures</t>
  </si>
  <si>
    <t>Edge devices, analog in-memory compute</t>
  </si>
  <si>
    <t>Bothell, WA</t>
  </si>
  <si>
    <t>Abid Ali Mohammed, Vikram Chalana, Vishal Chalana</t>
  </si>
  <si>
    <t>Fuse, Voyager Capital, Omri Bahat, Bill Bryant, Bharat Shyam</t>
  </si>
  <si>
    <t>FUSE</t>
  </si>
  <si>
    <t>Voyager Capital</t>
  </si>
  <si>
    <t>Andrew Rogers, Gui Bastos, Kobus Jooste</t>
  </si>
  <si>
    <t>NLP for healthcare contact</t>
  </si>
  <si>
    <t>www.syllable.ai</t>
  </si>
  <si>
    <t>TCV, Verily, Section 32, Oak HC/FT</t>
  </si>
  <si>
    <t>Google (Capital G, GV, Verily)</t>
  </si>
  <si>
    <t>Oak HC/FT, Section 32</t>
  </si>
  <si>
    <t>NEA, Khosla, Greylock, Esther Dyson</t>
  </si>
  <si>
    <t>Medivis</t>
  </si>
  <si>
    <t>Site</t>
  </si>
  <si>
    <t>David Gealy, Jeff Mahler, Ken Goldberg, Matt Matl, Stephen McKinley</t>
  </si>
  <si>
    <t>Parcel sorter</t>
  </si>
  <si>
    <t>Tiger, Bow Capital, Pitney Bowes, Ahren Innovation</t>
  </si>
  <si>
    <t>Pitney Bowes</t>
  </si>
  <si>
    <t>Tiger, Vertex, The House Fund, Bow Capital</t>
  </si>
  <si>
    <t>Vertex, Bow, The House Fund</t>
  </si>
  <si>
    <t>Swift Ventures, SkyDeck Berkeley</t>
  </si>
  <si>
    <t>https://www.ambirobotics.com/</t>
  </si>
  <si>
    <t>Dereck Paul, Graham Ramsey</t>
  </si>
  <si>
    <t>Doctor assistance</t>
  </si>
  <si>
    <t>Middletown, DE</t>
  </si>
  <si>
    <t>Anton Vaisburd, Kirill Kirikov, Volodymyr Sofinskyi</t>
  </si>
  <si>
    <t>https://www.datrics.ai/</t>
  </si>
  <si>
    <t>Y Combinator, AltaIR Capital, Oleg Rogynskyy</t>
  </si>
  <si>
    <t>StartupYard, QPDigital, Illia Polosukhin</t>
  </si>
  <si>
    <t>No-code analytics</t>
  </si>
  <si>
    <t>Altair Capital</t>
  </si>
  <si>
    <t>QPDigital</t>
  </si>
  <si>
    <t>www.openspace.ai</t>
  </si>
  <si>
    <t>Jeevan Kalanithi, Michael Fleischman, Philip DeCamp</t>
  </si>
  <si>
    <t>Construction CV analytics</t>
  </si>
  <si>
    <t>PSP Growth, Taronga, GreenPoint, Sino Group, Nine Four Ventures, Navitas, Mirae, Menlo, Lux, JLL Spark, Harmonic Growth, Fischer Homes, BlackRock, Alpaca VC, Alkeon</t>
  </si>
  <si>
    <t>Taronga Ventures</t>
  </si>
  <si>
    <t>Sino Group</t>
  </si>
  <si>
    <t>Nine Four Ventures</t>
  </si>
  <si>
    <t>Navitas</t>
  </si>
  <si>
    <t>JLL Spark</t>
  </si>
  <si>
    <t>Harmonic Growth</t>
  </si>
  <si>
    <t>Fischer Homes</t>
  </si>
  <si>
    <t>Alpaca VC</t>
  </si>
  <si>
    <t>Alkeon, Zigg, PSP, New World Development, Navitas, Menlo, Lux, JLL, GreenPoint</t>
  </si>
  <si>
    <t>Zigg Capital</t>
  </si>
  <si>
    <t>New World Development</t>
  </si>
  <si>
    <t>GreenPoint Partners</t>
  </si>
  <si>
    <t>Menlo Ventures, Zigg Capital, Taronga, Nine Four, Navitas, Lux, JLL</t>
  </si>
  <si>
    <t>Lux Capital, Zigg, WeWork Labs, Suffolk Technologies, Navitas, JLL, Goldcrest</t>
  </si>
  <si>
    <t>WeWork Labs</t>
  </si>
  <si>
    <t>Suffolk Technologies</t>
  </si>
  <si>
    <t>Goldcrest</t>
  </si>
  <si>
    <t>Sterling.VC, Lux Capital, Goldcrest, Foundation, Fairhaven, BoxGroup, Baidu, AngelList Talent, NSF</t>
  </si>
  <si>
    <t>Sterling.VC</t>
  </si>
  <si>
    <t>National Science Foundation</t>
  </si>
  <si>
    <t>Fairhaven</t>
  </si>
  <si>
    <t>AngelList Talent</t>
  </si>
  <si>
    <t>Berlin, Germany</t>
  </si>
  <si>
    <t>Employee Recognition</t>
  </si>
  <si>
    <t>HR</t>
  </si>
  <si>
    <t>www.getbravo.io</t>
  </si>
  <si>
    <t>Interactions</t>
  </si>
  <si>
    <t>FlashPCB</t>
  </si>
  <si>
    <t>www.nuro.ai</t>
  </si>
  <si>
    <t>Dave Ferguson, Jiajun Zhu</t>
  </si>
  <si>
    <t>Electric, Autonomous Vehicles</t>
  </si>
  <si>
    <t>Tiger, Woven Capital, T. Rowe, Softbank, Kroger, Google, Gaorong Capital, Fidelity, Baillie Gifford</t>
  </si>
  <si>
    <t>Woven Capital</t>
  </si>
  <si>
    <t>Kroger</t>
  </si>
  <si>
    <t>Baillie Gifford</t>
  </si>
  <si>
    <t>Series C at 4.5B</t>
  </si>
  <si>
    <t>T. Rowe, SoftBank, Greylock, Fidelity, Baillie Gifford</t>
  </si>
  <si>
    <t>Chipotle</t>
  </si>
  <si>
    <t>Series B at 1.8B</t>
  </si>
  <si>
    <t>SoftBank</t>
  </si>
  <si>
    <t>Greylock, Gaorong</t>
  </si>
  <si>
    <t>Possible down round coming</t>
  </si>
  <si>
    <t>Nio</t>
  </si>
  <si>
    <t>Zoox</t>
  </si>
  <si>
    <t>www.ubtrobot.com</t>
  </si>
  <si>
    <t>Shenzhen, China</t>
  </si>
  <si>
    <t>1X</t>
  </si>
  <si>
    <t>James Zhou</t>
  </si>
  <si>
    <t>Tencent, Telstra Ventures, Minsheng Securities, Haier, Green Pine, CreditEase, CDH Investments</t>
  </si>
  <si>
    <t>Telstra Ventures</t>
  </si>
  <si>
    <t>Minsheng Securities</t>
  </si>
  <si>
    <t>Haier</t>
  </si>
  <si>
    <t>Green Pine Capital Partners</t>
  </si>
  <si>
    <t>CreditEase</t>
  </si>
  <si>
    <t>CDH Investments</t>
  </si>
  <si>
    <t>Series B at 900m</t>
  </si>
  <si>
    <t>CDH Investments, CITIC Securities, Qiming Venture Partners</t>
  </si>
  <si>
    <t>www.megvii.com</t>
  </si>
  <si>
    <t>Qi Yin, Wenbin Tang, Yang Mu</t>
  </si>
  <si>
    <t>BIGO Technology</t>
  </si>
  <si>
    <t>Mobvoi</t>
  </si>
  <si>
    <t>AI Engine, Brain++, Face++, surveillance</t>
  </si>
  <si>
    <t>Bank of China Group Investment, Macquarie, ICBC, Alibaba, ADIA</t>
  </si>
  <si>
    <t>ICBC Asset Management</t>
  </si>
  <si>
    <t>Bank of China Group Investment</t>
  </si>
  <si>
    <t>IPO soon</t>
  </si>
  <si>
    <t>Foxconn, Ant, Sunshine Insurance, SK Group, Russia-China Investment Fund, China Reform Holdings</t>
  </si>
  <si>
    <t>Foxconn</t>
  </si>
  <si>
    <t>Alibaba (Ant)</t>
  </si>
  <si>
    <t>Sunshine Insurance Group</t>
  </si>
  <si>
    <t>SK Inc (SK Group, SK Hynix)</t>
  </si>
  <si>
    <t>Russia-China Investment Fund</t>
  </si>
  <si>
    <t>China Reform Holdings</t>
  </si>
  <si>
    <t>Foxteq Holdings, Sinovation, Qiming, Foxxcon, CCB International</t>
  </si>
  <si>
    <t>Foxteq</t>
  </si>
  <si>
    <t>Sinovation</t>
  </si>
  <si>
    <t>CCB International</t>
  </si>
  <si>
    <t>Qiming, Sinovation</t>
  </si>
  <si>
    <t>Sinovation, Comet</t>
  </si>
  <si>
    <t>www.4paradigm.com</t>
  </si>
  <si>
    <t>Feng Tian, Qiang Yang, Shiwei Hu, Wenyuan Dai, Yuqiang Chen</t>
  </si>
  <si>
    <t>Chinese AI/ML Platform</t>
  </si>
  <si>
    <t>IPO Soon</t>
  </si>
  <si>
    <t>Primavera Capital, HOPU, Boyu, Sequoia Capital China, Mubadala, Junci Investment, Jinyi Capital, Haitong, Goldman Sachs, FountainVest, CITIC, China Securities, China Reform, China Jianyin, Chinda Development Bank</t>
  </si>
  <si>
    <t>Primavera Capital</t>
  </si>
  <si>
    <t>HOPU</t>
  </si>
  <si>
    <t>Boyu</t>
  </si>
  <si>
    <t>Junci Investment</t>
  </si>
  <si>
    <t>Jinyi Capital</t>
  </si>
  <si>
    <t>Haitong Securities</t>
  </si>
  <si>
    <t>FountainVest</t>
  </si>
  <si>
    <t>CITIC Securities (CPE)</t>
  </si>
  <si>
    <t>China Securities</t>
  </si>
  <si>
    <t>China Jianyin</t>
  </si>
  <si>
    <t>China Development Bank</t>
  </si>
  <si>
    <t>230 at 1.8B</t>
  </si>
  <si>
    <t>Lenovo, Green Pine, Co-Stone Venture, Cisco, CITIC, Capikris Foundation, Songhe Capital, Cornerstone Capital</t>
  </si>
  <si>
    <t>Lenovo</t>
  </si>
  <si>
    <t>Co-Stone Venture</t>
  </si>
  <si>
    <t>Capikris Foundation</t>
  </si>
  <si>
    <t>Tusholdings, Three Gorges Capital, CTBC Bank, China Reform, China Poly, Ag Bank, Bank of Communications, Huyu Equity, Sequoia Capital China</t>
  </si>
  <si>
    <t>Tusholdings</t>
  </si>
  <si>
    <t>Three Gorges Capital</t>
  </si>
  <si>
    <t>CTBC Bank</t>
  </si>
  <si>
    <t>China Poly Group</t>
  </si>
  <si>
    <t>Bank of Communications</t>
  </si>
  <si>
    <t>Agricultural Bank of China</t>
  </si>
  <si>
    <t>Huyu Equity Investment Fund</t>
  </si>
  <si>
    <t>ZWC Partners, ICBC, CCB, Bank of China</t>
  </si>
  <si>
    <t>Sinovation, Sequoia Capital China, Fengshion Capital</t>
  </si>
  <si>
    <t>www.sambanova.ai</t>
  </si>
  <si>
    <t>GAI for enterprise and government, Hardware</t>
  </si>
  <si>
    <t>Christopher Ré, Kunle Olukotun, Rodrigo Liang</t>
  </si>
  <si>
    <t>SoftBank, Walden International, Temasek, Intel, Google, GIC, Celesta, BlackRock</t>
  </si>
  <si>
    <t>GIC (Singapore)</t>
  </si>
  <si>
    <t>Celesta Capital</t>
  </si>
  <si>
    <t>Redline Capital</t>
  </si>
  <si>
    <t>Series C at 2.3B</t>
  </si>
  <si>
    <t>BlackRock, Walden International, Redline Capital, Intel, Google, Celesta</t>
  </si>
  <si>
    <t>Intel, Walden, Redline, Google, Celesta, Atlantic Bridge</t>
  </si>
  <si>
    <t>prplex (fsck.ai)</t>
  </si>
  <si>
    <t>Walden International, Google Ventures, Redline Capital, Atlantic Bridge</t>
  </si>
  <si>
    <t>Paris, France</t>
  </si>
  <si>
    <t>Jonathan Cherki</t>
  </si>
  <si>
    <t>Mati Staniszewski, Piotr Dabkowski</t>
  </si>
  <si>
    <t>Digital Experience Analytics</t>
  </si>
  <si>
    <t>Sixth Street, SoftBank, LionTree, KKR, Highland, Eurazeo, Canaan, Bpifrance, Blackrock</t>
  </si>
  <si>
    <t>www.momenta.cn</t>
  </si>
  <si>
    <t>SAIC Motor</t>
  </si>
  <si>
    <t>YF Capital</t>
  </si>
  <si>
    <t>Shunwei Capital</t>
  </si>
  <si>
    <t>Mercedes-Benz Group</t>
  </si>
  <si>
    <t>Cathay Innovation (Cathay Capital)</t>
  </si>
  <si>
    <t>General Motors</t>
  </si>
  <si>
    <t>IDG Capital</t>
  </si>
  <si>
    <t>Toyota, SAIC, Bosch, YF Capital, Tencent, Temasek, Shunwei, Mercedes-Benz, Cathay Capital, GM, IDG Capital</t>
  </si>
  <si>
    <t>120m at 880m</t>
  </si>
  <si>
    <t>Pagoda, NIO Capital, InnoVen, Tencent, China Merchants Group, CCB International</t>
  </si>
  <si>
    <t>Pagoda</t>
  </si>
  <si>
    <t>NIO Capital</t>
  </si>
  <si>
    <t>InnoVen Capital</t>
  </si>
  <si>
    <t>China Merchants Group</t>
  </si>
  <si>
    <t>NIO Capital, UnityVC, Sinovation, Shunwei, NIO, Mercedes, Cathay</t>
  </si>
  <si>
    <t>UnityVC</t>
  </si>
  <si>
    <t>Blue Lake, Shunwei, ZhenFund, Sinovation, Blue Lake</t>
  </si>
  <si>
    <t>Blue Lake Capital</t>
  </si>
  <si>
    <t>Jeffrey Kinsey, Sam Hendel, Theodore Bailey</t>
  </si>
  <si>
    <t>www.dataminr.com</t>
  </si>
  <si>
    <t>Real-time alerts for breaking news</t>
  </si>
  <si>
    <t>Alerts</t>
  </si>
  <si>
    <t>Valor Equity, Pritzker, Reinvent, MSD, Morgan Stanley, Moore, Lurra, IVP, Eldridge, Eden Global, DNS Capital, ArrowMark</t>
  </si>
  <si>
    <t>The Pritzker Organization</t>
  </si>
  <si>
    <t>Reinvent Capital</t>
  </si>
  <si>
    <t>Morgan Stanley</t>
  </si>
  <si>
    <t>Lurra Capital</t>
  </si>
  <si>
    <t>Eldridge</t>
  </si>
  <si>
    <t>Eden Global</t>
  </si>
  <si>
    <t>DNS Capital</t>
  </si>
  <si>
    <t>ArrowMark Partners</t>
  </si>
  <si>
    <t>Series E at 1200</t>
  </si>
  <si>
    <t>Vulcan, Planven, Kite, Blue Ivy, Alumni</t>
  </si>
  <si>
    <t>Vulcan Capital</t>
  </si>
  <si>
    <t>Planven Investiments</t>
  </si>
  <si>
    <t>Kite Ventures</t>
  </si>
  <si>
    <t>Blue Ivy Ventures</t>
  </si>
  <si>
    <t>Series D at 570m</t>
  </si>
  <si>
    <t>Fidelity, WorldQuant, Wellington, Venrock, Richmond Global, IVP, Glynn, FJ Labs, Credit Suisse, BoxGroup, Vikram Pandit, Thomas Glocer, Noam Gottesman, Nicolas Berggruen, Jose Marin, John Mack, Fabrice Grinda</t>
  </si>
  <si>
    <t>WorldQuant</t>
  </si>
  <si>
    <t>Venrock</t>
  </si>
  <si>
    <t>Richmond Global Ventures</t>
  </si>
  <si>
    <t>IVP, Wharton, SuRo, Deep Fork</t>
  </si>
  <si>
    <t>Wharton Equity Partners</t>
  </si>
  <si>
    <t>SuRo Capital</t>
  </si>
  <si>
    <t>Deep Fork Capital</t>
  </si>
  <si>
    <t>Wharton, Viceroy, SuRo, General Advance, Deep Fork</t>
  </si>
  <si>
    <t>Viceroy Ventures</t>
  </si>
  <si>
    <t>General Advance</t>
  </si>
  <si>
    <t>Fremont, CA</t>
  </si>
  <si>
    <t>www.pony.ai</t>
  </si>
  <si>
    <t>James Peng, Tiancheng Lou</t>
  </si>
  <si>
    <t>Ontario Teachers', Eight Roads, CITIC/CPE, ClearVue Partners, Brunei IA, 5Y Capital</t>
  </si>
  <si>
    <t>Ontario Teachers'</t>
  </si>
  <si>
    <t>ClearVue Partners</t>
  </si>
  <si>
    <t>Brunei Investment Agency</t>
  </si>
  <si>
    <t>5Y Capital</t>
  </si>
  <si>
    <t>Ontario Teachers', FAW Group, Eight Roads, ClearVue, 5Y</t>
  </si>
  <si>
    <t>FAW Group</t>
  </si>
  <si>
    <t>267 at 5000</t>
  </si>
  <si>
    <t>100 at 5200</t>
  </si>
  <si>
    <t>462 at 2.5B</t>
  </si>
  <si>
    <t>Toyota, Sequoia China, Kunlun</t>
  </si>
  <si>
    <t>Kunlun</t>
  </si>
  <si>
    <t>Eight Roads, ClearVue, Sequoia China, Redpoint, Morningside, Hongtai, Green Pine, Delong, DCM Ventures, China Merchants, 5Y Capital, Adrian Cheng</t>
  </si>
  <si>
    <t>Hongtai Capital</t>
  </si>
  <si>
    <t>Delong Capital</t>
  </si>
  <si>
    <t>DCM Ventures</t>
  </si>
  <si>
    <t>VMS Asset Management</t>
  </si>
  <si>
    <t>Silicon Valley Future Capital</t>
  </si>
  <si>
    <t>Puhua Capital</t>
  </si>
  <si>
    <t>Polaris Capital Group</t>
  </si>
  <si>
    <t>Legend Capital (including Legend Star)</t>
  </si>
  <si>
    <t>www.dataiku.com</t>
  </si>
  <si>
    <t>Clément Stenac, Florian Douetteau, Marc Batty, Thomas Cabrol</t>
  </si>
  <si>
    <t>Data Science/ML platform</t>
  </si>
  <si>
    <t>Wellington, Insight Partners, Eurazeo, Olivier Pomel</t>
  </si>
  <si>
    <t>Eurazeo</t>
  </si>
  <si>
    <t>400 at 4.2B</t>
  </si>
  <si>
    <t>Tiger, Snowflake, Lightrock, Insight, ICONIQ, FirstMark, Eurazeo, Dawn Capital, CapitalG, Battery, Olivier Pomel</t>
  </si>
  <si>
    <t>Lightrock</t>
  </si>
  <si>
    <t>Dawn Capital</t>
  </si>
  <si>
    <t>Invested Val</t>
  </si>
  <si>
    <t>Current Val</t>
  </si>
  <si>
    <t>P&amp;L</t>
  </si>
  <si>
    <t>Stripes, Tiger, ICONIQ, FirstMark, Dawn, CapitalG, Battery</t>
  </si>
  <si>
    <t>Stripes</t>
  </si>
  <si>
    <t>ICONIQ, FirstMark, Dawn, Battery, Alven</t>
  </si>
  <si>
    <t>Alven</t>
  </si>
  <si>
    <t>Battery, Serena, FirstMark, Alven</t>
  </si>
  <si>
    <t>Wilco</t>
  </si>
  <si>
    <t>Yubo Zhang</t>
  </si>
  <si>
    <t>Hailo</t>
  </si>
  <si>
    <t>www.mthreads.com</t>
  </si>
  <si>
    <t>New GPU</t>
  </si>
  <si>
    <t>Cash Conversion Cycle</t>
  </si>
  <si>
    <t>www.highradius.com</t>
  </si>
  <si>
    <t>Not AI - just a SaaS company</t>
  </si>
  <si>
    <t>Not AI - just a robotics company</t>
  </si>
  <si>
    <t>www.mininglamp.com</t>
  </si>
  <si>
    <t>Minghui Wu, Yan Zhao</t>
  </si>
  <si>
    <t>Not AI enough despite claims to contrary: just Chinese SaaS/Big Data</t>
  </si>
  <si>
    <t>"Chinese Palantir"</t>
  </si>
  <si>
    <t>www.patsnap.com</t>
  </si>
  <si>
    <t>Guan Dian, Jeffrey Tiong, Ray Chohan</t>
  </si>
  <si>
    <t>IP</t>
  </si>
  <si>
    <t>Tencent, SoftBank, Vertex, Shunwei, Sequoia China, CITIC</t>
  </si>
  <si>
    <t>Shunwei Capital, Sequoia Capital China, Qualgro VC</t>
  </si>
  <si>
    <t>Qualgro VC</t>
  </si>
  <si>
    <t>Sequoia Capital China, Shunwei Capital, Qualgro VC</t>
  </si>
  <si>
    <t>Summit Partners, Global Brain Corporation</t>
  </si>
  <si>
    <t>Summit Partners</t>
  </si>
  <si>
    <t>Global Brain Corporation</t>
  </si>
  <si>
    <t>3 at 11</t>
  </si>
  <si>
    <t>Vertex Ventures, Temasek, Accel X</t>
  </si>
  <si>
    <t>Not really AI, "powered by AI" but could be a company without AI</t>
  </si>
  <si>
    <t>38</t>
  </si>
  <si>
    <t>15</t>
  </si>
  <si>
    <t>1</t>
  </si>
  <si>
    <t>8</t>
  </si>
  <si>
    <t>7</t>
  </si>
  <si>
    <t>3</t>
  </si>
  <si>
    <t>75</t>
  </si>
  <si>
    <t>Playment (Telus)</t>
  </si>
  <si>
    <t>Computer Vision, data labeling</t>
  </si>
  <si>
    <t>Ajinkya Malasane, Akshay Lal, Siddharth Mall</t>
  </si>
  <si>
    <t>Y Combinator, Sparkland Capital, Ryan Petersen, Max Altman, SAIF Partners</t>
  </si>
  <si>
    <t>Sparkland</t>
  </si>
  <si>
    <t>SAIF Partners</t>
  </si>
  <si>
    <t>www.playment.io</t>
  </si>
  <si>
    <t>Data Platform</t>
  </si>
  <si>
    <t>www.weka.io</t>
  </si>
  <si>
    <t>Liran Zvibel, Maor BenDayan</t>
  </si>
  <si>
    <t>ElementI</t>
  </si>
  <si>
    <t>Generation, Samsung, Qualcomm, NVIDIA, Norwest, MoreTech Ventures, Mirae, Micron, Lumir, Key 1, Hewlett Packard Enterprise, Gemini Israel, Celesta, Atreides, 10D</t>
  </si>
  <si>
    <t>Generation</t>
  </si>
  <si>
    <t>WEKA</t>
  </si>
  <si>
    <t>MoreTech Ventures</t>
  </si>
  <si>
    <t>Lumir Ventures</t>
  </si>
  <si>
    <t>Key 1 Capital</t>
  </si>
  <si>
    <t>Gemini Israel Ventures</t>
  </si>
  <si>
    <t>10D</t>
  </si>
  <si>
    <t>Hitachi, NVIDIA, MoreTech, Micron, Key 1, Ibex, HPE, Cisco</t>
  </si>
  <si>
    <t>Hitachi Ventures</t>
  </si>
  <si>
    <t>Ibex Investors</t>
  </si>
  <si>
    <t>Western Digital Capital</t>
  </si>
  <si>
    <t>Seagate Technology</t>
  </si>
  <si>
    <t>Mellanox Capital</t>
  </si>
  <si>
    <t>Walden International (Walden Riverwood)</t>
  </si>
  <si>
    <t>CID Group</t>
  </si>
  <si>
    <t>Walden, Qualcomm, Norwest, Gemini Israel, CID Group</t>
  </si>
  <si>
    <t>www.workera.ai</t>
  </si>
  <si>
    <t>Skills</t>
  </si>
  <si>
    <t>James Lee, Kian Katanforoosh, Andrew Ng</t>
  </si>
  <si>
    <t>Sloyd</t>
  </si>
  <si>
    <t>Metagenomi</t>
  </si>
  <si>
    <t>Jump Capital, Sozo Ventures, Owl Ventures, NEA, AI Fund</t>
  </si>
  <si>
    <t>AI/ML skills testing/training</t>
  </si>
  <si>
    <t>Jump Capital</t>
  </si>
  <si>
    <t>Sozo Ventures</t>
  </si>
  <si>
    <t>NEA, Owl Ventures, Pieter Abbeel, Mehran Sahami, Lake Dai</t>
  </si>
  <si>
    <t>Owl Ventures, AI Fund, Plug and Play</t>
  </si>
  <si>
    <t>Not an AI company, Enterprise security</t>
  </si>
  <si>
    <t>www.salt.security</t>
  </si>
  <si>
    <t>IDE with heavy AI focus</t>
  </si>
  <si>
    <t>wwww.lovo.ai</t>
  </si>
  <si>
    <t>TTS</t>
  </si>
  <si>
    <t>Tom Lee</t>
  </si>
  <si>
    <t>Hashed, Goodwater Capital, PKO Investments, Yat Siu, Ray Chan, Patrick Lee, Kun Gao, Holly Liu, Daniel Wu</t>
  </si>
  <si>
    <t>Hashed</t>
  </si>
  <si>
    <t>PKO Investments</t>
  </si>
  <si>
    <t>LG, Kakao, Berkeley SkyDeck, Michael Kim</t>
  </si>
  <si>
    <t>LG Technology Ventures (LG CNS)</t>
  </si>
  <si>
    <t>Primer Sazze Partners</t>
  </si>
  <si>
    <t>Romesh Wadhwani</t>
  </si>
  <si>
    <t>Ayasdi</t>
  </si>
  <si>
    <t>Lotus</t>
  </si>
  <si>
    <t>Netscape</t>
  </si>
  <si>
    <t>AOL</t>
  </si>
  <si>
    <t>Oculus</t>
  </si>
  <si>
    <t>WhatsApp</t>
  </si>
  <si>
    <t>Aspect Development</t>
  </si>
  <si>
    <t>i2 Technologies</t>
  </si>
  <si>
    <t>Nuance</t>
  </si>
  <si>
    <t>Self-funded by Romesh Wadhwani, &gt;220m in revenue</t>
  </si>
  <si>
    <t>Owned by Romesh Wadhwani</t>
  </si>
  <si>
    <t>Vertical focused, eg AML</t>
  </si>
  <si>
    <t>www.symphonyai.com</t>
  </si>
  <si>
    <t>Not AI: medical device</t>
  </si>
  <si>
    <t>Lung Monitoring</t>
  </si>
  <si>
    <t>www.stradoslabs.com</t>
  </si>
  <si>
    <t>Doktor Gurson, Jeff Chang</t>
  </si>
  <si>
    <t>Imagen Technologies</t>
  </si>
  <si>
    <t>www.radai.com</t>
  </si>
  <si>
    <t>Radiology automation</t>
  </si>
  <si>
    <t>Artis Ventures, Santa Barbara Venture Partners, Quarry, OCV, Kickstart, Gradient Ventures, City Light Capital</t>
  </si>
  <si>
    <t>Artis Ventures</t>
  </si>
  <si>
    <t>OCV</t>
  </si>
  <si>
    <t>Santa Barbara Venture Partners</t>
  </si>
  <si>
    <t>Kickstart</t>
  </si>
  <si>
    <t>City Light Capital</t>
  </si>
  <si>
    <t>Kickstart, Gradient, UP2398, Precursor, Hike Ventures, Harmonix Fund, Fifty Years, City Light, GMO VenturePartners, Array Ventures, Immad Akhund</t>
  </si>
  <si>
    <t>UP2398</t>
  </si>
  <si>
    <t>Precursor Ventures</t>
  </si>
  <si>
    <t>AI focused</t>
  </si>
  <si>
    <t>Harmonix Fund</t>
  </si>
  <si>
    <t>GMO VenturePartners</t>
  </si>
  <si>
    <t>Fifty Years</t>
  </si>
  <si>
    <t>Array Ventures</t>
  </si>
  <si>
    <t>Rad AI (Santa Monica, CA)</t>
  </si>
  <si>
    <t>Influencer Marketing Tool</t>
  </si>
  <si>
    <t>Jeremy Barnett, Brad Silver</t>
  </si>
  <si>
    <t>Advertising</t>
  </si>
  <si>
    <t>Santa Monica, CA</t>
  </si>
  <si>
    <t>radintel.ai</t>
  </si>
  <si>
    <t>Tangent.ai</t>
  </si>
  <si>
    <t>AIAdvertising</t>
  </si>
  <si>
    <t>HiveIO</t>
  </si>
  <si>
    <t>www.eigentech.com</t>
  </si>
  <si>
    <t>Jonathan Feuer, Lewis Z. Liu</t>
  </si>
  <si>
    <t>Gradient AI</t>
  </si>
  <si>
    <t>Documents</t>
  </si>
  <si>
    <t>Document processing/automation</t>
  </si>
  <si>
    <t>Lakestar, Dawn Capital, Temasek, Goldman</t>
  </si>
  <si>
    <t>Lakestar</t>
  </si>
  <si>
    <t>37 at 113</t>
  </si>
  <si>
    <t>Temasek, Goldman</t>
  </si>
  <si>
    <t>Digital Reasoning (Smarsh)</t>
  </si>
  <si>
    <t>Tim Estes</t>
  </si>
  <si>
    <t>Franklin, TN</t>
  </si>
  <si>
    <t>Intelligence agency customer, email scanning</t>
  </si>
  <si>
    <t>SaaS owner</t>
  </si>
  <si>
    <t xml:space="preserve">BNP Paribas, Square Capital, Partnership Fund for NYC, Nasdaq, Lemhi Ventures, HCA, GS, Barclays, </t>
  </si>
  <si>
    <t>BNP Paribas</t>
  </si>
  <si>
    <t>Square Capital</t>
  </si>
  <si>
    <t>Partnership Fund for NYC</t>
  </si>
  <si>
    <t>Lemhi Ventures</t>
  </si>
  <si>
    <t>HCA</t>
  </si>
  <si>
    <t>Barclays</t>
  </si>
  <si>
    <t>SC Ventures</t>
  </si>
  <si>
    <t>Nasdaq, Lemhi Ventures, HCA, Goldman</t>
  </si>
  <si>
    <t>www.enlitic.com</t>
  </si>
  <si>
    <t>Jeremy Howard, Kevin Lyman</t>
  </si>
  <si>
    <t>Radiology/PACS</t>
  </si>
  <si>
    <t>Thorney Investment, The Jagen Group, Regal Funds Management, Marubeni, Capitol Health, Amplify</t>
  </si>
  <si>
    <t>Thorney Investment</t>
  </si>
  <si>
    <t>The Jagen Group</t>
  </si>
  <si>
    <t>Regal Funds</t>
  </si>
  <si>
    <t>Marubeni</t>
  </si>
  <si>
    <t>Capitol Health</t>
  </si>
  <si>
    <t>Marubeni, Capitol Health, Allum Capital</t>
  </si>
  <si>
    <t>Alium Capital</t>
  </si>
  <si>
    <t>Capitol Health, DCVC, Amplify</t>
  </si>
  <si>
    <t>Seven Peaks, DCVC, Amplify</t>
  </si>
  <si>
    <t>Nice (nice.com)</t>
  </si>
  <si>
    <t>Hoboken, NJ</t>
  </si>
  <si>
    <t>Enlighten: customer service, IVR</t>
  </si>
  <si>
    <t>Partially AI</t>
  </si>
  <si>
    <t>www.nice,com</t>
  </si>
  <si>
    <t>www.sidneyai.com</t>
  </si>
  <si>
    <t>www.d-id.com</t>
  </si>
  <si>
    <t>Eliran Kuta, Gil Perry, Sella Blondheim</t>
  </si>
  <si>
    <t>Impressive</t>
  </si>
  <si>
    <t>Macquarie Capital, OurCrowd, Pitango, OIF Ventures, Maverick, Marubeni, AXA Venture</t>
  </si>
  <si>
    <t>D-ID</t>
  </si>
  <si>
    <t>Pitango VC</t>
  </si>
  <si>
    <t>OIF Ventures</t>
  </si>
  <si>
    <t>Maverick Ventures</t>
  </si>
  <si>
    <t>AXA Venture Partners</t>
  </si>
  <si>
    <t>AXA Venture, Omron Ventures, Mindset Ventures, Maverick Ventures, Hyundai, AI Alliance, Pitango</t>
  </si>
  <si>
    <t>Omron Ventures</t>
  </si>
  <si>
    <t>Hyundai Motor</t>
  </si>
  <si>
    <t>AI Alliance</t>
  </si>
  <si>
    <t>Pitango, Y Combinator, Pegasus Tech, Omron, Mindset, Maverick, Hyundai</t>
  </si>
  <si>
    <t>Pegasus Tech Ventures</t>
  </si>
  <si>
    <t>Pitango, Y Combinator, Pegasus, Maverick, Foundation</t>
  </si>
  <si>
    <t>www.baidu.com</t>
  </si>
  <si>
    <t>DuerOS, AI Cloud, Ernie 3.5</t>
  </si>
  <si>
    <t>Robin Li</t>
  </si>
  <si>
    <t>Terminus Technologies</t>
  </si>
  <si>
    <t>www.terminusgroup.com</t>
  </si>
  <si>
    <t>Victor Ai</t>
  </si>
  <si>
    <t>Mov.ai</t>
  </si>
  <si>
    <t>Everbright, JD, Iflytek, WANDA</t>
  </si>
  <si>
    <t>"AI Cities"</t>
  </si>
  <si>
    <t>Not AI: more IOT</t>
  </si>
  <si>
    <t>www.enflame-tech.com</t>
  </si>
  <si>
    <t>Primavera, CPE, CICC Alpha, Summitview, Tencent, Redpoint</t>
  </si>
  <si>
    <t>Arthur Zhang, Lidong Zhao</t>
  </si>
  <si>
    <t>Pateo</t>
  </si>
  <si>
    <t>CICC Alpha</t>
  </si>
  <si>
    <t>Summitview</t>
  </si>
  <si>
    <t>Summitview, ZhenFund, Tencent, Redpoint, Delta</t>
  </si>
  <si>
    <t>Delta Capital</t>
  </si>
  <si>
    <t>Yunhe Partners, Tencent, RiverHead, Redpoint, Oceanpine, China Equity</t>
  </si>
  <si>
    <t>Yunhe Partners</t>
  </si>
  <si>
    <t>RiverHead Capital</t>
  </si>
  <si>
    <t>China Equity</t>
  </si>
  <si>
    <t>Tencent, ZhenFund, Yunhe, Summitview, Delta</t>
  </si>
  <si>
    <t>www.cerebras.net</t>
  </si>
  <si>
    <t>Andrew Feldman, Gary Lauterbach, Jean-Philippe Fricker, Michael James, Sean Lie</t>
  </si>
  <si>
    <t>Whole Wafer</t>
  </si>
  <si>
    <t>Alpha Wave Ventures, Empede Capital, Abu Dhabi Growth Fund</t>
  </si>
  <si>
    <t>Alpha Wave Ventures</t>
  </si>
  <si>
    <t>Empede Capital</t>
  </si>
  <si>
    <t>ADIA (Abu Dhabi Growth Fund)</t>
  </si>
  <si>
    <t>Cerebras Systems</t>
  </si>
  <si>
    <t>272m at 2.4B</t>
  </si>
  <si>
    <t>81 at 1.7B</t>
  </si>
  <si>
    <t>Vy Capital, Foundation Capital, Eclipse Ventures, Coatue, Benchmark, Altimeter</t>
  </si>
  <si>
    <t>Vy Capital</t>
  </si>
  <si>
    <t>Eclipse Ventures</t>
  </si>
  <si>
    <t>Sequoia, Foundation, Eclipse, Benchmark, Altimeter</t>
  </si>
  <si>
    <t>Benchmark, SVA, Eclipse</t>
  </si>
  <si>
    <t>CS-1</t>
  </si>
  <si>
    <t>Vast.ai</t>
  </si>
  <si>
    <t>www.vastaitech.com</t>
  </si>
  <si>
    <t>John Qian</t>
  </si>
  <si>
    <t>Zaitian cards</t>
  </si>
  <si>
    <t>Semiconductor</t>
  </si>
  <si>
    <t>PICC, Matrix Partners China, Alibaba, 5Y, Redpoint, Mouhua Science and Technology, irae, Glory Ventures, Co-Stone Venture Capital, China Science and Technology Innovation</t>
  </si>
  <si>
    <t>PICC</t>
  </si>
  <si>
    <t>Matrix Partners (China, India)</t>
  </si>
  <si>
    <t>Mouhua Science and Technology</t>
  </si>
  <si>
    <t>Glory Ventures</t>
  </si>
  <si>
    <t>China Science and Technology Innovation</t>
  </si>
  <si>
    <t>China Internet Investment Fund</t>
  </si>
  <si>
    <t>Sirius Capital</t>
  </si>
  <si>
    <t>Matrix China, China Internet Investment Fund</t>
  </si>
  <si>
    <t>Redpoint, Kuaishou, 5Y</t>
  </si>
  <si>
    <t>Instabase</t>
  </si>
  <si>
    <t>www.builder.ai</t>
  </si>
  <si>
    <t>Sachin Dev Duggal, Saurabh Dhoot</t>
  </si>
  <si>
    <t>Qatar, Jungle Ventures, Insight Partners, ICONIQ Capital, Blue Lion Global</t>
  </si>
  <si>
    <t>No-code app development</t>
  </si>
  <si>
    <t>Qatar Investment Authority</t>
  </si>
  <si>
    <t>Jungle Ventures</t>
  </si>
  <si>
    <t>Blue Lion Global</t>
  </si>
  <si>
    <t>MSFT partnership</t>
  </si>
  <si>
    <t>Insight Partners, WndrCo, Jungle Ventures, IFC, Blue Lion, Revo Capital, Nikesh Arora</t>
  </si>
  <si>
    <t>Revo Capital</t>
  </si>
  <si>
    <t>IFC (International Finance Corporation)</t>
  </si>
  <si>
    <t>IFC, Christian Edler</t>
  </si>
  <si>
    <t>Lakestar, Jungle Ventures, Deepcore</t>
  </si>
  <si>
    <t>Deepcore</t>
  </si>
  <si>
    <t>www.gong.io</t>
  </si>
  <si>
    <t>Eilon Reshef</t>
  </si>
  <si>
    <t>Revenue cycle management, transcription</t>
  </si>
  <si>
    <t>Franklin Templeton, Tiger, Thrive, Sequoia, Salesforce, Coatue</t>
  </si>
  <si>
    <t>Gong</t>
  </si>
  <si>
    <t>Coatue, Wing, Thrive, Sequoia, Salesforce, Norwest, NextWorld, Index, Battery</t>
  </si>
  <si>
    <t>178m ARR</t>
  </si>
  <si>
    <t>NextWorld Capital</t>
  </si>
  <si>
    <t>Sequoia, Wing Venture, Norwest, NextWorld, Cisco, Battery, Shlomo Kramer</t>
  </si>
  <si>
    <t>65 at 685</t>
  </si>
  <si>
    <t>Battery, Wing, Norwest, NextWorld, Cisco, Shlomo Kramer, Rob Biederman</t>
  </si>
  <si>
    <t>Norwest, NextWorld, Wing, Cisco, Shlomo Kramer</t>
  </si>
  <si>
    <t>www.thoughtspot.com</t>
  </si>
  <si>
    <t>Abhishek Rai, Ajeet Singh, Amit Prakash, Priyendra Deshwal, Sanjay Agrawal, Shashank Gupta, Vijay Ganesan</t>
  </si>
  <si>
    <t>Machinify</t>
  </si>
  <si>
    <t>March Capital, Snowflake, Sapphire, Lightspeed, Khosla, GIC, General Catalyst, Capital One</t>
  </si>
  <si>
    <t>Capital One Ventures</t>
  </si>
  <si>
    <t>248 at 1700</t>
  </si>
  <si>
    <t>Lightspeed, Silver Lake, Sapphire, Geodesic, Empede</t>
  </si>
  <si>
    <t>145 at 855</t>
  </si>
  <si>
    <t>Sapphire, Lightspeed, Next Play, Khosla, General Catalyst, Future Fund, Decacorn, BluePointe</t>
  </si>
  <si>
    <t>Future Fund</t>
  </si>
  <si>
    <t>Decacorn Capital</t>
  </si>
  <si>
    <t>Lightspeed, Capital One, HP</t>
  </si>
  <si>
    <t>Geodesic, General Catalyst, Lightspeed, Khosla, Quentin Clark</t>
  </si>
  <si>
    <t>HarbourVest Partners</t>
  </si>
  <si>
    <t>AnyVision/Oosto</t>
  </si>
  <si>
    <t>www.anyvision.co</t>
  </si>
  <si>
    <t>Eylon Etshtein, Neil Robertson, Shlomo Benartzi</t>
  </si>
  <si>
    <t>Appier</t>
  </si>
  <si>
    <t>CV, security</t>
  </si>
  <si>
    <t>SoftBank, Eldridge, Qualcomm, Lightspeed</t>
  </si>
  <si>
    <t>AnyVision</t>
  </si>
  <si>
    <t>Qualcomm, Lightspeed, Eldridge, DJF, Bosch</t>
  </si>
  <si>
    <t>Lightspeed, Qualcomm</t>
  </si>
  <si>
    <t>Bosch, Eldridge</t>
  </si>
  <si>
    <t>Food</t>
  </si>
  <si>
    <t>Santiago, Chile</t>
  </si>
  <si>
    <t>www.notco.com</t>
  </si>
  <si>
    <t>Not AI: food &amp; fragrence (IFF) companies do this all the time</t>
  </si>
  <si>
    <t>Karim Pichara Baksai, Matias Muchnick, Pablo Zamora</t>
  </si>
  <si>
    <t>Fake meat?</t>
  </si>
  <si>
    <t>www.skydio.com</t>
  </si>
  <si>
    <t>Mostly a drone company</t>
  </si>
  <si>
    <t>Abraham Bachrach, Adam Bry, Matt Donahoe</t>
  </si>
  <si>
    <t>Drones</t>
  </si>
  <si>
    <t>Exyn Technologies</t>
  </si>
  <si>
    <t>Linse Capital, UP Partners, NVIDIA, IVP, Hercules, DoCoMo, Axon, a16z</t>
  </si>
  <si>
    <t>Linse Capital</t>
  </si>
  <si>
    <t>UP Partners</t>
  </si>
  <si>
    <t>Hercules Capital</t>
  </si>
  <si>
    <t>Axon</t>
  </si>
  <si>
    <t>170 at 830</t>
  </si>
  <si>
    <t>a16z, UP Partners, Next47, NaHCO3, Linse Capital, IVP</t>
  </si>
  <si>
    <t>Next47, Playground Global, NTT Docomo, Levitate Capital, IVP</t>
  </si>
  <si>
    <t>Levitate</t>
  </si>
  <si>
    <t>Parcel B</t>
  </si>
  <si>
    <t>Playground, IVP, Parcel B, a16z, Accel, Thirty Five Ventures</t>
  </si>
  <si>
    <t>a16z, CAA Ventures, Accel, Matt Bellamy</t>
  </si>
  <si>
    <t>CAA Ventures</t>
  </si>
  <si>
    <t>www.meero.com</t>
  </si>
  <si>
    <t>Guillaume Lestrade, Thomas Rebaud</t>
  </si>
  <si>
    <t>Blippar</t>
  </si>
  <si>
    <t>Prime Ventures, Eurazeo, Avenir, White Star, Idinvest, GR Capital, Global Founders Capital, Cascade, Alven, Aglae</t>
  </si>
  <si>
    <t>Avenir</t>
  </si>
  <si>
    <t>White Star</t>
  </si>
  <si>
    <t>Idinvest Partners</t>
  </si>
  <si>
    <t>GR Capital</t>
  </si>
  <si>
    <t>Cascade (Ventures, Investment Fund)</t>
  </si>
  <si>
    <t>Aglae Ventures</t>
  </si>
  <si>
    <t>White Star, Idinvest, Alven, Global Founders Capital, Aglae, Nicolas Douay, Jeremy Yap</t>
  </si>
  <si>
    <t>Global Founders Capital, Alven, Aglae Ventures, White Star</t>
  </si>
  <si>
    <t>Thibaud Elziere, Nicolas Douay, Jeremy Yap, Global Founders Capital, FJ Labs, Aglae Ventures</t>
  </si>
  <si>
    <t>Wang Huiwen</t>
  </si>
  <si>
    <t>"OpenAI for China"</t>
  </si>
  <si>
    <t>Meituan owned. Wang Huiwen was a co-founder of Meituan.</t>
  </si>
  <si>
    <t>Source Code Capital, Wuyuan Capital, Tencent</t>
  </si>
  <si>
    <t>Source Code Capital</t>
  </si>
  <si>
    <t>Wuyuan Capital</t>
  </si>
  <si>
    <t>Not AI: fintech</t>
  </si>
  <si>
    <t>Finance thing</t>
  </si>
  <si>
    <t>Viking, Capital G</t>
  </si>
  <si>
    <t>www.alpha-sense.com</t>
  </si>
  <si>
    <t>Jack Kokko</t>
  </si>
  <si>
    <t>Bristol, UK</t>
  </si>
  <si>
    <t>www.graphcore.ai</t>
  </si>
  <si>
    <t>Nigel Toon, Simon Knowles</t>
  </si>
  <si>
    <t>IPU</t>
  </si>
  <si>
    <t>Ontario Teachers', Sequoia, Schroders, Sofina, YTWO, Samsung, Pitango, Molten, Microsoft, M&amp;G, Mayfair, Foundation, Fidelity, Dell, Chrysalis, C4, Bosch, BMW, Baillie Gifford, Atomico, Amadeus, Ahren</t>
  </si>
  <si>
    <t>Graphcore</t>
  </si>
  <si>
    <t>YTWO</t>
  </si>
  <si>
    <t>Molten Ventures</t>
  </si>
  <si>
    <t>M&amp;G Investments</t>
  </si>
  <si>
    <t>Mayfair Equity Partners</t>
  </si>
  <si>
    <t>Chrysalis</t>
  </si>
  <si>
    <t>BMW</t>
  </si>
  <si>
    <t>150 at 1.8B</t>
  </si>
  <si>
    <t>Mayfair, Sofina, Latitude, Chrysalis, Baillie Gifford, Amadeus, Ahren</t>
  </si>
  <si>
    <t>LocalGlobe (Latitude)</t>
  </si>
  <si>
    <t>200 at 1.5B</t>
  </si>
  <si>
    <t>Microsoft, BMW, Sofina, Sequoia, Pitango, Molten, Foundation, Dell, C4, Bosch, Atomico, Amadeus, Ahren</t>
  </si>
  <si>
    <t>C4 Ventures</t>
  </si>
  <si>
    <t>Sequoia, Samsung, Pitango, Molten, Foundation, Dell, C4, Bosch, Amadeus</t>
  </si>
  <si>
    <t>Samsung, Bosch, Amadeus, Pitango, Molten, Foundation, C4, Dell</t>
  </si>
  <si>
    <t>www.shift-technology.com</t>
  </si>
  <si>
    <t>David Durrleman, Eric Sibony, Jeremy Jawish</t>
  </si>
  <si>
    <t>Underwriting, compliance, claims, etc.</t>
  </si>
  <si>
    <t>Guidewire, Advent, General Catalyst, Bessemer, Alma Mundi, Accel</t>
  </si>
  <si>
    <t>Guidewire</t>
  </si>
  <si>
    <t>Alma Mundi Ventures</t>
  </si>
  <si>
    <t>Advent International</t>
  </si>
  <si>
    <t>220 at 780</t>
  </si>
  <si>
    <t>Advent, IRIS, Guidewire, General Catalyst, Bessemer, Avenir, Accel</t>
  </si>
  <si>
    <t>IRIS</t>
  </si>
  <si>
    <t>Bessemer, IRIS, General Catalyst, Accel</t>
  </si>
  <si>
    <t>General Catalyst, Accel, IRIS, Elaia</t>
  </si>
  <si>
    <t>Elaia</t>
  </si>
  <si>
    <t>Accel, IRIS, HDS Capital, Elaia</t>
  </si>
  <si>
    <t>HDS Capital</t>
  </si>
  <si>
    <t>Cupertino, CA</t>
  </si>
  <si>
    <t>www.plus.ai</t>
  </si>
  <si>
    <t>Autos</t>
  </si>
  <si>
    <t>David Liu, Hao Zheng, Shawn Kerrigan, Tim Daly</t>
  </si>
  <si>
    <t>FountainVest, ClearVue, Zoyi, Sequoia Capital China, SAIC, Quanta Computer, Millennium Technology, MESH, Huochebang</t>
  </si>
  <si>
    <t>www.eightfold.ai</t>
  </si>
  <si>
    <t>Ashutosh Garg, Varun Kacholia</t>
  </si>
  <si>
    <t>SoftBank, Lightspeed, IVP, General Catalyst, Foundation, Capital One</t>
  </si>
  <si>
    <t>Forbes</t>
  </si>
  <si>
    <t>Upskilling, Internal placements</t>
  </si>
  <si>
    <t>Eightfold AI</t>
  </si>
  <si>
    <t>125 at 875m</t>
  </si>
  <si>
    <t>General Catalyst, Lightspeed, IVP, Foundation, Capital One</t>
  </si>
  <si>
    <t>IVP, Lightspeed, Foundation</t>
  </si>
  <si>
    <t>Foundation, South Park Commons</t>
  </si>
  <si>
    <t>www.shield.ai</t>
  </si>
  <si>
    <t>Andrew Reiter, Brandon Tseng, Ryan Tseng</t>
  </si>
  <si>
    <t>Aircraft</t>
  </si>
  <si>
    <t>AI Pilot</t>
  </si>
  <si>
    <t>Snowpoint, SVB, Riot, Point72, Homebrew, Disruptive, Breyer, a16z</t>
  </si>
  <si>
    <t>Snowpoint</t>
  </si>
  <si>
    <t>Silicon Valley Bank (SVB Capital)</t>
  </si>
  <si>
    <t>Riot Ventures</t>
  </si>
  <si>
    <t>Homebrew</t>
  </si>
  <si>
    <t>Disruptive</t>
  </si>
  <si>
    <t>Breyer Capital</t>
  </si>
  <si>
    <t>210 at 1B</t>
  </si>
  <si>
    <t>Disruptive, Point72, Breyer, a16z</t>
  </si>
  <si>
    <t>Point72</t>
  </si>
  <si>
    <t>SVB Capital, Riot.vc, Homebrew, Breyer, a16z</t>
  </si>
  <si>
    <t>Breyer, Homebrew, a16z</t>
  </si>
  <si>
    <t>Founder Collective</t>
  </si>
  <si>
    <t>Insitro</t>
  </si>
  <si>
    <t>Abnormal Security</t>
  </si>
  <si>
    <t>Bayesian Health</t>
  </si>
  <si>
    <t>Canvas</t>
  </si>
  <si>
    <t>Clari</t>
  </si>
  <si>
    <t>Coactive AI</t>
  </si>
  <si>
    <t>Farmwise</t>
  </si>
  <si>
    <t>Ironclad</t>
  </si>
  <si>
    <t>PathAI</t>
  </si>
  <si>
    <t>RevComm</t>
  </si>
  <si>
    <t>Slingshot Aerospace</t>
  </si>
  <si>
    <t>Trigo</t>
  </si>
  <si>
    <t>Vannevar</t>
  </si>
  <si>
    <t>Vectra</t>
  </si>
  <si>
    <t>Viz.AI</t>
  </si>
  <si>
    <t>Waabi</t>
  </si>
  <si>
    <t>AI Grant batch 1</t>
  </si>
  <si>
    <t>YC W23, AI Grant batch 1</t>
  </si>
  <si>
    <t>Genomics</t>
  </si>
  <si>
    <t>Genomics/diagnostics, not AI</t>
  </si>
  <si>
    <t>Ansuman Satpathy, Dan Littman, Danny Wells, Luis F Voloch, Noam Solomon</t>
  </si>
  <si>
    <t>www.immunai.com</t>
  </si>
  <si>
    <t>Koch, Talos, Piedmont, Meron, Icon, Alexandria, 8VC</t>
  </si>
  <si>
    <t>Drug company</t>
  </si>
  <si>
    <t>www.intervenn.com</t>
  </si>
  <si>
    <t>South San Fran, CA</t>
  </si>
  <si>
    <t>Not AI</t>
  </si>
  <si>
    <t>www.wayve.ai</t>
  </si>
  <si>
    <t>To Do</t>
  </si>
  <si>
    <t>Scottsdale, AZ</t>
  </si>
  <si>
    <t>www.paradox.ai</t>
  </si>
  <si>
    <t>www.outreach.io</t>
  </si>
  <si>
    <t>Lock Screen</t>
  </si>
  <si>
    <t>www.censius.ai</t>
  </si>
  <si>
    <t>www.groq.com</t>
  </si>
  <si>
    <t>www.appliedintuition.com</t>
  </si>
  <si>
    <t>www.vastdata.com</t>
  </si>
  <si>
    <t>www.h2o.ai</t>
  </si>
  <si>
    <t>www.dominodatalab.com</t>
  </si>
  <si>
    <t>www.labelbox.com</t>
  </si>
  <si>
    <t>Not AI per se</t>
  </si>
  <si>
    <t>www.runpod.io</t>
  </si>
  <si>
    <t>Mount Laurel, NJ</t>
  </si>
  <si>
    <t>www.banana.dev</t>
  </si>
  <si>
    <t>Welding</t>
  </si>
  <si>
    <t>www.path-robotics.com</t>
  </si>
  <si>
    <t>DataBricks</t>
  </si>
  <si>
    <t>www.mosaicml.com</t>
  </si>
  <si>
    <t>www.contractpodai.com</t>
  </si>
  <si>
    <t>Hive (thehive.ai)</t>
  </si>
  <si>
    <t>www.thehive.ai</t>
  </si>
  <si>
    <t>www.cresta.com</t>
  </si>
  <si>
    <t>Informatica</t>
  </si>
  <si>
    <t>Ontology</t>
  </si>
  <si>
    <t>www.relational.ai</t>
  </si>
  <si>
    <t>Intel</t>
  </si>
  <si>
    <t>www.helsing.ai</t>
  </si>
  <si>
    <t>www.run.ai</t>
  </si>
  <si>
    <t>Translation</t>
  </si>
  <si>
    <t>www.deepl.com</t>
  </si>
  <si>
    <t>Germany</t>
  </si>
  <si>
    <t>www.digits.com</t>
  </si>
  <si>
    <t>Revenue</t>
  </si>
  <si>
    <t>www.akasa.com</t>
  </si>
  <si>
    <t>McKinsey</t>
  </si>
  <si>
    <t>Clinical Trials</t>
  </si>
  <si>
    <t>www.unlearn.ai</t>
  </si>
  <si>
    <t>Drugs</t>
  </si>
  <si>
    <t>www.healx.io</t>
  </si>
  <si>
    <t>www.comet.com</t>
  </si>
  <si>
    <t>Synthetic Data</t>
  </si>
  <si>
    <t>www.gretel.ai</t>
  </si>
  <si>
    <t>Rain Neuromorphics</t>
  </si>
  <si>
    <t>www.rain.ai</t>
  </si>
  <si>
    <t>www.otter.ai</t>
  </si>
  <si>
    <t>Arthur</t>
  </si>
  <si>
    <t>YourHana.ai</t>
  </si>
  <si>
    <t>Graphics</t>
  </si>
  <si>
    <t>Suhail Doshi</t>
  </si>
  <si>
    <t>Paul Graham, Garry Tan, Raymond Tonsing, Max Levchin, Arjun Lall, Alda Dennis, Justin Kain, Immad Akhund, Solomon Hykes, Aaron Levie, Adora Cheung, Elad Gil, Balaji Srinivasan, Sanjay Dastoor, Oliver Cameron, Ron Conway, Paul Buchheit, Charlie Cheever.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</si>
</sst>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x"/>
    <numFmt numFmtId="165" formatCode="[$¥-411]#,##0"/>
    <numFmt numFmtId="166" formatCode="0.0%"/>
  </numFmts>
  <fonts count="110">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18"/>
    </font>
    <font>
      <u/>
      <sz val="11"/>
      <color theme="10"/>
      <name val="Calibri"/>
      <family val="2"/>
      <scheme val="minor"/>
    </font>
    <font>
      <u/>
      <sz val="10"/>
      <color theme="10"/>
      <name val="Arial"/>
      <family val="2"/>
    </font>
    <font>
      <i/>
      <sz val="10"/>
      <color theme="1"/>
      <name val="Arial"/>
      <family val="2"/>
    </font>
    <font>
      <b/>
      <sz val="10"/>
      <color theme="1"/>
      <name val="Arial"/>
      <family val="2"/>
    </font>
    <font>
      <b/>
      <u/>
      <sz val="10"/>
      <color theme="1"/>
      <name val="Arial"/>
      <family val="2"/>
    </font>
    <font>
      <sz val="10"/>
      <name val="Arial"/>
      <family val="2"/>
    </font>
    <font>
      <strike/>
      <sz val="10"/>
      <color theme="1"/>
      <name val="Arial"/>
      <family val="2"/>
    </font>
    <font>
      <i/>
      <strike/>
      <sz val="10"/>
      <color theme="1"/>
      <name val="Arial"/>
      <family val="2"/>
    </font>
    <font>
      <u/>
      <sz val="10"/>
      <color theme="10"/>
      <name val="Ariai"/>
    </font>
    <font>
      <sz val="10"/>
      <color rgb="FFFF0000"/>
      <name val="Arial"/>
      <family val="2"/>
    </font>
    <font>
      <b/>
      <sz val="10"/>
      <color rgb="FFFF0000"/>
      <name val="Arial"/>
      <family val="2"/>
    </font>
    <font>
      <sz val="10"/>
      <color rgb="FF000000"/>
      <name val="Arial"/>
      <family val="2"/>
    </font>
    <font>
      <b/>
      <i/>
      <sz val="10"/>
      <color theme="1"/>
      <name val="Arial"/>
      <family val="2"/>
    </font>
    <font>
      <b/>
      <sz val="10"/>
      <color rgb="FF000000"/>
      <name val="Arial"/>
      <family val="2"/>
    </font>
    <font>
      <u/>
      <sz val="10"/>
      <color theme="10"/>
      <name val="Calibri"/>
      <family val="2"/>
      <scheme val="minor"/>
    </font>
    <font>
      <b/>
      <u/>
      <sz val="10"/>
      <color theme="10"/>
      <name val="Arial"/>
      <family val="2"/>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94" fillId="0" borderId="0" applyNumberFormat="0" applyFill="0" applyBorder="0" applyAlignment="0" applyProtection="0"/>
  </cellStyleXfs>
  <cellXfs count="293">
    <xf numFmtId="0" fontId="0" fillId="0" borderId="0" xfId="0"/>
    <xf numFmtId="0" fontId="93" fillId="0" borderId="0" xfId="0" applyFont="1"/>
    <xf numFmtId="2" fontId="93" fillId="0" borderId="0" xfId="0" applyNumberFormat="1" applyFont="1" applyAlignment="1">
      <alignment horizontal="right"/>
    </xf>
    <xf numFmtId="3" fontId="93" fillId="0" borderId="0" xfId="0" applyNumberFormat="1" applyFont="1" applyAlignment="1">
      <alignment horizontal="right"/>
    </xf>
    <xf numFmtId="0" fontId="93" fillId="0" borderId="0" xfId="0" applyFont="1" applyAlignment="1">
      <alignment horizontal="right"/>
    </xf>
    <xf numFmtId="0" fontId="95" fillId="0" borderId="0" xfId="1" applyFont="1"/>
    <xf numFmtId="0" fontId="92" fillId="0" borderId="0" xfId="0" applyFont="1"/>
    <xf numFmtId="3" fontId="92" fillId="0" borderId="0" xfId="0" applyNumberFormat="1" applyFont="1" applyAlignment="1">
      <alignment horizontal="right"/>
    </xf>
    <xf numFmtId="0" fontId="91" fillId="0" borderId="0" xfId="0" applyFont="1"/>
    <xf numFmtId="3" fontId="96" fillId="0" borderId="0" xfId="0" applyNumberFormat="1" applyFont="1" applyAlignment="1">
      <alignment horizontal="right"/>
    </xf>
    <xf numFmtId="0" fontId="90" fillId="0" borderId="0" xfId="0" applyFont="1"/>
    <xf numFmtId="0" fontId="89" fillId="0" borderId="0" xfId="0" applyFont="1"/>
    <xf numFmtId="0" fontId="88" fillId="0" borderId="0" xfId="0" applyFont="1"/>
    <xf numFmtId="0" fontId="87" fillId="0" borderId="3" xfId="0" applyFont="1" applyBorder="1"/>
    <xf numFmtId="0" fontId="87" fillId="0" borderId="4" xfId="0" applyFont="1" applyBorder="1"/>
    <xf numFmtId="2" fontId="87" fillId="0" borderId="4" xfId="0" applyNumberFormat="1" applyFont="1" applyBorder="1" applyAlignment="1">
      <alignment horizontal="right"/>
    </xf>
    <xf numFmtId="3" fontId="87" fillId="0" borderId="4" xfId="0" applyNumberFormat="1" applyFont="1" applyBorder="1" applyAlignment="1">
      <alignment horizontal="right"/>
    </xf>
    <xf numFmtId="0" fontId="87" fillId="0" borderId="4" xfId="0" applyFont="1" applyBorder="1" applyAlignment="1">
      <alignment horizontal="right"/>
    </xf>
    <xf numFmtId="0" fontId="87" fillId="0" borderId="4" xfId="0" applyFont="1" applyBorder="1" applyAlignment="1">
      <alignment horizontal="center"/>
    </xf>
    <xf numFmtId="0" fontId="87" fillId="0" borderId="5" xfId="0" applyFont="1" applyBorder="1" applyAlignment="1">
      <alignment horizontal="center"/>
    </xf>
    <xf numFmtId="0" fontId="87" fillId="0" borderId="0" xfId="0" applyFont="1"/>
    <xf numFmtId="2" fontId="87" fillId="0" borderId="0" xfId="0" applyNumberFormat="1" applyFont="1" applyAlignment="1">
      <alignment horizontal="right"/>
    </xf>
    <xf numFmtId="3" fontId="87" fillId="0" borderId="0" xfId="0" applyNumberFormat="1" applyFont="1" applyAlignment="1">
      <alignment horizontal="right"/>
    </xf>
    <xf numFmtId="0" fontId="87" fillId="0" borderId="0" xfId="0" applyFont="1" applyAlignment="1">
      <alignment horizontal="right"/>
    </xf>
    <xf numFmtId="0" fontId="87" fillId="0" borderId="0" xfId="0" applyFont="1" applyAlignment="1">
      <alignment horizontal="center"/>
    </xf>
    <xf numFmtId="0" fontId="87" fillId="0" borderId="1" xfId="0" applyFont="1" applyBorder="1" applyAlignment="1">
      <alignment horizontal="center"/>
    </xf>
    <xf numFmtId="0" fontId="87" fillId="0" borderId="2" xfId="0" applyFont="1" applyBorder="1" applyAlignment="1">
      <alignment horizontal="center"/>
    </xf>
    <xf numFmtId="4" fontId="87" fillId="0" borderId="0" xfId="0" applyNumberFormat="1" applyFont="1" applyAlignment="1">
      <alignment horizontal="center"/>
    </xf>
    <xf numFmtId="9" fontId="87" fillId="0" borderId="0" xfId="0" applyNumberFormat="1" applyFont="1" applyAlignment="1">
      <alignment horizontal="center"/>
    </xf>
    <xf numFmtId="164" fontId="87" fillId="0" borderId="1" xfId="0" applyNumberFormat="1" applyFont="1" applyBorder="1" applyAlignment="1">
      <alignment horizontal="center"/>
    </xf>
    <xf numFmtId="164" fontId="87" fillId="0" borderId="0" xfId="0" applyNumberFormat="1" applyFont="1" applyAlignment="1">
      <alignment horizontal="center"/>
    </xf>
    <xf numFmtId="164" fontId="87" fillId="0" borderId="2" xfId="0" applyNumberFormat="1" applyFont="1" applyBorder="1" applyAlignment="1">
      <alignment horizontal="center"/>
    </xf>
    <xf numFmtId="4" fontId="87" fillId="0" borderId="1" xfId="0" applyNumberFormat="1" applyFont="1" applyBorder="1" applyAlignment="1">
      <alignment horizontal="center"/>
    </xf>
    <xf numFmtId="4" fontId="87" fillId="0" borderId="2" xfId="0" applyNumberFormat="1" applyFont="1" applyBorder="1" applyAlignment="1">
      <alignment horizontal="center"/>
    </xf>
    <xf numFmtId="0" fontId="86" fillId="0" borderId="0" xfId="0" applyFont="1" applyAlignment="1">
      <alignment horizontal="right"/>
    </xf>
    <xf numFmtId="0" fontId="85" fillId="0" borderId="0" xfId="0" applyFont="1" applyAlignment="1">
      <alignment horizontal="right"/>
    </xf>
    <xf numFmtId="9" fontId="85" fillId="0" borderId="0" xfId="0" applyNumberFormat="1" applyFont="1" applyAlignment="1">
      <alignment horizontal="center"/>
    </xf>
    <xf numFmtId="164" fontId="87" fillId="0" borderId="6" xfId="0" applyNumberFormat="1" applyFont="1" applyBorder="1" applyAlignment="1">
      <alignment horizontal="center"/>
    </xf>
    <xf numFmtId="0" fontId="84" fillId="0" borderId="0" xfId="0" applyFont="1" applyAlignment="1">
      <alignment horizontal="right"/>
    </xf>
    <xf numFmtId="0" fontId="83" fillId="0" borderId="0" xfId="0" applyFont="1" applyAlignment="1">
      <alignment horizontal="right"/>
    </xf>
    <xf numFmtId="0" fontId="82" fillId="0" borderId="0" xfId="0" applyFont="1"/>
    <xf numFmtId="4" fontId="87" fillId="0" borderId="0" xfId="0" applyNumberFormat="1" applyFont="1" applyAlignment="1">
      <alignment horizontal="right"/>
    </xf>
    <xf numFmtId="0" fontId="81" fillId="0" borderId="4" xfId="0" applyFont="1" applyBorder="1" applyAlignment="1">
      <alignment horizontal="right"/>
    </xf>
    <xf numFmtId="14" fontId="87" fillId="0" borderId="0" xfId="0" applyNumberFormat="1" applyFont="1" applyAlignment="1">
      <alignment horizontal="right"/>
    </xf>
    <xf numFmtId="0" fontId="81" fillId="0" borderId="0" xfId="0" applyFont="1" applyAlignment="1">
      <alignment horizontal="right"/>
    </xf>
    <xf numFmtId="0" fontId="81" fillId="0" borderId="0" xfId="0" applyFont="1"/>
    <xf numFmtId="0" fontId="80" fillId="0" borderId="0" xfId="0" applyFont="1"/>
    <xf numFmtId="0" fontId="80" fillId="0" borderId="0" xfId="0" applyFont="1" applyAlignment="1">
      <alignment horizontal="right"/>
    </xf>
    <xf numFmtId="0" fontId="80" fillId="0" borderId="3" xfId="0" applyFont="1" applyBorder="1" applyAlignment="1">
      <alignment horizontal="center"/>
    </xf>
    <xf numFmtId="0" fontId="80" fillId="0" borderId="6" xfId="0" applyFont="1" applyBorder="1" applyAlignment="1">
      <alignment horizontal="center"/>
    </xf>
    <xf numFmtId="0" fontId="80" fillId="0" borderId="4" xfId="0" applyFont="1" applyBorder="1" applyAlignment="1">
      <alignment horizontal="center"/>
    </xf>
    <xf numFmtId="0" fontId="87" fillId="0" borderId="5" xfId="0" applyFont="1" applyBorder="1"/>
    <xf numFmtId="3" fontId="90" fillId="0" borderId="0" xfId="0" applyNumberFormat="1" applyFont="1"/>
    <xf numFmtId="0" fontId="79" fillId="0" borderId="0" xfId="0" applyFont="1"/>
    <xf numFmtId="0" fontId="78" fillId="0" borderId="0" xfId="0" applyFont="1" applyAlignment="1">
      <alignment horizontal="right"/>
    </xf>
    <xf numFmtId="0" fontId="77" fillId="0" borderId="0" xfId="0" applyFont="1" applyAlignment="1">
      <alignment horizontal="right"/>
    </xf>
    <xf numFmtId="0" fontId="77" fillId="0" borderId="0" xfId="0" applyFont="1"/>
    <xf numFmtId="3" fontId="93" fillId="0" borderId="0" xfId="0" applyNumberFormat="1" applyFont="1"/>
    <xf numFmtId="3" fontId="96" fillId="0" borderId="0" xfId="0" applyNumberFormat="1" applyFont="1"/>
    <xf numFmtId="3" fontId="77" fillId="0" borderId="0" xfId="0" applyNumberFormat="1" applyFont="1"/>
    <xf numFmtId="4" fontId="93" fillId="0" borderId="0" xfId="0" applyNumberFormat="1" applyFont="1" applyAlignment="1">
      <alignment horizontal="right"/>
    </xf>
    <xf numFmtId="4" fontId="96" fillId="0" borderId="0" xfId="0" applyNumberFormat="1" applyFont="1" applyAlignment="1">
      <alignment horizontal="right"/>
    </xf>
    <xf numFmtId="0" fontId="76" fillId="0" borderId="0" xfId="0" applyFont="1"/>
    <xf numFmtId="0" fontId="75" fillId="0" borderId="0" xfId="0" applyFont="1"/>
    <xf numFmtId="0" fontId="97" fillId="0" borderId="0" xfId="0" applyFont="1"/>
    <xf numFmtId="0" fontId="74" fillId="0" borderId="0" xfId="0" applyFont="1"/>
    <xf numFmtId="0" fontId="74" fillId="0" borderId="0" xfId="0" applyFont="1" applyAlignment="1">
      <alignment horizontal="right"/>
    </xf>
    <xf numFmtId="14" fontId="90" fillId="0" borderId="0" xfId="0" applyNumberFormat="1" applyFont="1"/>
    <xf numFmtId="0" fontId="90" fillId="0" borderId="0" xfId="0" applyFont="1" applyAlignment="1">
      <alignment horizontal="right"/>
    </xf>
    <xf numFmtId="4" fontId="90" fillId="0" borderId="0" xfId="0" applyNumberFormat="1" applyFont="1" applyAlignment="1">
      <alignment horizontal="right"/>
    </xf>
    <xf numFmtId="3" fontId="90" fillId="0" borderId="0" xfId="0" applyNumberFormat="1" applyFont="1" applyAlignment="1">
      <alignment horizontal="right"/>
    </xf>
    <xf numFmtId="3" fontId="73" fillId="0" borderId="0" xfId="0" applyNumberFormat="1" applyFont="1"/>
    <xf numFmtId="0" fontId="73" fillId="0" borderId="0" xfId="0" applyFont="1"/>
    <xf numFmtId="0" fontId="73" fillId="0" borderId="3" xfId="0" applyFont="1" applyBorder="1"/>
    <xf numFmtId="0" fontId="73" fillId="0" borderId="4" xfId="0" applyFont="1" applyBorder="1"/>
    <xf numFmtId="2" fontId="73" fillId="0" borderId="4" xfId="0" applyNumberFormat="1" applyFont="1" applyBorder="1" applyAlignment="1">
      <alignment horizontal="right"/>
    </xf>
    <xf numFmtId="3" fontId="73" fillId="0" borderId="4" xfId="0" applyNumberFormat="1" applyFont="1" applyBorder="1" applyAlignment="1">
      <alignment horizontal="right"/>
    </xf>
    <xf numFmtId="0" fontId="73" fillId="0" borderId="4" xfId="0" applyFont="1" applyBorder="1" applyAlignment="1">
      <alignment horizontal="right"/>
    </xf>
    <xf numFmtId="0" fontId="73" fillId="0" borderId="4" xfId="0" applyFont="1" applyBorder="1" applyAlignment="1">
      <alignment horizontal="center"/>
    </xf>
    <xf numFmtId="0" fontId="73" fillId="0" borderId="5" xfId="0" applyFont="1" applyBorder="1" applyAlignment="1">
      <alignment horizontal="center"/>
    </xf>
    <xf numFmtId="0" fontId="73" fillId="0" borderId="3" xfId="0" applyFont="1" applyBorder="1" applyAlignment="1">
      <alignment horizontal="center"/>
    </xf>
    <xf numFmtId="0" fontId="73" fillId="0" borderId="6" xfId="0" applyFont="1" applyBorder="1" applyAlignment="1">
      <alignment horizontal="center"/>
    </xf>
    <xf numFmtId="0" fontId="72" fillId="0" borderId="0" xfId="0" applyFont="1"/>
    <xf numFmtId="3" fontId="72" fillId="0" borderId="0" xfId="0" applyNumberFormat="1" applyFont="1"/>
    <xf numFmtId="3" fontId="71" fillId="0" borderId="0" xfId="0" applyNumberFormat="1" applyFont="1"/>
    <xf numFmtId="0" fontId="70" fillId="0" borderId="0" xfId="0" applyFont="1"/>
    <xf numFmtId="0" fontId="69" fillId="0" borderId="0" xfId="0" applyFont="1"/>
    <xf numFmtId="0" fontId="68" fillId="0" borderId="0" xfId="0" applyFont="1"/>
    <xf numFmtId="0" fontId="67" fillId="0" borderId="0" xfId="0" applyFont="1"/>
    <xf numFmtId="0" fontId="66" fillId="0" borderId="0" xfId="0" applyFont="1"/>
    <xf numFmtId="0" fontId="65" fillId="0" borderId="0" xfId="0" applyFont="1"/>
    <xf numFmtId="3" fontId="64" fillId="0" borderId="0" xfId="0" applyNumberFormat="1" applyFont="1"/>
    <xf numFmtId="0" fontId="64" fillId="0" borderId="0" xfId="0" applyFont="1"/>
    <xf numFmtId="3" fontId="63" fillId="0" borderId="0" xfId="0" applyNumberFormat="1" applyFont="1"/>
    <xf numFmtId="0" fontId="62" fillId="0" borderId="0" xfId="0" applyFont="1"/>
    <xf numFmtId="0" fontId="98" fillId="0" borderId="0" xfId="0" applyFont="1"/>
    <xf numFmtId="0" fontId="61" fillId="0" borderId="0" xfId="0" applyFont="1"/>
    <xf numFmtId="0" fontId="99" fillId="0" borderId="0" xfId="1" applyFont="1"/>
    <xf numFmtId="0" fontId="60" fillId="0" borderId="0" xfId="0" applyFont="1"/>
    <xf numFmtId="3" fontId="60" fillId="0" borderId="0" xfId="0" applyNumberFormat="1" applyFont="1"/>
    <xf numFmtId="0" fontId="59" fillId="0" borderId="0" xfId="0" applyFont="1" applyAlignment="1">
      <alignment horizontal="right"/>
    </xf>
    <xf numFmtId="0" fontId="58" fillId="0" borderId="0" xfId="0" applyFont="1"/>
    <xf numFmtId="0" fontId="58" fillId="0" borderId="0" xfId="0" applyFont="1" applyAlignment="1">
      <alignment horizontal="right"/>
    </xf>
    <xf numFmtId="14" fontId="73" fillId="0" borderId="0" xfId="0" applyNumberFormat="1" applyFont="1"/>
    <xf numFmtId="3" fontId="57" fillId="0" borderId="0" xfId="0" applyNumberFormat="1" applyFont="1"/>
    <xf numFmtId="0" fontId="56" fillId="0" borderId="0" xfId="0" applyFont="1"/>
    <xf numFmtId="3" fontId="56" fillId="0" borderId="0" xfId="0" applyNumberFormat="1" applyFont="1"/>
    <xf numFmtId="0" fontId="55" fillId="0" borderId="0" xfId="0" applyFont="1"/>
    <xf numFmtId="0" fontId="54" fillId="0" borderId="0" xfId="0" applyFont="1"/>
    <xf numFmtId="3" fontId="53" fillId="0" borderId="0" xfId="0" applyNumberFormat="1" applyFont="1"/>
    <xf numFmtId="0" fontId="52" fillId="0" borderId="0" xfId="0" applyFont="1"/>
    <xf numFmtId="0" fontId="51" fillId="0" borderId="0" xfId="0" applyFont="1"/>
    <xf numFmtId="3" fontId="50" fillId="0" borderId="0" xfId="0" applyNumberFormat="1" applyFont="1"/>
    <xf numFmtId="0" fontId="49" fillId="0" borderId="0" xfId="0" applyFont="1"/>
    <xf numFmtId="0" fontId="95" fillId="0" borderId="1" xfId="1" applyFont="1" applyBorder="1"/>
    <xf numFmtId="9" fontId="87" fillId="0" borderId="2" xfId="0" applyNumberFormat="1" applyFont="1" applyBorder="1" applyAlignment="1">
      <alignment horizontal="center"/>
    </xf>
    <xf numFmtId="0" fontId="62" fillId="0" borderId="0" xfId="0" applyFont="1" applyAlignment="1">
      <alignment horizontal="right"/>
    </xf>
    <xf numFmtId="0" fontId="54" fillId="0" borderId="1" xfId="0" applyFont="1" applyBorder="1"/>
    <xf numFmtId="0" fontId="84" fillId="0" borderId="0" xfId="0" applyFont="1"/>
    <xf numFmtId="0" fontId="51" fillId="0" borderId="1" xfId="0" applyFont="1" applyBorder="1"/>
    <xf numFmtId="0" fontId="87" fillId="0" borderId="1" xfId="0" applyFont="1" applyBorder="1"/>
    <xf numFmtId="0" fontId="85" fillId="0" borderId="1" xfId="0" applyFont="1" applyBorder="1"/>
    <xf numFmtId="0" fontId="85" fillId="0" borderId="0" xfId="0" applyFont="1"/>
    <xf numFmtId="0" fontId="80" fillId="0" borderId="1" xfId="0" applyFont="1" applyBorder="1"/>
    <xf numFmtId="0" fontId="87" fillId="0" borderId="7" xfId="0" applyFont="1" applyBorder="1"/>
    <xf numFmtId="0" fontId="87" fillId="0" borderId="6" xfId="0" applyFont="1" applyBorder="1"/>
    <xf numFmtId="2" fontId="87" fillId="0" borderId="6" xfId="0" applyNumberFormat="1" applyFont="1" applyBorder="1" applyAlignment="1">
      <alignment horizontal="right"/>
    </xf>
    <xf numFmtId="3" fontId="87" fillId="0" borderId="6" xfId="0" applyNumberFormat="1" applyFont="1" applyBorder="1" applyAlignment="1">
      <alignment horizontal="right"/>
    </xf>
    <xf numFmtId="0" fontId="87" fillId="0" borderId="6" xfId="0" applyFont="1" applyBorder="1" applyAlignment="1">
      <alignment horizontal="right"/>
    </xf>
    <xf numFmtId="0" fontId="87" fillId="0" borderId="6" xfId="0" applyFont="1" applyBorder="1" applyAlignment="1">
      <alignment horizontal="center"/>
    </xf>
    <xf numFmtId="0" fontId="87" fillId="0" borderId="8" xfId="0" applyFont="1" applyBorder="1" applyAlignment="1">
      <alignment horizontal="center"/>
    </xf>
    <xf numFmtId="0" fontId="49" fillId="0" borderId="0" xfId="0" applyFont="1" applyAlignment="1">
      <alignment horizontal="right"/>
    </xf>
    <xf numFmtId="0" fontId="48" fillId="0" borderId="0" xfId="0" applyFont="1"/>
    <xf numFmtId="0" fontId="47" fillId="0" borderId="0" xfId="0" applyFont="1"/>
    <xf numFmtId="0" fontId="46" fillId="0" borderId="0" xfId="0" applyFont="1"/>
    <xf numFmtId="0" fontId="45" fillId="0" borderId="0" xfId="0" applyFont="1"/>
    <xf numFmtId="0" fontId="44" fillId="0" borderId="0" xfId="0" applyFont="1"/>
    <xf numFmtId="0" fontId="43" fillId="0" borderId="0" xfId="0" applyFont="1"/>
    <xf numFmtId="0" fontId="42" fillId="0" borderId="0" xfId="0" applyFont="1" applyAlignment="1">
      <alignment horizontal="right"/>
    </xf>
    <xf numFmtId="0" fontId="42" fillId="0" borderId="0" xfId="0" applyFont="1"/>
    <xf numFmtId="0" fontId="41" fillId="0" borderId="0" xfId="0" applyFont="1" applyAlignment="1">
      <alignment horizontal="right"/>
    </xf>
    <xf numFmtId="0" fontId="40" fillId="0" borderId="0" xfId="0" applyFont="1"/>
    <xf numFmtId="0" fontId="95" fillId="0" borderId="0" xfId="1" applyFont="1" applyBorder="1"/>
    <xf numFmtId="0" fontId="39" fillId="0" borderId="0" xfId="0" applyFont="1"/>
    <xf numFmtId="0" fontId="38" fillId="0" borderId="0" xfId="0" applyFont="1" applyAlignment="1">
      <alignment horizontal="right"/>
    </xf>
    <xf numFmtId="0" fontId="37" fillId="0" borderId="0" xfId="0" applyFont="1" applyAlignment="1">
      <alignment horizontal="right"/>
    </xf>
    <xf numFmtId="0" fontId="36" fillId="0" borderId="0" xfId="0" applyFont="1"/>
    <xf numFmtId="0" fontId="36" fillId="0" borderId="0" xfId="0" applyFont="1" applyAlignment="1">
      <alignment horizontal="right"/>
    </xf>
    <xf numFmtId="3" fontId="36" fillId="0" borderId="0" xfId="0" applyNumberFormat="1" applyFont="1" applyAlignment="1">
      <alignment horizontal="right"/>
    </xf>
    <xf numFmtId="0" fontId="35" fillId="0" borderId="0" xfId="0" applyFont="1"/>
    <xf numFmtId="14" fontId="35" fillId="0" borderId="0" xfId="0" applyNumberFormat="1" applyFont="1" applyAlignment="1">
      <alignment horizontal="right"/>
    </xf>
    <xf numFmtId="0" fontId="34" fillId="0" borderId="0" xfId="0" applyFont="1" applyAlignment="1">
      <alignment horizontal="right"/>
    </xf>
    <xf numFmtId="14" fontId="93" fillId="0" borderId="0" xfId="0" applyNumberFormat="1" applyFont="1"/>
    <xf numFmtId="0" fontId="33" fillId="0" borderId="0" xfId="0" applyFont="1"/>
    <xf numFmtId="165" fontId="87" fillId="0" borderId="0" xfId="0" applyNumberFormat="1" applyFont="1" applyAlignment="1">
      <alignment horizontal="right"/>
    </xf>
    <xf numFmtId="0" fontId="33" fillId="0" borderId="0" xfId="0" applyFont="1" applyAlignment="1">
      <alignment horizontal="right"/>
    </xf>
    <xf numFmtId="0" fontId="32" fillId="0" borderId="0" xfId="0" applyFont="1" applyAlignment="1">
      <alignment horizontal="right"/>
    </xf>
    <xf numFmtId="0" fontId="31" fillId="0" borderId="0" xfId="0" applyFont="1"/>
    <xf numFmtId="0" fontId="31" fillId="0" borderId="0" xfId="0" applyFont="1" applyAlignment="1">
      <alignment horizontal="right"/>
    </xf>
    <xf numFmtId="3" fontId="31" fillId="0" borderId="0" xfId="0" applyNumberFormat="1" applyFont="1" applyAlignment="1">
      <alignment horizontal="right"/>
    </xf>
    <xf numFmtId="0" fontId="30" fillId="0" borderId="0" xfId="0" applyFont="1"/>
    <xf numFmtId="4" fontId="73" fillId="0" borderId="0" xfId="0" applyNumberFormat="1" applyFont="1"/>
    <xf numFmtId="0" fontId="29" fillId="0" borderId="0" xfId="0" applyFont="1"/>
    <xf numFmtId="0" fontId="28" fillId="0" borderId="1" xfId="0" applyFont="1" applyBorder="1"/>
    <xf numFmtId="0" fontId="28" fillId="0" borderId="0" xfId="0" applyFont="1"/>
    <xf numFmtId="0" fontId="27" fillId="0" borderId="0" xfId="0" applyFont="1"/>
    <xf numFmtId="3" fontId="100" fillId="0" borderId="0" xfId="0" applyNumberFormat="1" applyFont="1"/>
    <xf numFmtId="4" fontId="101" fillId="0" borderId="0" xfId="0" applyNumberFormat="1" applyFont="1" applyAlignment="1">
      <alignment horizontal="right"/>
    </xf>
    <xf numFmtId="3" fontId="100" fillId="0" borderId="0" xfId="0" applyNumberFormat="1" applyFont="1" applyAlignment="1">
      <alignment horizontal="right"/>
    </xf>
    <xf numFmtId="14" fontId="27" fillId="0" borderId="0" xfId="0" applyNumberFormat="1" applyFont="1" applyAlignment="1">
      <alignment horizontal="right"/>
    </xf>
    <xf numFmtId="3" fontId="75" fillId="0" borderId="0" xfId="0" applyNumberFormat="1" applyFont="1"/>
    <xf numFmtId="0" fontId="26" fillId="0" borderId="0" xfId="0" applyFont="1"/>
    <xf numFmtId="0" fontId="25" fillId="0" borderId="0" xfId="0" applyFont="1"/>
    <xf numFmtId="3" fontId="25" fillId="0" borderId="0" xfId="0" applyNumberFormat="1" applyFont="1"/>
    <xf numFmtId="3" fontId="25" fillId="2" borderId="0" xfId="0" applyNumberFormat="1" applyFont="1" applyFill="1"/>
    <xf numFmtId="0" fontId="24" fillId="0" borderId="0" xfId="0" applyFont="1" applyAlignment="1">
      <alignment horizontal="right"/>
    </xf>
    <xf numFmtId="0" fontId="24" fillId="0" borderId="0" xfId="0" applyFont="1"/>
    <xf numFmtId="3" fontId="24" fillId="0" borderId="0" xfId="0" applyNumberFormat="1" applyFont="1"/>
    <xf numFmtId="0" fontId="102" fillId="0" borderId="0" xfId="1" applyFont="1"/>
    <xf numFmtId="3" fontId="95" fillId="0" borderId="0" xfId="1" applyNumberFormat="1" applyFont="1"/>
    <xf numFmtId="3" fontId="23" fillId="0" borderId="0" xfId="0" applyNumberFormat="1" applyFont="1" applyAlignment="1">
      <alignment horizontal="right"/>
    </xf>
    <xf numFmtId="0" fontId="22" fillId="0" borderId="0" xfId="0" applyFont="1"/>
    <xf numFmtId="4" fontId="87" fillId="0" borderId="0" xfId="0" applyNumberFormat="1" applyFont="1"/>
    <xf numFmtId="4" fontId="93" fillId="0" borderId="0" xfId="0" applyNumberFormat="1" applyFont="1"/>
    <xf numFmtId="0" fontId="21" fillId="0" borderId="1" xfId="0" applyFont="1" applyBorder="1"/>
    <xf numFmtId="0" fontId="21" fillId="0" borderId="0" xfId="0" applyFont="1"/>
    <xf numFmtId="0" fontId="97" fillId="0" borderId="1" xfId="0" applyFont="1" applyBorder="1"/>
    <xf numFmtId="2" fontId="97" fillId="0" borderId="0" xfId="0" applyNumberFormat="1" applyFont="1" applyAlignment="1">
      <alignment horizontal="right"/>
    </xf>
    <xf numFmtId="3" fontId="97" fillId="0" borderId="0" xfId="0" applyNumberFormat="1" applyFont="1" applyAlignment="1">
      <alignment horizontal="right"/>
    </xf>
    <xf numFmtId="0" fontId="20" fillId="0" borderId="0" xfId="0" applyFont="1" applyAlignment="1">
      <alignment horizontal="right"/>
    </xf>
    <xf numFmtId="0" fontId="97" fillId="0" borderId="0" xfId="0" applyFont="1" applyAlignment="1">
      <alignment horizontal="center"/>
    </xf>
    <xf numFmtId="0" fontId="97" fillId="0" borderId="0" xfId="0" applyFont="1" applyAlignment="1">
      <alignment horizontal="right"/>
    </xf>
    <xf numFmtId="0" fontId="19" fillId="0" borderId="0" xfId="0" applyFont="1"/>
    <xf numFmtId="0" fontId="98" fillId="0" borderId="0" xfId="0" applyFont="1" applyAlignment="1">
      <alignment horizontal="right"/>
    </xf>
    <xf numFmtId="17" fontId="97" fillId="0" borderId="0" xfId="0" applyNumberFormat="1" applyFont="1"/>
    <xf numFmtId="17" fontId="97" fillId="0" borderId="0" xfId="0" quotePrefix="1" applyNumberFormat="1" applyFont="1" applyAlignment="1">
      <alignment horizontal="right"/>
    </xf>
    <xf numFmtId="0" fontId="103" fillId="0" borderId="0" xfId="0" applyFont="1"/>
    <xf numFmtId="0" fontId="104" fillId="0" borderId="0" xfId="0" applyFont="1"/>
    <xf numFmtId="17" fontId="103" fillId="0" borderId="0" xfId="0" applyNumberFormat="1" applyFont="1"/>
    <xf numFmtId="0" fontId="18" fillId="0" borderId="0" xfId="0" applyFont="1"/>
    <xf numFmtId="0" fontId="18" fillId="0" borderId="0" xfId="0" applyFont="1" applyAlignment="1">
      <alignment horizontal="right"/>
    </xf>
    <xf numFmtId="3" fontId="18" fillId="0" borderId="0" xfId="0" applyNumberFormat="1" applyFont="1" applyAlignment="1">
      <alignment horizontal="right"/>
    </xf>
    <xf numFmtId="14" fontId="97" fillId="0" borderId="0" xfId="0" applyNumberFormat="1" applyFont="1" applyAlignment="1">
      <alignment horizontal="right"/>
    </xf>
    <xf numFmtId="14" fontId="18" fillId="0" borderId="0" xfId="0" applyNumberFormat="1" applyFont="1" applyAlignment="1">
      <alignment horizontal="right"/>
    </xf>
    <xf numFmtId="0" fontId="97" fillId="0" borderId="0" xfId="0" applyFont="1" applyAlignment="1">
      <alignment horizontal="left"/>
    </xf>
    <xf numFmtId="14" fontId="96" fillId="0" borderId="0" xfId="0" applyNumberFormat="1" applyFont="1" applyAlignment="1">
      <alignment horizontal="right"/>
    </xf>
    <xf numFmtId="0" fontId="105" fillId="0" borderId="0" xfId="0" applyFont="1" applyAlignment="1">
      <alignment horizontal="right"/>
    </xf>
    <xf numFmtId="3" fontId="105" fillId="0" borderId="0" xfId="0" applyNumberFormat="1" applyFont="1" applyAlignment="1">
      <alignment horizontal="right"/>
    </xf>
    <xf numFmtId="14" fontId="105" fillId="0" borderId="0" xfId="0" applyNumberFormat="1" applyFont="1" applyAlignment="1">
      <alignment horizontal="right"/>
    </xf>
    <xf numFmtId="14" fontId="106" fillId="0" borderId="0" xfId="0" applyNumberFormat="1" applyFont="1" applyAlignment="1">
      <alignment horizontal="right"/>
    </xf>
    <xf numFmtId="0" fontId="17" fillId="0" borderId="0" xfId="0" applyFont="1"/>
    <xf numFmtId="0" fontId="17" fillId="0" borderId="0" xfId="0" applyFont="1" applyAlignment="1">
      <alignment horizontal="right"/>
    </xf>
    <xf numFmtId="3" fontId="18" fillId="0" borderId="0" xfId="0" applyNumberFormat="1" applyFont="1"/>
    <xf numFmtId="0" fontId="107" fillId="0" borderId="0" xfId="0" applyFont="1" applyAlignment="1">
      <alignment horizontal="right"/>
    </xf>
    <xf numFmtId="3" fontId="107" fillId="0" borderId="0" xfId="0" applyNumberFormat="1" applyFont="1" applyAlignment="1">
      <alignment horizontal="right"/>
    </xf>
    <xf numFmtId="14" fontId="107" fillId="0" borderId="0" xfId="0" applyNumberFormat="1" applyFont="1" applyAlignment="1">
      <alignment horizontal="right"/>
    </xf>
    <xf numFmtId="0" fontId="96" fillId="0" borderId="0" xfId="0" applyFont="1" applyAlignment="1">
      <alignment horizontal="right"/>
    </xf>
    <xf numFmtId="0" fontId="16" fillId="0" borderId="0" xfId="0" applyFont="1"/>
    <xf numFmtId="0" fontId="16" fillId="0" borderId="0" xfId="0" applyFont="1" applyAlignment="1">
      <alignment horizontal="right"/>
    </xf>
    <xf numFmtId="0" fontId="15" fillId="0" borderId="0" xfId="0" applyFont="1"/>
    <xf numFmtId="0" fontId="15" fillId="0" borderId="0" xfId="0" applyFont="1" applyAlignment="1">
      <alignment horizontal="right"/>
    </xf>
    <xf numFmtId="0" fontId="14" fillId="0" borderId="0" xfId="0" applyFont="1"/>
    <xf numFmtId="0" fontId="14" fillId="0" borderId="0" xfId="0" applyFont="1" applyAlignment="1">
      <alignment horizontal="right"/>
    </xf>
    <xf numFmtId="14" fontId="97" fillId="0" borderId="0" xfId="0" applyNumberFormat="1" applyFont="1"/>
    <xf numFmtId="0" fontId="13" fillId="0" borderId="0" xfId="0" applyFont="1"/>
    <xf numFmtId="0" fontId="13" fillId="0" borderId="0" xfId="0" applyFont="1" applyAlignment="1">
      <alignment horizontal="right"/>
    </xf>
    <xf numFmtId="0" fontId="97" fillId="0" borderId="0" xfId="0" quotePrefix="1" applyFont="1" applyAlignment="1">
      <alignment horizontal="right"/>
    </xf>
    <xf numFmtId="0" fontId="12" fillId="0" borderId="0" xfId="0" applyFont="1"/>
    <xf numFmtId="0" fontId="12" fillId="0" borderId="0" xfId="0" applyFont="1" applyAlignment="1">
      <alignment horizontal="right"/>
    </xf>
    <xf numFmtId="14" fontId="12" fillId="0" borderId="0" xfId="0" applyNumberFormat="1" applyFont="1" applyAlignment="1">
      <alignment horizontal="right"/>
    </xf>
    <xf numFmtId="4" fontId="18" fillId="0" borderId="0" xfId="0" applyNumberFormat="1" applyFont="1"/>
    <xf numFmtId="0" fontId="97" fillId="0" borderId="0" xfId="0" quotePrefix="1" applyFont="1"/>
    <xf numFmtId="9" fontId="18" fillId="0" borderId="0" xfId="0" applyNumberFormat="1" applyFont="1"/>
    <xf numFmtId="166" fontId="18" fillId="0" borderId="0" xfId="0" applyNumberFormat="1" applyFont="1"/>
    <xf numFmtId="10" fontId="18" fillId="0" borderId="0" xfId="0" applyNumberFormat="1" applyFont="1"/>
    <xf numFmtId="166" fontId="97" fillId="0" borderId="0" xfId="0" applyNumberFormat="1" applyFont="1"/>
    <xf numFmtId="10" fontId="97" fillId="0" borderId="0" xfId="0" applyNumberFormat="1" applyFont="1"/>
    <xf numFmtId="0" fontId="11" fillId="0" borderId="0" xfId="0" applyFont="1"/>
    <xf numFmtId="0" fontId="11" fillId="0" borderId="0" xfId="0" applyFont="1" applyAlignment="1">
      <alignment horizontal="right"/>
    </xf>
    <xf numFmtId="0" fontId="10" fillId="0" borderId="0" xfId="0" applyFont="1"/>
    <xf numFmtId="0" fontId="10" fillId="0" borderId="0" xfId="0" applyFont="1" applyAlignment="1">
      <alignment horizontal="right"/>
    </xf>
    <xf numFmtId="0" fontId="10" fillId="0" borderId="0" xfId="0" quotePrefix="1" applyFont="1"/>
    <xf numFmtId="0" fontId="9" fillId="0" borderId="0" xfId="0" applyFont="1"/>
    <xf numFmtId="0" fontId="9" fillId="0" borderId="0" xfId="0" applyFont="1" applyAlignment="1">
      <alignment horizontal="right"/>
    </xf>
    <xf numFmtId="0" fontId="8" fillId="0" borderId="0" xfId="0" applyFont="1"/>
    <xf numFmtId="0" fontId="8" fillId="0" borderId="0" xfId="0" applyFont="1" applyAlignment="1">
      <alignment horizontal="right"/>
    </xf>
    <xf numFmtId="0" fontId="7" fillId="0" borderId="0" xfId="0" applyFont="1"/>
    <xf numFmtId="0" fontId="7" fillId="0" borderId="0" xfId="0" applyFont="1" applyAlignment="1">
      <alignment horizontal="right"/>
    </xf>
    <xf numFmtId="0" fontId="6" fillId="0" borderId="0" xfId="0" applyFont="1"/>
    <xf numFmtId="0" fontId="6" fillId="0" borderId="0" xfId="0" applyFont="1" applyAlignment="1">
      <alignment horizontal="right"/>
    </xf>
    <xf numFmtId="0" fontId="5" fillId="0" borderId="0" xfId="0" applyFont="1"/>
    <xf numFmtId="0" fontId="5" fillId="0" borderId="0" xfId="0" applyFont="1" applyAlignment="1">
      <alignment horizontal="left"/>
    </xf>
    <xf numFmtId="0" fontId="5" fillId="0" borderId="0" xfId="0" applyFont="1" applyAlignment="1">
      <alignment horizontal="right"/>
    </xf>
    <xf numFmtId="14" fontId="5" fillId="0" borderId="0" xfId="0" applyNumberFormat="1" applyFont="1" applyAlignment="1">
      <alignment horizontal="right"/>
    </xf>
    <xf numFmtId="0" fontId="5" fillId="0" borderId="0" xfId="0" applyFont="1" applyAlignment="1">
      <alignment horizontal="center"/>
    </xf>
    <xf numFmtId="3" fontId="5" fillId="0" borderId="0" xfId="0" applyNumberFormat="1" applyFont="1" applyAlignment="1">
      <alignment horizontal="right"/>
    </xf>
    <xf numFmtId="0" fontId="108" fillId="0" borderId="0" xfId="1" applyFont="1"/>
    <xf numFmtId="14" fontId="5" fillId="0" borderId="0" xfId="0" applyNumberFormat="1" applyFont="1"/>
    <xf numFmtId="17" fontId="5" fillId="0" borderId="0" xfId="0" applyNumberFormat="1" applyFont="1"/>
    <xf numFmtId="14" fontId="5" fillId="0" borderId="0" xfId="0" applyNumberFormat="1" applyFont="1" applyAlignment="1">
      <alignment horizontal="left"/>
    </xf>
    <xf numFmtId="17" fontId="5" fillId="0" borderId="0" xfId="0" quotePrefix="1" applyNumberFormat="1" applyFont="1" applyAlignment="1">
      <alignment horizontal="right"/>
    </xf>
    <xf numFmtId="14" fontId="5" fillId="0" borderId="0" xfId="0" quotePrefix="1" applyNumberFormat="1" applyFont="1" applyAlignment="1">
      <alignment horizontal="right"/>
    </xf>
    <xf numFmtId="0" fontId="5" fillId="0" borderId="0" xfId="0" quotePrefix="1" applyFont="1" applyAlignment="1">
      <alignment horizontal="right"/>
    </xf>
    <xf numFmtId="3" fontId="5" fillId="0" borderId="0" xfId="0" applyNumberFormat="1" applyFont="1" applyAlignment="1">
      <alignment horizontal="left"/>
    </xf>
    <xf numFmtId="3" fontId="5" fillId="0" borderId="0" xfId="0" applyNumberFormat="1" applyFont="1"/>
    <xf numFmtId="0" fontId="5" fillId="0" borderId="0" xfId="0" quotePrefix="1" applyFont="1"/>
    <xf numFmtId="0" fontId="5" fillId="0" borderId="1" xfId="0" applyFont="1" applyBorder="1"/>
    <xf numFmtId="0" fontId="4" fillId="0" borderId="0" xfId="0" applyFont="1"/>
    <xf numFmtId="0" fontId="4" fillId="0" borderId="0" xfId="0" applyFont="1" applyAlignment="1">
      <alignment horizontal="center"/>
    </xf>
    <xf numFmtId="3" fontId="4" fillId="0" borderId="0" xfId="0" applyNumberFormat="1" applyFont="1" applyAlignment="1">
      <alignment horizontal="right"/>
    </xf>
    <xf numFmtId="3" fontId="4" fillId="0" borderId="0" xfId="0" applyNumberFormat="1" applyFont="1" applyAlignment="1">
      <alignment horizontal="left"/>
    </xf>
    <xf numFmtId="0" fontId="4" fillId="0" borderId="0" xfId="0" applyFont="1" applyAlignment="1">
      <alignment horizontal="left"/>
    </xf>
    <xf numFmtId="0" fontId="4" fillId="0" borderId="0" xfId="0" applyFont="1" applyAlignment="1">
      <alignment horizontal="right"/>
    </xf>
    <xf numFmtId="14" fontId="4" fillId="0" borderId="0" xfId="0" applyNumberFormat="1" applyFont="1" applyAlignment="1">
      <alignment horizontal="right"/>
    </xf>
    <xf numFmtId="0" fontId="3" fillId="0" borderId="0" xfId="0" applyFont="1" applyAlignment="1">
      <alignment horizontal="right"/>
    </xf>
    <xf numFmtId="0" fontId="3" fillId="0" borderId="0" xfId="0" applyFont="1"/>
    <xf numFmtId="0" fontId="3" fillId="0" borderId="0" xfId="0" applyFont="1" applyAlignment="1">
      <alignment horizontal="left"/>
    </xf>
    <xf numFmtId="14" fontId="3" fillId="0" borderId="0" xfId="0" applyNumberFormat="1" applyFont="1" applyAlignment="1">
      <alignment horizontal="right"/>
    </xf>
    <xf numFmtId="0" fontId="3" fillId="0" borderId="0" xfId="0" applyFont="1" applyAlignment="1">
      <alignment horizontal="center"/>
    </xf>
    <xf numFmtId="3" fontId="3" fillId="0" borderId="0" xfId="0" applyNumberFormat="1" applyFont="1" applyAlignment="1">
      <alignment horizontal="right"/>
    </xf>
    <xf numFmtId="3" fontId="3" fillId="0" borderId="0" xfId="0" quotePrefix="1" applyNumberFormat="1" applyFont="1" applyAlignment="1">
      <alignment horizontal="right"/>
    </xf>
    <xf numFmtId="0" fontId="2" fillId="0" borderId="0" xfId="0" applyFont="1"/>
    <xf numFmtId="0" fontId="2" fillId="0" borderId="0" xfId="0" applyFont="1" applyAlignment="1">
      <alignment horizontal="right"/>
    </xf>
    <xf numFmtId="0" fontId="2" fillId="0" borderId="0" xfId="0" applyFont="1" applyAlignment="1">
      <alignment horizontal="left"/>
    </xf>
    <xf numFmtId="0" fontId="2" fillId="0" borderId="0" xfId="0" applyFont="1" applyAlignment="1">
      <alignment horizontal="center"/>
    </xf>
    <xf numFmtId="3" fontId="2" fillId="0" borderId="0" xfId="0" applyNumberFormat="1" applyFont="1" applyAlignment="1">
      <alignment horizontal="right"/>
    </xf>
    <xf numFmtId="0" fontId="109" fillId="0" borderId="0" xfId="1" applyFont="1"/>
    <xf numFmtId="4" fontId="2" fillId="0" borderId="0" xfId="0" applyNumberFormat="1" applyFont="1" applyAlignment="1">
      <alignment horizontal="left"/>
    </xf>
    <xf numFmtId="3" fontId="2" fillId="0" borderId="0" xfId="0" applyNumberFormat="1" applyFont="1" applyAlignment="1">
      <alignment horizontal="left"/>
    </xf>
    <xf numFmtId="3" fontId="5" fillId="2" borderId="0" xfId="0" applyNumberFormat="1" applyFont="1" applyFill="1" applyAlignment="1">
      <alignment horizontal="right"/>
    </xf>
    <xf numFmtId="14" fontId="2" fillId="0" borderId="0" xfId="0" applyNumberFormat="1" applyFont="1" applyAlignment="1">
      <alignment horizontal="right"/>
    </xf>
    <xf numFmtId="0" fontId="1" fillId="0" borderId="0" xfId="0" applyFont="1"/>
    <xf numFmtId="0" fontId="1" fillId="0" borderId="0" xfId="0" applyFont="1" applyAlignment="1">
      <alignment horizontal="center"/>
    </xf>
  </cellXfs>
  <cellStyles count="2">
    <cellStyle name="Hyperlink" xfId="1" builtinId="8"/>
    <cellStyle name="Normal" xfId="0" builtinId="0"/>
  </cellStyles>
  <dxfs count="0"/>
  <tableStyles count="1" defaultTableStyle="TableStyleMedium2" defaultPivotStyle="PivotStyleLight16">
    <tableStyle name="Invisible" pivot="0" table="0" count="0" xr9:uid="{606D2300-39C7-400B-8CBC-8FACFEDD77C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externalLink" Target="externalLinks/externalLink9.xml"/><Relationship Id="rId39" Type="http://schemas.openxmlformats.org/officeDocument/2006/relationships/externalLink" Target="externalLinks/externalLink22.xml"/><Relationship Id="rId21" Type="http://schemas.openxmlformats.org/officeDocument/2006/relationships/externalLink" Target="externalLinks/externalLink4.xml"/><Relationship Id="rId34" Type="http://schemas.openxmlformats.org/officeDocument/2006/relationships/externalLink" Target="externalLinks/externalLink17.xml"/><Relationship Id="rId42" Type="http://schemas.openxmlformats.org/officeDocument/2006/relationships/externalLink" Target="externalLinks/externalLink25.xml"/><Relationship Id="rId47" Type="http://schemas.openxmlformats.org/officeDocument/2006/relationships/externalLink" Target="externalLinks/externalLink30.xml"/><Relationship Id="rId50" Type="http://schemas.openxmlformats.org/officeDocument/2006/relationships/externalLink" Target="externalLinks/externalLink33.xml"/><Relationship Id="rId55" Type="http://schemas.openxmlformats.org/officeDocument/2006/relationships/externalLink" Target="externalLinks/externalLink3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12.xml"/><Relationship Id="rId11" Type="http://schemas.openxmlformats.org/officeDocument/2006/relationships/worksheet" Target="worksheets/sheet11.xml"/><Relationship Id="rId24" Type="http://schemas.openxmlformats.org/officeDocument/2006/relationships/externalLink" Target="externalLinks/externalLink7.xml"/><Relationship Id="rId32" Type="http://schemas.openxmlformats.org/officeDocument/2006/relationships/externalLink" Target="externalLinks/externalLink15.xml"/><Relationship Id="rId37" Type="http://schemas.openxmlformats.org/officeDocument/2006/relationships/externalLink" Target="externalLinks/externalLink20.xml"/><Relationship Id="rId40" Type="http://schemas.openxmlformats.org/officeDocument/2006/relationships/externalLink" Target="externalLinks/externalLink23.xml"/><Relationship Id="rId45" Type="http://schemas.openxmlformats.org/officeDocument/2006/relationships/externalLink" Target="externalLinks/externalLink28.xml"/><Relationship Id="rId53" Type="http://schemas.openxmlformats.org/officeDocument/2006/relationships/externalLink" Target="externalLinks/externalLink36.xml"/><Relationship Id="rId58"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externalLink" Target="externalLinks/externalLink2.xml"/><Relationship Id="rId14" Type="http://schemas.openxmlformats.org/officeDocument/2006/relationships/worksheet" Target="worksheets/sheet14.xml"/><Relationship Id="rId22" Type="http://schemas.openxmlformats.org/officeDocument/2006/relationships/externalLink" Target="externalLinks/externalLink5.xml"/><Relationship Id="rId27" Type="http://schemas.openxmlformats.org/officeDocument/2006/relationships/externalLink" Target="externalLinks/externalLink10.xml"/><Relationship Id="rId30" Type="http://schemas.openxmlformats.org/officeDocument/2006/relationships/externalLink" Target="externalLinks/externalLink13.xml"/><Relationship Id="rId35" Type="http://schemas.openxmlformats.org/officeDocument/2006/relationships/externalLink" Target="externalLinks/externalLink18.xml"/><Relationship Id="rId43" Type="http://schemas.openxmlformats.org/officeDocument/2006/relationships/externalLink" Target="externalLinks/externalLink26.xml"/><Relationship Id="rId48" Type="http://schemas.openxmlformats.org/officeDocument/2006/relationships/externalLink" Target="externalLinks/externalLink31.xml"/><Relationship Id="rId56" Type="http://schemas.openxmlformats.org/officeDocument/2006/relationships/externalLink" Target="externalLinks/externalLink39.xml"/><Relationship Id="rId8" Type="http://schemas.openxmlformats.org/officeDocument/2006/relationships/worksheet" Target="worksheets/sheet8.xml"/><Relationship Id="rId51" Type="http://schemas.openxmlformats.org/officeDocument/2006/relationships/externalLink" Target="externalLinks/externalLink3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8.xml"/><Relationship Id="rId33" Type="http://schemas.openxmlformats.org/officeDocument/2006/relationships/externalLink" Target="externalLinks/externalLink16.xml"/><Relationship Id="rId38" Type="http://schemas.openxmlformats.org/officeDocument/2006/relationships/externalLink" Target="externalLinks/externalLink21.xml"/><Relationship Id="rId46" Type="http://schemas.openxmlformats.org/officeDocument/2006/relationships/externalLink" Target="externalLinks/externalLink29.xml"/><Relationship Id="rId59" Type="http://schemas.openxmlformats.org/officeDocument/2006/relationships/sharedStrings" Target="sharedStrings.xml"/><Relationship Id="rId20" Type="http://schemas.openxmlformats.org/officeDocument/2006/relationships/externalLink" Target="externalLinks/externalLink3.xml"/><Relationship Id="rId41" Type="http://schemas.openxmlformats.org/officeDocument/2006/relationships/externalLink" Target="externalLinks/externalLink24.xml"/><Relationship Id="rId54" Type="http://schemas.openxmlformats.org/officeDocument/2006/relationships/externalLink" Target="externalLinks/externalLink37.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externalLink" Target="externalLinks/externalLink6.xml"/><Relationship Id="rId28" Type="http://schemas.openxmlformats.org/officeDocument/2006/relationships/externalLink" Target="externalLinks/externalLink11.xml"/><Relationship Id="rId36" Type="http://schemas.openxmlformats.org/officeDocument/2006/relationships/externalLink" Target="externalLinks/externalLink19.xml"/><Relationship Id="rId49" Type="http://schemas.openxmlformats.org/officeDocument/2006/relationships/externalLink" Target="externalLinks/externalLink32.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externalLink" Target="externalLinks/externalLink14.xml"/><Relationship Id="rId44" Type="http://schemas.openxmlformats.org/officeDocument/2006/relationships/externalLink" Target="externalLinks/externalLink27.xml"/><Relationship Id="rId52" Type="http://schemas.openxmlformats.org/officeDocument/2006/relationships/externalLink" Target="externalLinks/externalLink35.xml"/><Relationship Id="rId6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hkre\code\models\MSFT.xlsx" TargetMode="External"/><Relationship Id="rId1" Type="http://schemas.openxmlformats.org/officeDocument/2006/relationships/externalLinkPath" Target="MSF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shkre\code\models\GOOG.xlsx" TargetMode="External"/><Relationship Id="rId1" Type="http://schemas.openxmlformats.org/officeDocument/2006/relationships/externalLinkPath" Target="GOOG.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shkre\code\models\CSU%20CN.xlsx" TargetMode="External"/><Relationship Id="rId1" Type="http://schemas.openxmlformats.org/officeDocument/2006/relationships/externalLinkPath" Target="CSU%20CN.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shkre\code\models\HEXA.xlsx" TargetMode="External"/><Relationship Id="rId1" Type="http://schemas.openxmlformats.org/officeDocument/2006/relationships/externalLinkPath" Target="HEX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BIDU.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shkre\code\models\AMZN.xlsx" TargetMode="External"/><Relationship Id="rId1" Type="http://schemas.openxmlformats.org/officeDocument/2006/relationships/externalLinkPath" Target="AMZN.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shkre\code\models\ORCL.xlsx" TargetMode="External"/><Relationship Id="rId1" Type="http://schemas.openxmlformats.org/officeDocument/2006/relationships/externalLinkPath" Target="ORCL.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shkre\code\models\IBM.xlsx" TargetMode="External"/><Relationship Id="rId1" Type="http://schemas.openxmlformats.org/officeDocument/2006/relationships/externalLinkPath" Target="IBM.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C:\Users\shkre\code\models\CRM.xlsx" TargetMode="External"/><Relationship Id="rId1" Type="http://schemas.openxmlformats.org/officeDocument/2006/relationships/externalLinkPath" Target="CRM.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file:///C:\Users\shkre\code\models\SAP.xlsx" TargetMode="External"/><Relationship Id="rId1" Type="http://schemas.openxmlformats.org/officeDocument/2006/relationships/externalLinkPath" Target="S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NOW.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VMW.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file:///C:\Users\shkre\code\models\TEAM.xlsx" TargetMode="External"/><Relationship Id="rId1" Type="http://schemas.openxmlformats.org/officeDocument/2006/relationships/externalLinkPath" Target="TEAM.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file:///C:\Users\shkre\code\models\WDAY.xlsx" TargetMode="External"/><Relationship Id="rId1" Type="http://schemas.openxmlformats.org/officeDocument/2006/relationships/externalLinkPath" Target="WDAY.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SNOW.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VEEV.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DDOG.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PLTR.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OKTA.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file:///C:\Users\shkre\code\models\FB.xlsx" TargetMode="External"/><Relationship Id="rId1" Type="http://schemas.openxmlformats.org/officeDocument/2006/relationships/externalLinkPath" Target="FB.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700%20HK.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file:///C:\Users\shkre\code\models\SNAP.xlsx" TargetMode="External"/><Relationship Id="rId1" Type="http://schemas.openxmlformats.org/officeDocument/2006/relationships/externalLinkPath" Target="SNAP.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SNPS.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DSY%20FP.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CDNS.xlsx"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ADSK.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ANSS.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file:///C:\Users\shkre\code\models\ADBE.xlsx" TargetMode="External"/><Relationship Id="rId1" Type="http://schemas.openxmlformats.org/officeDocument/2006/relationships/externalLinkPath" Target="ADBE.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file:///C:\Users\shkre\code\models\SONY.xlsx" TargetMode="External"/><Relationship Id="rId1" Type="http://schemas.openxmlformats.org/officeDocument/2006/relationships/externalLinkPath" Target="SONY.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file:///C:\Users\shkre\code\models\ATVI.xlsx" TargetMode="External"/><Relationship Id="rId1" Type="http://schemas.openxmlformats.org/officeDocument/2006/relationships/externalLinkPath" Target="ATVI.xlsx"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EA.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file:///C:\Users\shkre\code\models\RBLX.xlsx" TargetMode="External"/><Relationship Id="rId1" Type="http://schemas.openxmlformats.org/officeDocument/2006/relationships/externalLinkPath" Target="RBLX.xlsx"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https://d.docs.live.net/9ffda80931a57275/Models%20Backup/SPOT.xlsx"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INTU.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file:///C:\Users\shkre\code\models\PYPL.xlsx" TargetMode="External"/><Relationship Id="rId1" Type="http://schemas.openxmlformats.org/officeDocument/2006/relationships/externalLinkPath" Target="PYPL.xlsx"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BABA.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file:///C:\Users\shkre\code\models\ABNB.xlsx" TargetMode="External"/><Relationship Id="rId1" Type="http://schemas.openxmlformats.org/officeDocument/2006/relationships/externalLinkPath" Target="ABNB.xlsx"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SHOP.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file:///C:\Users\shkre\code\models\RDFN.xlsx" TargetMode="External"/><Relationship Id="rId1" Type="http://schemas.openxmlformats.org/officeDocument/2006/relationships/externalLinkPath" Target="RDF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Legacy"/>
    </sheetNames>
    <sheetDataSet>
      <sheetData sheetId="0">
        <row r="3">
          <cell r="L3">
            <v>7473</v>
          </cell>
        </row>
        <row r="5">
          <cell r="L5">
            <v>106605</v>
          </cell>
        </row>
        <row r="6">
          <cell r="L6">
            <v>48116</v>
          </cell>
        </row>
      </sheetData>
      <sheetData sheetId="1">
        <row r="32">
          <cell r="BE32">
            <v>9.6463099263974534</v>
          </cell>
          <cell r="BF32">
            <v>9.8726994311717835</v>
          </cell>
          <cell r="BG32">
            <v>11.225772564777602</v>
          </cell>
          <cell r="BH32">
            <v>12.540877369501043</v>
          </cell>
        </row>
        <row r="34">
          <cell r="BP34">
            <v>0</v>
          </cell>
        </row>
        <row r="35">
          <cell r="BP35">
            <v>7.0000000000000007E-2</v>
          </cell>
        </row>
        <row r="36">
          <cell r="BP36">
            <v>0.01</v>
          </cell>
        </row>
        <row r="39">
          <cell r="BP39">
            <v>269.58547667575527</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12947</v>
          </cell>
        </row>
        <row r="5">
          <cell r="L5">
            <v>144254</v>
          </cell>
        </row>
        <row r="6">
          <cell r="L6">
            <v>14701</v>
          </cell>
        </row>
      </sheetData>
      <sheetData sheetId="1">
        <row r="24">
          <cell r="AJ24">
            <v>4.5799964361174039</v>
          </cell>
          <cell r="AK24">
            <v>5.6080380594150139</v>
          </cell>
          <cell r="AL24">
            <v>6.6491005248224839</v>
          </cell>
          <cell r="AM24">
            <v>7.778431207897734</v>
          </cell>
        </row>
        <row r="27">
          <cell r="AU27">
            <v>-0.01</v>
          </cell>
        </row>
        <row r="28">
          <cell r="AU28">
            <v>0.08</v>
          </cell>
        </row>
        <row r="29">
          <cell r="AU29">
            <v>0.01</v>
          </cell>
        </row>
        <row r="31">
          <cell r="AU31">
            <v>164.8676811657561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O3">
            <v>21.19153</v>
          </cell>
        </row>
        <row r="5">
          <cell r="O5">
            <v>811</v>
          </cell>
        </row>
        <row r="6">
          <cell r="O6">
            <v>1974</v>
          </cell>
        </row>
      </sheetData>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s"/>
    </sheetNames>
    <sheetDataSet>
      <sheetData sheetId="0">
        <row r="3">
          <cell r="L3">
            <v>2706.2939999999999</v>
          </cell>
        </row>
        <row r="5">
          <cell r="L5">
            <v>486.29999999999995</v>
          </cell>
        </row>
        <row r="6">
          <cell r="L6">
            <v>3842.6</v>
          </cell>
        </row>
      </sheetData>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345.875</v>
          </cell>
        </row>
        <row r="5">
          <cell r="L5">
            <v>255226</v>
          </cell>
        </row>
        <row r="6">
          <cell r="L6">
            <v>83627</v>
          </cell>
        </row>
      </sheetData>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K3">
            <v>10331</v>
          </cell>
        </row>
        <row r="5">
          <cell r="K5">
            <v>58662</v>
          </cell>
        </row>
        <row r="6">
          <cell r="K6">
            <v>58919</v>
          </cell>
        </row>
      </sheetData>
      <sheetData sheetId="1">
        <row r="33">
          <cell r="BA33">
            <v>0.51665847665847664</v>
          </cell>
          <cell r="BB33">
            <v>1.6399777191456466</v>
          </cell>
          <cell r="BC33">
            <v>2.0086947796859072</v>
          </cell>
          <cell r="BD33">
            <v>3.4976216660564408</v>
          </cell>
        </row>
        <row r="44">
          <cell r="BL44">
            <v>0.08</v>
          </cell>
        </row>
        <row r="45">
          <cell r="BL45">
            <v>0.01</v>
          </cell>
        </row>
        <row r="46">
          <cell r="BL46">
            <v>0</v>
          </cell>
        </row>
        <row r="48">
          <cell r="BL48">
            <v>127.46157686951391</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G3">
            <v>2776</v>
          </cell>
        </row>
        <row r="5">
          <cell r="G5">
            <v>8769</v>
          </cell>
        </row>
        <row r="6">
          <cell r="G6">
            <v>91811</v>
          </cell>
        </row>
      </sheetData>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M3">
            <v>908.04541400000005</v>
          </cell>
        </row>
        <row r="5">
          <cell r="M5">
            <v>17592</v>
          </cell>
        </row>
        <row r="6">
          <cell r="M6">
            <v>53826</v>
          </cell>
        </row>
      </sheetData>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M3">
            <v>1000</v>
          </cell>
        </row>
        <row r="5">
          <cell r="M5">
            <v>17042</v>
          </cell>
        </row>
        <row r="6">
          <cell r="M6">
            <v>10600</v>
          </cell>
        </row>
      </sheetData>
      <sheetData sheetId="1">
        <row r="35">
          <cell r="Z35">
            <v>0.01</v>
          </cell>
        </row>
        <row r="36">
          <cell r="Z36">
            <v>0.08</v>
          </cell>
        </row>
        <row r="38">
          <cell r="Z38">
            <v>159.2157215866865</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1180</v>
          </cell>
        </row>
        <row r="5">
          <cell r="L5">
            <v>18083</v>
          </cell>
        </row>
        <row r="6">
          <cell r="L6">
            <v>17213</v>
          </cell>
        </row>
      </sheetData>
      <sheetData sheetId="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200</v>
          </cell>
        </row>
        <row r="5">
          <cell r="L5">
            <v>5498</v>
          </cell>
        </row>
        <row r="6">
          <cell r="L6">
            <v>1572</v>
          </cell>
        </row>
      </sheetData>
      <sheetData sheetId="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421.445382</v>
          </cell>
        </row>
        <row r="5">
          <cell r="M5">
            <v>3719</v>
          </cell>
        </row>
        <row r="6">
          <cell r="M6">
            <v>11926</v>
          </cell>
        </row>
      </sheetData>
      <sheetData sheetId="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253.72300000000001</v>
          </cell>
        </row>
        <row r="5">
          <cell r="L5">
            <v>1431.7740000000001</v>
          </cell>
        </row>
        <row r="6">
          <cell r="L6">
            <v>999.375</v>
          </cell>
        </row>
      </sheetData>
      <sheetData sheetId="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P3">
            <v>252</v>
          </cell>
        </row>
        <row r="5">
          <cell r="P5">
            <v>6255</v>
          </cell>
        </row>
        <row r="6">
          <cell r="P6">
            <v>4121</v>
          </cell>
        </row>
      </sheetData>
      <sheetData sheetId="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314.36099999999999</v>
          </cell>
        </row>
        <row r="5">
          <cell r="M5">
            <v>5027.4579999999996</v>
          </cell>
        </row>
        <row r="6">
          <cell r="M6">
            <v>0</v>
          </cell>
        </row>
      </sheetData>
      <sheetData sheetId="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154.847005</v>
          </cell>
        </row>
        <row r="5">
          <cell r="M5">
            <v>2838.5529999999999</v>
          </cell>
        </row>
        <row r="6">
          <cell r="M6">
            <v>0</v>
          </cell>
        </row>
      </sheetData>
      <sheetData sheetId="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O3">
            <v>315</v>
          </cell>
        </row>
        <row r="5">
          <cell r="O5">
            <v>1707</v>
          </cell>
        </row>
        <row r="6">
          <cell r="O6">
            <v>737</v>
          </cell>
        </row>
      </sheetData>
      <sheetData sheetId="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s"/>
    </sheetNames>
    <sheetDataSet>
      <sheetData sheetId="0">
        <row r="3">
          <cell r="L3">
            <v>2036</v>
          </cell>
        </row>
        <row r="5">
          <cell r="L5">
            <v>2585</v>
          </cell>
        </row>
        <row r="6">
          <cell r="L6">
            <v>0</v>
          </cell>
        </row>
      </sheetData>
      <sheetData sheetId="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P3">
            <v>157</v>
          </cell>
        </row>
        <row r="5">
          <cell r="P5">
            <v>2477</v>
          </cell>
        </row>
        <row r="6">
          <cell r="P6">
            <v>2195</v>
          </cell>
        </row>
      </sheetData>
      <sheetData sheetId="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IP"/>
    </sheetNames>
    <sheetDataSet>
      <sheetData sheetId="0">
        <row r="3">
          <cell r="M3">
            <v>2651.5486740000001</v>
          </cell>
        </row>
        <row r="5">
          <cell r="M5">
            <v>48304</v>
          </cell>
        </row>
        <row r="6">
          <cell r="M6">
            <v>9922</v>
          </cell>
        </row>
      </sheetData>
      <sheetData sheetId="1">
        <row r="50">
          <cell r="AX50">
            <v>0.08</v>
          </cell>
        </row>
        <row r="51">
          <cell r="AX51">
            <v>-0.05</v>
          </cell>
        </row>
        <row r="52">
          <cell r="AX52">
            <v>0.02</v>
          </cell>
        </row>
        <row r="53">
          <cell r="AX53">
            <v>215.87667010339968</v>
          </cell>
        </row>
      </sheetData>
      <sheetData sheetId="2"/>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9.6720000000000006</v>
          </cell>
        </row>
        <row r="5">
          <cell r="L5">
            <v>989</v>
          </cell>
        </row>
        <row r="6">
          <cell r="L6">
            <v>346</v>
          </cell>
        </row>
      </sheetData>
      <sheetData sheetId="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1613.101071</v>
          </cell>
        </row>
        <row r="5">
          <cell r="L5">
            <v>4428.9520000000002</v>
          </cell>
        </row>
        <row r="6">
          <cell r="L6">
            <v>3740.8040000000001</v>
          </cell>
        </row>
      </sheetData>
      <sheetData sheetId="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N3">
            <v>152.970249</v>
          </cell>
        </row>
        <row r="5">
          <cell r="N5">
            <v>1720.521</v>
          </cell>
        </row>
        <row r="6">
          <cell r="N6">
            <v>23.774999999999999</v>
          </cell>
        </row>
      </sheetData>
      <sheetData sheetId="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1322.7</v>
          </cell>
        </row>
        <row r="5">
          <cell r="L5">
            <v>3157</v>
          </cell>
        </row>
        <row r="6">
          <cell r="L6">
            <v>3642.4</v>
          </cell>
        </row>
      </sheetData>
      <sheetData sheetId="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s>
    <sheetDataSet>
      <sheetData sheetId="0">
        <row r="3">
          <cell r="K3">
            <v>277.33600000000001</v>
          </cell>
        </row>
        <row r="5">
          <cell r="K5">
            <v>1088.94</v>
          </cell>
        </row>
        <row r="6">
          <cell r="K6">
            <v>347.58800000000002</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217.27220500000001</v>
          </cell>
        </row>
        <row r="5">
          <cell r="L5">
            <v>1624</v>
          </cell>
        </row>
        <row r="6">
          <cell r="L6">
            <v>2629</v>
          </cell>
        </row>
      </sheetData>
      <sheetData sheetId="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87.068664999999996</v>
          </cell>
        </row>
        <row r="5">
          <cell r="M5">
            <v>517.63499999999999</v>
          </cell>
        </row>
        <row r="6">
          <cell r="M6">
            <v>753.40200000000004</v>
          </cell>
        </row>
      </sheetData>
      <sheetData sheetId="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N3">
            <v>472.5</v>
          </cell>
        </row>
        <row r="5">
          <cell r="N5">
            <v>5299</v>
          </cell>
        </row>
        <row r="6">
          <cell r="N6">
            <v>4126</v>
          </cell>
        </row>
      </sheetData>
      <sheetData sheetId="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4">
          <cell r="O4">
            <v>1238.413</v>
          </cell>
        </row>
        <row r="7">
          <cell r="O7">
            <v>1886413</v>
          </cell>
        </row>
        <row r="8">
          <cell r="O8">
            <v>1455438</v>
          </cell>
        </row>
      </sheetData>
      <sheetData sheetId="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J3">
            <v>782.62531899999999</v>
          </cell>
        </row>
        <row r="5">
          <cell r="J5">
            <v>10688</v>
          </cell>
        </row>
        <row r="6">
          <cell r="J6">
            <v>3610</v>
          </cell>
        </row>
      </sheetData>
      <sheetData sheetId="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N3">
            <v>281</v>
          </cell>
        </row>
        <row r="5">
          <cell r="N5">
            <v>2416</v>
          </cell>
        </row>
        <row r="6">
          <cell r="N6">
            <v>1878</v>
          </cell>
        </row>
      </sheetData>
      <sheetData sheetId="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605.13542000000007</v>
          </cell>
        </row>
        <row r="5">
          <cell r="L5">
            <v>2977</v>
          </cell>
        </row>
        <row r="6">
          <cell r="L6">
            <v>989</v>
          </cell>
        </row>
      </sheetData>
      <sheetData sheetId="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K3">
            <v>197.07725600000001</v>
          </cell>
        </row>
        <row r="5">
          <cell r="K5">
            <v>4301</v>
          </cell>
        </row>
        <row r="6">
          <cell r="K6">
            <v>1146</v>
          </cell>
        </row>
      </sheetData>
      <sheetData sheetId="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s"/>
    </sheetNames>
    <sheetDataSet>
      <sheetData sheetId="0">
        <row r="3">
          <cell r="L3">
            <v>281.86987900000003</v>
          </cell>
        </row>
        <row r="5">
          <cell r="L5">
            <v>4002</v>
          </cell>
        </row>
        <row r="6">
          <cell r="L6">
            <v>6853</v>
          </cell>
        </row>
      </sheetData>
      <sheetData sheetId="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M3">
            <v>1144</v>
          </cell>
        </row>
        <row r="5">
          <cell r="M5">
            <v>15886</v>
          </cell>
        </row>
        <row r="6">
          <cell r="M6">
            <v>10417</v>
          </cell>
        </row>
      </sheetData>
      <sheetData sheetId="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2675.125</v>
          </cell>
        </row>
        <row r="5">
          <cell r="L5">
            <v>956062</v>
          </cell>
        </row>
        <row r="6">
          <cell r="L6">
            <v>149153</v>
          </cell>
        </row>
      </sheetData>
      <sheetData sheetId="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633.17718300000001</v>
          </cell>
        </row>
        <row r="5">
          <cell r="L5">
            <v>9629.1059999999998</v>
          </cell>
        </row>
        <row r="6">
          <cell r="L6">
            <v>1985.6590000000001</v>
          </cell>
        </row>
      </sheetData>
      <sheetData sheetId="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1260</v>
          </cell>
        </row>
        <row r="5">
          <cell r="M5">
            <v>7246.6900000000005</v>
          </cell>
        </row>
        <row r="6">
          <cell r="M6">
            <v>911.54899999999998</v>
          </cell>
        </row>
      </sheetData>
      <sheetData sheetId="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K3">
            <v>108.748718</v>
          </cell>
        </row>
        <row r="5">
          <cell r="K5">
            <v>555.70900000000006</v>
          </cell>
        </row>
        <row r="6">
          <cell r="K6">
            <v>1719</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563" dT="2023-06-28T22:40:44.43" personId="{00000000-0000-0000-0000-000000000000}" id="{7C1EDB1D-26F3-4F99-8930-0D6731320806}">
    <text>Amplify Partners V, Amplify Select (6/13/22)</text>
  </threadedComment>
  <threadedComment ref="I679" dT="2023-06-28T22:44:58.89" personId="{00000000-0000-0000-0000-000000000000}" id="{EC8BF999-2174-4EA9-BB40-29C22C304290}">
    <text>Radical Ventures II (5/7/19)</text>
  </threadedComment>
</ThreadedComments>
</file>

<file path=xl/threadedComments/threadedComment2.xml><?xml version="1.0" encoding="utf-8"?>
<ThreadedComments xmlns="http://schemas.microsoft.com/office/spreadsheetml/2018/threadedcomments" xmlns:x="http://schemas.openxmlformats.org/spreadsheetml/2006/main">
  <threadedComment ref="I25" dT="2023-06-15T00:22:32.88" personId="{00000000-0000-0000-0000-000000000000}" id="{8D32030C-E7C6-654F-8763-F83B4645B655}">
    <text>Tom Built GPT-3</text>
  </threadedComment>
  <threadedComment ref="D138" dT="2023-06-15T16:14:28.15" personId="{00000000-0000-0000-0000-000000000000}" id="{31E15604-D972-2C48-8C95-6B04D469FE75}">
    <text>https://techcrunch.com/2022/11/10/ai-powered-note-taking-app-mem-raises-23-5m-openai/</text>
  </threadedComment>
</ThreadedComments>
</file>

<file path=xl/threadedComments/threadedComment3.xml><?xml version="1.0" encoding="utf-8"?>
<ThreadedComments xmlns="http://schemas.microsoft.com/office/spreadsheetml/2018/threadedcomments" xmlns:x="http://schemas.openxmlformats.org/spreadsheetml/2006/main">
  <threadedComment ref="E30" dT="2022-08-24T01:15:21.27" personId="{00000000-0000-0000-0000-000000000000}" id="{9A7BDD87-4728-4B2C-A2F9-F452DF1FAEF5}">
    <text>Series A with ARod, Thrive, Tiger, Marc Lore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CSU%20CN.xlsx" TargetMode="External"/><Relationship Id="rId2" Type="http://schemas.openxmlformats.org/officeDocument/2006/relationships/hyperlink" Target="BIDU.xlsx" TargetMode="External"/><Relationship Id="rId1" Type="http://schemas.openxmlformats.org/officeDocument/2006/relationships/hyperlink" Target="GOOG.xlsx" TargetMode="External"/><Relationship Id="rId6" Type="http://schemas.openxmlformats.org/officeDocument/2006/relationships/printerSettings" Target="../printerSettings/printerSettings2.bin"/><Relationship Id="rId5" Type="http://schemas.openxmlformats.org/officeDocument/2006/relationships/hyperlink" Target="HEXA.xlsx" TargetMode="External"/><Relationship Id="rId4" Type="http://schemas.openxmlformats.org/officeDocument/2006/relationships/hyperlink" Target="MSFT.xlsx"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SNOW.xlsx" TargetMode="External"/><Relationship Id="rId13" Type="http://schemas.openxmlformats.org/officeDocument/2006/relationships/hyperlink" Target="PLTR.xlsx" TargetMode="External"/><Relationship Id="rId3" Type="http://schemas.openxmlformats.org/officeDocument/2006/relationships/hyperlink" Target="SAP.xlsx" TargetMode="External"/><Relationship Id="rId7" Type="http://schemas.openxmlformats.org/officeDocument/2006/relationships/hyperlink" Target="WDAY.xlsx" TargetMode="External"/><Relationship Id="rId12" Type="http://schemas.openxmlformats.org/officeDocument/2006/relationships/hyperlink" Target="AMZN.xlsx" TargetMode="External"/><Relationship Id="rId2" Type="http://schemas.openxmlformats.org/officeDocument/2006/relationships/hyperlink" Target="CRM.xlsx" TargetMode="External"/><Relationship Id="rId1" Type="http://schemas.openxmlformats.org/officeDocument/2006/relationships/hyperlink" Target="ORCL.xlsx" TargetMode="External"/><Relationship Id="rId6" Type="http://schemas.openxmlformats.org/officeDocument/2006/relationships/hyperlink" Target="TEAM.xlsx" TargetMode="External"/><Relationship Id="rId11" Type="http://schemas.openxmlformats.org/officeDocument/2006/relationships/hyperlink" Target="VEEV.xlsx" TargetMode="External"/><Relationship Id="rId5" Type="http://schemas.openxmlformats.org/officeDocument/2006/relationships/hyperlink" Target="VMW.xlsx" TargetMode="External"/><Relationship Id="rId15" Type="http://schemas.openxmlformats.org/officeDocument/2006/relationships/printerSettings" Target="../printerSettings/printerSettings3.bin"/><Relationship Id="rId10" Type="http://schemas.openxmlformats.org/officeDocument/2006/relationships/hyperlink" Target="DDOG.xlsx" TargetMode="External"/><Relationship Id="rId4" Type="http://schemas.openxmlformats.org/officeDocument/2006/relationships/hyperlink" Target="NOW.xlsx" TargetMode="External"/><Relationship Id="rId9" Type="http://schemas.openxmlformats.org/officeDocument/2006/relationships/hyperlink" Target="OKTA.xlsx" TargetMode="External"/><Relationship Id="rId14" Type="http://schemas.openxmlformats.org/officeDocument/2006/relationships/hyperlink" Target="IBM.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035420%20KS%20Naver.xlsx" TargetMode="External"/><Relationship Id="rId2" Type="http://schemas.openxmlformats.org/officeDocument/2006/relationships/hyperlink" Target="700%20HK.xlsx" TargetMode="External"/><Relationship Id="rId1" Type="http://schemas.openxmlformats.org/officeDocument/2006/relationships/hyperlink" Target="META.xlsx" TargetMode="External"/><Relationship Id="rId5" Type="http://schemas.openxmlformats.org/officeDocument/2006/relationships/printerSettings" Target="../printerSettings/printerSettings4.bin"/><Relationship Id="rId4" Type="http://schemas.openxmlformats.org/officeDocument/2006/relationships/hyperlink" Target="SNAP.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CDNS.xlsx" TargetMode="External"/><Relationship Id="rId2" Type="http://schemas.openxmlformats.org/officeDocument/2006/relationships/hyperlink" Target="ADSK.xlsx" TargetMode="External"/><Relationship Id="rId1" Type="http://schemas.openxmlformats.org/officeDocument/2006/relationships/hyperlink" Target="DSY%20FP.xlsx" TargetMode="External"/><Relationship Id="rId6" Type="http://schemas.openxmlformats.org/officeDocument/2006/relationships/printerSettings" Target="../printerSettings/printerSettings5.bin"/><Relationship Id="rId5" Type="http://schemas.openxmlformats.org/officeDocument/2006/relationships/hyperlink" Target="ANSS.xlsx" TargetMode="External"/><Relationship Id="rId4" Type="http://schemas.openxmlformats.org/officeDocument/2006/relationships/hyperlink" Target="SNPS.xlsx"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26" Type="http://schemas.openxmlformats.org/officeDocument/2006/relationships/hyperlink" Target="http://www.playment.io/" TargetMode="External"/><Relationship Id="rId21" Type="http://schemas.openxmlformats.org/officeDocument/2006/relationships/hyperlink" Target="http://www.dataiku.com/" TargetMode="External"/><Relationship Id="rId42" Type="http://schemas.openxmlformats.org/officeDocument/2006/relationships/hyperlink" Target="http://www.vastaitech.com/" TargetMode="External"/><Relationship Id="rId47" Type="http://schemas.openxmlformats.org/officeDocument/2006/relationships/hyperlink" Target="http://www.notco.com/" TargetMode="External"/><Relationship Id="rId63" Type="http://schemas.openxmlformats.org/officeDocument/2006/relationships/hyperlink" Target="http://www.groq.com/" TargetMode="External"/><Relationship Id="rId68" Type="http://schemas.openxmlformats.org/officeDocument/2006/relationships/hyperlink" Target="http://www.labelbox.com/" TargetMode="External"/><Relationship Id="rId84" Type="http://schemas.openxmlformats.org/officeDocument/2006/relationships/hyperlink" Target="http://www.comet.com/" TargetMode="External"/><Relationship Id="rId89" Type="http://schemas.openxmlformats.org/officeDocument/2006/relationships/vmlDrawing" Target="../drawings/vmlDrawing2.vml"/><Relationship Id="rId16" Type="http://schemas.openxmlformats.org/officeDocument/2006/relationships/hyperlink" Target="http://www.4paradigm.com/" TargetMode="External"/><Relationship Id="rId11" Type="http://schemas.openxmlformats.org/officeDocument/2006/relationships/hyperlink" Target="http://www.openspace.ai/" TargetMode="External"/><Relationship Id="rId32" Type="http://schemas.openxmlformats.org/officeDocument/2006/relationships/hyperlink" Target="http://www.radai.com/" TargetMode="External"/><Relationship Id="rId37" Type="http://schemas.openxmlformats.org/officeDocument/2006/relationships/hyperlink" Target="http://www.d-id.com/" TargetMode="External"/><Relationship Id="rId53" Type="http://schemas.openxmlformats.org/officeDocument/2006/relationships/hyperlink" Target="http://www.plus.ai/" TargetMode="External"/><Relationship Id="rId58" Type="http://schemas.openxmlformats.org/officeDocument/2006/relationships/hyperlink" Target="http://www.intervenn.com/" TargetMode="External"/><Relationship Id="rId74" Type="http://schemas.openxmlformats.org/officeDocument/2006/relationships/hyperlink" Target="http://www.thehive.ai/" TargetMode="External"/><Relationship Id="rId79" Type="http://schemas.openxmlformats.org/officeDocument/2006/relationships/hyperlink" Target="http://www.deepl.com/" TargetMode="External"/><Relationship Id="rId5" Type="http://schemas.openxmlformats.org/officeDocument/2006/relationships/hyperlink" Target="https://www.nvidia.com/en-us/startups/" TargetMode="External"/><Relationship Id="rId90" Type="http://schemas.openxmlformats.org/officeDocument/2006/relationships/comments" Target="../comments2.xml"/><Relationship Id="rId14" Type="http://schemas.openxmlformats.org/officeDocument/2006/relationships/hyperlink" Target="http://www.ubtrobot.com/" TargetMode="External"/><Relationship Id="rId22" Type="http://schemas.openxmlformats.org/officeDocument/2006/relationships/hyperlink" Target="http://www.mthreads.com/" TargetMode="External"/><Relationship Id="rId27" Type="http://schemas.openxmlformats.org/officeDocument/2006/relationships/hyperlink" Target="http://www.weka.io/" TargetMode="External"/><Relationship Id="rId30" Type="http://schemas.openxmlformats.org/officeDocument/2006/relationships/hyperlink" Target="http://www.symphonyai.com/" TargetMode="External"/><Relationship Id="rId35" Type="http://schemas.openxmlformats.org/officeDocument/2006/relationships/hyperlink" Target="http://www.nice,com/" TargetMode="External"/><Relationship Id="rId43" Type="http://schemas.openxmlformats.org/officeDocument/2006/relationships/hyperlink" Target="http://www.builder.ai/" TargetMode="External"/><Relationship Id="rId48" Type="http://schemas.openxmlformats.org/officeDocument/2006/relationships/hyperlink" Target="http://www.skydio.com/" TargetMode="External"/><Relationship Id="rId56" Type="http://schemas.openxmlformats.org/officeDocument/2006/relationships/hyperlink" Target="http://www.shield.ai/" TargetMode="External"/><Relationship Id="rId64" Type="http://schemas.openxmlformats.org/officeDocument/2006/relationships/hyperlink" Target="http://www.appliedintuition.com/" TargetMode="External"/><Relationship Id="rId69" Type="http://schemas.openxmlformats.org/officeDocument/2006/relationships/hyperlink" Target="http://www.runpod.io/" TargetMode="External"/><Relationship Id="rId77" Type="http://schemas.openxmlformats.org/officeDocument/2006/relationships/hyperlink" Target="http://www.helsing.ai/" TargetMode="External"/><Relationship Id="rId8" Type="http://schemas.openxmlformats.org/officeDocument/2006/relationships/hyperlink" Target="http://www.syllable.ai/" TargetMode="External"/><Relationship Id="rId51" Type="http://schemas.openxmlformats.org/officeDocument/2006/relationships/hyperlink" Target="http://www.graphcore.ai/" TargetMode="External"/><Relationship Id="rId72" Type="http://schemas.openxmlformats.org/officeDocument/2006/relationships/hyperlink" Target="http://www.mosaicml.com/" TargetMode="External"/><Relationship Id="rId80" Type="http://schemas.openxmlformats.org/officeDocument/2006/relationships/hyperlink" Target="http://www.digits.com/" TargetMode="External"/><Relationship Id="rId85" Type="http://schemas.openxmlformats.org/officeDocument/2006/relationships/hyperlink" Target="http://www.gretel.ai/" TargetMode="External"/><Relationship Id="rId3" Type="http://schemas.openxmlformats.org/officeDocument/2006/relationships/hyperlink" Target="https://huggingface.co/OpenAssistant/oasst-sft-6-llama-30b-xor" TargetMode="External"/><Relationship Id="rId12" Type="http://schemas.openxmlformats.org/officeDocument/2006/relationships/hyperlink" Target="http://www.getbravo.io/" TargetMode="External"/><Relationship Id="rId17" Type="http://schemas.openxmlformats.org/officeDocument/2006/relationships/hyperlink" Target="http://www.sambanova.ai/" TargetMode="External"/><Relationship Id="rId25" Type="http://schemas.openxmlformats.org/officeDocument/2006/relationships/hyperlink" Target="http://www.patsnap.com/" TargetMode="External"/><Relationship Id="rId33" Type="http://schemas.openxmlformats.org/officeDocument/2006/relationships/hyperlink" Target="http://www.eigentech.com/" TargetMode="External"/><Relationship Id="rId38" Type="http://schemas.openxmlformats.org/officeDocument/2006/relationships/hyperlink" Target="http://www.baidu.com/" TargetMode="External"/><Relationship Id="rId46" Type="http://schemas.openxmlformats.org/officeDocument/2006/relationships/hyperlink" Target="http://www.anyvision.co/" TargetMode="External"/><Relationship Id="rId59" Type="http://schemas.openxmlformats.org/officeDocument/2006/relationships/hyperlink" Target="http://www.wayve.ai/" TargetMode="External"/><Relationship Id="rId67" Type="http://schemas.openxmlformats.org/officeDocument/2006/relationships/hyperlink" Target="http://www.dominodatalab.com/" TargetMode="External"/><Relationship Id="rId20" Type="http://schemas.openxmlformats.org/officeDocument/2006/relationships/hyperlink" Target="http://www.pony.ai/" TargetMode="External"/><Relationship Id="rId41" Type="http://schemas.openxmlformats.org/officeDocument/2006/relationships/hyperlink" Target="http://www.cerebras.net/" TargetMode="External"/><Relationship Id="rId54" Type="http://schemas.openxmlformats.org/officeDocument/2006/relationships/hyperlink" Target="http://www.eightfold.ai/" TargetMode="External"/><Relationship Id="rId62" Type="http://schemas.openxmlformats.org/officeDocument/2006/relationships/hyperlink" Target="http://www.censius.ai/" TargetMode="External"/><Relationship Id="rId70" Type="http://schemas.openxmlformats.org/officeDocument/2006/relationships/hyperlink" Target="http://www.banana.dev/" TargetMode="External"/><Relationship Id="rId75" Type="http://schemas.openxmlformats.org/officeDocument/2006/relationships/hyperlink" Target="http://www.cresta.com/" TargetMode="External"/><Relationship Id="rId83" Type="http://schemas.openxmlformats.org/officeDocument/2006/relationships/hyperlink" Target="http://www.healx.io/" TargetMode="External"/><Relationship Id="rId88" Type="http://schemas.openxmlformats.org/officeDocument/2006/relationships/printerSettings" Target="../printerSettings/printerSettings7.bin"/><Relationship Id="rId91" Type="http://schemas.microsoft.com/office/2017/10/relationships/threadedComment" Target="../threadedComments/threadedComment2.xml"/><Relationship Id="rId1" Type="http://schemas.openxmlformats.org/officeDocument/2006/relationships/hyperlink" Target="https://docs.ai21.com/reference/j2-complete-api-ref" TargetMode="External"/><Relationship Id="rId6" Type="http://schemas.openxmlformats.org/officeDocument/2006/relationships/hyperlink" Target="http://www.intrinsic.ai/" TargetMode="External"/><Relationship Id="rId15" Type="http://schemas.openxmlformats.org/officeDocument/2006/relationships/hyperlink" Target="http://www.megvii.com/" TargetMode="External"/><Relationship Id="rId23" Type="http://schemas.openxmlformats.org/officeDocument/2006/relationships/hyperlink" Target="http://www.highradius.com/" TargetMode="External"/><Relationship Id="rId28" Type="http://schemas.openxmlformats.org/officeDocument/2006/relationships/hyperlink" Target="http://www.workera.ai/" TargetMode="External"/><Relationship Id="rId36" Type="http://schemas.openxmlformats.org/officeDocument/2006/relationships/hyperlink" Target="http://www.sidneyai.com/" TargetMode="External"/><Relationship Id="rId49" Type="http://schemas.openxmlformats.org/officeDocument/2006/relationships/hyperlink" Target="http://www.meero.com/" TargetMode="External"/><Relationship Id="rId57" Type="http://schemas.openxmlformats.org/officeDocument/2006/relationships/hyperlink" Target="http://www.immunai.com/" TargetMode="External"/><Relationship Id="rId10" Type="http://schemas.openxmlformats.org/officeDocument/2006/relationships/hyperlink" Target="https://www.datrics.ai/" TargetMode="External"/><Relationship Id="rId31" Type="http://schemas.openxmlformats.org/officeDocument/2006/relationships/hyperlink" Target="http://www.stradoslabs.com/" TargetMode="External"/><Relationship Id="rId44" Type="http://schemas.openxmlformats.org/officeDocument/2006/relationships/hyperlink" Target="http://www.gong.io/" TargetMode="External"/><Relationship Id="rId52" Type="http://schemas.openxmlformats.org/officeDocument/2006/relationships/hyperlink" Target="http://www.shift-technology.com/" TargetMode="External"/><Relationship Id="rId60" Type="http://schemas.openxmlformats.org/officeDocument/2006/relationships/hyperlink" Target="http://www.paradox.ai/" TargetMode="External"/><Relationship Id="rId65" Type="http://schemas.openxmlformats.org/officeDocument/2006/relationships/hyperlink" Target="http://www.vastdata.com/" TargetMode="External"/><Relationship Id="rId73" Type="http://schemas.openxmlformats.org/officeDocument/2006/relationships/hyperlink" Target="http://www.contractpodai.com/" TargetMode="External"/><Relationship Id="rId78" Type="http://schemas.openxmlformats.org/officeDocument/2006/relationships/hyperlink" Target="http://www.run.ai/" TargetMode="External"/><Relationship Id="rId81" Type="http://schemas.openxmlformats.org/officeDocument/2006/relationships/hyperlink" Target="http://www.akasa.com/" TargetMode="External"/><Relationship Id="rId86" Type="http://schemas.openxmlformats.org/officeDocument/2006/relationships/hyperlink" Target="http://www.rain.ai/" TargetMode="External"/><Relationship Id="rId4" Type="http://schemas.openxmlformats.org/officeDocument/2006/relationships/hyperlink" Target="https://docs.google.com/spreadsheets/d/1rMs69QO4UJKueNS2w784KpJlsdsK_ERmuq8qnCMmGUA/edit?pli=1" TargetMode="External"/><Relationship Id="rId9" Type="http://schemas.openxmlformats.org/officeDocument/2006/relationships/hyperlink" Target="https://www.ambirobotics.com/" TargetMode="External"/><Relationship Id="rId13" Type="http://schemas.openxmlformats.org/officeDocument/2006/relationships/hyperlink" Target="http://www.nuro.ai/" TargetMode="External"/><Relationship Id="rId18" Type="http://schemas.openxmlformats.org/officeDocument/2006/relationships/hyperlink" Target="http://www.momenta.cn/" TargetMode="External"/><Relationship Id="rId39" Type="http://schemas.openxmlformats.org/officeDocument/2006/relationships/hyperlink" Target="http://www.terminusgroup.com/" TargetMode="External"/><Relationship Id="rId34" Type="http://schemas.openxmlformats.org/officeDocument/2006/relationships/hyperlink" Target="http://www.enlitic.com/" TargetMode="External"/><Relationship Id="rId50" Type="http://schemas.openxmlformats.org/officeDocument/2006/relationships/hyperlink" Target="http://www.alpha-sense.com/" TargetMode="External"/><Relationship Id="rId55" Type="http://schemas.openxmlformats.org/officeDocument/2006/relationships/hyperlink" Target="https://www.forbes.com/lists/ai50/" TargetMode="External"/><Relationship Id="rId76" Type="http://schemas.openxmlformats.org/officeDocument/2006/relationships/hyperlink" Target="http://www.relational.ai/" TargetMode="External"/><Relationship Id="rId7" Type="http://schemas.openxmlformats.org/officeDocument/2006/relationships/hyperlink" Target="http://www.coachvox.ai/" TargetMode="External"/><Relationship Id="rId71" Type="http://schemas.openxmlformats.org/officeDocument/2006/relationships/hyperlink" Target="http://www.path-robotics.com/" TargetMode="External"/><Relationship Id="rId2" Type="http://schemas.openxmlformats.org/officeDocument/2006/relationships/hyperlink" Target="https://docs.nomic.ai/" TargetMode="External"/><Relationship Id="rId29" Type="http://schemas.openxmlformats.org/officeDocument/2006/relationships/hyperlink" Target="http://www.salt.security/" TargetMode="External"/><Relationship Id="rId24" Type="http://schemas.openxmlformats.org/officeDocument/2006/relationships/hyperlink" Target="http://www.mininglamp.com/" TargetMode="External"/><Relationship Id="rId40" Type="http://schemas.openxmlformats.org/officeDocument/2006/relationships/hyperlink" Target="http://www.enflame-tech.com/" TargetMode="External"/><Relationship Id="rId45" Type="http://schemas.openxmlformats.org/officeDocument/2006/relationships/hyperlink" Target="http://www.thoughtspot.com/" TargetMode="External"/><Relationship Id="rId66" Type="http://schemas.openxmlformats.org/officeDocument/2006/relationships/hyperlink" Target="http://www.h2o.ai/" TargetMode="External"/><Relationship Id="rId87" Type="http://schemas.openxmlformats.org/officeDocument/2006/relationships/hyperlink" Target="http://www.otter.ai/" TargetMode="External"/><Relationship Id="rId61" Type="http://schemas.openxmlformats.org/officeDocument/2006/relationships/hyperlink" Target="http://www.outreach.io/" TargetMode="External"/><Relationship Id="rId82" Type="http://schemas.openxmlformats.org/officeDocument/2006/relationships/hyperlink" Target="http://www.unlearn.ai/" TargetMode="External"/><Relationship Id="rId19" Type="http://schemas.openxmlformats.org/officeDocument/2006/relationships/hyperlink" Target="http://www.dataminr.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SONY.xlsx" TargetMode="External"/><Relationship Id="rId3" Type="http://schemas.openxmlformats.org/officeDocument/2006/relationships/hyperlink" Target="700%20HK.xlsx" TargetMode="External"/><Relationship Id="rId7" Type="http://schemas.openxmlformats.org/officeDocument/2006/relationships/hyperlink" Target="ATVI.xlsx" TargetMode="External"/><Relationship Id="rId2" Type="http://schemas.openxmlformats.org/officeDocument/2006/relationships/hyperlink" Target="MSFT.xlsx" TargetMode="External"/><Relationship Id="rId1" Type="http://schemas.openxmlformats.org/officeDocument/2006/relationships/hyperlink" Target="RBLX.xlsx" TargetMode="External"/><Relationship Id="rId6" Type="http://schemas.openxmlformats.org/officeDocument/2006/relationships/hyperlink" Target="../../../OneDrive/Models%20Backup/SPOT.xlsx" TargetMode="External"/><Relationship Id="rId5" Type="http://schemas.openxmlformats.org/officeDocument/2006/relationships/hyperlink" Target="ADBE.xlsx" TargetMode="External"/><Relationship Id="rId10" Type="http://schemas.openxmlformats.org/officeDocument/2006/relationships/printerSettings" Target="../printerSettings/printerSettings8.bin"/><Relationship Id="rId4" Type="http://schemas.openxmlformats.org/officeDocument/2006/relationships/hyperlink" Target="EA.xlsx" TargetMode="External"/><Relationship Id="rId9" Type="http://schemas.openxmlformats.org/officeDocument/2006/relationships/hyperlink" Target="SONY.xlsx" TargetMode="Externa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PYPL.xlsx" TargetMode="External"/><Relationship Id="rId1" Type="http://schemas.openxmlformats.org/officeDocument/2006/relationships/hyperlink" Target="INTU.xlsx"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3" Type="http://schemas.openxmlformats.org/officeDocument/2006/relationships/hyperlink" Target="SHOP.xlsx" TargetMode="External"/><Relationship Id="rId7" Type="http://schemas.openxmlformats.org/officeDocument/2006/relationships/printerSettings" Target="../printerSettings/printerSettings9.bin"/><Relationship Id="rId2" Type="http://schemas.openxmlformats.org/officeDocument/2006/relationships/hyperlink" Target="AMZN.xlsx" TargetMode="External"/><Relationship Id="rId1" Type="http://schemas.openxmlformats.org/officeDocument/2006/relationships/hyperlink" Target="BABA.xlsx" TargetMode="External"/><Relationship Id="rId6" Type="http://schemas.openxmlformats.org/officeDocument/2006/relationships/hyperlink" Target="ABNB.xlsx" TargetMode="External"/><Relationship Id="rId5" Type="http://schemas.openxmlformats.org/officeDocument/2006/relationships/hyperlink" Target="RDFN.xlsx" TargetMode="External"/><Relationship Id="rId4" Type="http://schemas.openxmlformats.org/officeDocument/2006/relationships/hyperlink" Target="BABA.xlsx"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DBDC7-DC6F-4550-A83F-1B2B66C2DF19}">
  <dimension ref="A1:D9"/>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RowHeight="12.75"/>
  <cols>
    <col min="1" max="1" width="5.42578125" style="275" bestFit="1" customWidth="1"/>
    <col min="2" max="2" width="18.28515625" style="275" bestFit="1" customWidth="1"/>
    <col min="3" max="16384" width="9.140625" style="275"/>
  </cols>
  <sheetData>
    <row r="1" spans="1:4">
      <c r="A1" s="275" t="s">
        <v>146</v>
      </c>
    </row>
    <row r="2" spans="1:4">
      <c r="D2" s="275" t="s">
        <v>753</v>
      </c>
    </row>
    <row r="3" spans="1:4">
      <c r="B3" s="275" t="s">
        <v>4112</v>
      </c>
      <c r="C3" s="275" t="s">
        <v>264</v>
      </c>
    </row>
    <row r="4" spans="1:4">
      <c r="B4" s="275" t="s">
        <v>4113</v>
      </c>
      <c r="C4" s="275" t="s">
        <v>4114</v>
      </c>
    </row>
    <row r="5" spans="1:4">
      <c r="B5" s="275" t="s">
        <v>488</v>
      </c>
      <c r="C5" s="275" t="s">
        <v>13</v>
      </c>
    </row>
    <row r="6" spans="1:4">
      <c r="B6" s="275" t="s">
        <v>4115</v>
      </c>
      <c r="C6" s="275" t="s">
        <v>13</v>
      </c>
    </row>
    <row r="7" spans="1:4">
      <c r="B7" s="275" t="s">
        <v>4116</v>
      </c>
      <c r="C7" s="275" t="s">
        <v>13</v>
      </c>
    </row>
    <row r="8" spans="1:4">
      <c r="B8" s="275" t="s">
        <v>4117</v>
      </c>
      <c r="C8" s="275" t="s">
        <v>4118</v>
      </c>
      <c r="D8" s="275">
        <v>1999</v>
      </c>
    </row>
    <row r="9" spans="1:4">
      <c r="B9" s="275" t="s">
        <v>4119</v>
      </c>
      <c r="C9" s="27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2F021-B9D2-4E87-AC34-DE48FE1C4298}">
  <dimension ref="A1"/>
  <sheetViews>
    <sheetView workbookViewId="0"/>
  </sheetViews>
  <sheetFormatPr defaultColWidth="8.8554687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A44C1-F876-4F6A-A905-60D0CF343544}">
  <dimension ref="A1:C12"/>
  <sheetViews>
    <sheetView workbookViewId="0">
      <selection activeCell="F5" sqref="F5"/>
    </sheetView>
  </sheetViews>
  <sheetFormatPr defaultColWidth="9.140625" defaultRowHeight="12.75"/>
  <cols>
    <col min="1" max="1" width="5" style="137" bestFit="1" customWidth="1"/>
    <col min="2" max="16384" width="9.140625" style="137"/>
  </cols>
  <sheetData>
    <row r="1" spans="1:3">
      <c r="A1" s="5" t="s">
        <v>146</v>
      </c>
    </row>
    <row r="2" spans="1:3">
      <c r="A2" s="5"/>
      <c r="B2" s="137" t="s">
        <v>19</v>
      </c>
    </row>
    <row r="3" spans="1:3">
      <c r="B3" s="137" t="s">
        <v>347</v>
      </c>
      <c r="C3" s="137" t="s">
        <v>348</v>
      </c>
    </row>
    <row r="4" spans="1:3">
      <c r="B4" s="137" t="s">
        <v>349</v>
      </c>
      <c r="C4" s="137" t="s">
        <v>350</v>
      </c>
    </row>
    <row r="5" spans="1:3">
      <c r="B5" s="137" t="s">
        <v>351</v>
      </c>
    </row>
    <row r="6" spans="1:3">
      <c r="B6" s="137" t="s">
        <v>344</v>
      </c>
    </row>
    <row r="7" spans="1:3">
      <c r="B7" s="137" t="s">
        <v>342</v>
      </c>
    </row>
    <row r="8" spans="1:3">
      <c r="B8" s="137" t="s">
        <v>346</v>
      </c>
    </row>
    <row r="9" spans="1:3">
      <c r="B9" s="137" t="s">
        <v>343</v>
      </c>
    </row>
    <row r="10" spans="1:3">
      <c r="B10" s="137" t="s">
        <v>352</v>
      </c>
    </row>
    <row r="11" spans="1:3">
      <c r="B11" s="137" t="s">
        <v>353</v>
      </c>
    </row>
    <row r="12" spans="1:3">
      <c r="B12" s="137" t="s">
        <v>345</v>
      </c>
    </row>
  </sheetData>
  <hyperlinks>
    <hyperlink ref="A1" location="Main!A1" display="Main" xr:uid="{6883381D-CC78-420C-B33D-9D88ACC7CFD7}"/>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D91D0-A718-45C3-9EF2-C01D7940E5D3}">
  <dimension ref="A1:C15"/>
  <sheetViews>
    <sheetView zoomScale="175" zoomScaleNormal="175" workbookViewId="0"/>
  </sheetViews>
  <sheetFormatPr defaultColWidth="9.140625" defaultRowHeight="12.75"/>
  <cols>
    <col min="1" max="1" width="5" style="137" bestFit="1" customWidth="1"/>
    <col min="2" max="2" width="10.42578125" style="137" customWidth="1"/>
    <col min="3" max="16384" width="9.140625" style="137"/>
  </cols>
  <sheetData>
    <row r="1" spans="1:3">
      <c r="A1" s="5" t="s">
        <v>146</v>
      </c>
    </row>
    <row r="2" spans="1:3">
      <c r="A2" s="5"/>
      <c r="B2" s="176" t="s">
        <v>489</v>
      </c>
    </row>
    <row r="3" spans="1:3">
      <c r="A3" s="5"/>
      <c r="B3" s="176" t="s">
        <v>485</v>
      </c>
    </row>
    <row r="4" spans="1:3">
      <c r="A4" s="5"/>
      <c r="B4" s="176" t="s">
        <v>488</v>
      </c>
    </row>
    <row r="5" spans="1:3">
      <c r="A5" s="5"/>
      <c r="B5" s="176" t="s">
        <v>486</v>
      </c>
    </row>
    <row r="6" spans="1:3">
      <c r="A6" s="5"/>
      <c r="B6" s="176" t="s">
        <v>490</v>
      </c>
    </row>
    <row r="7" spans="1:3">
      <c r="A7" s="5"/>
      <c r="B7" s="176" t="s">
        <v>487</v>
      </c>
    </row>
    <row r="8" spans="1:3">
      <c r="A8" s="5"/>
      <c r="B8" s="176"/>
    </row>
    <row r="9" spans="1:3">
      <c r="A9" s="5"/>
      <c r="B9" s="176"/>
    </row>
    <row r="10" spans="1:3">
      <c r="A10" s="5"/>
      <c r="B10" s="137" t="s">
        <v>358</v>
      </c>
    </row>
    <row r="11" spans="1:3">
      <c r="B11" s="137" t="s">
        <v>354</v>
      </c>
    </row>
    <row r="12" spans="1:3">
      <c r="B12" s="137" t="s">
        <v>355</v>
      </c>
      <c r="C12" s="137" t="s">
        <v>356</v>
      </c>
    </row>
    <row r="13" spans="1:3">
      <c r="B13" s="137" t="s">
        <v>357</v>
      </c>
    </row>
    <row r="14" spans="1:3">
      <c r="B14" s="172" t="s">
        <v>481</v>
      </c>
      <c r="C14" s="172" t="s">
        <v>482</v>
      </c>
    </row>
    <row r="15" spans="1:3">
      <c r="B15" s="172" t="s">
        <v>483</v>
      </c>
    </row>
  </sheetData>
  <hyperlinks>
    <hyperlink ref="A1" location="Main!A1" display="Main" xr:uid="{33E3E6A7-4E0D-4E42-A768-3040828B041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865A7-531A-484D-A1B8-5616406C41D1}">
  <dimension ref="A2:X47"/>
  <sheetViews>
    <sheetView zoomScale="160" zoomScaleNormal="160" zoomScaleSheetLayoutView="100" workbookViewId="0">
      <pane xSplit="3" ySplit="3" topLeftCell="D4" activePane="bottomRight" state="frozen"/>
      <selection pane="topRight" activeCell="D1" sqref="D1"/>
      <selection pane="bottomLeft" activeCell="A30" sqref="A30"/>
      <selection pane="bottomRight" activeCell="D4" sqref="D4"/>
    </sheetView>
  </sheetViews>
  <sheetFormatPr defaultColWidth="8.42578125" defaultRowHeight="12.75"/>
  <cols>
    <col min="1" max="1" width="1.42578125" style="20" customWidth="1"/>
    <col min="2" max="2" width="16.42578125" style="20" customWidth="1"/>
    <col min="3" max="3" width="10.7109375" style="20" customWidth="1"/>
    <col min="4" max="4" width="8.7109375" style="21" customWidth="1"/>
    <col min="5" max="5" width="10.28515625" style="22" customWidth="1"/>
    <col min="6" max="10" width="9.42578125" style="23" customWidth="1"/>
    <col min="11" max="15" width="8.42578125" style="24"/>
    <col min="16" max="16" width="8.42578125" style="25"/>
    <col min="17" max="18" width="8.42578125" style="24"/>
    <col min="19" max="19" width="8.42578125" style="26"/>
    <col min="20" max="20" width="8.42578125" style="25"/>
    <col min="21" max="22" width="8.42578125" style="24"/>
    <col min="23" max="23" width="8.42578125" style="26"/>
    <col min="24" max="16384" width="8.42578125" style="20"/>
  </cols>
  <sheetData>
    <row r="2" spans="1:24">
      <c r="L2" s="28">
        <f>AVERAGE(L4:L5)</f>
        <v>0.20041740331883851</v>
      </c>
      <c r="P2" s="29">
        <f>AVERAGE(P4:P5)</f>
        <v>26.242629111540076</v>
      </c>
      <c r="Q2" s="37">
        <f>AVERAGE(Q4:Q5)</f>
        <v>23.921213842707509</v>
      </c>
      <c r="R2" s="37">
        <f>AVERAGE(R4:R5)</f>
        <v>20.722347204381379</v>
      </c>
      <c r="S2" s="30">
        <f>AVERAGE(S4:S5)</f>
        <v>18.251491495442547</v>
      </c>
    </row>
    <row r="3" spans="1:24">
      <c r="B3" s="13" t="s">
        <v>0</v>
      </c>
      <c r="C3" s="14" t="s">
        <v>1</v>
      </c>
      <c r="D3" s="15" t="s">
        <v>2</v>
      </c>
      <c r="E3" s="16" t="s">
        <v>3</v>
      </c>
      <c r="F3" s="17" t="s">
        <v>4</v>
      </c>
      <c r="G3" s="17" t="s">
        <v>5</v>
      </c>
      <c r="H3" s="17" t="s">
        <v>221</v>
      </c>
      <c r="I3" s="17" t="s">
        <v>6</v>
      </c>
      <c r="J3" s="42" t="s">
        <v>232</v>
      </c>
      <c r="K3" s="18" t="s">
        <v>216</v>
      </c>
      <c r="L3" s="18" t="s">
        <v>220</v>
      </c>
      <c r="M3" s="18" t="s">
        <v>217</v>
      </c>
      <c r="N3" s="18" t="s">
        <v>218</v>
      </c>
      <c r="O3" s="19" t="s">
        <v>219</v>
      </c>
      <c r="P3" s="48" t="s">
        <v>237</v>
      </c>
      <c r="Q3" s="49" t="s">
        <v>238</v>
      </c>
      <c r="R3" s="49" t="s">
        <v>239</v>
      </c>
      <c r="S3" s="19">
        <v>2025</v>
      </c>
      <c r="T3" s="48" t="s">
        <v>236</v>
      </c>
      <c r="U3" s="18">
        <v>2023</v>
      </c>
      <c r="V3" s="18">
        <v>2024</v>
      </c>
      <c r="W3" s="19">
        <v>2025</v>
      </c>
      <c r="X3" s="20" t="s">
        <v>222</v>
      </c>
    </row>
    <row r="4" spans="1:24">
      <c r="A4" s="72" t="s">
        <v>261</v>
      </c>
      <c r="B4" s="114" t="s">
        <v>7</v>
      </c>
      <c r="C4" s="20" t="s">
        <v>8</v>
      </c>
      <c r="D4" s="21">
        <v>307.26</v>
      </c>
      <c r="E4" s="22">
        <f>D4*[1]Main!$L$3</f>
        <v>2296153.98</v>
      </c>
      <c r="F4" s="22">
        <f>[1]Main!$L$5-[1]Main!$L$6</f>
        <v>58489</v>
      </c>
      <c r="G4" s="22">
        <f>+E4-F4</f>
        <v>2237664.98</v>
      </c>
      <c r="H4" s="22">
        <f>+[1]Main!$L$3</f>
        <v>7473</v>
      </c>
      <c r="I4" s="175" t="s">
        <v>484</v>
      </c>
      <c r="J4" s="169">
        <v>45041</v>
      </c>
      <c r="K4" s="27">
        <f>+[1]Model!$BP$39</f>
        <v>269.58547667575527</v>
      </c>
      <c r="L4" s="28">
        <f>K4/D4-1</f>
        <v>-0.12261447413996196</v>
      </c>
      <c r="M4" s="28">
        <f>+[1]Model!$BP$35</f>
        <v>7.0000000000000007E-2</v>
      </c>
      <c r="N4" s="28">
        <f>+[1]Model!$BP$34</f>
        <v>0</v>
      </c>
      <c r="O4" s="115">
        <f>+[1]Model!$BP$36</f>
        <v>0.01</v>
      </c>
      <c r="P4" s="29">
        <f>+$G$4/$H$4/T4</f>
        <v>31.041226416860436</v>
      </c>
      <c r="Q4" s="30">
        <f t="shared" ref="Q4:S4" si="0">+$G$4/$H$4/U4</f>
        <v>30.329424348429917</v>
      </c>
      <c r="R4" s="30">
        <f t="shared" si="0"/>
        <v>26.673735708135101</v>
      </c>
      <c r="S4" s="31">
        <f t="shared" si="0"/>
        <v>23.876582290862881</v>
      </c>
      <c r="T4" s="32">
        <f>+[1]Model!$BE$32</f>
        <v>9.6463099263974534</v>
      </c>
      <c r="U4" s="27">
        <f>+[1]Model!$BF$32</f>
        <v>9.8726994311717835</v>
      </c>
      <c r="V4" s="27">
        <f>+[1]Model!$BG$32</f>
        <v>11.225772564777602</v>
      </c>
      <c r="W4" s="33">
        <f>+[1]Model!$BH$32</f>
        <v>12.540877369501043</v>
      </c>
      <c r="X4" s="20">
        <v>1975</v>
      </c>
    </row>
    <row r="5" spans="1:24">
      <c r="A5" s="72" t="s">
        <v>261</v>
      </c>
      <c r="B5" s="114" t="s">
        <v>9</v>
      </c>
      <c r="C5" s="20" t="s">
        <v>10</v>
      </c>
      <c r="D5" s="21">
        <v>108.22</v>
      </c>
      <c r="E5" s="22">
        <f>D5*[2]Main!$L$3</f>
        <v>1401124.34</v>
      </c>
      <c r="F5" s="22">
        <f>[2]Main!$L$5-[2]Main!$L$6</f>
        <v>129553</v>
      </c>
      <c r="G5" s="22">
        <f>+E5-F5</f>
        <v>1271571.3400000001</v>
      </c>
      <c r="H5" s="22">
        <f>[2]Main!$L$3</f>
        <v>12947</v>
      </c>
      <c r="I5" s="175" t="s">
        <v>484</v>
      </c>
      <c r="J5" s="43">
        <v>45041</v>
      </c>
      <c r="K5" s="27">
        <f>[2]Model!$AU$31</f>
        <v>164.8676811657561</v>
      </c>
      <c r="L5" s="28">
        <f>K5/D5-1</f>
        <v>0.52344928077763897</v>
      </c>
      <c r="M5" s="28">
        <f>[2]Model!$AU$28</f>
        <v>0.08</v>
      </c>
      <c r="N5" s="28">
        <f>[2]Model!$AU$27</f>
        <v>-0.01</v>
      </c>
      <c r="O5" s="115">
        <f>[2]Model!$AU$29</f>
        <v>0.01</v>
      </c>
      <c r="P5" s="29">
        <f>+$G$5/$H$5/T5</f>
        <v>21.444031806219719</v>
      </c>
      <c r="Q5" s="30">
        <f>+$G$5/$H$5/U5</f>
        <v>17.513003336985097</v>
      </c>
      <c r="R5" s="30">
        <f>+$G$5/$H$5/V5</f>
        <v>14.770958700627652</v>
      </c>
      <c r="S5" s="30">
        <f>+$G$5/$H$5/W5</f>
        <v>12.626400700022211</v>
      </c>
      <c r="T5" s="32">
        <f>[2]Model!$AJ$24</f>
        <v>4.5799964361174039</v>
      </c>
      <c r="U5" s="27">
        <f>[2]Model!$AK$24</f>
        <v>5.6080380594150139</v>
      </c>
      <c r="V5" s="27">
        <f>[2]Model!$AL$24</f>
        <v>6.6491005248224839</v>
      </c>
      <c r="W5" s="33">
        <f>[2]Model!$AM$24</f>
        <v>7.778431207897734</v>
      </c>
      <c r="X5" s="20">
        <v>1998</v>
      </c>
    </row>
    <row r="6" spans="1:24">
      <c r="A6" s="107" t="s">
        <v>261</v>
      </c>
      <c r="B6" s="114" t="s">
        <v>180</v>
      </c>
      <c r="C6" s="20" t="s">
        <v>181</v>
      </c>
      <c r="D6" s="41">
        <v>2651</v>
      </c>
      <c r="E6" s="22">
        <f>D6*H6/CAD</f>
        <v>43241.029887623161</v>
      </c>
      <c r="F6" s="22">
        <f>[3]Main!$O$5-[3]Main!$O$6</f>
        <v>-1163</v>
      </c>
      <c r="G6" s="22">
        <f>E6-F6</f>
        <v>44404.029887623161</v>
      </c>
      <c r="H6" s="22">
        <f>+[3]Main!$O$3</f>
        <v>21.19153</v>
      </c>
      <c r="I6" s="175" t="s">
        <v>390</v>
      </c>
      <c r="J6" s="43">
        <v>45047</v>
      </c>
      <c r="O6" s="26"/>
      <c r="X6" s="20">
        <v>1995</v>
      </c>
    </row>
    <row r="7" spans="1:24">
      <c r="A7" s="108" t="s">
        <v>261</v>
      </c>
      <c r="B7" s="114" t="s">
        <v>227</v>
      </c>
      <c r="C7" s="118" t="s">
        <v>228</v>
      </c>
      <c r="D7" s="21">
        <v>114.75</v>
      </c>
      <c r="E7" s="22">
        <f>D7*H7/SEK</f>
        <v>30022.838684416602</v>
      </c>
      <c r="F7" s="22">
        <f>([4]Main!$L$5-[4]Main!$L$6)*EUR</f>
        <v>-3389.8630000000003</v>
      </c>
      <c r="G7" s="22">
        <f>E7-F7</f>
        <v>33412.701684416599</v>
      </c>
      <c r="H7" s="22">
        <f>[4]Main!$L$3</f>
        <v>2706.2939999999999</v>
      </c>
      <c r="I7" s="189" t="s">
        <v>390</v>
      </c>
      <c r="J7" s="43">
        <v>45056</v>
      </c>
      <c r="O7" s="26"/>
      <c r="X7" s="20">
        <v>1992</v>
      </c>
    </row>
    <row r="8" spans="1:24">
      <c r="A8" s="90" t="s">
        <v>261</v>
      </c>
      <c r="B8" s="114" t="s">
        <v>38</v>
      </c>
      <c r="C8" s="20" t="s">
        <v>39</v>
      </c>
      <c r="D8" s="21">
        <v>120.61</v>
      </c>
      <c r="E8" s="22">
        <f>+D8*[5]Main!$L$3</f>
        <v>41715.983749999999</v>
      </c>
      <c r="F8" s="22">
        <f>([5]Main!$L$5-[5]Main!$L$6)/RMB</f>
        <v>25459.792284866468</v>
      </c>
      <c r="G8" s="22">
        <f>E8-F8</f>
        <v>16256.191465133532</v>
      </c>
      <c r="H8" s="22">
        <f>+[5]Main!$L$3</f>
        <v>345.875</v>
      </c>
      <c r="I8" s="23" t="s">
        <v>14</v>
      </c>
      <c r="O8" s="26"/>
      <c r="X8" s="20">
        <v>2000</v>
      </c>
    </row>
    <row r="9" spans="1:24">
      <c r="B9" s="120" t="s">
        <v>79</v>
      </c>
      <c r="C9" s="20" t="s">
        <v>182</v>
      </c>
      <c r="D9" s="21">
        <v>113.23</v>
      </c>
      <c r="E9" s="22">
        <v>33330</v>
      </c>
      <c r="O9" s="26"/>
      <c r="X9" s="20">
        <v>2007</v>
      </c>
    </row>
    <row r="10" spans="1:24">
      <c r="B10" s="120" t="s">
        <v>56</v>
      </c>
      <c r="C10" s="20" t="s">
        <v>57</v>
      </c>
      <c r="D10" s="21">
        <v>54.71</v>
      </c>
      <c r="E10" s="22">
        <v>28410</v>
      </c>
      <c r="O10" s="26"/>
      <c r="X10" s="20">
        <v>2009</v>
      </c>
    </row>
    <row r="11" spans="1:24">
      <c r="A11" s="111" t="s">
        <v>261</v>
      </c>
      <c r="B11" s="119" t="s">
        <v>321</v>
      </c>
      <c r="C11" s="111" t="s">
        <v>322</v>
      </c>
      <c r="D11" s="21">
        <v>46.37</v>
      </c>
      <c r="E11" s="22">
        <v>20860</v>
      </c>
      <c r="O11" s="26"/>
      <c r="X11" s="20">
        <v>1987</v>
      </c>
    </row>
    <row r="12" spans="1:24">
      <c r="B12" s="186" t="s">
        <v>69</v>
      </c>
      <c r="C12" s="64" t="s">
        <v>70</v>
      </c>
      <c r="D12" s="187">
        <v>360.34</v>
      </c>
      <c r="E12" s="188">
        <v>18140</v>
      </c>
      <c r="O12" s="26"/>
      <c r="X12" s="20">
        <v>2006</v>
      </c>
    </row>
    <row r="13" spans="1:24">
      <c r="B13" s="184" t="s">
        <v>515</v>
      </c>
      <c r="C13" s="185" t="s">
        <v>516</v>
      </c>
      <c r="O13" s="26"/>
    </row>
    <row r="14" spans="1:24">
      <c r="B14" s="184" t="s">
        <v>517</v>
      </c>
      <c r="C14" s="185" t="s">
        <v>518</v>
      </c>
      <c r="O14" s="26"/>
    </row>
    <row r="15" spans="1:24">
      <c r="B15" s="120" t="s">
        <v>73</v>
      </c>
      <c r="C15" s="20" t="s">
        <v>74</v>
      </c>
      <c r="D15" s="21">
        <v>43.75</v>
      </c>
      <c r="E15" s="22">
        <v>17180</v>
      </c>
      <c r="O15" s="26"/>
      <c r="X15" s="20">
        <v>2012</v>
      </c>
    </row>
    <row r="16" spans="1:24">
      <c r="B16" s="120" t="s">
        <v>79</v>
      </c>
      <c r="C16" s="20" t="s">
        <v>80</v>
      </c>
      <c r="D16" s="21">
        <v>40.44</v>
      </c>
      <c r="E16" s="22">
        <v>16810</v>
      </c>
      <c r="O16" s="26"/>
      <c r="X16" s="20">
        <v>2007</v>
      </c>
    </row>
    <row r="17" spans="2:24">
      <c r="B17" s="184" t="s">
        <v>540</v>
      </c>
      <c r="C17" s="185" t="s">
        <v>541</v>
      </c>
      <c r="O17" s="26"/>
    </row>
    <row r="18" spans="2:24">
      <c r="B18" s="120" t="s">
        <v>85</v>
      </c>
      <c r="C18" s="20" t="s">
        <v>86</v>
      </c>
      <c r="D18" s="21">
        <v>363.45</v>
      </c>
      <c r="E18" s="22">
        <v>15250</v>
      </c>
      <c r="O18" s="26"/>
      <c r="X18" s="20">
        <v>1966</v>
      </c>
    </row>
    <row r="19" spans="2:24">
      <c r="B19" s="120" t="s">
        <v>102</v>
      </c>
      <c r="C19" s="20" t="s">
        <v>103</v>
      </c>
      <c r="D19" s="21">
        <v>408.48</v>
      </c>
      <c r="E19" s="22">
        <v>10570</v>
      </c>
      <c r="O19" s="26"/>
    </row>
    <row r="20" spans="2:24">
      <c r="B20" s="120" t="s">
        <v>106</v>
      </c>
      <c r="C20" s="20" t="s">
        <v>107</v>
      </c>
      <c r="D20" s="21">
        <v>80.52</v>
      </c>
      <c r="E20" s="22">
        <v>10310</v>
      </c>
      <c r="O20" s="26"/>
      <c r="X20" s="20">
        <v>2007</v>
      </c>
    </row>
    <row r="21" spans="2:24">
      <c r="B21" s="120" t="s">
        <v>111</v>
      </c>
      <c r="C21" s="20" t="s">
        <v>112</v>
      </c>
      <c r="D21" s="21">
        <v>8.17</v>
      </c>
      <c r="E21" s="22">
        <v>9320</v>
      </c>
      <c r="O21" s="26"/>
    </row>
    <row r="22" spans="2:24">
      <c r="B22" s="120" t="s">
        <v>115</v>
      </c>
      <c r="C22" s="20" t="s">
        <v>116</v>
      </c>
      <c r="D22" s="21">
        <v>56.9</v>
      </c>
      <c r="E22" s="22">
        <v>9000</v>
      </c>
      <c r="O22" s="26"/>
    </row>
    <row r="23" spans="2:24">
      <c r="B23" s="120" t="s">
        <v>117</v>
      </c>
      <c r="C23" s="20" t="s">
        <v>118</v>
      </c>
      <c r="D23" s="21">
        <v>203.42</v>
      </c>
      <c r="E23" s="22">
        <v>8580</v>
      </c>
      <c r="O23" s="26"/>
      <c r="X23" s="20">
        <v>2003</v>
      </c>
    </row>
    <row r="24" spans="2:24">
      <c r="B24" s="120" t="s">
        <v>120</v>
      </c>
      <c r="C24" s="20" t="s">
        <v>121</v>
      </c>
      <c r="D24" s="21">
        <v>126.81</v>
      </c>
      <c r="E24" s="22">
        <v>8200</v>
      </c>
      <c r="O24" s="26"/>
    </row>
    <row r="25" spans="2:24">
      <c r="B25" s="120" t="s">
        <v>122</v>
      </c>
      <c r="C25" s="20" t="s">
        <v>123</v>
      </c>
      <c r="D25" s="21">
        <v>50.35</v>
      </c>
      <c r="E25" s="22">
        <v>8150</v>
      </c>
      <c r="O25" s="26"/>
    </row>
    <row r="26" spans="2:24">
      <c r="B26" s="120" t="s">
        <v>125</v>
      </c>
      <c r="C26" s="20" t="s">
        <v>126</v>
      </c>
      <c r="D26" s="21">
        <v>88.7</v>
      </c>
      <c r="E26" s="22">
        <v>7910</v>
      </c>
      <c r="O26" s="26"/>
    </row>
    <row r="27" spans="2:24">
      <c r="B27" s="120" t="s">
        <v>127</v>
      </c>
      <c r="C27" s="20" t="s">
        <v>128</v>
      </c>
      <c r="D27" s="21">
        <v>78.3</v>
      </c>
      <c r="E27" s="22">
        <v>7580</v>
      </c>
      <c r="O27" s="26"/>
      <c r="X27" s="20">
        <v>2012</v>
      </c>
    </row>
    <row r="28" spans="2:24">
      <c r="B28" s="120" t="s">
        <v>129</v>
      </c>
      <c r="C28" s="20" t="s">
        <v>130</v>
      </c>
      <c r="D28" s="21">
        <v>50.36</v>
      </c>
      <c r="E28" s="22">
        <v>7140</v>
      </c>
      <c r="O28" s="26"/>
    </row>
    <row r="29" spans="2:24">
      <c r="B29" s="120" t="s">
        <v>131</v>
      </c>
      <c r="C29" s="20" t="s">
        <v>132</v>
      </c>
      <c r="D29" s="21">
        <v>80.58</v>
      </c>
      <c r="E29" s="22">
        <v>6930</v>
      </c>
      <c r="O29" s="26"/>
    </row>
    <row r="30" spans="2:24">
      <c r="B30" s="120" t="s">
        <v>133</v>
      </c>
      <c r="C30" s="20" t="s">
        <v>134</v>
      </c>
      <c r="D30" s="21">
        <v>32.869999999999997</v>
      </c>
      <c r="E30" s="22">
        <v>6880</v>
      </c>
      <c r="O30" s="26"/>
    </row>
    <row r="31" spans="2:24">
      <c r="B31" s="120" t="s">
        <v>137</v>
      </c>
      <c r="C31" s="20" t="s">
        <v>138</v>
      </c>
      <c r="D31" s="21">
        <v>54.6</v>
      </c>
      <c r="E31" s="22">
        <v>6370</v>
      </c>
      <c r="O31" s="26"/>
    </row>
    <row r="32" spans="2:24">
      <c r="B32" s="120" t="s">
        <v>139</v>
      </c>
      <c r="C32" s="20" t="s">
        <v>140</v>
      </c>
      <c r="D32" s="21">
        <v>62.59</v>
      </c>
      <c r="E32" s="22">
        <v>6350</v>
      </c>
      <c r="O32" s="26"/>
    </row>
    <row r="33" spans="2:15">
      <c r="B33" s="120" t="s">
        <v>141</v>
      </c>
      <c r="C33" s="20" t="s">
        <v>141</v>
      </c>
      <c r="D33" s="21">
        <v>62.71</v>
      </c>
      <c r="E33" s="22">
        <v>3603</v>
      </c>
      <c r="O33" s="26"/>
    </row>
    <row r="34" spans="2:15">
      <c r="B34" s="120" t="s">
        <v>142</v>
      </c>
      <c r="C34" s="20" t="s">
        <v>143</v>
      </c>
      <c r="D34" s="21">
        <v>21.19</v>
      </c>
      <c r="E34" s="22">
        <v>2965</v>
      </c>
      <c r="O34" s="26"/>
    </row>
    <row r="35" spans="2:15">
      <c r="B35" s="120" t="s">
        <v>147</v>
      </c>
      <c r="C35" s="20" t="s">
        <v>148</v>
      </c>
      <c r="D35" s="21">
        <v>26.99</v>
      </c>
      <c r="E35" s="22">
        <v>1400</v>
      </c>
      <c r="O35" s="26"/>
    </row>
    <row r="36" spans="2:15">
      <c r="B36" s="121" t="s">
        <v>223</v>
      </c>
      <c r="C36" s="122" t="s">
        <v>224</v>
      </c>
      <c r="D36" s="21">
        <v>13.95</v>
      </c>
      <c r="E36" s="22">
        <v>2030</v>
      </c>
      <c r="O36" s="26"/>
    </row>
    <row r="37" spans="2:15">
      <c r="B37" s="121" t="s">
        <v>225</v>
      </c>
      <c r="C37" s="122" t="s">
        <v>226</v>
      </c>
      <c r="D37" s="21">
        <v>19.95</v>
      </c>
      <c r="E37" s="22">
        <v>2560</v>
      </c>
      <c r="O37" s="26"/>
    </row>
    <row r="38" spans="2:15">
      <c r="B38" s="123" t="s">
        <v>234</v>
      </c>
      <c r="C38" s="46" t="s">
        <v>235</v>
      </c>
      <c r="O38" s="26"/>
    </row>
    <row r="39" spans="2:15">
      <c r="B39" s="163" t="s">
        <v>406</v>
      </c>
      <c r="O39" s="26"/>
    </row>
    <row r="40" spans="2:15">
      <c r="B40" s="163" t="s">
        <v>407</v>
      </c>
      <c r="O40" s="26"/>
    </row>
    <row r="41" spans="2:15">
      <c r="B41" s="120"/>
      <c r="O41" s="26"/>
    </row>
    <row r="42" spans="2:15">
      <c r="B42" s="120"/>
      <c r="O42" s="26"/>
    </row>
    <row r="43" spans="2:15">
      <c r="B43" s="120"/>
      <c r="O43" s="26"/>
    </row>
    <row r="44" spans="2:15">
      <c r="B44" s="120"/>
      <c r="O44" s="26"/>
    </row>
    <row r="45" spans="2:15">
      <c r="B45" s="120"/>
      <c r="O45" s="26"/>
    </row>
    <row r="46" spans="2:15">
      <c r="B46" s="120"/>
      <c r="O46" s="26"/>
    </row>
    <row r="47" spans="2:15">
      <c r="B47" s="124"/>
      <c r="C47" s="125"/>
      <c r="D47" s="126"/>
      <c r="E47" s="127"/>
      <c r="F47" s="128"/>
      <c r="G47" s="128"/>
      <c r="H47" s="128"/>
      <c r="I47" s="128"/>
      <c r="J47" s="128"/>
      <c r="K47" s="129"/>
      <c r="L47" s="129"/>
      <c r="M47" s="129"/>
      <c r="N47" s="129"/>
      <c r="O47" s="130"/>
    </row>
  </sheetData>
  <hyperlinks>
    <hyperlink ref="B5" r:id="rId1" xr:uid="{3019DEB6-D8CA-4815-8BF6-407E9419A3F9}"/>
    <hyperlink ref="B8" r:id="rId2" xr:uid="{831B52E7-EF7A-4831-8425-59EAD7D0F934}"/>
    <hyperlink ref="B6" r:id="rId3" xr:uid="{BF4E9546-147A-4F10-92B1-A91E9292F4F6}"/>
    <hyperlink ref="B4" r:id="rId4" xr:uid="{8FE2D0E7-8B55-451A-A95B-7A06B5C1BDA4}"/>
    <hyperlink ref="B7" r:id="rId5" xr:uid="{B1E63D77-7B2A-465F-96ED-98ACEF7D4A6C}"/>
  </hyperlink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0FE3-503A-448B-BE6E-F545711F1B98}">
  <dimension ref="A1:X41"/>
  <sheetViews>
    <sheetView zoomScale="175" zoomScaleNormal="175" workbookViewId="0">
      <pane xSplit="2" ySplit="2" topLeftCell="C30" activePane="bottomRight" state="frozen"/>
      <selection pane="topRight" activeCell="C1" sqref="C1"/>
      <selection pane="bottomLeft" activeCell="A3" sqref="A3"/>
      <selection pane="bottomRight" activeCell="I38" sqref="I38"/>
    </sheetView>
  </sheetViews>
  <sheetFormatPr defaultColWidth="9.140625" defaultRowHeight="12.75"/>
  <cols>
    <col min="1" max="1" width="5" style="72" bestFit="1" customWidth="1"/>
    <col min="2" max="2" width="11" style="72" customWidth="1"/>
    <col min="3" max="4" width="9.140625" style="72"/>
    <col min="5" max="5" width="10" style="72" customWidth="1"/>
    <col min="6" max="6" width="9.140625" style="72"/>
    <col min="7" max="7" width="10.140625" style="72" customWidth="1"/>
    <col min="8" max="9" width="9.140625" style="72"/>
    <col min="10" max="10" width="10.85546875" style="72" customWidth="1"/>
    <col min="11" max="16384" width="9.140625" style="72"/>
  </cols>
  <sheetData>
    <row r="1" spans="1:24">
      <c r="A1" s="5" t="s">
        <v>146</v>
      </c>
    </row>
    <row r="2" spans="1:24">
      <c r="B2" s="73" t="s">
        <v>0</v>
      </c>
      <c r="C2" s="74" t="s">
        <v>1</v>
      </c>
      <c r="D2" s="75" t="s">
        <v>2</v>
      </c>
      <c r="E2" s="76" t="s">
        <v>3</v>
      </c>
      <c r="F2" s="77" t="s">
        <v>4</v>
      </c>
      <c r="G2" s="77" t="s">
        <v>5</v>
      </c>
      <c r="H2" s="77" t="s">
        <v>221</v>
      </c>
      <c r="I2" s="77" t="s">
        <v>6</v>
      </c>
      <c r="J2" s="77" t="s">
        <v>232</v>
      </c>
      <c r="K2" s="78" t="s">
        <v>216</v>
      </c>
      <c r="L2" s="78" t="s">
        <v>220</v>
      </c>
      <c r="M2" s="78" t="s">
        <v>217</v>
      </c>
      <c r="N2" s="78" t="s">
        <v>218</v>
      </c>
      <c r="O2" s="79" t="s">
        <v>219</v>
      </c>
      <c r="P2" s="80" t="s">
        <v>237</v>
      </c>
      <c r="Q2" s="81" t="s">
        <v>238</v>
      </c>
      <c r="R2" s="81" t="s">
        <v>239</v>
      </c>
      <c r="S2" s="79">
        <v>2025</v>
      </c>
      <c r="T2" s="80" t="s">
        <v>236</v>
      </c>
      <c r="U2" s="78">
        <v>2023</v>
      </c>
      <c r="V2" s="78">
        <v>2024</v>
      </c>
      <c r="W2" s="79">
        <v>2025</v>
      </c>
      <c r="X2" s="72" t="s">
        <v>222</v>
      </c>
    </row>
    <row r="3" spans="1:24" s="20" customFormat="1">
      <c r="A3" s="72" t="s">
        <v>261</v>
      </c>
      <c r="B3" s="114" t="s">
        <v>11</v>
      </c>
      <c r="C3" s="20" t="s">
        <v>12</v>
      </c>
      <c r="D3" s="21">
        <v>105.45</v>
      </c>
      <c r="E3" s="22">
        <f>+D3*[6]Main!$K$3</f>
        <v>1089403.95</v>
      </c>
      <c r="F3" s="22">
        <f>[6]Main!$K$5-[6]Main!$K$6</f>
        <v>-257</v>
      </c>
      <c r="G3" s="22">
        <f>+E3-F3</f>
        <v>1089660.95</v>
      </c>
      <c r="H3" s="22">
        <f>+[6]Main!$K$3</f>
        <v>10331</v>
      </c>
      <c r="I3" s="175" t="s">
        <v>484</v>
      </c>
      <c r="J3" s="43">
        <v>45047</v>
      </c>
      <c r="K3" s="27">
        <f>+[6]Model!$BL$48</f>
        <v>127.46157686951391</v>
      </c>
      <c r="L3" s="28">
        <f>K3/D3-1</f>
        <v>0.20873946770520524</v>
      </c>
      <c r="M3" s="36">
        <f>+[6]Model!$BL$44</f>
        <v>0.08</v>
      </c>
      <c r="N3" s="28">
        <f>+[6]Model!$BL$46</f>
        <v>0</v>
      </c>
      <c r="O3" s="115">
        <f>+[6]Model!$BL$45</f>
        <v>0.01</v>
      </c>
      <c r="P3" s="29">
        <f>+($G3/$H3)/T3</f>
        <v>204.14815850346861</v>
      </c>
      <c r="Q3" s="30">
        <f>+($G3/$H3)/U3</f>
        <v>64.314822911120359</v>
      </c>
      <c r="R3" s="30">
        <f>+($G3/$H3)/V3</f>
        <v>52.509160501491465</v>
      </c>
      <c r="S3" s="31">
        <f>+($G3/$H3)/W3</f>
        <v>30.15617086566083</v>
      </c>
      <c r="T3" s="32">
        <f>+[6]Model!$BA$33</f>
        <v>0.51665847665847664</v>
      </c>
      <c r="U3" s="27">
        <f>+[6]Model!$BB$33</f>
        <v>1.6399777191456466</v>
      </c>
      <c r="V3" s="27">
        <f>+[6]Model!$BC$33</f>
        <v>2.0086947796859072</v>
      </c>
      <c r="W3" s="33">
        <f>+[6]Model!$BD$33</f>
        <v>3.4976216660564408</v>
      </c>
      <c r="X3" s="20">
        <v>1994</v>
      </c>
    </row>
    <row r="4" spans="1:24" s="20" customFormat="1">
      <c r="A4" s="72" t="s">
        <v>261</v>
      </c>
      <c r="B4" s="5" t="s">
        <v>23</v>
      </c>
      <c r="C4" s="20" t="s">
        <v>24</v>
      </c>
      <c r="D4" s="21">
        <v>79.58</v>
      </c>
      <c r="E4" s="22">
        <f>+D4*[7]Main!$G$3</f>
        <v>220914.08</v>
      </c>
      <c r="F4" s="22">
        <f>+[7]Main!$G$5-[7]Main!$G$6</f>
        <v>-83042</v>
      </c>
      <c r="G4" s="22">
        <f>+E4-F4</f>
        <v>303956.07999999996</v>
      </c>
      <c r="H4" s="22">
        <f>+[7]Main!$G$3</f>
        <v>2776</v>
      </c>
      <c r="I4" s="140" t="s">
        <v>359</v>
      </c>
      <c r="J4" s="43">
        <v>44913</v>
      </c>
      <c r="K4" s="24"/>
      <c r="L4" s="24"/>
      <c r="M4" s="24"/>
      <c r="N4" s="24"/>
      <c r="O4" s="24"/>
      <c r="P4" s="25"/>
      <c r="Q4" s="24"/>
      <c r="R4" s="24"/>
      <c r="S4" s="26"/>
      <c r="T4" s="25"/>
      <c r="U4" s="24"/>
      <c r="V4" s="24"/>
      <c r="W4" s="26"/>
      <c r="X4" s="20">
        <v>1977</v>
      </c>
    </row>
    <row r="5" spans="1:24">
      <c r="A5" s="82" t="s">
        <v>261</v>
      </c>
      <c r="B5" s="5" t="s">
        <v>264</v>
      </c>
      <c r="C5" s="82" t="s">
        <v>264</v>
      </c>
      <c r="D5" s="161">
        <v>122</v>
      </c>
      <c r="E5" s="71">
        <f>D5*H5</f>
        <v>110781.54050800001</v>
      </c>
      <c r="F5" s="71">
        <f>[8]Main!$M$5-[8]Main!$M$6</f>
        <v>-36234</v>
      </c>
      <c r="G5" s="22">
        <f>E5-F5</f>
        <v>147015.54050800001</v>
      </c>
      <c r="H5" s="71">
        <f>[8]Main!$M$3</f>
        <v>908.04541400000005</v>
      </c>
      <c r="I5" s="189" t="s">
        <v>484</v>
      </c>
      <c r="J5" s="103">
        <v>45056</v>
      </c>
      <c r="X5" s="72">
        <v>1911</v>
      </c>
    </row>
    <row r="6" spans="1:24" s="20" customFormat="1">
      <c r="A6" s="82" t="s">
        <v>261</v>
      </c>
      <c r="B6" s="5" t="s">
        <v>21</v>
      </c>
      <c r="C6" s="20" t="s">
        <v>22</v>
      </c>
      <c r="D6" s="21">
        <v>146.88</v>
      </c>
      <c r="E6" s="22">
        <f>+D6*[9]Main!$M$3</f>
        <v>146880</v>
      </c>
      <c r="F6" s="22">
        <f>+[9]Main!$M$5-[9]Main!$M$6</f>
        <v>6442</v>
      </c>
      <c r="G6" s="22">
        <f t="shared" ref="G6:G9" si="0">E6-F6</f>
        <v>140438</v>
      </c>
      <c r="H6" s="22">
        <f>+[9]Main!$M$3</f>
        <v>1000</v>
      </c>
      <c r="I6" s="145" t="s">
        <v>359</v>
      </c>
      <c r="J6" s="43">
        <v>44946</v>
      </c>
      <c r="K6" s="27">
        <f>+[9]Model!$Z$38</f>
        <v>159.2157215866865</v>
      </c>
      <c r="L6" s="28">
        <f>+K6/D6-1</f>
        <v>8.3985032589096509E-2</v>
      </c>
      <c r="M6" s="28">
        <f>+[9]Model!$Z$36</f>
        <v>0.08</v>
      </c>
      <c r="N6" s="28">
        <f>+[9]Model!$Z$35</f>
        <v>0.01</v>
      </c>
      <c r="O6" s="28">
        <v>0</v>
      </c>
      <c r="P6" s="25"/>
      <c r="Q6" s="24"/>
      <c r="R6" s="24"/>
      <c r="S6" s="26"/>
      <c r="T6" s="25"/>
      <c r="U6" s="24"/>
      <c r="V6" s="24"/>
      <c r="W6" s="26"/>
      <c r="X6" s="20">
        <v>1999</v>
      </c>
    </row>
    <row r="7" spans="1:24" s="20" customFormat="1">
      <c r="A7" s="82" t="s">
        <v>261</v>
      </c>
      <c r="B7" s="5" t="s">
        <v>25</v>
      </c>
      <c r="C7" s="20" t="s">
        <v>25</v>
      </c>
      <c r="D7" s="21">
        <v>99.86</v>
      </c>
      <c r="E7" s="22">
        <f>+D7*[10]Main!$L$3</f>
        <v>117834.8</v>
      </c>
      <c r="F7" s="22">
        <f>+[10]Main!$L$5-[10]Main!$L$6</f>
        <v>870</v>
      </c>
      <c r="G7" s="22">
        <f t="shared" si="0"/>
        <v>116964.8</v>
      </c>
      <c r="H7" s="22"/>
      <c r="I7" s="23" t="s">
        <v>14</v>
      </c>
      <c r="J7" s="23"/>
      <c r="K7" s="24"/>
      <c r="L7" s="24"/>
      <c r="M7" s="24"/>
      <c r="N7" s="24"/>
      <c r="O7" s="24"/>
      <c r="P7" s="25"/>
      <c r="Q7" s="24"/>
      <c r="R7" s="24"/>
      <c r="S7" s="26"/>
      <c r="T7" s="25"/>
      <c r="U7" s="24"/>
      <c r="V7" s="24"/>
      <c r="W7" s="26"/>
      <c r="X7" s="20">
        <v>1972</v>
      </c>
    </row>
    <row r="8" spans="1:24" s="20" customFormat="1">
      <c r="A8" s="82" t="s">
        <v>261</v>
      </c>
      <c r="B8" s="5" t="s">
        <v>29</v>
      </c>
      <c r="C8" s="20" t="s">
        <v>30</v>
      </c>
      <c r="D8" s="21">
        <v>440</v>
      </c>
      <c r="E8" s="22">
        <f>+D8*[11]Main!$L$3</f>
        <v>88000</v>
      </c>
      <c r="F8" s="22">
        <f>+[11]Main!$L$5-[11]Main!$L$6</f>
        <v>3926</v>
      </c>
      <c r="G8" s="22">
        <f t="shared" si="0"/>
        <v>84074</v>
      </c>
      <c r="H8" s="22"/>
      <c r="I8" s="23" t="s">
        <v>14</v>
      </c>
      <c r="J8" s="23"/>
      <c r="K8" s="24"/>
      <c r="L8" s="24"/>
      <c r="M8" s="24"/>
      <c r="N8" s="24"/>
      <c r="O8" s="24"/>
      <c r="P8" s="25"/>
      <c r="Q8" s="24"/>
      <c r="R8" s="24"/>
      <c r="S8" s="26"/>
      <c r="T8" s="25"/>
      <c r="U8" s="24"/>
      <c r="V8" s="24"/>
      <c r="W8" s="26"/>
      <c r="X8" s="20">
        <v>2004</v>
      </c>
    </row>
    <row r="9" spans="1:24" s="20" customFormat="1">
      <c r="A9" s="94" t="s">
        <v>261</v>
      </c>
      <c r="B9" s="5" t="s">
        <v>185</v>
      </c>
      <c r="C9" s="20" t="s">
        <v>186</v>
      </c>
      <c r="D9" s="21">
        <v>122.42</v>
      </c>
      <c r="E9" s="22">
        <f>+D9*H9</f>
        <v>51593.343664439999</v>
      </c>
      <c r="F9" s="22">
        <f>+[12]Main!$M$5-[12]Main!$M$6</f>
        <v>-8207</v>
      </c>
      <c r="G9" s="22">
        <f t="shared" si="0"/>
        <v>59800.343664439999</v>
      </c>
      <c r="H9" s="22">
        <f>+[12]Main!$M$3</f>
        <v>421.445382</v>
      </c>
      <c r="I9" s="47" t="s">
        <v>14</v>
      </c>
      <c r="J9" s="23"/>
      <c r="K9" s="24"/>
      <c r="L9" s="24"/>
      <c r="M9" s="24"/>
      <c r="N9" s="24"/>
      <c r="O9" s="24"/>
      <c r="P9" s="25"/>
      <c r="Q9" s="24"/>
      <c r="R9" s="24"/>
      <c r="S9" s="26"/>
      <c r="T9" s="25"/>
      <c r="U9" s="24"/>
      <c r="V9" s="24"/>
      <c r="W9" s="26"/>
      <c r="X9" s="20">
        <v>1998</v>
      </c>
    </row>
    <row r="10" spans="1:24">
      <c r="A10" s="89" t="s">
        <v>261</v>
      </c>
      <c r="B10" s="5" t="s">
        <v>40</v>
      </c>
      <c r="C10" s="20" t="s">
        <v>41</v>
      </c>
      <c r="D10" s="21">
        <v>200.8</v>
      </c>
      <c r="E10" s="22">
        <f>+D10*[13]Main!$L$3</f>
        <v>50947.578400000006</v>
      </c>
      <c r="F10" s="22">
        <f>+[13]Main!$L$5-[13]Main!$L$6</f>
        <v>432.39900000000011</v>
      </c>
      <c r="G10" s="22">
        <f t="shared" ref="G10:G15" si="1">E10-F10</f>
        <v>50515.179400000008</v>
      </c>
      <c r="H10" s="22">
        <f>+[13]Main!$L$3</f>
        <v>253.72300000000001</v>
      </c>
      <c r="I10" s="34" t="s">
        <v>14</v>
      </c>
      <c r="J10" s="103">
        <v>45003</v>
      </c>
      <c r="X10" s="72">
        <v>2002</v>
      </c>
    </row>
    <row r="11" spans="1:24">
      <c r="A11" s="98" t="s">
        <v>261</v>
      </c>
      <c r="B11" s="5" t="s">
        <v>50</v>
      </c>
      <c r="C11" s="20" t="s">
        <v>51</v>
      </c>
      <c r="D11" s="21">
        <v>190</v>
      </c>
      <c r="E11" s="22">
        <f>+D11*H11</f>
        <v>47880</v>
      </c>
      <c r="F11" s="22">
        <f>+[14]Main!$P$5-[14]Main!$P$6</f>
        <v>2134</v>
      </c>
      <c r="G11" s="22">
        <f t="shared" si="1"/>
        <v>45746</v>
      </c>
      <c r="H11" s="23">
        <f>+[14]Main!$P$3</f>
        <v>252</v>
      </c>
      <c r="I11" s="156" t="s">
        <v>390</v>
      </c>
      <c r="J11" s="43">
        <v>45006</v>
      </c>
      <c r="X11" s="72">
        <v>2005</v>
      </c>
    </row>
    <row r="12" spans="1:24">
      <c r="A12" s="89" t="s">
        <v>261</v>
      </c>
      <c r="B12" s="5" t="s">
        <v>44</v>
      </c>
      <c r="C12" s="20" t="s">
        <v>45</v>
      </c>
      <c r="D12" s="21">
        <v>135.57</v>
      </c>
      <c r="E12" s="22">
        <f>+D12*[15]Main!$M$3</f>
        <v>42617.920769999997</v>
      </c>
      <c r="F12" s="22">
        <f>+[15]Main!$M$5-[15]Main!$M$6</f>
        <v>5027.4579999999996</v>
      </c>
      <c r="G12" s="22">
        <f t="shared" si="1"/>
        <v>37590.462769999998</v>
      </c>
      <c r="H12" s="22">
        <f>+[15]Main!$M$3</f>
        <v>314.36099999999999</v>
      </c>
      <c r="I12" s="35" t="s">
        <v>14</v>
      </c>
      <c r="X12" s="72">
        <v>2012</v>
      </c>
    </row>
    <row r="13" spans="1:24">
      <c r="A13" s="101" t="s">
        <v>261</v>
      </c>
      <c r="B13" s="5" t="s">
        <v>178</v>
      </c>
      <c r="C13" s="20" t="s">
        <v>179</v>
      </c>
      <c r="D13" s="21">
        <v>228.96</v>
      </c>
      <c r="E13" s="22">
        <f>+D13*H13</f>
        <v>35453.770264799998</v>
      </c>
      <c r="F13" s="22">
        <f>+[16]Main!$M$5-[16]Main!$M$6</f>
        <v>2838.5529999999999</v>
      </c>
      <c r="G13" s="22">
        <f t="shared" si="1"/>
        <v>32615.217264799998</v>
      </c>
      <c r="H13" s="22">
        <f>+[16]Main!$M$3</f>
        <v>154.847005</v>
      </c>
      <c r="I13" s="54" t="s">
        <v>14</v>
      </c>
      <c r="J13" s="43">
        <v>44794</v>
      </c>
      <c r="X13" s="72">
        <v>2007</v>
      </c>
    </row>
    <row r="14" spans="1:24">
      <c r="A14" s="105" t="s">
        <v>261</v>
      </c>
      <c r="B14" s="97" t="s">
        <v>304</v>
      </c>
      <c r="C14" s="105" t="s">
        <v>182</v>
      </c>
      <c r="D14" s="21">
        <v>70.599999999999994</v>
      </c>
      <c r="E14" s="22">
        <v>20740</v>
      </c>
      <c r="F14" s="22"/>
      <c r="G14" s="22"/>
      <c r="H14" s="22"/>
      <c r="I14" s="54"/>
      <c r="J14" s="43"/>
      <c r="X14" s="72">
        <v>2011</v>
      </c>
    </row>
    <row r="15" spans="1:24">
      <c r="A15" s="105" t="s">
        <v>261</v>
      </c>
      <c r="B15" s="5" t="s">
        <v>52</v>
      </c>
      <c r="C15" s="20" t="s">
        <v>53</v>
      </c>
      <c r="D15" s="21">
        <v>97</v>
      </c>
      <c r="E15" s="22">
        <f>+D15*H15</f>
        <v>30555</v>
      </c>
      <c r="F15" s="71">
        <f>+[17]Main!$O$5-[17]Main!$O$6</f>
        <v>970</v>
      </c>
      <c r="G15" s="22">
        <f t="shared" si="1"/>
        <v>29585</v>
      </c>
      <c r="H15" s="71">
        <f>+[17]Main!$O$3</f>
        <v>315</v>
      </c>
      <c r="I15" s="102" t="s">
        <v>208</v>
      </c>
      <c r="J15" s="103">
        <v>44805</v>
      </c>
      <c r="X15" s="72">
        <v>2010</v>
      </c>
    </row>
    <row r="16" spans="1:24">
      <c r="A16" s="105"/>
      <c r="B16" s="185" t="s">
        <v>523</v>
      </c>
      <c r="C16" s="185" t="s">
        <v>524</v>
      </c>
      <c r="D16" s="21"/>
      <c r="E16" s="22"/>
      <c r="F16" s="71"/>
      <c r="G16" s="22"/>
      <c r="H16" s="71"/>
      <c r="I16" s="102"/>
      <c r="J16" s="103"/>
    </row>
    <row r="17" spans="1:24">
      <c r="A17" s="105"/>
      <c r="B17" s="114" t="s">
        <v>152</v>
      </c>
      <c r="C17" s="20" t="s">
        <v>153</v>
      </c>
      <c r="D17" s="21">
        <v>9.35</v>
      </c>
      <c r="E17" s="22">
        <f>D17*[18]Main!$L$3</f>
        <v>19036.599999999999</v>
      </c>
      <c r="F17" s="22">
        <f>[18]Main!$L$5-[18]Main!$L$6</f>
        <v>2585</v>
      </c>
      <c r="G17" s="22">
        <f>E17-F17</f>
        <v>16451.599999999999</v>
      </c>
      <c r="H17" s="22"/>
      <c r="I17" s="23" t="s">
        <v>14</v>
      </c>
      <c r="J17" s="103"/>
    </row>
    <row r="18" spans="1:24">
      <c r="A18" s="105"/>
      <c r="B18" s="185" t="s">
        <v>525</v>
      </c>
      <c r="C18" s="185" t="s">
        <v>526</v>
      </c>
      <c r="D18" s="21"/>
      <c r="E18" s="22"/>
      <c r="F18" s="22"/>
      <c r="G18" s="22"/>
      <c r="H18" s="22"/>
      <c r="I18" s="23"/>
      <c r="J18" s="103"/>
    </row>
    <row r="19" spans="1:24" s="20" customFormat="1">
      <c r="B19" s="20" t="s">
        <v>67</v>
      </c>
      <c r="C19" s="20" t="s">
        <v>68</v>
      </c>
      <c r="D19" s="21">
        <v>90.1</v>
      </c>
      <c r="E19" s="22">
        <v>18840</v>
      </c>
      <c r="F19" s="23"/>
      <c r="G19" s="23"/>
      <c r="H19" s="23"/>
      <c r="I19" s="23"/>
      <c r="J19" s="23"/>
      <c r="K19" s="24"/>
      <c r="L19" s="24"/>
      <c r="M19" s="24"/>
      <c r="N19" s="24"/>
      <c r="O19" s="26"/>
      <c r="P19" s="25"/>
      <c r="Q19" s="24"/>
      <c r="R19" s="24"/>
      <c r="S19" s="26"/>
      <c r="T19" s="25"/>
      <c r="U19" s="24"/>
      <c r="V19" s="24"/>
      <c r="W19" s="26"/>
      <c r="X19" s="20">
        <v>2003</v>
      </c>
    </row>
    <row r="20" spans="1:24" s="20" customFormat="1">
      <c r="B20" s="142" t="s">
        <v>199</v>
      </c>
      <c r="C20" s="20" t="s">
        <v>200</v>
      </c>
      <c r="D20" s="21">
        <v>84</v>
      </c>
      <c r="E20" s="22">
        <f>+D20*H20</f>
        <v>13188</v>
      </c>
      <c r="F20" s="22">
        <f>+[19]Main!$P$5-[19]Main!$P$6</f>
        <v>282</v>
      </c>
      <c r="G20" s="22">
        <f>+E20-F20</f>
        <v>12906</v>
      </c>
      <c r="H20" s="22">
        <f>+[19]Main!$P$3</f>
        <v>157</v>
      </c>
      <c r="I20" s="100" t="s">
        <v>208</v>
      </c>
      <c r="J20" s="43">
        <v>44805</v>
      </c>
      <c r="K20" s="24"/>
      <c r="L20" s="24"/>
      <c r="M20" s="24"/>
      <c r="N20" s="24"/>
      <c r="O20" s="24"/>
      <c r="P20" s="25"/>
      <c r="Q20" s="24"/>
      <c r="R20" s="24"/>
      <c r="S20" s="26"/>
      <c r="T20" s="25"/>
      <c r="U20" s="24"/>
      <c r="V20" s="24"/>
      <c r="W20" s="26"/>
      <c r="X20" s="20">
        <v>2009</v>
      </c>
    </row>
    <row r="21" spans="1:24" s="20" customFormat="1">
      <c r="B21" s="20" t="s">
        <v>191</v>
      </c>
      <c r="C21" s="20" t="s">
        <v>192</v>
      </c>
      <c r="D21" s="21">
        <v>375.92</v>
      </c>
      <c r="E21" s="22">
        <v>25610</v>
      </c>
      <c r="F21" s="23"/>
      <c r="G21" s="23"/>
      <c r="H21" s="23"/>
      <c r="I21" s="23"/>
      <c r="J21" s="23"/>
      <c r="K21" s="24"/>
      <c r="L21" s="24"/>
      <c r="M21" s="24"/>
      <c r="N21" s="24"/>
      <c r="O21" s="26"/>
      <c r="P21" s="25"/>
      <c r="Q21" s="24"/>
      <c r="R21" s="24"/>
      <c r="S21" s="26"/>
      <c r="T21" s="25"/>
      <c r="U21" s="24"/>
      <c r="V21" s="24"/>
      <c r="W21" s="26"/>
      <c r="X21" s="20">
        <v>2007</v>
      </c>
    </row>
    <row r="22" spans="1:24" s="20" customFormat="1">
      <c r="B22" s="164" t="s">
        <v>408</v>
      </c>
      <c r="D22" s="21"/>
      <c r="E22" s="22">
        <v>7120</v>
      </c>
      <c r="F22" s="23"/>
      <c r="G22" s="23"/>
      <c r="H22" s="23"/>
      <c r="I22" s="23"/>
      <c r="J22" s="23"/>
      <c r="K22" s="24"/>
      <c r="L22" s="24"/>
      <c r="M22" s="24"/>
      <c r="N22" s="24"/>
      <c r="O22" s="24"/>
      <c r="P22" s="24"/>
      <c r="Q22" s="24"/>
      <c r="R22" s="24"/>
      <c r="S22" s="24"/>
      <c r="T22" s="24"/>
      <c r="U22" s="24"/>
      <c r="V22" s="24"/>
      <c r="W22" s="24"/>
    </row>
    <row r="23" spans="1:24">
      <c r="B23" s="133" t="s">
        <v>337</v>
      </c>
      <c r="C23" s="141" t="s">
        <v>384</v>
      </c>
      <c r="D23" s="72">
        <v>25.54</v>
      </c>
      <c r="E23" s="71">
        <v>4800</v>
      </c>
      <c r="X23" s="72">
        <v>2012</v>
      </c>
    </row>
    <row r="24" spans="1:24">
      <c r="B24" s="160" t="s">
        <v>397</v>
      </c>
      <c r="C24" s="160" t="s">
        <v>398</v>
      </c>
      <c r="D24" s="72">
        <v>10.88</v>
      </c>
      <c r="E24" s="71">
        <v>3000</v>
      </c>
    </row>
    <row r="25" spans="1:24">
      <c r="B25" s="120" t="s">
        <v>193</v>
      </c>
      <c r="C25" s="20" t="s">
        <v>194</v>
      </c>
      <c r="D25" s="21">
        <v>114.84</v>
      </c>
      <c r="E25" s="22">
        <v>17930</v>
      </c>
    </row>
    <row r="26" spans="1:24">
      <c r="B26" s="120" t="s">
        <v>95</v>
      </c>
      <c r="C26" s="20" t="s">
        <v>96</v>
      </c>
      <c r="D26" s="21">
        <v>43.77</v>
      </c>
      <c r="E26" s="22">
        <v>12660</v>
      </c>
    </row>
    <row r="27" spans="1:24">
      <c r="B27" s="120" t="s">
        <v>201</v>
      </c>
      <c r="C27" s="20" t="s">
        <v>202</v>
      </c>
      <c r="D27" s="21">
        <v>97.08</v>
      </c>
      <c r="E27" s="22">
        <v>15070</v>
      </c>
    </row>
    <row r="28" spans="1:24">
      <c r="B28" s="120" t="s">
        <v>94</v>
      </c>
      <c r="C28" s="20" t="s">
        <v>94</v>
      </c>
      <c r="D28" s="21">
        <v>206.68</v>
      </c>
      <c r="E28" s="22">
        <v>12990</v>
      </c>
    </row>
    <row r="29" spans="1:24">
      <c r="B29" s="120" t="s">
        <v>100</v>
      </c>
      <c r="C29" s="20" t="s">
        <v>101</v>
      </c>
      <c r="D29" s="21">
        <v>40.369999999999997</v>
      </c>
      <c r="E29" s="22">
        <v>11000</v>
      </c>
    </row>
    <row r="30" spans="1:24">
      <c r="B30" s="120" t="s">
        <v>113</v>
      </c>
      <c r="C30" s="20" t="s">
        <v>114</v>
      </c>
      <c r="D30" s="21">
        <v>14.73</v>
      </c>
      <c r="E30" s="22">
        <v>9140</v>
      </c>
    </row>
    <row r="31" spans="1:24">
      <c r="B31" s="185" t="s">
        <v>533</v>
      </c>
      <c r="C31" s="185" t="s">
        <v>534</v>
      </c>
      <c r="D31" s="21"/>
      <c r="E31" s="22"/>
    </row>
    <row r="32" spans="1:24">
      <c r="B32" s="185" t="s">
        <v>535</v>
      </c>
      <c r="C32" s="185" t="s">
        <v>536</v>
      </c>
      <c r="D32" s="21"/>
      <c r="E32" s="22"/>
    </row>
    <row r="33" spans="2:9">
      <c r="B33" s="185" t="s">
        <v>537</v>
      </c>
      <c r="C33" s="185" t="s">
        <v>90</v>
      </c>
      <c r="D33" s="21"/>
      <c r="E33" s="22"/>
    </row>
    <row r="34" spans="2:9">
      <c r="B34" s="120" t="s">
        <v>195</v>
      </c>
      <c r="C34" s="20" t="s">
        <v>196</v>
      </c>
      <c r="D34" s="21">
        <v>87.46</v>
      </c>
      <c r="E34" s="22">
        <v>16020</v>
      </c>
    </row>
    <row r="35" spans="2:9">
      <c r="B35" s="185"/>
      <c r="C35" s="20"/>
      <c r="D35" s="21"/>
      <c r="E35" s="22"/>
    </row>
    <row r="36" spans="2:9">
      <c r="B36" s="95" t="s">
        <v>256</v>
      </c>
      <c r="I36" s="165" t="s">
        <v>222</v>
      </c>
    </row>
    <row r="37" spans="2:9">
      <c r="B37" s="165" t="s">
        <v>426</v>
      </c>
      <c r="E37" s="72">
        <v>30000</v>
      </c>
      <c r="I37" s="219" t="s">
        <v>1812</v>
      </c>
    </row>
    <row r="38" spans="2:9">
      <c r="B38" s="165" t="s">
        <v>469</v>
      </c>
      <c r="E38" s="72">
        <v>10000</v>
      </c>
      <c r="F38" s="165" t="s">
        <v>471</v>
      </c>
      <c r="G38" s="165" t="s">
        <v>470</v>
      </c>
      <c r="H38" s="165" t="s">
        <v>472</v>
      </c>
      <c r="I38" s="72">
        <v>2013</v>
      </c>
    </row>
    <row r="39" spans="2:9">
      <c r="B39" s="165" t="s">
        <v>124</v>
      </c>
      <c r="E39" s="72">
        <v>10000</v>
      </c>
      <c r="F39" s="165"/>
      <c r="G39" s="165"/>
      <c r="H39" s="165"/>
    </row>
    <row r="40" spans="2:9">
      <c r="B40" s="185" t="s">
        <v>99</v>
      </c>
      <c r="E40" s="72">
        <v>12000</v>
      </c>
    </row>
    <row r="41" spans="2:9">
      <c r="B41" s="94" t="s">
        <v>284</v>
      </c>
      <c r="E41" s="72">
        <v>107</v>
      </c>
    </row>
  </sheetData>
  <hyperlinks>
    <hyperlink ref="A1" location="Main!A1" display="Main" xr:uid="{0503292A-659C-4A72-B97D-834713EC5785}"/>
    <hyperlink ref="B4" r:id="rId1" xr:uid="{8490DBEA-18EF-431F-AAE9-5080FB55647A}"/>
    <hyperlink ref="B6" r:id="rId2" xr:uid="{82160796-EF8E-4F69-8090-C97619BD3BC8}"/>
    <hyperlink ref="B7" r:id="rId3" xr:uid="{2964D309-6110-46D1-A6FF-CEF55CE8C8F6}"/>
    <hyperlink ref="B8" r:id="rId4" xr:uid="{BEBE7C2C-69F7-4F68-A1A3-433A555515CF}"/>
    <hyperlink ref="B9" r:id="rId5" xr:uid="{79E0FB94-7B29-4FC8-9D4A-2DAAB02B450C}"/>
    <hyperlink ref="B10" r:id="rId6" xr:uid="{1647F4E6-0995-4C11-AEA1-85BE3B2789D3}"/>
    <hyperlink ref="B11" r:id="rId7" xr:uid="{11F6BC32-0B71-4C3C-92D4-6F1D15C6FCA5}"/>
    <hyperlink ref="B12" r:id="rId8" xr:uid="{BF5095B8-6956-4116-AD45-B06C94DC5EDF}"/>
    <hyperlink ref="B20" r:id="rId9" xr:uid="{1147CFA9-6647-443A-9626-FE00F78AE9FF}"/>
    <hyperlink ref="B15" r:id="rId10" xr:uid="{EE794379-CBE0-4BE4-963F-4A3EB8F86626}"/>
    <hyperlink ref="B13" r:id="rId11" xr:uid="{6424F2CF-2B61-4808-95C3-62B06E9F6361}"/>
    <hyperlink ref="B3" r:id="rId12" xr:uid="{D0A6A308-9256-4523-8FDF-BCE2AFB11B6E}"/>
    <hyperlink ref="B17" r:id="rId13" xr:uid="{5A1A0BF1-1F9D-453A-8615-32812BE41A68}"/>
    <hyperlink ref="B5" r:id="rId14" xr:uid="{8D7A6B6F-FFD2-4631-8D7D-1F8872005ED8}"/>
  </hyperlinks>
  <pageMargins left="0.7" right="0.7" top="0.75" bottom="0.75" header="0.3" footer="0.3"/>
  <pageSetup orientation="portrait" horizontalDpi="1200" verticalDpi="1200"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F58CA-3A5E-4A8C-A323-FDAA45D59D23}">
  <dimension ref="A1:Z54"/>
  <sheetViews>
    <sheetView zoomScale="220" zoomScaleNormal="220"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2.75"/>
  <cols>
    <col min="1" max="1" width="5" style="63" bestFit="1" customWidth="1"/>
    <col min="2" max="2" width="12" style="63" customWidth="1"/>
    <col min="3" max="3" width="11.7109375" style="63" customWidth="1"/>
    <col min="4" max="9" width="9.140625" style="63"/>
    <col min="10" max="10" width="10.85546875" style="63" customWidth="1"/>
    <col min="11" max="16384" width="9.140625" style="63"/>
  </cols>
  <sheetData>
    <row r="1" spans="1:26">
      <c r="A1" s="5" t="s">
        <v>146</v>
      </c>
    </row>
    <row r="2" spans="1:26">
      <c r="B2" s="13" t="s">
        <v>0</v>
      </c>
      <c r="C2" s="14" t="s">
        <v>1</v>
      </c>
      <c r="D2" s="15" t="s">
        <v>2</v>
      </c>
      <c r="E2" s="16" t="s">
        <v>3</v>
      </c>
      <c r="F2" s="17" t="s">
        <v>4</v>
      </c>
      <c r="G2" s="17" t="s">
        <v>5</v>
      </c>
      <c r="H2" s="17" t="s">
        <v>221</v>
      </c>
      <c r="I2" s="17" t="s">
        <v>6</v>
      </c>
      <c r="J2" s="42" t="s">
        <v>232</v>
      </c>
      <c r="K2" s="18" t="s">
        <v>216</v>
      </c>
      <c r="L2" s="18" t="s">
        <v>220</v>
      </c>
      <c r="M2" s="18" t="s">
        <v>217</v>
      </c>
      <c r="N2" s="18" t="s">
        <v>218</v>
      </c>
      <c r="O2" s="19" t="s">
        <v>219</v>
      </c>
      <c r="P2" s="48" t="s">
        <v>237</v>
      </c>
      <c r="Q2" s="49" t="s">
        <v>238</v>
      </c>
      <c r="R2" s="49" t="s">
        <v>239</v>
      </c>
      <c r="S2" s="19">
        <v>2025</v>
      </c>
      <c r="T2" s="48" t="s">
        <v>236</v>
      </c>
      <c r="U2" s="18">
        <v>2023</v>
      </c>
      <c r="V2" s="18">
        <v>2024</v>
      </c>
      <c r="W2" s="19">
        <v>2025</v>
      </c>
      <c r="X2" s="20" t="s">
        <v>222</v>
      </c>
      <c r="Y2" s="181" t="s">
        <v>511</v>
      </c>
      <c r="Z2" s="181" t="s">
        <v>512</v>
      </c>
    </row>
    <row r="3" spans="1:26" s="20" customFormat="1">
      <c r="A3" s="72" t="s">
        <v>261</v>
      </c>
      <c r="B3" s="5" t="s">
        <v>13</v>
      </c>
      <c r="C3" s="20" t="s">
        <v>203</v>
      </c>
      <c r="D3" s="21">
        <v>210</v>
      </c>
      <c r="E3" s="22">
        <f>+D3*[20]Main!$M$3</f>
        <v>556825.22154000006</v>
      </c>
      <c r="F3" s="22">
        <f>+[20]Main!$M$5-[20]Main!$M$6</f>
        <v>38382</v>
      </c>
      <c r="G3" s="22">
        <f t="shared" ref="G3:G4" si="0">+E3-F3</f>
        <v>518443.22154000006</v>
      </c>
      <c r="H3" s="22">
        <f>+[20]Main!$M$3</f>
        <v>2651.5486740000001</v>
      </c>
      <c r="I3" s="138" t="s">
        <v>359</v>
      </c>
      <c r="J3" s="43">
        <v>44959</v>
      </c>
      <c r="K3" s="27">
        <f>+[20]Model!$AX$53</f>
        <v>215.87667010339968</v>
      </c>
      <c r="L3" s="28">
        <f>K3/D3-1</f>
        <v>2.7984143349522261E-2</v>
      </c>
      <c r="M3" s="28">
        <f>+[20]Model!$AX$50</f>
        <v>0.08</v>
      </c>
      <c r="N3" s="28">
        <f>+[20]Model!$AX$51</f>
        <v>-0.05</v>
      </c>
      <c r="O3" s="28">
        <f>+[20]Model!$AX$52</f>
        <v>0.02</v>
      </c>
      <c r="P3" s="25"/>
      <c r="Q3" s="24"/>
      <c r="R3" s="24"/>
      <c r="S3" s="26"/>
      <c r="T3" s="25"/>
      <c r="U3" s="24"/>
      <c r="V3" s="24"/>
      <c r="W3" s="26"/>
      <c r="X3" s="20">
        <v>2004</v>
      </c>
      <c r="Y3" s="20">
        <v>3810</v>
      </c>
      <c r="Z3" s="182">
        <f>G3/Y3</f>
        <v>136.07433636220475</v>
      </c>
    </row>
    <row r="4" spans="1:26" s="20" customFormat="1">
      <c r="A4" s="72" t="s">
        <v>261</v>
      </c>
      <c r="B4" s="5" t="s">
        <v>15</v>
      </c>
      <c r="C4" s="20" t="s">
        <v>16</v>
      </c>
      <c r="D4" s="21">
        <v>277.39999999999998</v>
      </c>
      <c r="E4" s="22">
        <f>+D4*[21]Main!$L$3*1000/HKD</f>
        <v>341793.77818543144</v>
      </c>
      <c r="F4" s="22">
        <f>([21]Main!$L$5-[21]Main!$L$6)/HKD*1000</f>
        <v>81912.914978725574</v>
      </c>
      <c r="G4" s="22">
        <f t="shared" si="0"/>
        <v>259880.86320670586</v>
      </c>
      <c r="H4" s="22">
        <f>+[21]Main!$L$3*1000</f>
        <v>9672</v>
      </c>
      <c r="I4" s="116" t="s">
        <v>208</v>
      </c>
      <c r="J4" s="43">
        <v>44802</v>
      </c>
      <c r="K4" s="24"/>
      <c r="L4" s="24"/>
      <c r="M4" s="24"/>
      <c r="N4" s="24"/>
      <c r="O4" s="24"/>
      <c r="P4" s="25"/>
      <c r="Q4" s="24"/>
      <c r="R4" s="24"/>
      <c r="S4" s="26"/>
      <c r="T4" s="25"/>
      <c r="U4" s="24"/>
      <c r="V4" s="24"/>
      <c r="W4" s="26"/>
      <c r="X4" s="20">
        <v>1998</v>
      </c>
    </row>
    <row r="5" spans="1:26" s="20" customFormat="1">
      <c r="A5" s="96" t="s">
        <v>261</v>
      </c>
      <c r="B5" s="97" t="s">
        <v>289</v>
      </c>
      <c r="C5" s="96" t="s">
        <v>290</v>
      </c>
      <c r="D5" s="21"/>
      <c r="E5" s="22"/>
      <c r="F5" s="22"/>
      <c r="G5" s="22"/>
      <c r="H5" s="22"/>
      <c r="I5" s="23"/>
      <c r="J5" s="23"/>
      <c r="K5" s="24"/>
      <c r="L5" s="24"/>
      <c r="M5" s="24"/>
      <c r="N5" s="24"/>
      <c r="O5" s="24"/>
      <c r="P5" s="25"/>
      <c r="Q5" s="24"/>
      <c r="R5" s="24"/>
      <c r="S5" s="26"/>
      <c r="T5" s="25"/>
      <c r="U5" s="24"/>
      <c r="V5" s="24"/>
      <c r="W5" s="26"/>
      <c r="X5" s="20">
        <v>2011</v>
      </c>
    </row>
    <row r="6" spans="1:26" s="20" customFormat="1">
      <c r="A6" s="135" t="s">
        <v>261</v>
      </c>
      <c r="B6" s="135" t="s">
        <v>338</v>
      </c>
      <c r="C6" s="135" t="s">
        <v>339</v>
      </c>
      <c r="D6" s="21"/>
      <c r="E6" s="22"/>
      <c r="F6" s="23"/>
      <c r="G6" s="23"/>
      <c r="H6" s="23"/>
      <c r="I6" s="23"/>
      <c r="J6" s="23"/>
      <c r="K6" s="24"/>
      <c r="L6" s="24"/>
      <c r="M6" s="24"/>
      <c r="N6" s="24"/>
      <c r="O6" s="24"/>
      <c r="P6" s="24"/>
      <c r="Q6" s="24"/>
      <c r="R6" s="24"/>
      <c r="S6" s="24"/>
      <c r="T6" s="24"/>
      <c r="U6" s="24"/>
      <c r="V6" s="24"/>
      <c r="W6" s="24"/>
      <c r="X6" s="20">
        <v>2010</v>
      </c>
    </row>
    <row r="7" spans="1:26" s="20" customFormat="1">
      <c r="A7" s="107" t="s">
        <v>261</v>
      </c>
      <c r="B7" s="142" t="s">
        <v>307</v>
      </c>
      <c r="C7" s="107" t="s">
        <v>308</v>
      </c>
      <c r="D7" s="22">
        <v>193500</v>
      </c>
      <c r="E7" s="22">
        <v>33330</v>
      </c>
      <c r="F7" s="22"/>
      <c r="G7" s="22">
        <f>E7-F7</f>
        <v>33330</v>
      </c>
      <c r="H7" s="22"/>
      <c r="I7" s="23"/>
      <c r="J7" s="43"/>
      <c r="K7" s="24"/>
      <c r="L7" s="24"/>
      <c r="M7" s="24"/>
      <c r="N7" s="24"/>
      <c r="O7" s="26"/>
      <c r="P7" s="25"/>
      <c r="Q7" s="24"/>
      <c r="R7" s="24"/>
      <c r="S7" s="26"/>
      <c r="T7" s="25"/>
      <c r="U7" s="24"/>
      <c r="V7" s="24"/>
      <c r="W7" s="26"/>
      <c r="X7" s="20">
        <v>1999</v>
      </c>
    </row>
    <row r="8" spans="1:26" s="20" customFormat="1">
      <c r="A8" s="143" t="s">
        <v>261</v>
      </c>
      <c r="B8" s="142" t="s">
        <v>385</v>
      </c>
      <c r="C8" s="143" t="s">
        <v>386</v>
      </c>
      <c r="D8" s="21">
        <v>12</v>
      </c>
      <c r="E8" s="22">
        <f>+D8*H8</f>
        <v>19357.212852000001</v>
      </c>
      <c r="F8" s="148">
        <f>+[22]Main!$L$5-[22]Main!$L$6</f>
        <v>688.14800000000014</v>
      </c>
      <c r="G8" s="22">
        <f>E8-F8</f>
        <v>18669.064852</v>
      </c>
      <c r="H8" s="22">
        <f>+[22]Main!$L$3</f>
        <v>1613.101071</v>
      </c>
      <c r="I8" s="147" t="s">
        <v>208</v>
      </c>
      <c r="J8" s="43">
        <v>44802</v>
      </c>
      <c r="K8" s="24"/>
      <c r="L8" s="24"/>
      <c r="M8" s="24"/>
      <c r="N8" s="24"/>
      <c r="O8" s="24"/>
      <c r="P8" s="24"/>
      <c r="Q8" s="24"/>
      <c r="R8" s="24"/>
      <c r="S8" s="24"/>
      <c r="T8" s="24"/>
      <c r="U8" s="24"/>
      <c r="V8" s="24"/>
      <c r="W8" s="24"/>
      <c r="Y8" s="20">
        <v>375</v>
      </c>
      <c r="Z8" s="182">
        <f>G8/Y8</f>
        <v>49.784172938666664</v>
      </c>
    </row>
    <row r="9" spans="1:26" s="20" customFormat="1">
      <c r="B9" s="96" t="s">
        <v>287</v>
      </c>
      <c r="C9" s="96" t="s">
        <v>288</v>
      </c>
      <c r="D9" s="21"/>
      <c r="E9" s="22"/>
      <c r="F9" s="23"/>
      <c r="G9" s="23"/>
      <c r="H9" s="23"/>
      <c r="I9" s="23"/>
      <c r="J9" s="23"/>
      <c r="K9" s="24"/>
      <c r="L9" s="24"/>
      <c r="M9" s="24"/>
      <c r="N9" s="24"/>
      <c r="O9" s="24"/>
      <c r="P9" s="24"/>
      <c r="Q9" s="24"/>
      <c r="R9" s="24"/>
      <c r="S9" s="24"/>
      <c r="T9" s="24"/>
      <c r="U9" s="24"/>
      <c r="V9" s="24"/>
      <c r="W9" s="24"/>
      <c r="X9" s="20">
        <v>2008</v>
      </c>
    </row>
    <row r="10" spans="1:26" s="20" customFormat="1">
      <c r="B10" s="96" t="s">
        <v>291</v>
      </c>
      <c r="C10" s="96" t="s">
        <v>292</v>
      </c>
      <c r="D10" s="21"/>
      <c r="E10" s="22"/>
      <c r="F10" s="23"/>
      <c r="G10" s="23"/>
      <c r="H10" s="23"/>
      <c r="I10" s="23"/>
      <c r="J10" s="23"/>
      <c r="K10" s="24"/>
      <c r="L10" s="24"/>
      <c r="M10" s="24"/>
      <c r="N10" s="24"/>
      <c r="O10" s="24"/>
      <c r="P10" s="24"/>
      <c r="Q10" s="24"/>
      <c r="R10" s="24"/>
      <c r="S10" s="24"/>
      <c r="T10" s="24"/>
      <c r="U10" s="24"/>
      <c r="V10" s="24"/>
      <c r="W10" s="24"/>
      <c r="X10" s="20">
        <v>2009</v>
      </c>
    </row>
    <row r="11" spans="1:26" s="20" customFormat="1">
      <c r="B11" s="181" t="s">
        <v>77</v>
      </c>
      <c r="C11" s="96"/>
      <c r="D11" s="21"/>
      <c r="E11" s="22"/>
      <c r="F11" s="23"/>
      <c r="G11" s="23"/>
      <c r="H11" s="23"/>
      <c r="I11" s="23"/>
      <c r="J11" s="23"/>
      <c r="K11" s="24"/>
      <c r="L11" s="24"/>
      <c r="M11" s="24"/>
      <c r="N11" s="24"/>
      <c r="O11" s="24"/>
      <c r="P11" s="24"/>
      <c r="Q11" s="24"/>
      <c r="R11" s="24"/>
      <c r="S11" s="24"/>
      <c r="T11" s="24"/>
      <c r="U11" s="24"/>
      <c r="V11" s="24"/>
      <c r="W11" s="24"/>
    </row>
    <row r="12" spans="1:26" s="20" customFormat="1">
      <c r="B12" s="132" t="s">
        <v>327</v>
      </c>
      <c r="C12" s="132" t="s">
        <v>328</v>
      </c>
      <c r="D12" s="21"/>
      <c r="E12" s="22"/>
      <c r="F12" s="23"/>
      <c r="G12" s="23"/>
      <c r="H12" s="23"/>
      <c r="I12" s="23"/>
      <c r="J12" s="23"/>
      <c r="K12" s="24"/>
      <c r="L12" s="24"/>
      <c r="M12" s="24"/>
      <c r="N12" s="24"/>
      <c r="O12" s="24"/>
      <c r="P12" s="24"/>
      <c r="Q12" s="24"/>
      <c r="R12" s="24"/>
      <c r="S12" s="24"/>
      <c r="T12" s="24"/>
      <c r="U12" s="24"/>
      <c r="V12" s="24"/>
      <c r="W12" s="24"/>
    </row>
    <row r="13" spans="1:26" s="20" customFormat="1">
      <c r="B13" s="132" t="s">
        <v>133</v>
      </c>
      <c r="C13" s="132" t="s">
        <v>134</v>
      </c>
      <c r="D13" s="21"/>
      <c r="E13" s="22"/>
      <c r="F13" s="23"/>
      <c r="G13" s="23"/>
      <c r="H13" s="23"/>
      <c r="I13" s="23"/>
      <c r="J13" s="23"/>
      <c r="K13" s="24"/>
      <c r="L13" s="24"/>
      <c r="M13" s="24"/>
      <c r="N13" s="24"/>
      <c r="O13" s="24"/>
      <c r="P13" s="24"/>
      <c r="Q13" s="24"/>
      <c r="R13" s="24"/>
      <c r="S13" s="24"/>
      <c r="T13" s="24"/>
      <c r="U13" s="24"/>
      <c r="V13" s="24"/>
      <c r="W13" s="24"/>
    </row>
    <row r="14" spans="1:26" s="20" customFormat="1">
      <c r="B14" s="139" t="s">
        <v>368</v>
      </c>
      <c r="C14" s="132"/>
      <c r="D14" s="21"/>
      <c r="E14" s="22"/>
      <c r="F14" s="23"/>
      <c r="G14" s="23"/>
      <c r="H14" s="23"/>
      <c r="I14" s="23"/>
      <c r="J14" s="23"/>
      <c r="K14" s="24"/>
      <c r="L14" s="24"/>
      <c r="M14" s="24"/>
      <c r="N14" s="24"/>
      <c r="O14" s="24"/>
      <c r="P14" s="24"/>
      <c r="Q14" s="24"/>
      <c r="R14" s="24"/>
      <c r="S14" s="24"/>
      <c r="T14" s="24"/>
      <c r="U14" s="24"/>
      <c r="V14" s="24"/>
      <c r="W14" s="24"/>
    </row>
    <row r="15" spans="1:26">
      <c r="B15" s="132" t="s">
        <v>332</v>
      </c>
      <c r="C15" s="132" t="s">
        <v>333</v>
      </c>
    </row>
    <row r="16" spans="1:26" s="20" customFormat="1">
      <c r="B16" s="5"/>
      <c r="D16" s="21"/>
      <c r="E16" s="22"/>
      <c r="F16" s="22"/>
      <c r="G16" s="22"/>
      <c r="H16" s="22"/>
      <c r="I16" s="23"/>
      <c r="J16" s="23"/>
      <c r="K16" s="24"/>
      <c r="L16" s="24"/>
      <c r="M16" s="24"/>
      <c r="N16" s="24"/>
      <c r="O16" s="24"/>
      <c r="P16" s="24"/>
      <c r="Q16" s="24"/>
      <c r="R16" s="24"/>
      <c r="S16" s="24"/>
      <c r="T16" s="24"/>
      <c r="U16" s="24"/>
      <c r="V16" s="24"/>
      <c r="W16" s="24"/>
    </row>
    <row r="17" spans="2:8">
      <c r="B17" s="64" t="s">
        <v>256</v>
      </c>
      <c r="F17" s="193" t="s">
        <v>222</v>
      </c>
    </row>
    <row r="18" spans="2:8">
      <c r="B18" s="96" t="s">
        <v>286</v>
      </c>
      <c r="E18" s="170">
        <v>400000</v>
      </c>
    </row>
    <row r="19" spans="2:8">
      <c r="B19" s="63" t="s">
        <v>255</v>
      </c>
      <c r="E19" s="170">
        <v>30000</v>
      </c>
    </row>
    <row r="20" spans="2:8">
      <c r="B20" s="20" t="s">
        <v>169</v>
      </c>
      <c r="C20" s="20" t="s">
        <v>170</v>
      </c>
      <c r="D20" s="21">
        <v>44.5</v>
      </c>
      <c r="E20" s="22">
        <v>34050</v>
      </c>
    </row>
    <row r="21" spans="2:8">
      <c r="B21" s="132" t="s">
        <v>326</v>
      </c>
      <c r="E21" s="170">
        <v>14500</v>
      </c>
      <c r="F21" s="63">
        <v>2015</v>
      </c>
      <c r="H21" s="192" t="s">
        <v>608</v>
      </c>
    </row>
    <row r="22" spans="2:8">
      <c r="B22" s="192" t="s">
        <v>330</v>
      </c>
      <c r="E22" s="170">
        <v>10000</v>
      </c>
    </row>
    <row r="23" spans="2:8">
      <c r="B23" s="192" t="s">
        <v>601</v>
      </c>
      <c r="E23" s="170"/>
      <c r="F23" s="63">
        <v>2021</v>
      </c>
    </row>
    <row r="24" spans="2:8">
      <c r="B24" s="192" t="s">
        <v>607</v>
      </c>
      <c r="E24" s="63">
        <v>1000</v>
      </c>
      <c r="H24" s="192" t="s">
        <v>609</v>
      </c>
    </row>
    <row r="25" spans="2:8">
      <c r="B25" s="63" t="s">
        <v>254</v>
      </c>
      <c r="E25" s="63">
        <v>200</v>
      </c>
    </row>
    <row r="26" spans="2:8">
      <c r="B26" s="132" t="s">
        <v>329</v>
      </c>
    </row>
    <row r="27" spans="2:8">
      <c r="B27" s="132" t="s">
        <v>331</v>
      </c>
    </row>
    <row r="28" spans="2:8">
      <c r="B28" s="132" t="s">
        <v>334</v>
      </c>
    </row>
    <row r="29" spans="2:8">
      <c r="B29" s="132" t="s">
        <v>335</v>
      </c>
    </row>
    <row r="30" spans="2:8">
      <c r="B30" s="132" t="s">
        <v>336</v>
      </c>
    </row>
    <row r="31" spans="2:8">
      <c r="B31" s="139" t="s">
        <v>360</v>
      </c>
    </row>
    <row r="32" spans="2:8">
      <c r="B32" s="63" t="s">
        <v>253</v>
      </c>
    </row>
    <row r="33" spans="2:2">
      <c r="B33" s="139" t="s">
        <v>361</v>
      </c>
    </row>
    <row r="34" spans="2:2">
      <c r="B34" s="171" t="s">
        <v>477</v>
      </c>
    </row>
    <row r="35" spans="2:2">
      <c r="B35" s="139" t="s">
        <v>362</v>
      </c>
    </row>
    <row r="36" spans="2:2">
      <c r="B36" s="139" t="s">
        <v>363</v>
      </c>
    </row>
    <row r="37" spans="2:2">
      <c r="B37" s="139" t="s">
        <v>304</v>
      </c>
    </row>
    <row r="38" spans="2:2">
      <c r="B38" s="139" t="s">
        <v>364</v>
      </c>
    </row>
    <row r="39" spans="2:2">
      <c r="B39" s="139" t="s">
        <v>365</v>
      </c>
    </row>
    <row r="40" spans="2:2">
      <c r="B40" s="139" t="s">
        <v>366</v>
      </c>
    </row>
    <row r="41" spans="2:2">
      <c r="B41" s="139" t="s">
        <v>367</v>
      </c>
    </row>
    <row r="42" spans="2:2">
      <c r="B42" s="139" t="s">
        <v>369</v>
      </c>
    </row>
    <row r="43" spans="2:2">
      <c r="B43" s="139" t="s">
        <v>370</v>
      </c>
    </row>
    <row r="44" spans="2:2">
      <c r="B44" s="139" t="s">
        <v>371</v>
      </c>
    </row>
    <row r="45" spans="2:2">
      <c r="B45" s="139" t="s">
        <v>372</v>
      </c>
    </row>
    <row r="46" spans="2:2">
      <c r="B46" s="139" t="s">
        <v>373</v>
      </c>
    </row>
    <row r="47" spans="2:2">
      <c r="B47" s="139" t="s">
        <v>374</v>
      </c>
    </row>
    <row r="48" spans="2:2">
      <c r="B48" s="139" t="s">
        <v>375</v>
      </c>
    </row>
    <row r="49" spans="2:2">
      <c r="B49" s="139" t="s">
        <v>376</v>
      </c>
    </row>
    <row r="50" spans="2:2">
      <c r="B50" s="139" t="s">
        <v>377</v>
      </c>
    </row>
    <row r="51" spans="2:2">
      <c r="B51" s="139" t="s">
        <v>378</v>
      </c>
    </row>
    <row r="52" spans="2:2">
      <c r="B52" s="139" t="s">
        <v>379</v>
      </c>
    </row>
    <row r="53" spans="2:2">
      <c r="B53" s="139" t="s">
        <v>380</v>
      </c>
    </row>
    <row r="54" spans="2:2">
      <c r="B54" s="139" t="s">
        <v>381</v>
      </c>
    </row>
  </sheetData>
  <hyperlinks>
    <hyperlink ref="B3" r:id="rId1" xr:uid="{06D5809E-72A9-41D7-974F-FA58D1ED15C4}"/>
    <hyperlink ref="B4" r:id="rId2" xr:uid="{29919CCF-0924-4FDD-BCCD-7B5AA19C4B1D}"/>
    <hyperlink ref="A1" location="Main!A1" display="Main" xr:uid="{62A13976-8B3C-42C8-B6D0-AD7B6C4E3241}"/>
    <hyperlink ref="B7" r:id="rId3" xr:uid="{FD70E649-2E6A-4E67-ACA2-AB99C8053558}"/>
    <hyperlink ref="B8" r:id="rId4" xr:uid="{E0C00157-A29D-4089-A301-263D6806A443}"/>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12437-B4E9-44AF-8552-EF0FF979C92B}">
  <dimension ref="A1:X23"/>
  <sheetViews>
    <sheetView zoomScale="190" zoomScaleNormal="190"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2.75"/>
  <cols>
    <col min="1" max="1" width="5" style="113" bestFit="1" customWidth="1"/>
    <col min="2" max="2" width="15" style="113" customWidth="1"/>
    <col min="3" max="16384" width="9.140625" style="113"/>
  </cols>
  <sheetData>
    <row r="1" spans="1:24">
      <c r="A1" s="5" t="s">
        <v>146</v>
      </c>
    </row>
    <row r="2" spans="1:24">
      <c r="A2" s="5"/>
      <c r="B2" s="157" t="s">
        <v>0</v>
      </c>
      <c r="C2" s="157" t="s">
        <v>1</v>
      </c>
      <c r="D2" s="158" t="s">
        <v>2</v>
      </c>
      <c r="E2" s="159" t="s">
        <v>3</v>
      </c>
      <c r="F2" s="158" t="s">
        <v>395</v>
      </c>
      <c r="G2" s="158" t="s">
        <v>5</v>
      </c>
      <c r="H2" s="158" t="s">
        <v>221</v>
      </c>
      <c r="I2" s="158" t="s">
        <v>396</v>
      </c>
      <c r="J2" s="158" t="s">
        <v>232</v>
      </c>
    </row>
    <row r="3" spans="1:24" s="20" customFormat="1">
      <c r="A3" s="89" t="s">
        <v>261</v>
      </c>
      <c r="B3" s="5" t="s">
        <v>187</v>
      </c>
      <c r="C3" s="20" t="s">
        <v>188</v>
      </c>
      <c r="D3" s="21">
        <v>375.71</v>
      </c>
      <c r="E3" s="22">
        <f>+D3*H3</f>
        <v>57472.452251789997</v>
      </c>
      <c r="F3" s="22">
        <f>+[23]Main!$N$5-[23]Main!$N$6</f>
        <v>1696.7459999999999</v>
      </c>
      <c r="G3" s="22">
        <f>E3-F3</f>
        <v>55775.706251789998</v>
      </c>
      <c r="H3" s="22">
        <f>+[23]Main!$N$3</f>
        <v>152.970249</v>
      </c>
      <c r="I3" s="44" t="s">
        <v>14</v>
      </c>
      <c r="J3" s="43">
        <v>44783</v>
      </c>
      <c r="K3" s="24"/>
      <c r="L3" s="24"/>
      <c r="M3" s="24"/>
      <c r="N3" s="24"/>
      <c r="O3" s="24"/>
      <c r="P3" s="25"/>
      <c r="Q3" s="24"/>
      <c r="R3" s="24"/>
      <c r="S3" s="26"/>
      <c r="T3" s="25"/>
      <c r="U3" s="24"/>
      <c r="V3" s="24"/>
      <c r="W3" s="26"/>
    </row>
    <row r="4" spans="1:24" s="20" customFormat="1">
      <c r="A4" s="89" t="s">
        <v>261</v>
      </c>
      <c r="B4" s="5" t="s">
        <v>183</v>
      </c>
      <c r="C4" s="20" t="s">
        <v>184</v>
      </c>
      <c r="D4" s="21">
        <v>39.74</v>
      </c>
      <c r="E4" s="22">
        <f>+D4*[24]Main!$L$3*EUR</f>
        <v>53089.738980000009</v>
      </c>
      <c r="F4" s="22">
        <f>+([24]Main!$L$5-[24]Main!$L$6)*EUR</f>
        <v>-490.25400000000008</v>
      </c>
      <c r="G4" s="22">
        <f>E4-F4</f>
        <v>53579.99298000001</v>
      </c>
      <c r="H4" s="22"/>
      <c r="I4" s="23" t="s">
        <v>208</v>
      </c>
      <c r="J4" s="23"/>
      <c r="K4" s="24"/>
      <c r="L4" s="24"/>
      <c r="M4" s="24"/>
      <c r="N4" s="24"/>
      <c r="O4" s="24"/>
      <c r="P4" s="25"/>
      <c r="Q4" s="24"/>
      <c r="R4" s="24"/>
      <c r="S4" s="26"/>
      <c r="T4" s="25"/>
      <c r="U4" s="24"/>
      <c r="V4" s="24"/>
      <c r="W4" s="26"/>
    </row>
    <row r="5" spans="1:24" s="20" customFormat="1">
      <c r="A5" s="89" t="s">
        <v>261</v>
      </c>
      <c r="B5" s="5" t="s">
        <v>48</v>
      </c>
      <c r="C5" s="20" t="s">
        <v>49</v>
      </c>
      <c r="D5" s="21">
        <v>186</v>
      </c>
      <c r="E5" s="22">
        <f>+D5*H5</f>
        <v>51584.495999999999</v>
      </c>
      <c r="F5" s="22">
        <f>+[25]Main!$K$5-[25]Main!$K$6</f>
        <v>741.35200000000009</v>
      </c>
      <c r="G5" s="22">
        <f>E5-F5</f>
        <v>50843.144</v>
      </c>
      <c r="H5" s="22">
        <f>+[25]Main!$K$3</f>
        <v>277.33600000000001</v>
      </c>
      <c r="I5" s="39" t="s">
        <v>229</v>
      </c>
      <c r="J5" s="39"/>
      <c r="K5" s="24"/>
      <c r="L5" s="24"/>
      <c r="M5" s="24"/>
      <c r="N5" s="24"/>
      <c r="O5" s="24"/>
      <c r="P5" s="25"/>
      <c r="Q5" s="24"/>
      <c r="R5" s="24"/>
      <c r="S5" s="26"/>
      <c r="T5" s="25"/>
      <c r="U5" s="24"/>
      <c r="V5" s="24"/>
      <c r="W5" s="26"/>
    </row>
    <row r="6" spans="1:24" s="20" customFormat="1">
      <c r="A6" s="92" t="s">
        <v>261</v>
      </c>
      <c r="B6" s="5" t="s">
        <v>46</v>
      </c>
      <c r="C6" s="20" t="s">
        <v>47</v>
      </c>
      <c r="D6" s="21">
        <v>203.73</v>
      </c>
      <c r="E6" s="22">
        <f>+D6*H6</f>
        <v>44264.86632465</v>
      </c>
      <c r="F6" s="22">
        <f>+[26]Main!$L$5-[26]Main!$L$6</f>
        <v>-1005</v>
      </c>
      <c r="G6" s="22">
        <f>E6-F6</f>
        <v>45269.86632465</v>
      </c>
      <c r="H6" s="22">
        <f>+[26]Main!$L$3</f>
        <v>217.27220500000001</v>
      </c>
      <c r="I6" s="38" t="s">
        <v>14</v>
      </c>
      <c r="J6" s="38"/>
      <c r="K6" s="24"/>
      <c r="L6" s="24"/>
      <c r="M6" s="24"/>
      <c r="N6" s="24"/>
      <c r="O6" s="24"/>
      <c r="P6" s="25"/>
      <c r="Q6" s="24"/>
      <c r="R6" s="24"/>
      <c r="S6" s="26"/>
      <c r="T6" s="25"/>
      <c r="U6" s="24"/>
      <c r="V6" s="24"/>
      <c r="W6" s="26"/>
      <c r="X6" s="20">
        <v>1982</v>
      </c>
    </row>
    <row r="7" spans="1:24" s="20" customFormat="1">
      <c r="B7" s="5" t="s">
        <v>62</v>
      </c>
      <c r="C7" s="20" t="s">
        <v>63</v>
      </c>
      <c r="D7" s="21">
        <v>236.61</v>
      </c>
      <c r="E7" s="22">
        <f>+D7*H7</f>
        <v>20601.316825649999</v>
      </c>
      <c r="F7" s="22">
        <f>+[27]Main!$M$5-[27]Main!$M$6</f>
        <v>-235.76700000000005</v>
      </c>
      <c r="G7" s="22">
        <f>E7-F7</f>
        <v>20837.083825649999</v>
      </c>
      <c r="H7" s="22">
        <f>+[27]Main!$M$3</f>
        <v>87.068664999999996</v>
      </c>
      <c r="I7" s="55" t="s">
        <v>208</v>
      </c>
      <c r="J7" s="43">
        <v>44795</v>
      </c>
      <c r="K7" s="24"/>
      <c r="L7" s="24"/>
      <c r="M7" s="24"/>
      <c r="N7" s="24"/>
      <c r="O7" s="24"/>
      <c r="P7" s="25"/>
      <c r="Q7" s="24"/>
      <c r="R7" s="24"/>
      <c r="S7" s="26"/>
      <c r="T7" s="25"/>
      <c r="U7" s="24"/>
      <c r="V7" s="24"/>
      <c r="W7" s="26"/>
    </row>
    <row r="8" spans="1:24" s="20" customFormat="1">
      <c r="B8" s="40" t="s">
        <v>230</v>
      </c>
      <c r="C8" s="40" t="s">
        <v>231</v>
      </c>
      <c r="D8" s="41">
        <v>31.44</v>
      </c>
      <c r="E8" s="22">
        <v>2220</v>
      </c>
      <c r="F8" s="23"/>
      <c r="G8" s="23"/>
      <c r="H8" s="23"/>
      <c r="I8" s="23"/>
      <c r="J8" s="23"/>
      <c r="K8" s="24"/>
      <c r="L8" s="24"/>
      <c r="M8" s="24"/>
      <c r="N8" s="24"/>
      <c r="O8" s="24"/>
      <c r="P8" s="25"/>
      <c r="Q8" s="24"/>
      <c r="R8" s="24"/>
      <c r="S8" s="26"/>
      <c r="T8" s="25"/>
      <c r="U8" s="24"/>
      <c r="V8" s="24"/>
      <c r="W8" s="26"/>
    </row>
    <row r="9" spans="1:24">
      <c r="B9" s="113" t="s">
        <v>324</v>
      </c>
      <c r="C9" s="141" t="s">
        <v>382</v>
      </c>
      <c r="D9" s="131"/>
      <c r="E9" s="131"/>
      <c r="F9" s="131"/>
      <c r="G9" s="131"/>
      <c r="H9" s="131"/>
      <c r="I9" s="131"/>
      <c r="J9" s="131"/>
    </row>
    <row r="10" spans="1:24">
      <c r="B10" s="113" t="s">
        <v>325</v>
      </c>
      <c r="D10" s="131"/>
      <c r="E10" s="131"/>
      <c r="F10" s="131"/>
      <c r="G10" s="131"/>
      <c r="H10" s="131"/>
      <c r="I10" s="131"/>
      <c r="J10" s="131"/>
    </row>
    <row r="11" spans="1:24">
      <c r="B11" s="120" t="s">
        <v>93</v>
      </c>
      <c r="C11" s="20" t="s">
        <v>93</v>
      </c>
      <c r="D11" s="21">
        <v>115.52</v>
      </c>
      <c r="E11" s="22">
        <v>13640</v>
      </c>
    </row>
    <row r="12" spans="1:24">
      <c r="B12" s="185" t="s">
        <v>108</v>
      </c>
      <c r="C12" s="185" t="s">
        <v>109</v>
      </c>
    </row>
    <row r="13" spans="1:24">
      <c r="B13" s="120" t="s">
        <v>91</v>
      </c>
      <c r="C13" s="20" t="s">
        <v>92</v>
      </c>
      <c r="D13" s="21">
        <v>206.61</v>
      </c>
      <c r="E13" s="22">
        <v>13880</v>
      </c>
    </row>
    <row r="14" spans="1:24">
      <c r="B14" s="185" t="s">
        <v>539</v>
      </c>
      <c r="C14" s="185" t="s">
        <v>538</v>
      </c>
    </row>
    <row r="17" spans="2:5">
      <c r="B17" s="95" t="s">
        <v>256</v>
      </c>
    </row>
    <row r="18" spans="2:5">
      <c r="B18" s="165" t="s">
        <v>476</v>
      </c>
      <c r="C18" s="72"/>
      <c r="D18" s="72"/>
      <c r="E18" s="72">
        <v>2400</v>
      </c>
    </row>
    <row r="19" spans="2:5">
      <c r="B19" s="157" t="s">
        <v>392</v>
      </c>
      <c r="E19" s="113">
        <v>1500</v>
      </c>
    </row>
    <row r="20" spans="2:5">
      <c r="B20" s="157" t="s">
        <v>394</v>
      </c>
      <c r="E20" s="113">
        <v>1000</v>
      </c>
    </row>
    <row r="21" spans="2:5">
      <c r="B21" s="165" t="s">
        <v>475</v>
      </c>
      <c r="E21" s="113">
        <v>1000</v>
      </c>
    </row>
    <row r="22" spans="2:5">
      <c r="B22" s="141" t="s">
        <v>383</v>
      </c>
    </row>
    <row r="23" spans="2:5">
      <c r="B23" s="157" t="s">
        <v>393</v>
      </c>
    </row>
  </sheetData>
  <hyperlinks>
    <hyperlink ref="B4" r:id="rId1" xr:uid="{A7E983F7-BC7A-4B3D-8444-6070EF708DDF}"/>
    <hyperlink ref="B6" r:id="rId2" xr:uid="{C691107C-F03A-4EB9-887D-F480D084DC80}"/>
    <hyperlink ref="B5" r:id="rId3" xr:uid="{C9E770CD-C0F9-437F-A1F8-A5EC0DD0B08B}"/>
    <hyperlink ref="B3" r:id="rId4" xr:uid="{8CA64543-CFB9-4EFA-93C4-C766402037C3}"/>
    <hyperlink ref="A1" location="Main!A1" display="Main" xr:uid="{69B9600D-1FE1-4411-8DDE-BF8E78812291}"/>
    <hyperlink ref="B7" r:id="rId5" xr:uid="{3FA63595-4D83-4815-90B6-28C534796235}"/>
  </hyperlinks>
  <pageMargins left="0.7" right="0.7" top="0.75" bottom="0.75" header="0.3" footer="0.3"/>
  <pageSetup orientation="portrait" horizontalDpi="1200" verticalDpi="1200" r:id="rId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D8E66-21A8-4B81-97DC-0749384A1CA5}">
  <dimension ref="A1:S2972"/>
  <sheetViews>
    <sheetView zoomScale="145" zoomScaleNormal="145" workbookViewId="0">
      <pane xSplit="2" ySplit="2" topLeftCell="C2114" activePane="bottomRight" state="frozen"/>
      <selection pane="topRight" activeCell="C1" sqref="C1"/>
      <selection pane="bottomLeft" activeCell="A3" sqref="A3"/>
      <selection pane="bottomRight" activeCell="H2132" sqref="H2132"/>
    </sheetView>
  </sheetViews>
  <sheetFormatPr defaultColWidth="9.140625" defaultRowHeight="12.75"/>
  <cols>
    <col min="1" max="1" width="5" style="199" bestFit="1" customWidth="1"/>
    <col min="2" max="2" width="28.7109375" style="199" customWidth="1"/>
    <col min="3" max="3" width="11.140625" style="200" customWidth="1"/>
    <col min="4" max="4" width="25" style="200" customWidth="1"/>
    <col min="5" max="5" width="9.140625" style="201"/>
    <col min="6" max="6" width="10.85546875" style="201" bestFit="1" customWidth="1"/>
    <col min="7" max="7" width="11.42578125" style="200" customWidth="1"/>
    <col min="8" max="10" width="9.140625" style="199"/>
    <col min="11" max="11" width="9.140625" style="199" customWidth="1"/>
    <col min="12" max="12" width="9.140625" style="199"/>
    <col min="13" max="18" width="9.140625" style="200"/>
    <col min="19" max="16384" width="9.140625" style="199"/>
  </cols>
  <sheetData>
    <row r="1" spans="1:19">
      <c r="A1" s="199" t="s">
        <v>146</v>
      </c>
      <c r="I1" s="275" t="s">
        <v>4018</v>
      </c>
      <c r="J1" s="275" t="s">
        <v>4019</v>
      </c>
      <c r="K1" s="275" t="s">
        <v>4020</v>
      </c>
    </row>
    <row r="2" spans="1:19">
      <c r="B2" s="199" t="s">
        <v>748</v>
      </c>
      <c r="C2" s="200" t="s">
        <v>749</v>
      </c>
      <c r="D2" s="200" t="s">
        <v>750</v>
      </c>
      <c r="E2" s="201" t="s">
        <v>752</v>
      </c>
      <c r="F2" s="285" t="s">
        <v>412</v>
      </c>
      <c r="G2" s="200" t="s">
        <v>753</v>
      </c>
      <c r="I2" s="227" t="s">
        <v>2690</v>
      </c>
      <c r="J2" s="227" t="s">
        <v>2691</v>
      </c>
      <c r="K2" s="227" t="s">
        <v>222</v>
      </c>
      <c r="L2" s="248" t="s">
        <v>3175</v>
      </c>
      <c r="M2" s="249" t="s">
        <v>669</v>
      </c>
      <c r="N2" s="249" t="s">
        <v>549</v>
      </c>
      <c r="O2" s="249" t="s">
        <v>544</v>
      </c>
      <c r="P2" s="249" t="s">
        <v>402</v>
      </c>
      <c r="Q2" s="249" t="s">
        <v>565</v>
      </c>
      <c r="R2" s="249" t="s">
        <v>3059</v>
      </c>
      <c r="S2" s="248" t="s">
        <v>429</v>
      </c>
    </row>
    <row r="3" spans="1:19">
      <c r="B3" s="64" t="s">
        <v>883</v>
      </c>
      <c r="C3" s="191" t="s">
        <v>491</v>
      </c>
      <c r="D3" s="191" t="s">
        <v>759</v>
      </c>
      <c r="E3" s="188"/>
      <c r="F3" s="188">
        <f>SUM(F4:F16)</f>
        <v>1664</v>
      </c>
      <c r="G3" s="202">
        <f>+G6</f>
        <v>44663</v>
      </c>
      <c r="I3" s="204" t="s">
        <v>496</v>
      </c>
      <c r="J3" s="191" t="s">
        <v>496</v>
      </c>
      <c r="K3" s="191" t="s">
        <v>496</v>
      </c>
    </row>
    <row r="4" spans="1:19">
      <c r="C4" s="200" t="s">
        <v>402</v>
      </c>
      <c r="D4" s="200" t="s">
        <v>610</v>
      </c>
      <c r="E4" s="201">
        <v>140</v>
      </c>
      <c r="F4" s="201">
        <v>100</v>
      </c>
      <c r="G4" s="203">
        <v>44363</v>
      </c>
    </row>
    <row r="5" spans="1:19">
      <c r="C5" s="222" t="s">
        <v>549</v>
      </c>
      <c r="D5" s="222" t="s">
        <v>724</v>
      </c>
      <c r="E5" s="201">
        <v>3</v>
      </c>
      <c r="F5" s="201">
        <v>1</v>
      </c>
      <c r="G5" s="203">
        <v>44539</v>
      </c>
    </row>
    <row r="6" spans="1:19">
      <c r="C6" s="225" t="s">
        <v>565</v>
      </c>
      <c r="D6" s="225" t="s">
        <v>442</v>
      </c>
      <c r="E6" s="201">
        <v>125</v>
      </c>
      <c r="F6" s="201">
        <v>50</v>
      </c>
      <c r="G6" s="203">
        <v>44663</v>
      </c>
    </row>
    <row r="7" spans="1:19">
      <c r="C7" s="228" t="s">
        <v>549</v>
      </c>
      <c r="D7" s="228" t="s">
        <v>1283</v>
      </c>
      <c r="E7" s="201">
        <v>7</v>
      </c>
      <c r="F7" s="201">
        <v>1.5</v>
      </c>
      <c r="G7" s="203">
        <v>44602</v>
      </c>
    </row>
    <row r="8" spans="1:19">
      <c r="C8" s="228" t="s">
        <v>402</v>
      </c>
      <c r="D8" s="228" t="s">
        <v>1329</v>
      </c>
      <c r="E8" s="201">
        <v>93</v>
      </c>
      <c r="F8" s="201">
        <v>83</v>
      </c>
      <c r="G8" s="203">
        <v>43018</v>
      </c>
    </row>
    <row r="9" spans="1:19">
      <c r="C9" s="272" t="s">
        <v>755</v>
      </c>
      <c r="D9" s="272" t="s">
        <v>1813</v>
      </c>
      <c r="E9" s="201">
        <v>600</v>
      </c>
      <c r="F9" s="201">
        <f>500/8</f>
        <v>62.5</v>
      </c>
      <c r="G9" s="203">
        <v>44502</v>
      </c>
    </row>
    <row r="10" spans="1:19">
      <c r="C10" s="272" t="s">
        <v>565</v>
      </c>
      <c r="D10" s="272" t="s">
        <v>1813</v>
      </c>
      <c r="E10" s="201">
        <v>500</v>
      </c>
      <c r="F10" s="201">
        <v>75</v>
      </c>
      <c r="G10" s="203">
        <v>44144</v>
      </c>
    </row>
    <row r="11" spans="1:19">
      <c r="C11" s="272" t="s">
        <v>402</v>
      </c>
      <c r="D11" s="272" t="s">
        <v>1813</v>
      </c>
      <c r="E11" s="201">
        <v>940</v>
      </c>
      <c r="F11" s="201">
        <v>940</v>
      </c>
      <c r="G11" s="203">
        <v>43507</v>
      </c>
    </row>
    <row r="12" spans="1:19">
      <c r="C12" s="272" t="s">
        <v>755</v>
      </c>
      <c r="D12" s="272" t="s">
        <v>1818</v>
      </c>
      <c r="E12" s="201">
        <v>676</v>
      </c>
      <c r="F12" s="269">
        <v>176</v>
      </c>
      <c r="G12" s="203">
        <v>44299</v>
      </c>
      <c r="I12" s="199">
        <v>4400</v>
      </c>
    </row>
    <row r="13" spans="1:19">
      <c r="C13" s="272" t="s">
        <v>544</v>
      </c>
      <c r="D13" s="272" t="s">
        <v>1818</v>
      </c>
      <c r="E13" s="201">
        <v>56</v>
      </c>
      <c r="F13" s="269">
        <v>20</v>
      </c>
      <c r="G13" s="203">
        <v>43174</v>
      </c>
    </row>
    <row r="14" spans="1:19">
      <c r="C14" s="274" t="s">
        <v>738</v>
      </c>
      <c r="D14" s="274" t="s">
        <v>1828</v>
      </c>
      <c r="E14" s="201">
        <v>300</v>
      </c>
      <c r="F14" s="280" t="s">
        <v>4052</v>
      </c>
      <c r="G14" s="203">
        <v>44271</v>
      </c>
    </row>
    <row r="15" spans="1:19">
      <c r="C15" s="282" t="s">
        <v>565</v>
      </c>
      <c r="D15" s="282" t="s">
        <v>4313</v>
      </c>
      <c r="E15" s="201">
        <v>235</v>
      </c>
      <c r="F15" s="280">
        <v>75</v>
      </c>
      <c r="G15" s="203">
        <v>44384</v>
      </c>
    </row>
    <row r="16" spans="1:19">
      <c r="C16" s="282" t="s">
        <v>738</v>
      </c>
      <c r="D16" s="282" t="s">
        <v>4410</v>
      </c>
      <c r="E16" s="201">
        <v>220</v>
      </c>
      <c r="F16" s="280">
        <v>80</v>
      </c>
      <c r="G16" s="203">
        <v>44357</v>
      </c>
      <c r="I16" s="199">
        <v>1900</v>
      </c>
      <c r="J16" s="199">
        <v>1900</v>
      </c>
    </row>
    <row r="17" spans="2:18">
      <c r="G17" s="203"/>
    </row>
    <row r="18" spans="2:18" s="64" customFormat="1">
      <c r="B18" s="64" t="s">
        <v>3781</v>
      </c>
      <c r="C18" s="191" t="s">
        <v>491</v>
      </c>
      <c r="D18" s="191" t="s">
        <v>759</v>
      </c>
      <c r="E18" s="188"/>
      <c r="F18" s="188">
        <f>SUM(F19:F43)</f>
        <v>1475.5119047619048</v>
      </c>
      <c r="G18" s="202">
        <f>G33</f>
        <v>45090</v>
      </c>
      <c r="I18" s="64" t="s">
        <v>496</v>
      </c>
      <c r="J18" s="64" t="s">
        <v>496</v>
      </c>
      <c r="K18" s="64" t="s">
        <v>496</v>
      </c>
      <c r="M18" s="188">
        <f>SUM(F32)</f>
        <v>1.5</v>
      </c>
      <c r="N18" s="188">
        <f>SUM(F25,F30)</f>
        <v>16</v>
      </c>
      <c r="O18" s="188">
        <f>SUM(F24,F27,F28,F29)</f>
        <v>226</v>
      </c>
      <c r="P18" s="188">
        <f>SUM(F23,F26,F31,F34)</f>
        <v>519.16666666666674</v>
      </c>
      <c r="Q18" s="188">
        <f>SUM(F19,F22,F33)</f>
        <v>81</v>
      </c>
      <c r="R18" s="188">
        <f>SUM(F20,F21)</f>
        <v>375</v>
      </c>
    </row>
    <row r="19" spans="2:18">
      <c r="C19" s="200" t="s">
        <v>565</v>
      </c>
      <c r="D19" s="200" t="s">
        <v>144</v>
      </c>
      <c r="E19" s="201">
        <v>450</v>
      </c>
      <c r="F19" s="201">
        <f>300/5</f>
        <v>60</v>
      </c>
      <c r="G19" s="203">
        <v>45069</v>
      </c>
    </row>
    <row r="20" spans="2:18">
      <c r="C20" s="200" t="s">
        <v>774</v>
      </c>
      <c r="D20" s="200" t="s">
        <v>144</v>
      </c>
      <c r="E20" s="201">
        <v>300</v>
      </c>
      <c r="F20" s="201">
        <v>300</v>
      </c>
      <c r="G20" s="203">
        <v>44960</v>
      </c>
    </row>
    <row r="21" spans="2:18">
      <c r="C21" s="200" t="s">
        <v>755</v>
      </c>
      <c r="D21" s="200" t="s">
        <v>864</v>
      </c>
      <c r="E21" s="201">
        <v>100</v>
      </c>
      <c r="F21" s="201">
        <v>75</v>
      </c>
      <c r="G21" s="203">
        <v>45051</v>
      </c>
    </row>
    <row r="22" spans="2:18">
      <c r="C22" s="200" t="s">
        <v>565</v>
      </c>
      <c r="D22" s="200" t="s">
        <v>618</v>
      </c>
      <c r="E22" s="201">
        <v>85</v>
      </c>
      <c r="F22" s="201">
        <v>6</v>
      </c>
      <c r="G22" s="203">
        <v>44417</v>
      </c>
    </row>
    <row r="23" spans="2:18">
      <c r="C23" s="200" t="s">
        <v>402</v>
      </c>
      <c r="D23" s="200" t="s">
        <v>618</v>
      </c>
      <c r="E23" s="201">
        <v>35</v>
      </c>
      <c r="F23" s="201">
        <f>25/6</f>
        <v>4.166666666666667</v>
      </c>
      <c r="G23" s="203">
        <v>44293</v>
      </c>
    </row>
    <row r="24" spans="2:18">
      <c r="C24" s="200" t="s">
        <v>544</v>
      </c>
      <c r="D24" s="200" t="s">
        <v>618</v>
      </c>
      <c r="E24" s="201">
        <v>12</v>
      </c>
      <c r="F24" s="201">
        <v>3</v>
      </c>
      <c r="G24" s="203">
        <v>44026</v>
      </c>
    </row>
    <row r="25" spans="2:18">
      <c r="C25" s="200" t="s">
        <v>549</v>
      </c>
      <c r="D25" s="200" t="s">
        <v>618</v>
      </c>
      <c r="E25" s="201">
        <v>3.3</v>
      </c>
      <c r="F25" s="201">
        <v>1</v>
      </c>
      <c r="G25" s="203">
        <v>44026</v>
      </c>
    </row>
    <row r="26" spans="2:18">
      <c r="C26" s="200" t="s">
        <v>402</v>
      </c>
      <c r="D26" s="200" t="s">
        <v>676</v>
      </c>
      <c r="E26" s="201">
        <v>2500</v>
      </c>
      <c r="F26" s="201">
        <v>500</v>
      </c>
      <c r="G26" s="203">
        <v>44363</v>
      </c>
    </row>
    <row r="27" spans="2:18">
      <c r="C27" s="200" t="s">
        <v>544</v>
      </c>
      <c r="D27" s="200" t="s">
        <v>676</v>
      </c>
      <c r="E27" s="201">
        <v>3000</v>
      </c>
      <c r="F27" s="201">
        <f>800/4</f>
        <v>200</v>
      </c>
      <c r="G27" s="203">
        <v>43892</v>
      </c>
      <c r="H27" s="203"/>
    </row>
    <row r="28" spans="2:18">
      <c r="C28" s="200" t="s">
        <v>544</v>
      </c>
      <c r="D28" s="200" t="s">
        <v>424</v>
      </c>
      <c r="E28" s="201">
        <v>65</v>
      </c>
      <c r="F28" s="201">
        <v>10</v>
      </c>
      <c r="G28" s="203">
        <v>45012</v>
      </c>
      <c r="H28" s="203"/>
    </row>
    <row r="29" spans="2:18">
      <c r="C29" s="200" t="s">
        <v>544</v>
      </c>
      <c r="D29" s="200" t="s">
        <v>460</v>
      </c>
      <c r="E29" s="201">
        <v>23</v>
      </c>
      <c r="F29" s="201">
        <v>13</v>
      </c>
      <c r="G29" s="203">
        <v>44963</v>
      </c>
      <c r="H29" s="203"/>
    </row>
    <row r="30" spans="2:18">
      <c r="C30" s="200" t="s">
        <v>549</v>
      </c>
      <c r="D30" s="200" t="s">
        <v>454</v>
      </c>
      <c r="E30" s="201">
        <v>30</v>
      </c>
      <c r="F30" s="201">
        <v>15</v>
      </c>
      <c r="G30" s="203">
        <v>44742</v>
      </c>
      <c r="H30" s="203"/>
    </row>
    <row r="31" spans="2:18">
      <c r="C31" s="200" t="s">
        <v>402</v>
      </c>
      <c r="D31" s="200" t="s">
        <v>1161</v>
      </c>
      <c r="E31" s="201">
        <v>30</v>
      </c>
      <c r="F31" s="201">
        <v>10</v>
      </c>
      <c r="G31" s="203">
        <v>44510</v>
      </c>
      <c r="H31" s="203"/>
    </row>
    <row r="32" spans="2:18">
      <c r="C32" s="211" t="s">
        <v>669</v>
      </c>
      <c r="D32" s="211" t="s">
        <v>701</v>
      </c>
      <c r="E32" s="201">
        <v>4.5</v>
      </c>
      <c r="F32" s="201">
        <v>1.5</v>
      </c>
      <c r="G32" s="203">
        <v>44691</v>
      </c>
      <c r="H32" s="203"/>
    </row>
    <row r="33" spans="2:18">
      <c r="C33" s="238" t="s">
        <v>565</v>
      </c>
      <c r="D33" s="238" t="s">
        <v>1981</v>
      </c>
      <c r="E33" s="201">
        <v>90</v>
      </c>
      <c r="F33" s="201">
        <v>15</v>
      </c>
      <c r="G33" s="203">
        <v>45090</v>
      </c>
      <c r="H33" s="203"/>
    </row>
    <row r="34" spans="2:18">
      <c r="C34" s="238" t="s">
        <v>402</v>
      </c>
      <c r="D34" s="238" t="s">
        <v>1981</v>
      </c>
      <c r="E34" s="201">
        <v>50</v>
      </c>
      <c r="F34" s="201">
        <v>5</v>
      </c>
      <c r="G34" s="203">
        <v>44538</v>
      </c>
      <c r="H34" s="203"/>
    </row>
    <row r="35" spans="2:18">
      <c r="C35" s="249" t="s">
        <v>402</v>
      </c>
      <c r="D35" s="249" t="s">
        <v>1599</v>
      </c>
      <c r="E35" s="201">
        <v>55</v>
      </c>
      <c r="F35" s="201">
        <v>5</v>
      </c>
      <c r="G35" s="203">
        <v>44200</v>
      </c>
      <c r="H35" s="203"/>
    </row>
    <row r="36" spans="2:18">
      <c r="C36" s="249" t="s">
        <v>565</v>
      </c>
      <c r="D36" s="249" t="s">
        <v>1599</v>
      </c>
      <c r="E36" s="201">
        <v>91</v>
      </c>
      <c r="F36" s="201">
        <v>8.75</v>
      </c>
      <c r="G36" s="203">
        <v>44867</v>
      </c>
      <c r="H36" s="203"/>
    </row>
    <row r="37" spans="2:18">
      <c r="C37" s="272" t="s">
        <v>565</v>
      </c>
      <c r="D37" s="272" t="s">
        <v>1754</v>
      </c>
      <c r="E37" s="201">
        <v>40</v>
      </c>
      <c r="F37" s="201">
        <f>20/3</f>
        <v>6.666666666666667</v>
      </c>
      <c r="G37" s="203">
        <v>44599</v>
      </c>
      <c r="H37" s="203"/>
    </row>
    <row r="38" spans="2:18">
      <c r="C38" s="272" t="s">
        <v>755</v>
      </c>
      <c r="D38" s="272" t="s">
        <v>1813</v>
      </c>
      <c r="E38" s="201">
        <v>600</v>
      </c>
      <c r="F38" s="201">
        <f>500/8</f>
        <v>62.5</v>
      </c>
      <c r="G38" s="203">
        <v>44502</v>
      </c>
      <c r="H38" s="203"/>
    </row>
    <row r="39" spans="2:18">
      <c r="C39" s="272" t="s">
        <v>755</v>
      </c>
      <c r="D39" s="272" t="s">
        <v>1818</v>
      </c>
      <c r="E39" s="201">
        <v>676</v>
      </c>
      <c r="F39" s="201">
        <f>500/7</f>
        <v>71.428571428571431</v>
      </c>
      <c r="G39" s="203">
        <v>44299</v>
      </c>
      <c r="H39" s="203"/>
      <c r="I39" s="199">
        <v>4400</v>
      </c>
    </row>
    <row r="40" spans="2:18">
      <c r="C40" s="272" t="s">
        <v>565</v>
      </c>
      <c r="D40" s="272" t="s">
        <v>1818</v>
      </c>
      <c r="E40" s="201">
        <v>250</v>
      </c>
      <c r="F40" s="201">
        <f>170/5</f>
        <v>34</v>
      </c>
      <c r="G40" s="203">
        <v>43886</v>
      </c>
      <c r="H40" s="203"/>
      <c r="I40" s="199">
        <v>2300</v>
      </c>
    </row>
    <row r="41" spans="2:18">
      <c r="C41" s="272" t="s">
        <v>402</v>
      </c>
      <c r="D41" s="272" t="s">
        <v>1818</v>
      </c>
      <c r="E41" s="201">
        <v>150</v>
      </c>
      <c r="F41" s="201">
        <v>20</v>
      </c>
      <c r="G41" s="203">
        <v>43556</v>
      </c>
      <c r="H41" s="203"/>
    </row>
    <row r="42" spans="2:18">
      <c r="C42" s="274" t="s">
        <v>738</v>
      </c>
      <c r="D42" s="274" t="s">
        <v>1824</v>
      </c>
      <c r="E42" s="201">
        <v>400</v>
      </c>
      <c r="F42" s="201">
        <v>36</v>
      </c>
      <c r="G42" s="203">
        <v>44413</v>
      </c>
      <c r="H42" s="203"/>
      <c r="I42" s="199">
        <v>4200</v>
      </c>
    </row>
    <row r="43" spans="2:18">
      <c r="C43" s="274" t="s">
        <v>755</v>
      </c>
      <c r="D43" s="274" t="s">
        <v>1824</v>
      </c>
      <c r="E43" s="201">
        <v>100</v>
      </c>
      <c r="F43" s="201">
        <f>75/6</f>
        <v>12.5</v>
      </c>
      <c r="G43" s="203">
        <v>44067</v>
      </c>
      <c r="H43" s="203"/>
    </row>
    <row r="44" spans="2:18">
      <c r="G44" s="203"/>
    </row>
    <row r="45" spans="2:18" s="64" customFormat="1">
      <c r="B45" s="64" t="s">
        <v>868</v>
      </c>
      <c r="C45" s="191" t="s">
        <v>491</v>
      </c>
      <c r="D45" s="191" t="s">
        <v>759</v>
      </c>
      <c r="E45" s="188"/>
      <c r="F45" s="188">
        <f>SUM(F46:F74)</f>
        <v>933.83333333333337</v>
      </c>
      <c r="G45" s="202">
        <f>G57</f>
        <v>45062</v>
      </c>
      <c r="I45" s="64">
        <v>32400</v>
      </c>
      <c r="J45" s="235">
        <f>+F45/I45</f>
        <v>2.8822016460905351E-2</v>
      </c>
      <c r="K45" s="64">
        <v>2009</v>
      </c>
      <c r="M45" s="191">
        <v>0</v>
      </c>
      <c r="N45" s="188">
        <f>SUM(F53,F57,F61)</f>
        <v>30.5</v>
      </c>
      <c r="O45" s="188">
        <f>SUM(F46,F49,F52,F56,F60,F62,F63)</f>
        <v>342.66666666666669</v>
      </c>
      <c r="P45" s="188">
        <f>SUM(F47,F48,F51,F55,F59,F65)</f>
        <v>357.5</v>
      </c>
      <c r="Q45" s="188">
        <f>SUM(F50,F54,F64)</f>
        <v>45</v>
      </c>
      <c r="R45" s="191">
        <v>0</v>
      </c>
    </row>
    <row r="46" spans="2:18">
      <c r="C46" s="200" t="s">
        <v>544</v>
      </c>
      <c r="D46" s="200" t="s">
        <v>601</v>
      </c>
      <c r="E46" s="201">
        <v>150</v>
      </c>
      <c r="F46" s="201">
        <v>110</v>
      </c>
      <c r="G46" s="203">
        <v>45008</v>
      </c>
    </row>
    <row r="47" spans="2:18">
      <c r="C47" s="200" t="s">
        <v>402</v>
      </c>
      <c r="D47" s="200" t="s">
        <v>409</v>
      </c>
      <c r="E47" s="201">
        <v>100</v>
      </c>
      <c r="F47" s="201">
        <v>85</v>
      </c>
      <c r="G47" s="203">
        <v>45042</v>
      </c>
    </row>
    <row r="48" spans="2:18">
      <c r="C48" s="200" t="s">
        <v>402</v>
      </c>
      <c r="D48" s="200" t="s">
        <v>676</v>
      </c>
      <c r="E48" s="201">
        <v>2500</v>
      </c>
      <c r="F48" s="201">
        <v>182</v>
      </c>
      <c r="G48" s="203">
        <v>44363</v>
      </c>
    </row>
    <row r="49" spans="3:7">
      <c r="C49" s="200" t="s">
        <v>544</v>
      </c>
      <c r="D49" s="200" t="s">
        <v>676</v>
      </c>
      <c r="E49" s="201">
        <v>3000</v>
      </c>
      <c r="F49" s="201">
        <f>800/4</f>
        <v>200</v>
      </c>
      <c r="G49" s="203">
        <v>43892</v>
      </c>
    </row>
    <row r="50" spans="3:7">
      <c r="C50" s="200" t="s">
        <v>565</v>
      </c>
      <c r="D50" s="200" t="s">
        <v>611</v>
      </c>
      <c r="E50" s="201">
        <v>100</v>
      </c>
      <c r="F50" s="201">
        <v>10</v>
      </c>
      <c r="G50" s="203">
        <v>44754</v>
      </c>
    </row>
    <row r="51" spans="3:7">
      <c r="C51" s="200" t="s">
        <v>402</v>
      </c>
      <c r="D51" s="200" t="s">
        <v>611</v>
      </c>
      <c r="E51" s="201">
        <v>35</v>
      </c>
      <c r="F51" s="201">
        <f>E51/2</f>
        <v>17.5</v>
      </c>
      <c r="G51" s="203">
        <v>44172</v>
      </c>
    </row>
    <row r="52" spans="3:7">
      <c r="C52" s="200" t="s">
        <v>544</v>
      </c>
      <c r="D52" s="200" t="s">
        <v>611</v>
      </c>
      <c r="E52" s="201">
        <v>20</v>
      </c>
      <c r="F52" s="201">
        <v>8</v>
      </c>
      <c r="G52" s="203">
        <v>43949</v>
      </c>
    </row>
    <row r="53" spans="3:7">
      <c r="C53" s="200" t="s">
        <v>549</v>
      </c>
      <c r="D53" s="200" t="s">
        <v>611</v>
      </c>
      <c r="E53" s="201">
        <v>5</v>
      </c>
      <c r="F53" s="201">
        <v>1</v>
      </c>
      <c r="G53" s="203">
        <v>43438</v>
      </c>
    </row>
    <row r="54" spans="3:7">
      <c r="C54" s="200" t="s">
        <v>982</v>
      </c>
      <c r="D54" s="200" t="s">
        <v>616</v>
      </c>
      <c r="E54" s="201">
        <v>100</v>
      </c>
      <c r="F54" s="201">
        <v>30</v>
      </c>
      <c r="G54" s="203">
        <v>44537</v>
      </c>
    </row>
    <row r="55" spans="3:7">
      <c r="C55" s="200" t="s">
        <v>402</v>
      </c>
      <c r="D55" s="200" t="s">
        <v>616</v>
      </c>
      <c r="E55" s="201">
        <v>40</v>
      </c>
      <c r="F55" s="201">
        <v>8</v>
      </c>
      <c r="G55" s="203">
        <v>44125</v>
      </c>
    </row>
    <row r="56" spans="3:7">
      <c r="C56" s="200" t="s">
        <v>544</v>
      </c>
      <c r="D56" s="200" t="s">
        <v>616</v>
      </c>
      <c r="E56" s="201">
        <v>20</v>
      </c>
      <c r="F56" s="201">
        <v>8</v>
      </c>
      <c r="G56" s="203">
        <v>43816</v>
      </c>
    </row>
    <row r="57" spans="3:7">
      <c r="C57" s="200" t="s">
        <v>549</v>
      </c>
      <c r="D57" s="200" t="s">
        <v>570</v>
      </c>
      <c r="E57" s="201">
        <v>50</v>
      </c>
      <c r="F57" s="201">
        <v>25</v>
      </c>
      <c r="G57" s="203">
        <v>45062</v>
      </c>
    </row>
    <row r="58" spans="3:7">
      <c r="C58" s="200" t="s">
        <v>544</v>
      </c>
      <c r="D58" s="200" t="s">
        <v>1198</v>
      </c>
      <c r="G58" s="203"/>
    </row>
    <row r="59" spans="3:7">
      <c r="C59" s="200" t="s">
        <v>402</v>
      </c>
      <c r="D59" s="200" t="s">
        <v>392</v>
      </c>
      <c r="E59" s="201">
        <v>97.4</v>
      </c>
      <c r="F59" s="201">
        <v>50</v>
      </c>
      <c r="G59" s="203">
        <v>45041</v>
      </c>
    </row>
    <row r="60" spans="3:7">
      <c r="C60" s="200" t="s">
        <v>544</v>
      </c>
      <c r="D60" s="200" t="s">
        <v>392</v>
      </c>
      <c r="E60" s="201">
        <v>80</v>
      </c>
      <c r="F60" s="201">
        <f>40/6</f>
        <v>6.666666666666667</v>
      </c>
      <c r="G60" s="203">
        <v>44539</v>
      </c>
    </row>
    <row r="61" spans="3:7">
      <c r="C61" s="200" t="s">
        <v>549</v>
      </c>
      <c r="D61" s="200" t="s">
        <v>392</v>
      </c>
      <c r="E61" s="201">
        <v>4.5</v>
      </c>
      <c r="F61" s="201">
        <v>4.5</v>
      </c>
      <c r="G61" s="203">
        <v>43395</v>
      </c>
    </row>
    <row r="62" spans="3:7">
      <c r="C62" s="200" t="s">
        <v>544</v>
      </c>
      <c r="D62" s="200" t="s">
        <v>546</v>
      </c>
      <c r="E62" s="201">
        <v>5.6</v>
      </c>
      <c r="F62" s="201">
        <v>3</v>
      </c>
      <c r="G62" s="203">
        <v>44292</v>
      </c>
    </row>
    <row r="63" spans="3:7">
      <c r="C63" s="218" t="s">
        <v>544</v>
      </c>
      <c r="D63" s="218" t="s">
        <v>706</v>
      </c>
      <c r="E63" s="201">
        <v>12.5</v>
      </c>
      <c r="F63" s="201">
        <v>7</v>
      </c>
      <c r="G63" s="203">
        <v>44978</v>
      </c>
    </row>
    <row r="64" spans="3:7">
      <c r="C64" s="225" t="s">
        <v>565</v>
      </c>
      <c r="D64" s="225" t="s">
        <v>445</v>
      </c>
      <c r="E64" s="201">
        <v>60</v>
      </c>
      <c r="F64" s="201">
        <v>5</v>
      </c>
      <c r="G64" s="203">
        <v>43606</v>
      </c>
    </row>
    <row r="65" spans="2:18">
      <c r="C65" s="225" t="s">
        <v>402</v>
      </c>
      <c r="D65" s="225" t="s">
        <v>445</v>
      </c>
      <c r="E65" s="201">
        <v>30</v>
      </c>
      <c r="F65" s="201">
        <v>15</v>
      </c>
      <c r="G65" s="203">
        <v>43396</v>
      </c>
    </row>
    <row r="66" spans="2:18">
      <c r="C66" s="252" t="s">
        <v>544</v>
      </c>
      <c r="D66" s="252" t="s">
        <v>1659</v>
      </c>
      <c r="E66" s="201">
        <v>30</v>
      </c>
      <c r="F66" s="201">
        <v>4</v>
      </c>
      <c r="G66" s="203">
        <v>44474</v>
      </c>
    </row>
    <row r="67" spans="2:18">
      <c r="C67" s="252" t="s">
        <v>549</v>
      </c>
      <c r="D67" s="252" t="s">
        <v>1659</v>
      </c>
      <c r="E67" s="201">
        <v>15</v>
      </c>
      <c r="F67" s="201">
        <f>10/4</f>
        <v>2.5</v>
      </c>
      <c r="G67" s="203">
        <v>43775</v>
      </c>
    </row>
    <row r="68" spans="2:18">
      <c r="C68" s="282" t="s">
        <v>738</v>
      </c>
      <c r="D68" s="282" t="s">
        <v>1940</v>
      </c>
      <c r="E68" s="201">
        <v>230</v>
      </c>
      <c r="F68" s="201">
        <v>24</v>
      </c>
      <c r="G68" s="203">
        <v>44984</v>
      </c>
      <c r="I68" s="199">
        <v>2000</v>
      </c>
      <c r="J68" s="199">
        <v>2000</v>
      </c>
    </row>
    <row r="69" spans="2:18">
      <c r="C69" s="282" t="s">
        <v>755</v>
      </c>
      <c r="D69" s="282" t="s">
        <v>1940</v>
      </c>
      <c r="E69" s="201">
        <v>170</v>
      </c>
      <c r="F69" s="201">
        <v>60</v>
      </c>
      <c r="G69" s="203">
        <v>44255</v>
      </c>
      <c r="I69" s="199">
        <v>830</v>
      </c>
      <c r="J69" s="199">
        <v>2000</v>
      </c>
    </row>
    <row r="70" spans="2:18">
      <c r="C70" s="282" t="s">
        <v>402</v>
      </c>
      <c r="D70" s="282" t="s">
        <v>1940</v>
      </c>
      <c r="E70" s="201">
        <v>42</v>
      </c>
      <c r="F70" s="201">
        <f>22/3</f>
        <v>7.333333333333333</v>
      </c>
      <c r="G70" s="203">
        <v>43144</v>
      </c>
      <c r="J70" s="199">
        <v>2000</v>
      </c>
    </row>
    <row r="71" spans="2:18">
      <c r="C71" s="282" t="s">
        <v>544</v>
      </c>
      <c r="D71" s="282" t="s">
        <v>1940</v>
      </c>
      <c r="E71" s="201">
        <v>25</v>
      </c>
      <c r="F71" s="201">
        <v>15</v>
      </c>
      <c r="G71" s="203">
        <v>42374</v>
      </c>
      <c r="J71" s="199">
        <v>2000</v>
      </c>
    </row>
    <row r="72" spans="2:18">
      <c r="C72" s="282" t="s">
        <v>549</v>
      </c>
      <c r="D72" s="282" t="s">
        <v>1940</v>
      </c>
      <c r="E72" s="201">
        <v>3</v>
      </c>
      <c r="F72" s="201">
        <v>2</v>
      </c>
      <c r="G72" s="203">
        <v>42019</v>
      </c>
      <c r="J72" s="199">
        <v>2000</v>
      </c>
    </row>
    <row r="73" spans="2:18">
      <c r="C73" s="282" t="s">
        <v>738</v>
      </c>
      <c r="D73" s="282" t="s">
        <v>1949</v>
      </c>
      <c r="E73" s="201">
        <v>90</v>
      </c>
      <c r="F73" s="201">
        <v>10</v>
      </c>
      <c r="G73" s="203">
        <v>44721</v>
      </c>
      <c r="I73" s="199">
        <v>2200</v>
      </c>
      <c r="J73" s="199">
        <v>2200</v>
      </c>
    </row>
    <row r="74" spans="2:18">
      <c r="C74" s="282" t="s">
        <v>755</v>
      </c>
      <c r="D74" s="282" t="s">
        <v>1949</v>
      </c>
      <c r="E74" s="201">
        <v>210</v>
      </c>
      <c r="F74" s="201">
        <v>33.333333333333336</v>
      </c>
      <c r="G74" s="203">
        <v>44432</v>
      </c>
      <c r="I74" s="199">
        <v>1000</v>
      </c>
      <c r="J74" s="199">
        <v>2200</v>
      </c>
    </row>
    <row r="75" spans="2:18">
      <c r="C75" s="282" t="s">
        <v>402</v>
      </c>
      <c r="D75" s="282" t="s">
        <v>1949</v>
      </c>
      <c r="E75" s="201">
        <v>25</v>
      </c>
      <c r="F75" s="201">
        <v>4</v>
      </c>
      <c r="G75" s="203">
        <v>43697</v>
      </c>
      <c r="J75" s="199">
        <v>2200</v>
      </c>
    </row>
    <row r="76" spans="2:18">
      <c r="C76" s="282" t="s">
        <v>544</v>
      </c>
      <c r="D76" s="282" t="s">
        <v>1949</v>
      </c>
      <c r="E76" s="201">
        <v>10</v>
      </c>
      <c r="F76" s="201">
        <v>2.5</v>
      </c>
      <c r="G76" s="203">
        <v>43456</v>
      </c>
      <c r="J76" s="199">
        <v>2200</v>
      </c>
    </row>
    <row r="77" spans="2:18">
      <c r="C77" s="282" t="s">
        <v>544</v>
      </c>
      <c r="D77" s="282" t="s">
        <v>1949</v>
      </c>
      <c r="E77" s="201">
        <v>10.5</v>
      </c>
      <c r="F77" s="201">
        <v>4.5</v>
      </c>
      <c r="G77" s="203">
        <v>42828</v>
      </c>
      <c r="J77" s="199">
        <v>2200</v>
      </c>
    </row>
    <row r="78" spans="2:18">
      <c r="G78" s="203"/>
    </row>
    <row r="79" spans="2:18" s="64" customFormat="1">
      <c r="B79" s="64" t="s">
        <v>942</v>
      </c>
      <c r="C79" s="191" t="s">
        <v>491</v>
      </c>
      <c r="D79" s="191" t="s">
        <v>759</v>
      </c>
      <c r="E79" s="188"/>
      <c r="F79" s="188">
        <f>SUM(F80:F84)</f>
        <v>744.15151515151513</v>
      </c>
      <c r="G79" s="202">
        <f>+G80</f>
        <v>44363</v>
      </c>
      <c r="I79" s="191" t="s">
        <v>496</v>
      </c>
      <c r="J79" s="191" t="s">
        <v>496</v>
      </c>
      <c r="K79" s="191" t="s">
        <v>496</v>
      </c>
      <c r="M79" s="191">
        <v>0</v>
      </c>
      <c r="N79" s="191">
        <v>0</v>
      </c>
      <c r="O79" s="188">
        <f>F81</f>
        <v>500</v>
      </c>
      <c r="P79" s="188">
        <f>F80</f>
        <v>181.81818181818181</v>
      </c>
      <c r="Q79" s="191">
        <v>0</v>
      </c>
      <c r="R79" s="188">
        <f>F82</f>
        <v>25</v>
      </c>
    </row>
    <row r="80" spans="2:18">
      <c r="C80" s="200" t="s">
        <v>402</v>
      </c>
      <c r="D80" s="200" t="s">
        <v>676</v>
      </c>
      <c r="E80" s="201">
        <v>2500</v>
      </c>
      <c r="F80" s="201">
        <f t="shared" ref="F80:F240" si="0">2000/11</f>
        <v>181.81818181818181</v>
      </c>
      <c r="G80" s="203">
        <v>44363</v>
      </c>
    </row>
    <row r="81" spans="2:18">
      <c r="C81" s="200" t="s">
        <v>544</v>
      </c>
      <c r="D81" s="200" t="s">
        <v>676</v>
      </c>
      <c r="E81" s="201">
        <v>3000</v>
      </c>
      <c r="F81" s="201">
        <v>500</v>
      </c>
      <c r="G81" s="203">
        <v>43892</v>
      </c>
    </row>
    <row r="82" spans="2:18">
      <c r="C82" s="225" t="s">
        <v>755</v>
      </c>
      <c r="D82" s="225" t="s">
        <v>445</v>
      </c>
      <c r="E82" s="201">
        <v>100</v>
      </c>
      <c r="F82" s="201">
        <v>25</v>
      </c>
      <c r="G82" s="203">
        <v>44419</v>
      </c>
    </row>
    <row r="83" spans="2:18">
      <c r="C83" s="252" t="s">
        <v>402</v>
      </c>
      <c r="D83" s="252" t="s">
        <v>1628</v>
      </c>
      <c r="E83" s="201">
        <v>40</v>
      </c>
      <c r="F83" s="201">
        <v>4</v>
      </c>
      <c r="G83" s="253">
        <v>43419</v>
      </c>
    </row>
    <row r="84" spans="2:18">
      <c r="C84" s="272" t="s">
        <v>755</v>
      </c>
      <c r="D84" s="272" t="s">
        <v>1817</v>
      </c>
      <c r="E84" s="201">
        <v>700</v>
      </c>
      <c r="F84" s="201">
        <f>400/12</f>
        <v>33.333333333333336</v>
      </c>
      <c r="G84" s="253">
        <v>44218</v>
      </c>
    </row>
    <row r="85" spans="2:18">
      <c r="G85" s="203"/>
    </row>
    <row r="86" spans="2:18" s="64" customFormat="1">
      <c r="B86" s="64" t="s">
        <v>940</v>
      </c>
      <c r="C86" s="191" t="s">
        <v>491</v>
      </c>
      <c r="D86" s="191" t="s">
        <v>759</v>
      </c>
      <c r="E86" s="188"/>
      <c r="F86" s="188">
        <f>SUM(F87:F91)</f>
        <v>744.31818181818176</v>
      </c>
      <c r="G86" s="202">
        <f>G89</f>
        <v>44819</v>
      </c>
      <c r="I86" s="64">
        <v>92000</v>
      </c>
      <c r="J86" s="235">
        <f>+F86/I86</f>
        <v>8.090415019762846E-3</v>
      </c>
      <c r="K86" s="64">
        <v>1999</v>
      </c>
      <c r="M86" s="191">
        <v>0</v>
      </c>
      <c r="N86" s="191">
        <v>0</v>
      </c>
      <c r="O86" s="188">
        <f>SUM(F88:F89)</f>
        <v>503</v>
      </c>
      <c r="P86" s="188">
        <f>SUM(F87)</f>
        <v>181.81818181818181</v>
      </c>
      <c r="Q86" s="191">
        <v>0</v>
      </c>
      <c r="R86" s="188">
        <f>SUM(F90)</f>
        <v>22</v>
      </c>
    </row>
    <row r="87" spans="2:18">
      <c r="C87" s="200" t="s">
        <v>402</v>
      </c>
      <c r="D87" s="200" t="s">
        <v>676</v>
      </c>
      <c r="E87" s="201">
        <v>2500</v>
      </c>
      <c r="F87" s="201">
        <f t="shared" si="0"/>
        <v>181.81818181818181</v>
      </c>
      <c r="G87" s="203">
        <v>44363</v>
      </c>
    </row>
    <row r="88" spans="2:18">
      <c r="C88" s="200" t="s">
        <v>544</v>
      </c>
      <c r="D88" s="200" t="s">
        <v>676</v>
      </c>
      <c r="E88" s="201">
        <v>3000</v>
      </c>
      <c r="F88" s="201">
        <v>500</v>
      </c>
      <c r="G88" s="203">
        <v>43892</v>
      </c>
    </row>
    <row r="89" spans="2:18">
      <c r="C89" s="222" t="s">
        <v>544</v>
      </c>
      <c r="D89" s="222" t="s">
        <v>1853</v>
      </c>
      <c r="E89" s="201">
        <v>10.6</v>
      </c>
      <c r="F89" s="201">
        <v>3</v>
      </c>
      <c r="G89" s="203">
        <v>44819</v>
      </c>
    </row>
    <row r="90" spans="2:18">
      <c r="C90" s="228" t="s">
        <v>813</v>
      </c>
      <c r="D90" s="228" t="s">
        <v>2428</v>
      </c>
      <c r="E90" s="201">
        <v>270</v>
      </c>
      <c r="F90" s="201">
        <v>22</v>
      </c>
      <c r="G90" s="203">
        <v>44152</v>
      </c>
    </row>
    <row r="91" spans="2:18">
      <c r="C91" s="282" t="s">
        <v>738</v>
      </c>
      <c r="D91" s="282" t="s">
        <v>1938</v>
      </c>
      <c r="E91" s="201">
        <v>248</v>
      </c>
      <c r="F91" s="201">
        <f>150/4</f>
        <v>37.5</v>
      </c>
      <c r="G91" s="203">
        <v>43678</v>
      </c>
    </row>
    <row r="92" spans="2:18">
      <c r="G92" s="203"/>
    </row>
    <row r="93" spans="2:18" s="64" customFormat="1">
      <c r="B93" s="64" t="s">
        <v>944</v>
      </c>
      <c r="C93" s="191" t="s">
        <v>491</v>
      </c>
      <c r="D93" s="191" t="s">
        <v>759</v>
      </c>
      <c r="E93" s="188"/>
      <c r="F93" s="188">
        <f>SUM(F94:F98)</f>
        <v>704.81818181818176</v>
      </c>
      <c r="G93" s="202">
        <f>+G96</f>
        <v>45020</v>
      </c>
      <c r="I93" s="191" t="s">
        <v>496</v>
      </c>
      <c r="J93" s="191" t="s">
        <v>496</v>
      </c>
      <c r="K93" s="191" t="s">
        <v>496</v>
      </c>
      <c r="M93" s="191">
        <v>0</v>
      </c>
      <c r="N93" s="191">
        <v>0</v>
      </c>
      <c r="O93" s="188">
        <f>F95</f>
        <v>500</v>
      </c>
      <c r="P93" s="188">
        <f>F94</f>
        <v>181.81818181818181</v>
      </c>
      <c r="Q93" s="188">
        <f>SUM(F96:F97)</f>
        <v>17</v>
      </c>
      <c r="R93" s="191">
        <v>0</v>
      </c>
    </row>
    <row r="94" spans="2:18">
      <c r="C94" s="200" t="s">
        <v>402</v>
      </c>
      <c r="D94" s="200" t="s">
        <v>676</v>
      </c>
      <c r="E94" s="201">
        <v>2500</v>
      </c>
      <c r="F94" s="201">
        <f t="shared" si="0"/>
        <v>181.81818181818181</v>
      </c>
      <c r="G94" s="203">
        <v>44363</v>
      </c>
    </row>
    <row r="95" spans="2:18">
      <c r="C95" s="200" t="s">
        <v>544</v>
      </c>
      <c r="D95" s="200" t="s">
        <v>676</v>
      </c>
      <c r="E95" s="201">
        <v>3000</v>
      </c>
      <c r="F95" s="201">
        <v>500</v>
      </c>
      <c r="G95" s="203">
        <v>43892</v>
      </c>
    </row>
    <row r="96" spans="2:18">
      <c r="C96" s="228" t="s">
        <v>565</v>
      </c>
      <c r="D96" s="228" t="s">
        <v>1576</v>
      </c>
      <c r="E96" s="201">
        <v>75</v>
      </c>
      <c r="F96" s="201">
        <v>7</v>
      </c>
      <c r="G96" s="203">
        <v>45020</v>
      </c>
    </row>
    <row r="97" spans="2:18">
      <c r="C97" s="228" t="s">
        <v>565</v>
      </c>
      <c r="D97" s="228" t="s">
        <v>1576</v>
      </c>
      <c r="E97" s="201">
        <v>80</v>
      </c>
      <c r="F97" s="201">
        <v>10</v>
      </c>
      <c r="G97" s="203">
        <v>44404</v>
      </c>
    </row>
    <row r="98" spans="2:18">
      <c r="C98" s="249" t="s">
        <v>544</v>
      </c>
      <c r="D98" s="249" t="s">
        <v>1609</v>
      </c>
      <c r="E98" s="201">
        <v>57</v>
      </c>
      <c r="F98" s="201">
        <v>6</v>
      </c>
      <c r="G98" s="203">
        <v>44508</v>
      </c>
    </row>
    <row r="99" spans="2:18">
      <c r="G99" s="203"/>
    </row>
    <row r="100" spans="2:18" s="64" customFormat="1">
      <c r="B100" s="64" t="s">
        <v>249</v>
      </c>
      <c r="C100" s="191" t="s">
        <v>491</v>
      </c>
      <c r="D100" s="191" t="s">
        <v>759</v>
      </c>
      <c r="E100" s="188"/>
      <c r="F100" s="188">
        <f>SUM(F101:F123)</f>
        <v>863.93722943722946</v>
      </c>
      <c r="G100" s="202">
        <f>G118</f>
        <v>44851</v>
      </c>
      <c r="I100" s="64">
        <v>58000</v>
      </c>
      <c r="J100" s="236">
        <f>+F100/I100</f>
        <v>1.4895469473055681E-2</v>
      </c>
      <c r="K100" s="64">
        <v>2001</v>
      </c>
      <c r="M100" s="191">
        <v>0</v>
      </c>
      <c r="N100" s="191">
        <v>0</v>
      </c>
      <c r="O100" s="188">
        <f>SUM(F104,F111,F112,F114)</f>
        <v>23.333333333333332</v>
      </c>
      <c r="P100" s="188">
        <f>SUM(F103,F106,F109,F110)</f>
        <v>260.81818181818181</v>
      </c>
      <c r="Q100" s="188">
        <f>SUM(F107,F108,F113,F117)</f>
        <v>99.285714285714292</v>
      </c>
      <c r="R100" s="188">
        <f>SUM(F101,F102,F115,F116)</f>
        <v>179</v>
      </c>
    </row>
    <row r="101" spans="2:18">
      <c r="C101" s="200" t="s">
        <v>738</v>
      </c>
      <c r="D101" s="200" t="s">
        <v>751</v>
      </c>
      <c r="E101" s="201">
        <v>325</v>
      </c>
      <c r="F101" s="201">
        <v>65</v>
      </c>
      <c r="G101" s="203">
        <v>44299</v>
      </c>
    </row>
    <row r="102" spans="2:18">
      <c r="C102" s="200" t="s">
        <v>755</v>
      </c>
      <c r="D102" s="200" t="s">
        <v>751</v>
      </c>
      <c r="E102" s="201">
        <v>155</v>
      </c>
      <c r="F102" s="201">
        <v>50</v>
      </c>
      <c r="G102" s="203">
        <v>44166</v>
      </c>
    </row>
    <row r="103" spans="2:18">
      <c r="C103" s="200" t="s">
        <v>402</v>
      </c>
      <c r="D103" s="200" t="s">
        <v>404</v>
      </c>
      <c r="E103" s="201">
        <v>130</v>
      </c>
      <c r="F103" s="201">
        <v>60</v>
      </c>
      <c r="G103" s="203">
        <v>44607</v>
      </c>
    </row>
    <row r="104" spans="2:18">
      <c r="C104" s="200" t="s">
        <v>544</v>
      </c>
      <c r="D104" s="200" t="s">
        <v>409</v>
      </c>
      <c r="E104" s="201">
        <v>28</v>
      </c>
      <c r="F104" s="201">
        <v>6</v>
      </c>
      <c r="G104" s="203">
        <v>44649</v>
      </c>
    </row>
    <row r="105" spans="2:18">
      <c r="C105" s="200" t="s">
        <v>565</v>
      </c>
      <c r="D105" s="200" t="s">
        <v>617</v>
      </c>
      <c r="E105" s="201">
        <v>85</v>
      </c>
      <c r="F105" s="201">
        <v>55</v>
      </c>
      <c r="G105" s="203">
        <v>44501</v>
      </c>
    </row>
    <row r="106" spans="2:18">
      <c r="C106" s="200" t="s">
        <v>402</v>
      </c>
      <c r="D106" s="200" t="s">
        <v>676</v>
      </c>
      <c r="E106" s="201">
        <v>2500</v>
      </c>
      <c r="F106" s="201">
        <f t="shared" ref="F106" si="1">2000/11</f>
        <v>181.81818181818181</v>
      </c>
      <c r="G106" s="203">
        <v>44363</v>
      </c>
    </row>
    <row r="107" spans="2:18">
      <c r="C107" s="200" t="s">
        <v>565</v>
      </c>
      <c r="D107" s="200" t="s">
        <v>611</v>
      </c>
      <c r="E107" s="201">
        <v>100</v>
      </c>
      <c r="F107" s="201">
        <v>10</v>
      </c>
      <c r="G107" s="203">
        <v>44754</v>
      </c>
    </row>
    <row r="108" spans="2:18">
      <c r="C108" s="200" t="s">
        <v>565</v>
      </c>
      <c r="D108" s="200" t="s">
        <v>626</v>
      </c>
      <c r="E108" s="201">
        <v>50</v>
      </c>
      <c r="F108" s="201">
        <v>25</v>
      </c>
      <c r="G108" s="203">
        <v>44496</v>
      </c>
    </row>
    <row r="109" spans="2:18">
      <c r="C109" s="200" t="s">
        <v>402</v>
      </c>
      <c r="D109" s="200" t="s">
        <v>630</v>
      </c>
      <c r="E109" s="201">
        <v>50</v>
      </c>
      <c r="F109" s="201">
        <v>7</v>
      </c>
      <c r="G109" s="203">
        <v>44628</v>
      </c>
    </row>
    <row r="110" spans="2:18">
      <c r="C110" s="200" t="s">
        <v>402</v>
      </c>
      <c r="D110" s="200" t="s">
        <v>655</v>
      </c>
      <c r="E110" s="201">
        <v>30</v>
      </c>
      <c r="F110" s="201">
        <v>12</v>
      </c>
      <c r="G110" s="203">
        <v>44539</v>
      </c>
    </row>
    <row r="111" spans="2:18">
      <c r="C111" s="200" t="s">
        <v>544</v>
      </c>
      <c r="D111" s="200" t="s">
        <v>672</v>
      </c>
      <c r="E111" s="201">
        <v>25</v>
      </c>
      <c r="F111" s="201">
        <v>10</v>
      </c>
      <c r="G111" s="203">
        <v>44615</v>
      </c>
    </row>
    <row r="112" spans="2:18">
      <c r="C112" s="211" t="s">
        <v>544</v>
      </c>
      <c r="D112" s="211" t="s">
        <v>702</v>
      </c>
      <c r="E112" s="201">
        <v>14</v>
      </c>
      <c r="F112" s="201">
        <v>5</v>
      </c>
      <c r="G112" s="203">
        <v>44705</v>
      </c>
    </row>
    <row r="113" spans="2:18">
      <c r="C113" s="211" t="s">
        <v>565</v>
      </c>
      <c r="D113" s="211" t="s">
        <v>433</v>
      </c>
      <c r="E113" s="201">
        <v>200</v>
      </c>
      <c r="F113" s="201">
        <v>50</v>
      </c>
      <c r="G113" s="203">
        <v>44377</v>
      </c>
    </row>
    <row r="114" spans="2:18">
      <c r="C114" s="222" t="s">
        <v>544</v>
      </c>
      <c r="D114" s="222" t="s">
        <v>719</v>
      </c>
      <c r="E114" s="201">
        <v>11</v>
      </c>
      <c r="F114" s="201">
        <f>7/3</f>
        <v>2.3333333333333335</v>
      </c>
      <c r="G114" s="203">
        <v>44483</v>
      </c>
    </row>
    <row r="115" spans="2:18">
      <c r="C115" s="228" t="s">
        <v>2426</v>
      </c>
      <c r="D115" s="228" t="s">
        <v>2428</v>
      </c>
      <c r="E115" s="201">
        <v>250</v>
      </c>
      <c r="F115" s="201">
        <v>50</v>
      </c>
      <c r="G115" s="203">
        <v>44376</v>
      </c>
    </row>
    <row r="116" spans="2:18">
      <c r="C116" s="228" t="s">
        <v>738</v>
      </c>
      <c r="D116" s="228" t="s">
        <v>2428</v>
      </c>
      <c r="E116" s="201">
        <v>206</v>
      </c>
      <c r="F116" s="201">
        <v>14</v>
      </c>
      <c r="G116" s="203">
        <v>43725</v>
      </c>
    </row>
    <row r="117" spans="2:18">
      <c r="C117" s="245" t="s">
        <v>565</v>
      </c>
      <c r="D117" s="245" t="s">
        <v>2853</v>
      </c>
      <c r="E117" s="201">
        <v>130</v>
      </c>
      <c r="F117" s="201">
        <f>100/7</f>
        <v>14.285714285714286</v>
      </c>
      <c r="G117" s="203">
        <v>44323</v>
      </c>
    </row>
    <row r="118" spans="2:18">
      <c r="C118" s="272" t="s">
        <v>544</v>
      </c>
      <c r="D118" s="272" t="s">
        <v>1755</v>
      </c>
      <c r="E118" s="201">
        <v>32</v>
      </c>
      <c r="F118" s="201">
        <v>11</v>
      </c>
      <c r="G118" s="203">
        <v>44851</v>
      </c>
    </row>
    <row r="119" spans="2:18">
      <c r="C119" s="272" t="s">
        <v>544</v>
      </c>
      <c r="D119" s="272" t="s">
        <v>1755</v>
      </c>
      <c r="E119" s="201">
        <v>26</v>
      </c>
      <c r="F119" s="201">
        <v>13</v>
      </c>
      <c r="G119" s="203">
        <v>44453</v>
      </c>
    </row>
    <row r="120" spans="2:18">
      <c r="C120" s="272" t="s">
        <v>755</v>
      </c>
      <c r="D120" s="272" t="s">
        <v>1813</v>
      </c>
      <c r="E120" s="201">
        <v>600</v>
      </c>
      <c r="F120" s="201">
        <v>100</v>
      </c>
      <c r="G120" s="203">
        <v>44502</v>
      </c>
    </row>
    <row r="121" spans="2:18">
      <c r="C121" s="272" t="s">
        <v>738</v>
      </c>
      <c r="D121" s="272" t="s">
        <v>1824</v>
      </c>
      <c r="E121" s="201">
        <v>400</v>
      </c>
      <c r="F121" s="201">
        <v>80</v>
      </c>
      <c r="G121" s="203">
        <v>44413</v>
      </c>
    </row>
    <row r="122" spans="2:18">
      <c r="C122" s="274" t="s">
        <v>755</v>
      </c>
      <c r="D122" s="272" t="s">
        <v>1824</v>
      </c>
      <c r="E122" s="201">
        <v>100</v>
      </c>
      <c r="F122" s="201">
        <f>75/6</f>
        <v>12.5</v>
      </c>
      <c r="G122" s="203">
        <v>44067</v>
      </c>
    </row>
    <row r="123" spans="2:18">
      <c r="C123" s="282" t="s">
        <v>738</v>
      </c>
      <c r="D123" s="282" t="s">
        <v>4285</v>
      </c>
      <c r="E123" s="201">
        <v>250</v>
      </c>
      <c r="F123" s="201">
        <f>150/5</f>
        <v>30</v>
      </c>
      <c r="G123" s="203">
        <v>44350</v>
      </c>
      <c r="I123" s="199">
        <v>7000</v>
      </c>
      <c r="J123" s="199">
        <v>7000</v>
      </c>
    </row>
    <row r="124" spans="2:18">
      <c r="G124" s="203"/>
    </row>
    <row r="125" spans="2:18" s="64" customFormat="1">
      <c r="B125" s="64" t="s">
        <v>938</v>
      </c>
      <c r="C125" s="191" t="s">
        <v>491</v>
      </c>
      <c r="D125" s="191" t="s">
        <v>759</v>
      </c>
      <c r="E125" s="188"/>
      <c r="F125" s="188">
        <f>SUM(F126:F130)</f>
        <v>716.31818181818176</v>
      </c>
      <c r="G125" s="202">
        <f>G129</f>
        <v>44502</v>
      </c>
      <c r="I125" s="191" t="s">
        <v>496</v>
      </c>
      <c r="J125" s="191" t="s">
        <v>496</v>
      </c>
      <c r="K125" s="191" t="s">
        <v>496</v>
      </c>
      <c r="M125" s="191">
        <v>0</v>
      </c>
      <c r="N125" s="191">
        <v>0</v>
      </c>
      <c r="O125" s="188">
        <f>F127</f>
        <v>250</v>
      </c>
      <c r="P125" s="188">
        <f>F126</f>
        <v>181.81818181818181</v>
      </c>
      <c r="Q125" s="191">
        <v>0</v>
      </c>
      <c r="R125" s="188">
        <f>F128</f>
        <v>22</v>
      </c>
    </row>
    <row r="126" spans="2:18">
      <c r="C126" s="200" t="s">
        <v>402</v>
      </c>
      <c r="D126" s="200" t="s">
        <v>676</v>
      </c>
      <c r="E126" s="201">
        <v>2500</v>
      </c>
      <c r="F126" s="201">
        <f>2000/11</f>
        <v>181.81818181818181</v>
      </c>
      <c r="G126" s="203">
        <v>44363</v>
      </c>
    </row>
    <row r="127" spans="2:18">
      <c r="C127" s="200" t="s">
        <v>544</v>
      </c>
      <c r="D127" s="200" t="s">
        <v>676</v>
      </c>
      <c r="E127" s="201">
        <v>3000</v>
      </c>
      <c r="F127" s="201">
        <v>250</v>
      </c>
      <c r="G127" s="203">
        <v>43963</v>
      </c>
    </row>
    <row r="128" spans="2:18">
      <c r="C128" s="228" t="s">
        <v>813</v>
      </c>
      <c r="D128" s="228" t="s">
        <v>2428</v>
      </c>
      <c r="E128" s="201">
        <v>270</v>
      </c>
      <c r="F128" s="201">
        <v>22</v>
      </c>
      <c r="G128" s="203">
        <v>44152</v>
      </c>
    </row>
    <row r="129" spans="2:18">
      <c r="C129" s="272" t="s">
        <v>755</v>
      </c>
      <c r="D129" s="272" t="s">
        <v>1813</v>
      </c>
      <c r="E129" s="201">
        <v>600</v>
      </c>
      <c r="F129" s="201">
        <f>500/8</f>
        <v>62.5</v>
      </c>
      <c r="G129" s="203">
        <v>44502</v>
      </c>
    </row>
    <row r="130" spans="2:18">
      <c r="C130" s="272" t="s">
        <v>565</v>
      </c>
      <c r="D130" s="272" t="s">
        <v>1813</v>
      </c>
      <c r="E130" s="201">
        <v>500</v>
      </c>
      <c r="F130" s="201">
        <v>200</v>
      </c>
      <c r="G130" s="203">
        <v>44144</v>
      </c>
    </row>
    <row r="131" spans="2:18">
      <c r="G131" s="203"/>
    </row>
    <row r="132" spans="2:18" s="64" customFormat="1">
      <c r="B132" s="64" t="s">
        <v>946</v>
      </c>
      <c r="C132" s="191" t="s">
        <v>491</v>
      </c>
      <c r="D132" s="191" t="s">
        <v>759</v>
      </c>
      <c r="E132" s="188"/>
      <c r="F132" s="188">
        <f>SUM(F133:F141)</f>
        <v>654.84199134199127</v>
      </c>
      <c r="G132" s="202">
        <f>G135</f>
        <v>44860</v>
      </c>
      <c r="I132" s="228" t="s">
        <v>496</v>
      </c>
      <c r="J132" s="228" t="s">
        <v>496</v>
      </c>
      <c r="K132" s="228" t="s">
        <v>496</v>
      </c>
      <c r="M132" s="191">
        <v>0</v>
      </c>
      <c r="N132" s="191">
        <v>0</v>
      </c>
      <c r="O132" s="188">
        <f>F134</f>
        <v>250</v>
      </c>
      <c r="P132" s="188">
        <f>SUM(F133,F135,F136,F137)</f>
        <v>235.81818181818181</v>
      </c>
      <c r="Q132" s="191">
        <v>0</v>
      </c>
      <c r="R132" s="191">
        <v>0</v>
      </c>
    </row>
    <row r="133" spans="2:18">
      <c r="C133" s="200" t="s">
        <v>402</v>
      </c>
      <c r="D133" s="200" t="s">
        <v>676</v>
      </c>
      <c r="E133" s="201">
        <v>2500</v>
      </c>
      <c r="F133" s="201">
        <f t="shared" si="0"/>
        <v>181.81818181818181</v>
      </c>
      <c r="G133" s="203">
        <v>44363</v>
      </c>
    </row>
    <row r="134" spans="2:18">
      <c r="C134" s="200" t="s">
        <v>544</v>
      </c>
      <c r="D134" s="200" t="s">
        <v>676</v>
      </c>
      <c r="E134" s="201">
        <v>3000</v>
      </c>
      <c r="F134" s="201">
        <v>250</v>
      </c>
      <c r="G134" s="203">
        <v>43963</v>
      </c>
    </row>
    <row r="135" spans="2:18">
      <c r="C135" s="240" t="s">
        <v>402</v>
      </c>
      <c r="D135" s="240" t="s">
        <v>2780</v>
      </c>
      <c r="E135" s="201">
        <v>37</v>
      </c>
      <c r="F135" s="201">
        <v>4</v>
      </c>
      <c r="G135" s="203">
        <v>44860</v>
      </c>
    </row>
    <row r="136" spans="2:18">
      <c r="C136" s="240" t="s">
        <v>402</v>
      </c>
      <c r="D136" s="240" t="s">
        <v>2780</v>
      </c>
      <c r="E136" s="201">
        <v>30</v>
      </c>
      <c r="F136" s="201">
        <v>30</v>
      </c>
      <c r="G136" s="203">
        <v>44706</v>
      </c>
    </row>
    <row r="137" spans="2:18">
      <c r="C137" s="240" t="s">
        <v>402</v>
      </c>
      <c r="D137" s="240" t="s">
        <v>2780</v>
      </c>
      <c r="E137" s="201">
        <v>80</v>
      </c>
      <c r="F137" s="201">
        <v>20</v>
      </c>
      <c r="G137" s="203">
        <v>44327</v>
      </c>
    </row>
    <row r="138" spans="2:18">
      <c r="C138" s="272" t="s">
        <v>755</v>
      </c>
      <c r="D138" s="272" t="s">
        <v>1813</v>
      </c>
      <c r="E138" s="201">
        <v>600</v>
      </c>
      <c r="F138" s="201">
        <f>500/8</f>
        <v>62.5</v>
      </c>
      <c r="G138" s="203">
        <v>44502</v>
      </c>
    </row>
    <row r="139" spans="2:18">
      <c r="C139" s="272" t="s">
        <v>565</v>
      </c>
      <c r="D139" s="272" t="s">
        <v>1813</v>
      </c>
      <c r="E139" s="201">
        <v>500</v>
      </c>
      <c r="F139" s="201">
        <f>300/4</f>
        <v>75</v>
      </c>
      <c r="G139" s="203">
        <v>44144</v>
      </c>
    </row>
    <row r="140" spans="2:18">
      <c r="C140" s="272" t="s">
        <v>755</v>
      </c>
      <c r="D140" s="272" t="s">
        <v>1822</v>
      </c>
      <c r="E140" s="201">
        <v>130</v>
      </c>
      <c r="F140" s="201">
        <v>22</v>
      </c>
      <c r="G140" s="203">
        <v>42080</v>
      </c>
      <c r="I140" s="199">
        <v>570</v>
      </c>
    </row>
    <row r="141" spans="2:18">
      <c r="C141" s="282" t="s">
        <v>738</v>
      </c>
      <c r="D141" s="282" t="s">
        <v>4370</v>
      </c>
      <c r="E141" s="201">
        <v>222</v>
      </c>
      <c r="F141" s="201">
        <f>200/21</f>
        <v>9.5238095238095237</v>
      </c>
      <c r="G141" s="203">
        <v>44194</v>
      </c>
      <c r="I141" s="199">
        <v>2500</v>
      </c>
      <c r="J141" s="199">
        <v>2500</v>
      </c>
    </row>
    <row r="142" spans="2:18">
      <c r="G142" s="203"/>
    </row>
    <row r="143" spans="2:18">
      <c r="B143" s="64" t="s">
        <v>781</v>
      </c>
      <c r="C143" s="191" t="s">
        <v>491</v>
      </c>
      <c r="D143" s="191" t="s">
        <v>759</v>
      </c>
      <c r="F143" s="188">
        <f>SUM(F144:F177)</f>
        <v>522.19761904761913</v>
      </c>
      <c r="G143" s="202">
        <f>G151</f>
        <v>45090</v>
      </c>
      <c r="I143" s="64">
        <v>18000</v>
      </c>
      <c r="J143" s="235">
        <f>+F143/I143</f>
        <v>2.9010978835978841E-2</v>
      </c>
      <c r="K143" s="64">
        <v>2000</v>
      </c>
    </row>
    <row r="144" spans="2:18">
      <c r="C144" s="200" t="s">
        <v>549</v>
      </c>
      <c r="D144" s="200" t="s">
        <v>415</v>
      </c>
      <c r="E144" s="201">
        <v>100</v>
      </c>
      <c r="F144" s="201">
        <v>25</v>
      </c>
      <c r="G144" s="203">
        <v>44846</v>
      </c>
    </row>
    <row r="145" spans="3:7">
      <c r="C145" s="200" t="s">
        <v>565</v>
      </c>
      <c r="D145" s="200" t="s">
        <v>618</v>
      </c>
      <c r="E145" s="201">
        <v>85</v>
      </c>
      <c r="F145" s="201">
        <v>6</v>
      </c>
      <c r="G145" s="203">
        <v>44417</v>
      </c>
    </row>
    <row r="146" spans="3:7">
      <c r="C146" s="200" t="s">
        <v>402</v>
      </c>
      <c r="D146" s="200" t="s">
        <v>618</v>
      </c>
      <c r="E146" s="201">
        <v>35</v>
      </c>
      <c r="F146" s="201">
        <v>10</v>
      </c>
      <c r="G146" s="203">
        <v>44293</v>
      </c>
    </row>
    <row r="147" spans="3:7">
      <c r="C147" s="200" t="s">
        <v>565</v>
      </c>
      <c r="D147" s="200" t="s">
        <v>423</v>
      </c>
      <c r="E147" s="201">
        <v>100</v>
      </c>
      <c r="F147" s="201">
        <v>15</v>
      </c>
      <c r="G147" s="203">
        <v>44699</v>
      </c>
    </row>
    <row r="148" spans="3:7">
      <c r="C148" s="200" t="s">
        <v>402</v>
      </c>
      <c r="D148" s="200" t="s">
        <v>423</v>
      </c>
      <c r="E148" s="201">
        <v>100</v>
      </c>
      <c r="F148" s="201">
        <f>25/3</f>
        <v>8.3333333333333339</v>
      </c>
      <c r="G148" s="203">
        <v>44286</v>
      </c>
    </row>
    <row r="149" spans="3:7">
      <c r="C149" s="200" t="s">
        <v>544</v>
      </c>
      <c r="D149" s="200" t="s">
        <v>424</v>
      </c>
      <c r="E149" s="201">
        <v>65</v>
      </c>
      <c r="F149" s="201">
        <v>35</v>
      </c>
      <c r="G149" s="203">
        <v>44984</v>
      </c>
    </row>
    <row r="150" spans="3:7">
      <c r="C150" s="200" t="s">
        <v>402</v>
      </c>
      <c r="D150" s="200" t="s">
        <v>647</v>
      </c>
      <c r="E150" s="201">
        <v>43</v>
      </c>
      <c r="F150" s="201">
        <v>13</v>
      </c>
      <c r="G150" s="203">
        <v>44978</v>
      </c>
    </row>
    <row r="151" spans="3:7">
      <c r="C151" s="211" t="s">
        <v>549</v>
      </c>
      <c r="D151" s="211" t="s">
        <v>1149</v>
      </c>
      <c r="E151" s="201">
        <v>113</v>
      </c>
      <c r="F151" s="201">
        <v>19</v>
      </c>
      <c r="G151" s="203">
        <v>45090</v>
      </c>
    </row>
    <row r="152" spans="3:7">
      <c r="C152" s="211" t="s">
        <v>544</v>
      </c>
      <c r="D152" s="211" t="s">
        <v>697</v>
      </c>
      <c r="E152" s="201">
        <v>15</v>
      </c>
      <c r="F152" s="201">
        <v>3</v>
      </c>
      <c r="G152" s="203">
        <v>44838</v>
      </c>
    </row>
    <row r="153" spans="3:7">
      <c r="C153" s="211" t="s">
        <v>565</v>
      </c>
      <c r="D153" s="211" t="s">
        <v>433</v>
      </c>
      <c r="E153" s="201">
        <v>200</v>
      </c>
      <c r="F153" s="201">
        <v>20</v>
      </c>
      <c r="G153" s="203">
        <v>44377</v>
      </c>
    </row>
    <row r="154" spans="3:7">
      <c r="C154" s="211" t="s">
        <v>402</v>
      </c>
      <c r="D154" s="211" t="s">
        <v>433</v>
      </c>
      <c r="E154" s="201">
        <v>75</v>
      </c>
      <c r="F154" s="201">
        <v>5</v>
      </c>
      <c r="G154" s="203">
        <v>43783</v>
      </c>
    </row>
    <row r="155" spans="3:7">
      <c r="C155" s="211" t="s">
        <v>544</v>
      </c>
      <c r="D155" s="211" t="s">
        <v>433</v>
      </c>
      <c r="E155" s="201">
        <v>30</v>
      </c>
      <c r="F155" s="201">
        <v>10</v>
      </c>
      <c r="G155" s="203">
        <v>43573</v>
      </c>
    </row>
    <row r="156" spans="3:7">
      <c r="C156" s="222" t="s">
        <v>549</v>
      </c>
      <c r="D156" s="222" t="s">
        <v>1853</v>
      </c>
      <c r="E156" s="201">
        <v>1.5</v>
      </c>
      <c r="F156" s="201">
        <v>1</v>
      </c>
      <c r="G156" s="203">
        <v>44098</v>
      </c>
    </row>
    <row r="157" spans="3:7">
      <c r="C157" s="225" t="s">
        <v>755</v>
      </c>
      <c r="D157" s="225" t="s">
        <v>445</v>
      </c>
      <c r="E157" s="201">
        <v>100</v>
      </c>
      <c r="F157" s="201">
        <f>50/4</f>
        <v>12.5</v>
      </c>
      <c r="G157" s="203">
        <v>44419</v>
      </c>
    </row>
    <row r="158" spans="3:7">
      <c r="C158" s="225" t="s">
        <v>565</v>
      </c>
      <c r="D158" s="225" t="s">
        <v>445</v>
      </c>
      <c r="E158" s="201">
        <v>60</v>
      </c>
      <c r="F158" s="201">
        <v>5</v>
      </c>
      <c r="G158" s="203">
        <v>43606</v>
      </c>
    </row>
    <row r="159" spans="3:7">
      <c r="C159" s="225" t="s">
        <v>402</v>
      </c>
      <c r="D159" s="225" t="s">
        <v>445</v>
      </c>
      <c r="E159" s="201">
        <v>30</v>
      </c>
      <c r="F159" s="201">
        <v>5</v>
      </c>
      <c r="G159" s="203">
        <v>43396</v>
      </c>
    </row>
    <row r="160" spans="3:7">
      <c r="C160" s="225" t="s">
        <v>544</v>
      </c>
      <c r="D160" s="225" t="s">
        <v>445</v>
      </c>
      <c r="E160" s="201">
        <v>7</v>
      </c>
      <c r="F160" s="201">
        <v>3</v>
      </c>
      <c r="G160" s="203">
        <v>42885</v>
      </c>
    </row>
    <row r="161" spans="3:12">
      <c r="C161" s="238" t="s">
        <v>402</v>
      </c>
      <c r="D161" s="238" t="s">
        <v>2741</v>
      </c>
      <c r="E161" s="201">
        <v>32</v>
      </c>
      <c r="F161" s="201">
        <v>3</v>
      </c>
      <c r="G161" s="203">
        <v>44364</v>
      </c>
    </row>
    <row r="162" spans="3:12">
      <c r="C162" s="238" t="s">
        <v>544</v>
      </c>
      <c r="D162" s="238" t="s">
        <v>2741</v>
      </c>
      <c r="E162" s="201">
        <v>10.199999999999999</v>
      </c>
      <c r="F162" s="201">
        <v>3</v>
      </c>
      <c r="G162" s="203">
        <v>43732</v>
      </c>
    </row>
    <row r="163" spans="3:12">
      <c r="C163" s="238" t="s">
        <v>549</v>
      </c>
      <c r="D163" s="238" t="s">
        <v>2741</v>
      </c>
      <c r="E163" s="201">
        <v>3</v>
      </c>
      <c r="F163" s="201">
        <v>0.75</v>
      </c>
      <c r="G163" s="203">
        <v>43374</v>
      </c>
    </row>
    <row r="164" spans="3:12">
      <c r="C164" s="249" t="s">
        <v>549</v>
      </c>
      <c r="D164" s="249" t="s">
        <v>1413</v>
      </c>
      <c r="E164" s="201">
        <v>3.5</v>
      </c>
      <c r="F164" s="201">
        <f>E164/10</f>
        <v>0.35</v>
      </c>
      <c r="G164" s="203">
        <v>43046</v>
      </c>
      <c r="L164" s="248">
        <v>0</v>
      </c>
    </row>
    <row r="165" spans="3:12">
      <c r="C165" s="282" t="s">
        <v>813</v>
      </c>
      <c r="D165" s="282" t="s">
        <v>1938</v>
      </c>
      <c r="E165" s="201">
        <v>100</v>
      </c>
      <c r="F165" s="201">
        <f>75/7</f>
        <v>10.714285714285714</v>
      </c>
      <c r="G165" s="203">
        <v>44515</v>
      </c>
      <c r="I165" s="199">
        <v>4100</v>
      </c>
      <c r="J165" s="199">
        <v>4100</v>
      </c>
      <c r="L165" s="248"/>
    </row>
    <row r="166" spans="3:12">
      <c r="C166" s="282" t="s">
        <v>738</v>
      </c>
      <c r="D166" s="282" t="s">
        <v>1938</v>
      </c>
      <c r="E166" s="201">
        <v>248</v>
      </c>
      <c r="F166" s="201">
        <v>98</v>
      </c>
      <c r="G166" s="203">
        <v>43678</v>
      </c>
      <c r="I166" s="212">
        <v>1700</v>
      </c>
      <c r="J166" s="199">
        <v>4100</v>
      </c>
      <c r="L166" s="248"/>
    </row>
    <row r="167" spans="3:12">
      <c r="C167" s="282" t="s">
        <v>755</v>
      </c>
      <c r="D167" s="282" t="s">
        <v>1938</v>
      </c>
      <c r="E167" s="201">
        <v>145</v>
      </c>
      <c r="F167" s="201">
        <v>30</v>
      </c>
      <c r="G167" s="203">
        <v>43228</v>
      </c>
      <c r="I167" s="212">
        <v>855</v>
      </c>
      <c r="J167" s="199">
        <v>4100</v>
      </c>
      <c r="L167" s="248"/>
    </row>
    <row r="168" spans="3:12">
      <c r="C168" s="282" t="s">
        <v>565</v>
      </c>
      <c r="D168" s="282" t="s">
        <v>1938</v>
      </c>
      <c r="E168" s="201">
        <v>60</v>
      </c>
      <c r="F168" s="201">
        <v>40</v>
      </c>
      <c r="G168" s="203">
        <v>42964</v>
      </c>
      <c r="I168" s="212"/>
      <c r="J168" s="199">
        <v>4100</v>
      </c>
      <c r="L168" s="248"/>
    </row>
    <row r="169" spans="3:12">
      <c r="C169" s="282" t="s">
        <v>565</v>
      </c>
      <c r="D169" s="282" t="s">
        <v>1938</v>
      </c>
      <c r="E169" s="201">
        <v>50</v>
      </c>
      <c r="F169" s="201">
        <f>20/2</f>
        <v>10</v>
      </c>
      <c r="G169" s="203">
        <v>42509</v>
      </c>
      <c r="I169" s="212"/>
      <c r="J169" s="199">
        <v>4100</v>
      </c>
      <c r="L169" s="248"/>
    </row>
    <row r="170" spans="3:12">
      <c r="C170" s="282" t="s">
        <v>402</v>
      </c>
      <c r="D170" s="282" t="s">
        <v>1938</v>
      </c>
      <c r="E170" s="201">
        <v>30</v>
      </c>
      <c r="F170" s="201">
        <v>10</v>
      </c>
      <c r="G170" s="203">
        <v>41808</v>
      </c>
      <c r="I170" s="212"/>
      <c r="J170" s="199">
        <v>4100</v>
      </c>
      <c r="L170" s="248"/>
    </row>
    <row r="171" spans="3:12">
      <c r="C171" s="282" t="s">
        <v>544</v>
      </c>
      <c r="D171" s="282" t="s">
        <v>1938</v>
      </c>
      <c r="E171" s="201">
        <v>10.7</v>
      </c>
      <c r="F171" s="201">
        <v>5.7</v>
      </c>
      <c r="G171" s="203">
        <v>41076</v>
      </c>
      <c r="I171" s="212"/>
      <c r="J171" s="199">
        <v>4100</v>
      </c>
      <c r="L171" s="248"/>
    </row>
    <row r="172" spans="3:12">
      <c r="C172" s="282" t="s">
        <v>565</v>
      </c>
      <c r="D172" s="282" t="s">
        <v>4313</v>
      </c>
      <c r="E172" s="201">
        <v>235</v>
      </c>
      <c r="F172" s="201">
        <f>85/2</f>
        <v>42.5</v>
      </c>
      <c r="G172" s="203">
        <v>44384</v>
      </c>
      <c r="I172" s="212"/>
      <c r="L172" s="248"/>
    </row>
    <row r="173" spans="3:12">
      <c r="C173" s="282" t="s">
        <v>402</v>
      </c>
      <c r="D173" s="282" t="s">
        <v>4313</v>
      </c>
      <c r="E173" s="201">
        <v>43</v>
      </c>
      <c r="F173" s="201">
        <f>+E173/5</f>
        <v>8.6</v>
      </c>
      <c r="G173" s="203">
        <v>44077</v>
      </c>
      <c r="I173" s="212"/>
      <c r="L173" s="248"/>
    </row>
    <row r="174" spans="3:12">
      <c r="C174" s="282" t="s">
        <v>544</v>
      </c>
      <c r="D174" s="282" t="s">
        <v>4313</v>
      </c>
      <c r="E174" s="201">
        <v>15</v>
      </c>
      <c r="F174" s="201">
        <v>10</v>
      </c>
      <c r="G174" s="203">
        <v>43479</v>
      </c>
      <c r="I174" s="212"/>
      <c r="L174" s="248"/>
    </row>
    <row r="175" spans="3:12">
      <c r="C175" s="282" t="s">
        <v>738</v>
      </c>
      <c r="D175" s="282" t="s">
        <v>4410</v>
      </c>
      <c r="E175" s="201">
        <v>220</v>
      </c>
      <c r="F175" s="201">
        <v>28</v>
      </c>
      <c r="G175" s="203">
        <v>44357</v>
      </c>
      <c r="I175" s="212">
        <v>1900</v>
      </c>
      <c r="J175" s="212">
        <v>1900</v>
      </c>
      <c r="L175" s="248"/>
    </row>
    <row r="176" spans="3:12">
      <c r="C176" s="282" t="s">
        <v>755</v>
      </c>
      <c r="D176" s="282" t="s">
        <v>4410</v>
      </c>
      <c r="E176" s="201">
        <v>125</v>
      </c>
      <c r="F176" s="201">
        <v>18.75</v>
      </c>
      <c r="G176" s="203">
        <v>44131</v>
      </c>
      <c r="I176" s="212">
        <v>875</v>
      </c>
      <c r="J176" s="212">
        <v>1900</v>
      </c>
      <c r="L176" s="248"/>
    </row>
    <row r="177" spans="2:18">
      <c r="C177" s="282" t="s">
        <v>565</v>
      </c>
      <c r="D177" s="282" t="s">
        <v>4410</v>
      </c>
      <c r="E177" s="201">
        <v>28</v>
      </c>
      <c r="F177" s="201">
        <v>7</v>
      </c>
      <c r="G177" s="203">
        <v>43579</v>
      </c>
      <c r="I177" s="212"/>
      <c r="J177" s="212">
        <v>1900</v>
      </c>
      <c r="L177" s="248"/>
    </row>
    <row r="178" spans="2:18">
      <c r="C178" s="211"/>
      <c r="D178" s="211"/>
      <c r="G178" s="203"/>
    </row>
    <row r="179" spans="2:18" s="64" customFormat="1">
      <c r="B179" s="64" t="s">
        <v>941</v>
      </c>
      <c r="C179" s="191" t="s">
        <v>491</v>
      </c>
      <c r="D179" s="191" t="s">
        <v>759</v>
      </c>
      <c r="E179" s="188"/>
      <c r="F179" s="188">
        <f>+F180+F181</f>
        <v>431.81818181818181</v>
      </c>
      <c r="G179" s="202">
        <f>+G180</f>
        <v>44363</v>
      </c>
      <c r="I179" s="191" t="s">
        <v>496</v>
      </c>
      <c r="J179" s="191" t="s">
        <v>496</v>
      </c>
      <c r="K179" s="191" t="s">
        <v>496</v>
      </c>
      <c r="M179" s="191"/>
      <c r="N179" s="191"/>
      <c r="O179" s="191"/>
      <c r="P179" s="191"/>
      <c r="Q179" s="191"/>
      <c r="R179" s="191"/>
    </row>
    <row r="180" spans="2:18">
      <c r="C180" s="200" t="s">
        <v>402</v>
      </c>
      <c r="D180" s="200" t="s">
        <v>676</v>
      </c>
      <c r="E180" s="201">
        <v>2500</v>
      </c>
      <c r="F180" s="201">
        <f t="shared" si="0"/>
        <v>181.81818181818181</v>
      </c>
      <c r="G180" s="203">
        <v>44363</v>
      </c>
    </row>
    <row r="181" spans="2:18">
      <c r="C181" s="200" t="s">
        <v>544</v>
      </c>
      <c r="D181" s="200" t="s">
        <v>676</v>
      </c>
      <c r="E181" s="201">
        <v>3000</v>
      </c>
      <c r="F181" s="201">
        <v>250</v>
      </c>
      <c r="G181" s="203">
        <v>43963</v>
      </c>
    </row>
    <row r="182" spans="2:18">
      <c r="G182" s="203"/>
    </row>
    <row r="183" spans="2:18">
      <c r="B183" s="64" t="s">
        <v>983</v>
      </c>
      <c r="C183" s="191" t="s">
        <v>491</v>
      </c>
      <c r="D183" s="191" t="s">
        <v>759</v>
      </c>
      <c r="E183" s="188"/>
      <c r="F183" s="188">
        <f>SUM(F184:F206)</f>
        <v>411.36666666666673</v>
      </c>
      <c r="G183" s="202">
        <f>G191</f>
        <v>45056</v>
      </c>
      <c r="I183" s="64">
        <v>25000</v>
      </c>
      <c r="J183" s="236">
        <f>+F183/I183</f>
        <v>1.645466666666667E-2</v>
      </c>
      <c r="K183" s="64">
        <v>1977</v>
      </c>
    </row>
    <row r="184" spans="2:18">
      <c r="C184" s="200" t="s">
        <v>982</v>
      </c>
      <c r="D184" s="200" t="s">
        <v>616</v>
      </c>
      <c r="E184" s="201">
        <v>100</v>
      </c>
      <c r="F184" s="201">
        <f>40/3</f>
        <v>13.333333333333334</v>
      </c>
      <c r="G184" s="203">
        <v>44537</v>
      </c>
    </row>
    <row r="185" spans="2:18">
      <c r="C185" s="200" t="s">
        <v>402</v>
      </c>
      <c r="D185" s="200" t="s">
        <v>616</v>
      </c>
      <c r="E185" s="201">
        <v>40</v>
      </c>
      <c r="F185" s="201">
        <v>20</v>
      </c>
      <c r="G185" s="203">
        <v>44125</v>
      </c>
    </row>
    <row r="186" spans="2:18">
      <c r="C186" s="200" t="s">
        <v>544</v>
      </c>
      <c r="D186" s="200" t="s">
        <v>616</v>
      </c>
      <c r="E186" s="201">
        <v>20</v>
      </c>
      <c r="F186" s="201">
        <f>12/6</f>
        <v>2</v>
      </c>
      <c r="G186" s="203">
        <v>43816</v>
      </c>
    </row>
    <row r="187" spans="2:18">
      <c r="C187" s="200" t="s">
        <v>544</v>
      </c>
      <c r="D187" s="200" t="s">
        <v>1016</v>
      </c>
      <c r="E187" s="201">
        <v>25.6</v>
      </c>
      <c r="F187" s="201">
        <v>20</v>
      </c>
      <c r="G187" s="203">
        <v>45013</v>
      </c>
    </row>
    <row r="188" spans="2:18">
      <c r="C188" s="200" t="s">
        <v>402</v>
      </c>
      <c r="D188" s="200" t="s">
        <v>623</v>
      </c>
      <c r="E188" s="201">
        <v>50</v>
      </c>
      <c r="F188" s="201">
        <f>30/5</f>
        <v>6</v>
      </c>
      <c r="G188" s="203">
        <v>45036</v>
      </c>
    </row>
    <row r="189" spans="2:18">
      <c r="C189" s="200" t="s">
        <v>544</v>
      </c>
      <c r="D189" s="200" t="s">
        <v>623</v>
      </c>
      <c r="E189" s="201">
        <v>16.5</v>
      </c>
      <c r="F189" s="201">
        <v>6</v>
      </c>
      <c r="G189" s="203">
        <v>44614</v>
      </c>
    </row>
    <row r="190" spans="2:18">
      <c r="C190" s="200" t="s">
        <v>549</v>
      </c>
      <c r="D190" s="200" t="s">
        <v>455</v>
      </c>
      <c r="E190" s="201">
        <v>30</v>
      </c>
      <c r="F190" s="201">
        <v>15</v>
      </c>
      <c r="G190" s="203">
        <v>44601</v>
      </c>
    </row>
    <row r="191" spans="2:18">
      <c r="C191" s="200" t="s">
        <v>549</v>
      </c>
      <c r="D191" s="200" t="s">
        <v>575</v>
      </c>
      <c r="E191" s="201">
        <v>4.5</v>
      </c>
      <c r="F191" s="201">
        <v>2</v>
      </c>
      <c r="G191" s="203">
        <v>45056</v>
      </c>
    </row>
    <row r="192" spans="2:18">
      <c r="C192" s="211" t="s">
        <v>669</v>
      </c>
      <c r="D192" s="211" t="s">
        <v>701</v>
      </c>
      <c r="E192" s="201">
        <v>4.5</v>
      </c>
      <c r="F192" s="201">
        <v>1</v>
      </c>
      <c r="G192" s="203">
        <v>44691</v>
      </c>
    </row>
    <row r="193" spans="3:10">
      <c r="C193" s="220" t="s">
        <v>549</v>
      </c>
      <c r="D193" s="220" t="s">
        <v>710</v>
      </c>
      <c r="E193" s="201">
        <v>12.8</v>
      </c>
      <c r="F193" s="201">
        <v>5</v>
      </c>
      <c r="G193" s="203">
        <v>44601</v>
      </c>
    </row>
    <row r="194" spans="3:10">
      <c r="C194" s="220" t="s">
        <v>549</v>
      </c>
      <c r="D194" s="220" t="s">
        <v>585</v>
      </c>
      <c r="E194" s="201">
        <v>10</v>
      </c>
      <c r="F194" s="201">
        <v>1</v>
      </c>
      <c r="G194" s="203">
        <v>44858</v>
      </c>
    </row>
    <row r="195" spans="3:10">
      <c r="C195" s="220" t="s">
        <v>549</v>
      </c>
      <c r="D195" s="220" t="s">
        <v>585</v>
      </c>
      <c r="E195" s="201">
        <v>4.5999999999999996</v>
      </c>
      <c r="F195" s="201">
        <v>2</v>
      </c>
      <c r="G195" s="203">
        <v>44530</v>
      </c>
    </row>
    <row r="196" spans="3:10">
      <c r="C196" s="228" t="s">
        <v>813</v>
      </c>
      <c r="D196" s="228" t="s">
        <v>2428</v>
      </c>
      <c r="E196" s="201">
        <v>270</v>
      </c>
      <c r="F196" s="201">
        <v>22</v>
      </c>
      <c r="G196" s="203">
        <v>44152</v>
      </c>
    </row>
    <row r="197" spans="3:10">
      <c r="C197" s="228" t="s">
        <v>738</v>
      </c>
      <c r="D197" s="228" t="s">
        <v>2428</v>
      </c>
      <c r="E197" s="201">
        <v>206</v>
      </c>
      <c r="F197" s="201">
        <v>14</v>
      </c>
      <c r="G197" s="203">
        <v>43725</v>
      </c>
    </row>
    <row r="198" spans="3:10">
      <c r="C198" s="228" t="s">
        <v>755</v>
      </c>
      <c r="D198" s="228" t="s">
        <v>2428</v>
      </c>
      <c r="E198" s="201">
        <v>100</v>
      </c>
      <c r="F198" s="201">
        <v>15</v>
      </c>
      <c r="G198" s="203">
        <v>43397</v>
      </c>
    </row>
    <row r="199" spans="3:10">
      <c r="C199" s="228" t="s">
        <v>565</v>
      </c>
      <c r="D199" s="228" t="s">
        <v>2428</v>
      </c>
      <c r="E199" s="201">
        <v>67.2</v>
      </c>
      <c r="F199" s="201">
        <v>37.200000000000003</v>
      </c>
      <c r="G199" s="203">
        <v>42943</v>
      </c>
    </row>
    <row r="200" spans="3:10">
      <c r="C200" s="228" t="s">
        <v>402</v>
      </c>
      <c r="D200" s="228" t="s">
        <v>1518</v>
      </c>
      <c r="E200" s="201">
        <v>90</v>
      </c>
      <c r="F200" s="201">
        <v>6</v>
      </c>
      <c r="G200" s="203">
        <v>44398</v>
      </c>
    </row>
    <row r="201" spans="3:10">
      <c r="C201" s="228" t="s">
        <v>544</v>
      </c>
      <c r="D201" s="228" t="s">
        <v>1518</v>
      </c>
      <c r="E201" s="201">
        <v>22.8</v>
      </c>
      <c r="F201" s="201">
        <v>6.4</v>
      </c>
      <c r="G201" s="203">
        <v>43160</v>
      </c>
      <c r="J201" s="212"/>
    </row>
    <row r="202" spans="3:10">
      <c r="C202" s="240" t="s">
        <v>738</v>
      </c>
      <c r="D202" s="240" t="s">
        <v>2797</v>
      </c>
      <c r="E202" s="201">
        <v>400</v>
      </c>
      <c r="F202" s="201">
        <v>200</v>
      </c>
      <c r="G202" s="203">
        <v>44608</v>
      </c>
      <c r="J202" s="212"/>
    </row>
    <row r="203" spans="3:10">
      <c r="C203" s="252" t="s">
        <v>544</v>
      </c>
      <c r="D203" s="252" t="s">
        <v>1659</v>
      </c>
      <c r="E203" s="201">
        <v>30</v>
      </c>
      <c r="F203" s="201">
        <v>10</v>
      </c>
      <c r="G203" s="203">
        <v>44474</v>
      </c>
      <c r="J203" s="212"/>
    </row>
    <row r="204" spans="3:10">
      <c r="C204" s="252" t="s">
        <v>549</v>
      </c>
      <c r="D204" s="252" t="s">
        <v>1659</v>
      </c>
      <c r="E204" s="201">
        <v>15</v>
      </c>
      <c r="F204" s="201">
        <f>10/4</f>
        <v>2.5</v>
      </c>
      <c r="G204" s="203">
        <v>43775</v>
      </c>
      <c r="J204" s="212"/>
    </row>
    <row r="205" spans="3:10">
      <c r="C205" s="272" t="s">
        <v>549</v>
      </c>
      <c r="D205" s="272" t="s">
        <v>1754</v>
      </c>
      <c r="E205" s="201">
        <v>4.3</v>
      </c>
      <c r="F205" s="201">
        <f>E205/3</f>
        <v>1.4333333333333333</v>
      </c>
      <c r="G205" s="203">
        <v>42821</v>
      </c>
      <c r="J205" s="212"/>
    </row>
    <row r="206" spans="3:10">
      <c r="C206" s="274" t="s">
        <v>402</v>
      </c>
      <c r="D206" s="274" t="s">
        <v>1858</v>
      </c>
      <c r="E206" s="201">
        <v>23.5</v>
      </c>
      <c r="F206" s="201">
        <f>14/4</f>
        <v>3.5</v>
      </c>
      <c r="G206" s="203">
        <v>45008</v>
      </c>
      <c r="J206" s="212"/>
    </row>
    <row r="207" spans="3:10">
      <c r="C207" s="274" t="s">
        <v>544</v>
      </c>
      <c r="D207" s="274" t="s">
        <v>1858</v>
      </c>
      <c r="E207" s="201">
        <v>16</v>
      </c>
      <c r="F207" s="201">
        <v>11</v>
      </c>
      <c r="G207" s="203">
        <v>44434</v>
      </c>
      <c r="J207" s="212"/>
    </row>
    <row r="208" spans="3:10">
      <c r="G208" s="203"/>
    </row>
    <row r="209" spans="2:11">
      <c r="B209" s="64" t="s">
        <v>943</v>
      </c>
      <c r="C209" s="191" t="s">
        <v>491</v>
      </c>
      <c r="D209" s="191" t="s">
        <v>759</v>
      </c>
      <c r="F209" s="188">
        <f>+F210+F211</f>
        <v>381.81818181818181</v>
      </c>
      <c r="G209" s="202">
        <f>+G210</f>
        <v>44363</v>
      </c>
      <c r="I209" s="228" t="s">
        <v>496</v>
      </c>
      <c r="J209" s="228" t="s">
        <v>496</v>
      </c>
      <c r="K209" s="228" t="s">
        <v>496</v>
      </c>
    </row>
    <row r="210" spans="2:11">
      <c r="C210" s="200" t="s">
        <v>402</v>
      </c>
      <c r="D210" s="200" t="s">
        <v>676</v>
      </c>
      <c r="E210" s="201">
        <v>2500</v>
      </c>
      <c r="F210" s="201">
        <f t="shared" si="0"/>
        <v>181.81818181818181</v>
      </c>
      <c r="G210" s="203">
        <v>44363</v>
      </c>
    </row>
    <row r="211" spans="2:11">
      <c r="C211" s="200" t="s">
        <v>544</v>
      </c>
      <c r="D211" s="200" t="s">
        <v>676</v>
      </c>
      <c r="E211" s="201">
        <v>3000</v>
      </c>
      <c r="F211" s="201">
        <f>800/4</f>
        <v>200</v>
      </c>
      <c r="G211" s="203">
        <v>43892</v>
      </c>
    </row>
    <row r="212" spans="2:11">
      <c r="G212" s="203"/>
    </row>
    <row r="213" spans="2:11">
      <c r="B213" s="64" t="s">
        <v>945</v>
      </c>
      <c r="C213" s="191" t="s">
        <v>491</v>
      </c>
      <c r="D213" s="191" t="s">
        <v>759</v>
      </c>
      <c r="F213" s="188">
        <f>+F214+F215</f>
        <v>381.81818181818181</v>
      </c>
      <c r="G213" s="202">
        <f>+G214</f>
        <v>44363</v>
      </c>
      <c r="I213" s="228" t="s">
        <v>496</v>
      </c>
      <c r="J213" s="228" t="s">
        <v>496</v>
      </c>
      <c r="K213" s="228" t="s">
        <v>496</v>
      </c>
    </row>
    <row r="214" spans="2:11">
      <c r="C214" s="200" t="s">
        <v>402</v>
      </c>
      <c r="D214" s="200" t="s">
        <v>676</v>
      </c>
      <c r="E214" s="201">
        <v>2500</v>
      </c>
      <c r="F214" s="201">
        <f t="shared" si="0"/>
        <v>181.81818181818181</v>
      </c>
      <c r="G214" s="203">
        <v>44363</v>
      </c>
    </row>
    <row r="215" spans="2:11">
      <c r="C215" s="200" t="s">
        <v>544</v>
      </c>
      <c r="D215" s="200" t="s">
        <v>676</v>
      </c>
      <c r="E215" s="201">
        <v>3000</v>
      </c>
      <c r="F215" s="201">
        <f>800/4</f>
        <v>200</v>
      </c>
      <c r="G215" s="203">
        <v>43892</v>
      </c>
    </row>
    <row r="216" spans="2:11">
      <c r="G216" s="203"/>
    </row>
    <row r="217" spans="2:11">
      <c r="B217" s="64" t="s">
        <v>846</v>
      </c>
      <c r="C217" s="191" t="s">
        <v>491</v>
      </c>
      <c r="D217" s="191" t="s">
        <v>759</v>
      </c>
      <c r="E217" s="188"/>
      <c r="F217" s="188">
        <f>SUM(F218:F237)</f>
        <v>383.59999999999997</v>
      </c>
      <c r="G217" s="202">
        <f>G218</f>
        <v>44999</v>
      </c>
      <c r="I217" s="64">
        <v>3500</v>
      </c>
      <c r="J217" s="235">
        <f>+F217/I217</f>
        <v>0.10959999999999999</v>
      </c>
      <c r="K217" s="64">
        <v>1965</v>
      </c>
    </row>
    <row r="218" spans="2:11">
      <c r="C218" s="200" t="s">
        <v>402</v>
      </c>
      <c r="D218" s="200" t="s">
        <v>431</v>
      </c>
      <c r="E218" s="201">
        <v>350</v>
      </c>
      <c r="F218" s="201">
        <v>20</v>
      </c>
      <c r="G218" s="203">
        <v>44999</v>
      </c>
    </row>
    <row r="219" spans="2:11">
      <c r="C219" s="200" t="s">
        <v>544</v>
      </c>
      <c r="D219" s="200" t="s">
        <v>431</v>
      </c>
      <c r="E219" s="201">
        <v>65</v>
      </c>
      <c r="F219" s="201">
        <v>25</v>
      </c>
      <c r="G219" s="203">
        <v>44679</v>
      </c>
    </row>
    <row r="220" spans="2:11">
      <c r="C220" s="200" t="s">
        <v>549</v>
      </c>
      <c r="D220" s="200" t="s">
        <v>432</v>
      </c>
      <c r="E220" s="201">
        <v>225</v>
      </c>
      <c r="F220" s="201">
        <v>150</v>
      </c>
      <c r="G220" s="203">
        <v>44694</v>
      </c>
    </row>
    <row r="221" spans="2:11">
      <c r="C221" s="200" t="s">
        <v>565</v>
      </c>
      <c r="D221" s="200" t="s">
        <v>618</v>
      </c>
      <c r="E221" s="201">
        <v>85</v>
      </c>
      <c r="F221" s="201">
        <v>6</v>
      </c>
      <c r="G221" s="203">
        <v>44417</v>
      </c>
    </row>
    <row r="222" spans="2:11">
      <c r="C222" s="200" t="s">
        <v>402</v>
      </c>
      <c r="D222" s="200" t="s">
        <v>618</v>
      </c>
      <c r="E222" s="201">
        <v>35</v>
      </c>
      <c r="F222" s="201">
        <f>25/6</f>
        <v>4.166666666666667</v>
      </c>
      <c r="G222" s="203">
        <v>44293</v>
      </c>
    </row>
    <row r="223" spans="2:11">
      <c r="C223" s="200" t="s">
        <v>544</v>
      </c>
      <c r="D223" s="200" t="s">
        <v>618</v>
      </c>
      <c r="E223" s="201">
        <v>12</v>
      </c>
      <c r="F223" s="201">
        <v>6</v>
      </c>
      <c r="G223" s="203">
        <v>44026</v>
      </c>
    </row>
    <row r="224" spans="2:11">
      <c r="C224" s="200" t="s">
        <v>549</v>
      </c>
      <c r="D224" s="200" t="s">
        <v>618</v>
      </c>
      <c r="E224" s="201">
        <v>3.3</v>
      </c>
      <c r="F224" s="201">
        <v>1</v>
      </c>
      <c r="G224" s="203">
        <v>44026</v>
      </c>
    </row>
    <row r="225" spans="2:11">
      <c r="C225" s="200" t="s">
        <v>402</v>
      </c>
      <c r="D225" s="200" t="s">
        <v>647</v>
      </c>
      <c r="E225" s="201">
        <v>43</v>
      </c>
      <c r="F225" s="201">
        <v>6</v>
      </c>
      <c r="G225" s="203">
        <v>44978</v>
      </c>
    </row>
    <row r="226" spans="2:11">
      <c r="C226" s="200" t="s">
        <v>544</v>
      </c>
      <c r="D226" s="200" t="s">
        <v>647</v>
      </c>
      <c r="E226" s="201">
        <v>26</v>
      </c>
      <c r="F226" s="201">
        <f>13/2</f>
        <v>6.5</v>
      </c>
      <c r="G226" s="203">
        <v>44453</v>
      </c>
    </row>
    <row r="227" spans="2:11">
      <c r="C227" s="200" t="s">
        <v>549</v>
      </c>
      <c r="D227" s="200" t="s">
        <v>647</v>
      </c>
      <c r="E227" s="201">
        <v>6.3</v>
      </c>
      <c r="F227" s="201">
        <v>3</v>
      </c>
      <c r="G227" s="203">
        <v>44217</v>
      </c>
    </row>
    <row r="228" spans="2:11">
      <c r="C228" s="200" t="s">
        <v>549</v>
      </c>
      <c r="D228" s="200" t="s">
        <v>454</v>
      </c>
      <c r="E228" s="201">
        <v>30</v>
      </c>
      <c r="F228" s="201">
        <v>5</v>
      </c>
      <c r="G228" s="203">
        <v>44742</v>
      </c>
    </row>
    <row r="229" spans="2:11">
      <c r="C229" s="200" t="s">
        <v>402</v>
      </c>
      <c r="D229" s="200" t="s">
        <v>671</v>
      </c>
      <c r="E229" s="201">
        <v>25</v>
      </c>
      <c r="F229" s="201">
        <v>3</v>
      </c>
      <c r="G229" s="203">
        <v>44636</v>
      </c>
    </row>
    <row r="230" spans="2:11">
      <c r="C230" s="200" t="s">
        <v>544</v>
      </c>
      <c r="D230" s="200" t="s">
        <v>671</v>
      </c>
      <c r="E230" s="201">
        <v>12.2</v>
      </c>
      <c r="F230" s="201">
        <v>2</v>
      </c>
      <c r="G230" s="203">
        <v>44179</v>
      </c>
    </row>
    <row r="231" spans="2:11">
      <c r="C231" s="200" t="s">
        <v>549</v>
      </c>
      <c r="D231" s="200" t="s">
        <v>671</v>
      </c>
      <c r="E231" s="201">
        <v>5.0999999999999996</v>
      </c>
      <c r="F231" s="201">
        <v>3</v>
      </c>
      <c r="G231" s="203">
        <v>44046</v>
      </c>
    </row>
    <row r="232" spans="2:11">
      <c r="C232" s="200" t="s">
        <v>544</v>
      </c>
      <c r="D232" s="200" t="s">
        <v>686</v>
      </c>
      <c r="E232" s="201">
        <v>20</v>
      </c>
      <c r="F232" s="201">
        <v>7.5</v>
      </c>
      <c r="G232" s="203">
        <v>45009</v>
      </c>
    </row>
    <row r="233" spans="2:11">
      <c r="C233" s="218" t="s">
        <v>544</v>
      </c>
      <c r="D233" s="218" t="s">
        <v>581</v>
      </c>
      <c r="E233" s="201">
        <v>29</v>
      </c>
      <c r="F233" s="201">
        <v>10</v>
      </c>
      <c r="G233" s="203">
        <v>44691</v>
      </c>
    </row>
    <row r="234" spans="2:11">
      <c r="C234" s="220" t="s">
        <v>549</v>
      </c>
      <c r="D234" s="220" t="s">
        <v>715</v>
      </c>
      <c r="E234" s="201">
        <v>8</v>
      </c>
      <c r="F234" s="201">
        <v>3</v>
      </c>
      <c r="G234" s="203">
        <v>44677</v>
      </c>
    </row>
    <row r="235" spans="2:11">
      <c r="C235" s="272" t="s">
        <v>549</v>
      </c>
      <c r="D235" s="272" t="s">
        <v>1754</v>
      </c>
      <c r="E235" s="201">
        <v>4.3</v>
      </c>
      <c r="F235" s="201">
        <f>E235/3</f>
        <v>1.4333333333333333</v>
      </c>
      <c r="G235" s="203">
        <v>42821</v>
      </c>
    </row>
    <row r="236" spans="2:11">
      <c r="C236" s="272" t="s">
        <v>565</v>
      </c>
      <c r="D236" s="272" t="s">
        <v>1813</v>
      </c>
      <c r="E236" s="201">
        <v>500</v>
      </c>
      <c r="F236" s="201">
        <v>75</v>
      </c>
      <c r="G236" s="203">
        <v>44144</v>
      </c>
    </row>
    <row r="237" spans="2:11">
      <c r="C237" s="272" t="s">
        <v>544</v>
      </c>
      <c r="D237" s="272" t="s">
        <v>1813</v>
      </c>
      <c r="E237" s="201">
        <v>92</v>
      </c>
      <c r="F237" s="201">
        <f>E237/2</f>
        <v>46</v>
      </c>
      <c r="G237" s="203">
        <v>43130</v>
      </c>
    </row>
    <row r="239" spans="2:11">
      <c r="B239" s="64" t="s">
        <v>939</v>
      </c>
      <c r="C239" s="191" t="s">
        <v>491</v>
      </c>
      <c r="D239" s="191" t="s">
        <v>759</v>
      </c>
      <c r="E239" s="188"/>
      <c r="F239" s="188">
        <f>SUM(F240:F248)</f>
        <v>324.46897546897549</v>
      </c>
      <c r="G239" s="202">
        <f>+G241</f>
        <v>44893</v>
      </c>
      <c r="I239" s="228" t="s">
        <v>496</v>
      </c>
      <c r="J239" s="228" t="s">
        <v>496</v>
      </c>
      <c r="K239" s="228" t="s">
        <v>496</v>
      </c>
    </row>
    <row r="240" spans="2:11">
      <c r="C240" s="200" t="s">
        <v>402</v>
      </c>
      <c r="D240" s="200" t="s">
        <v>676</v>
      </c>
      <c r="E240" s="201">
        <v>2500</v>
      </c>
      <c r="F240" s="201">
        <f t="shared" si="0"/>
        <v>181.81818181818181</v>
      </c>
      <c r="G240" s="203">
        <v>44363</v>
      </c>
    </row>
    <row r="241" spans="2:11">
      <c r="C241" s="200" t="s">
        <v>544</v>
      </c>
      <c r="D241" s="200" t="s">
        <v>654</v>
      </c>
      <c r="E241" s="201">
        <v>33</v>
      </c>
      <c r="F241" s="201">
        <v>10</v>
      </c>
      <c r="G241" s="203">
        <v>44893</v>
      </c>
    </row>
    <row r="242" spans="2:11">
      <c r="C242" s="228" t="s">
        <v>402</v>
      </c>
      <c r="D242" s="228" t="s">
        <v>1518</v>
      </c>
      <c r="E242" s="201">
        <v>90</v>
      </c>
      <c r="F242" s="201">
        <v>15</v>
      </c>
      <c r="G242" s="203">
        <v>44398</v>
      </c>
    </row>
    <row r="243" spans="2:11">
      <c r="C243" s="228" t="s">
        <v>565</v>
      </c>
      <c r="D243" s="228" t="s">
        <v>1576</v>
      </c>
      <c r="E243" s="201">
        <v>80</v>
      </c>
      <c r="F243" s="201">
        <v>10</v>
      </c>
      <c r="G243" s="203">
        <v>44404</v>
      </c>
    </row>
    <row r="244" spans="2:11">
      <c r="C244" s="272" t="s">
        <v>755</v>
      </c>
      <c r="D244" s="272" t="s">
        <v>1818</v>
      </c>
      <c r="E244" s="201">
        <v>676</v>
      </c>
      <c r="F244" s="201">
        <f>500/7</f>
        <v>71.428571428571431</v>
      </c>
      <c r="G244" s="203">
        <v>44299</v>
      </c>
      <c r="I244" s="199">
        <v>4400</v>
      </c>
    </row>
    <row r="245" spans="2:11">
      <c r="C245" s="272" t="s">
        <v>565</v>
      </c>
      <c r="D245" s="272" t="s">
        <v>1820</v>
      </c>
      <c r="E245" s="201">
        <v>500</v>
      </c>
      <c r="F245" s="201">
        <f>200/9</f>
        <v>22.222222222222221</v>
      </c>
      <c r="G245" s="203">
        <v>44274</v>
      </c>
    </row>
    <row r="246" spans="2:11">
      <c r="C246" s="274" t="s">
        <v>544</v>
      </c>
      <c r="D246" s="274" t="s">
        <v>1828</v>
      </c>
      <c r="E246" s="201">
        <v>3</v>
      </c>
      <c r="F246" s="280" t="s">
        <v>4054</v>
      </c>
      <c r="G246" s="203">
        <v>41879</v>
      </c>
      <c r="I246" s="199">
        <v>11</v>
      </c>
    </row>
    <row r="247" spans="2:11">
      <c r="C247" s="282" t="s">
        <v>402</v>
      </c>
      <c r="D247" s="282" t="s">
        <v>1920</v>
      </c>
      <c r="E247" s="201">
        <v>37</v>
      </c>
      <c r="F247" s="280">
        <v>6.5</v>
      </c>
      <c r="G247" s="203">
        <v>43783</v>
      </c>
      <c r="I247" s="199">
        <v>113</v>
      </c>
    </row>
    <row r="248" spans="2:11">
      <c r="C248" s="282" t="s">
        <v>544</v>
      </c>
      <c r="D248" s="282" t="s">
        <v>1920</v>
      </c>
      <c r="E248" s="201">
        <v>15</v>
      </c>
      <c r="F248" s="280">
        <f>E248/2</f>
        <v>7.5</v>
      </c>
      <c r="G248" s="203">
        <v>43262</v>
      </c>
    </row>
    <row r="249" spans="2:11">
      <c r="G249" s="203"/>
    </row>
    <row r="250" spans="2:11">
      <c r="B250" s="64" t="s">
        <v>747</v>
      </c>
      <c r="C250" s="191" t="s">
        <v>491</v>
      </c>
      <c r="D250" s="191" t="s">
        <v>759</v>
      </c>
      <c r="E250" s="188"/>
      <c r="F250" s="188">
        <f>SUM(F251:F273)</f>
        <v>365.5</v>
      </c>
      <c r="G250" s="202">
        <f>G268</f>
        <v>45041</v>
      </c>
      <c r="I250" s="199">
        <v>70000</v>
      </c>
      <c r="J250" s="233">
        <f>+F250/I250</f>
        <v>5.2214285714285713E-3</v>
      </c>
      <c r="K250" s="199">
        <v>1999</v>
      </c>
    </row>
    <row r="251" spans="2:11">
      <c r="C251" s="200" t="s">
        <v>738</v>
      </c>
      <c r="D251" s="200" t="s">
        <v>751</v>
      </c>
      <c r="E251" s="201">
        <v>325</v>
      </c>
      <c r="F251" s="201">
        <v>18.5</v>
      </c>
      <c r="G251" s="203">
        <v>44299</v>
      </c>
    </row>
    <row r="252" spans="2:11">
      <c r="C252" s="200" t="s">
        <v>565</v>
      </c>
      <c r="D252" s="200" t="s">
        <v>751</v>
      </c>
      <c r="E252" s="201">
        <v>100</v>
      </c>
      <c r="F252" s="201">
        <f>65/5</f>
        <v>13</v>
      </c>
      <c r="G252" s="203">
        <v>43682</v>
      </c>
    </row>
    <row r="253" spans="2:11">
      <c r="C253" s="200" t="s">
        <v>549</v>
      </c>
      <c r="D253" s="200" t="s">
        <v>415</v>
      </c>
      <c r="E253" s="201">
        <v>100</v>
      </c>
      <c r="F253" s="201">
        <v>25</v>
      </c>
      <c r="G253" s="203">
        <v>44846</v>
      </c>
    </row>
    <row r="254" spans="2:11">
      <c r="C254" s="200" t="s">
        <v>565</v>
      </c>
      <c r="D254" s="200" t="s">
        <v>797</v>
      </c>
      <c r="E254" s="201">
        <v>100</v>
      </c>
      <c r="F254" s="201">
        <v>9</v>
      </c>
      <c r="G254" s="203">
        <v>44690</v>
      </c>
    </row>
    <row r="255" spans="2:11">
      <c r="C255" s="200" t="s">
        <v>544</v>
      </c>
      <c r="D255" s="200" t="s">
        <v>420</v>
      </c>
      <c r="E255" s="201">
        <v>125</v>
      </c>
      <c r="F255" s="201">
        <v>15</v>
      </c>
      <c r="G255" s="203">
        <v>44852</v>
      </c>
    </row>
    <row r="256" spans="2:11">
      <c r="C256" s="200" t="s">
        <v>565</v>
      </c>
      <c r="D256" s="200" t="s">
        <v>850</v>
      </c>
      <c r="E256" s="201">
        <v>135</v>
      </c>
      <c r="F256" s="201">
        <v>25</v>
      </c>
      <c r="G256" s="203">
        <v>44500</v>
      </c>
    </row>
    <row r="257" spans="3:10">
      <c r="C257" s="200" t="s">
        <v>402</v>
      </c>
      <c r="D257" s="200" t="s">
        <v>850</v>
      </c>
      <c r="E257" s="201">
        <v>45</v>
      </c>
      <c r="F257" s="201">
        <v>10</v>
      </c>
      <c r="G257" s="203">
        <v>44228</v>
      </c>
    </row>
    <row r="258" spans="3:10">
      <c r="C258" s="200" t="s">
        <v>565</v>
      </c>
      <c r="D258" s="200" t="s">
        <v>864</v>
      </c>
      <c r="E258" s="201">
        <v>50</v>
      </c>
      <c r="F258" s="201">
        <v>6</v>
      </c>
      <c r="G258" s="203">
        <v>44900</v>
      </c>
    </row>
    <row r="259" spans="3:10">
      <c r="C259" s="200" t="s">
        <v>402</v>
      </c>
      <c r="D259" s="200" t="s">
        <v>864</v>
      </c>
      <c r="E259" s="201">
        <v>35</v>
      </c>
      <c r="F259" s="201">
        <v>20</v>
      </c>
      <c r="G259" s="203">
        <v>44543</v>
      </c>
    </row>
    <row r="260" spans="3:10">
      <c r="C260" s="200" t="s">
        <v>565</v>
      </c>
      <c r="D260" s="200" t="s">
        <v>626</v>
      </c>
      <c r="E260" s="201">
        <v>50</v>
      </c>
      <c r="F260" s="201">
        <v>8</v>
      </c>
      <c r="G260" s="203">
        <v>44496</v>
      </c>
    </row>
    <row r="261" spans="3:10">
      <c r="C261" s="200" t="s">
        <v>402</v>
      </c>
      <c r="D261" s="200" t="s">
        <v>626</v>
      </c>
      <c r="E261" s="201">
        <v>22</v>
      </c>
      <c r="F261" s="201">
        <v>12</v>
      </c>
      <c r="G261" s="203">
        <v>44153</v>
      </c>
    </row>
    <row r="262" spans="3:10">
      <c r="C262" s="200" t="s">
        <v>402</v>
      </c>
      <c r="D262" s="200" t="s">
        <v>630</v>
      </c>
      <c r="E262" s="201">
        <v>50</v>
      </c>
      <c r="F262" s="201">
        <v>7</v>
      </c>
      <c r="G262" s="203">
        <v>44628</v>
      </c>
    </row>
    <row r="263" spans="3:10">
      <c r="C263" s="200" t="s">
        <v>402</v>
      </c>
      <c r="D263" s="200" t="s">
        <v>647</v>
      </c>
      <c r="E263" s="201">
        <v>43</v>
      </c>
      <c r="F263" s="201">
        <v>6</v>
      </c>
      <c r="G263" s="203">
        <v>44978</v>
      </c>
    </row>
    <row r="264" spans="3:10">
      <c r="C264" s="200" t="s">
        <v>544</v>
      </c>
      <c r="D264" s="200" t="s">
        <v>647</v>
      </c>
      <c r="E264" s="201">
        <v>26</v>
      </c>
      <c r="F264" s="201">
        <v>13</v>
      </c>
      <c r="G264" s="203">
        <v>44453</v>
      </c>
    </row>
    <row r="265" spans="3:10">
      <c r="C265" s="200" t="s">
        <v>402</v>
      </c>
      <c r="D265" s="200" t="s">
        <v>649</v>
      </c>
      <c r="E265" s="201">
        <v>40</v>
      </c>
      <c r="F265" s="201">
        <v>20</v>
      </c>
      <c r="G265" s="203">
        <v>44728</v>
      </c>
    </row>
    <row r="266" spans="3:10">
      <c r="C266" s="200" t="s">
        <v>402</v>
      </c>
      <c r="D266" s="200" t="s">
        <v>1161</v>
      </c>
      <c r="E266" s="201">
        <v>30</v>
      </c>
      <c r="F266" s="201">
        <f>20/3</f>
        <v>6.666666666666667</v>
      </c>
      <c r="G266" s="203">
        <v>44510</v>
      </c>
    </row>
    <row r="267" spans="3:10">
      <c r="C267" s="200" t="s">
        <v>544</v>
      </c>
      <c r="D267" s="200" t="s">
        <v>1161</v>
      </c>
      <c r="E267" s="201">
        <v>21.4</v>
      </c>
      <c r="F267" s="201">
        <v>5</v>
      </c>
      <c r="G267" s="203">
        <v>44232</v>
      </c>
    </row>
    <row r="268" spans="3:10">
      <c r="C268" s="200" t="s">
        <v>402</v>
      </c>
      <c r="D268" s="200" t="s">
        <v>392</v>
      </c>
      <c r="E268" s="201">
        <v>97.4</v>
      </c>
      <c r="F268" s="201">
        <f>47/6</f>
        <v>7.833333333333333</v>
      </c>
      <c r="G268" s="203">
        <v>45041</v>
      </c>
    </row>
    <row r="269" spans="3:10">
      <c r="C269" s="200" t="s">
        <v>402</v>
      </c>
      <c r="D269" s="200" t="s">
        <v>392</v>
      </c>
      <c r="E269" s="201">
        <v>80</v>
      </c>
      <c r="F269" s="201">
        <v>40</v>
      </c>
      <c r="G269" s="203">
        <v>44539</v>
      </c>
    </row>
    <row r="270" spans="3:10">
      <c r="C270" s="200" t="s">
        <v>402</v>
      </c>
      <c r="D270" s="252" t="s">
        <v>1692</v>
      </c>
      <c r="E270" s="201">
        <v>35</v>
      </c>
      <c r="F270" s="201">
        <v>5</v>
      </c>
      <c r="G270" s="203">
        <v>44309</v>
      </c>
    </row>
    <row r="271" spans="3:10">
      <c r="C271" s="282" t="s">
        <v>755</v>
      </c>
      <c r="D271" s="282" t="s">
        <v>4242</v>
      </c>
      <c r="E271" s="201">
        <v>81</v>
      </c>
      <c r="F271" s="201">
        <f>E271/6</f>
        <v>13.5</v>
      </c>
      <c r="G271" s="203">
        <v>43418</v>
      </c>
      <c r="I271" s="199">
        <v>1700</v>
      </c>
      <c r="J271" s="199">
        <v>3800</v>
      </c>
    </row>
    <row r="272" spans="3:10">
      <c r="C272" s="282" t="s">
        <v>738</v>
      </c>
      <c r="D272" s="282" t="s">
        <v>4285</v>
      </c>
      <c r="E272" s="201">
        <v>250</v>
      </c>
      <c r="F272" s="201">
        <v>30</v>
      </c>
      <c r="G272" s="203">
        <v>44350</v>
      </c>
      <c r="I272" s="199">
        <v>7000</v>
      </c>
      <c r="J272" s="199">
        <v>7000</v>
      </c>
    </row>
    <row r="273" spans="2:18">
      <c r="C273" s="282" t="s">
        <v>755</v>
      </c>
      <c r="D273" s="282" t="s">
        <v>4285</v>
      </c>
      <c r="E273" s="201">
        <v>200</v>
      </c>
      <c r="F273" s="201">
        <v>50</v>
      </c>
      <c r="G273" s="203">
        <v>44055</v>
      </c>
      <c r="I273" s="199">
        <v>2000</v>
      </c>
      <c r="J273" s="199">
        <v>7000</v>
      </c>
    </row>
    <row r="274" spans="2:18">
      <c r="G274" s="203"/>
      <c r="I274" s="64"/>
      <c r="J274" s="64"/>
      <c r="K274" s="64"/>
    </row>
    <row r="275" spans="2:18" s="64" customFormat="1">
      <c r="B275" s="64" t="s">
        <v>2646</v>
      </c>
      <c r="C275" s="191" t="s">
        <v>491</v>
      </c>
      <c r="D275" s="191" t="s">
        <v>759</v>
      </c>
      <c r="E275" s="188"/>
      <c r="F275" s="188">
        <f>SUM(F276:F281)</f>
        <v>290.88888888888891</v>
      </c>
      <c r="G275" s="202">
        <f>G278</f>
        <v>44274</v>
      </c>
    </row>
    <row r="276" spans="2:18">
      <c r="B276" s="227"/>
      <c r="C276" s="228" t="s">
        <v>544</v>
      </c>
      <c r="D276" s="228" t="s">
        <v>1329</v>
      </c>
      <c r="E276" s="201">
        <v>15</v>
      </c>
      <c r="F276" s="201">
        <v>3</v>
      </c>
      <c r="G276" s="203">
        <v>42690</v>
      </c>
      <c r="M276" s="199"/>
      <c r="N276" s="199"/>
      <c r="O276" s="199"/>
      <c r="P276" s="199"/>
      <c r="Q276" s="199"/>
      <c r="R276" s="199"/>
    </row>
    <row r="277" spans="2:18">
      <c r="B277" s="227"/>
      <c r="C277" s="272" t="s">
        <v>565</v>
      </c>
      <c r="D277" s="272" t="s">
        <v>1814</v>
      </c>
      <c r="E277" s="201">
        <v>820</v>
      </c>
      <c r="F277" s="201">
        <v>220</v>
      </c>
      <c r="G277" s="203">
        <v>43223</v>
      </c>
      <c r="M277" s="199"/>
      <c r="N277" s="199"/>
      <c r="O277" s="199"/>
      <c r="P277" s="199"/>
      <c r="Q277" s="199"/>
      <c r="R277" s="199"/>
    </row>
    <row r="278" spans="2:18">
      <c r="B278" s="227"/>
      <c r="C278" s="272" t="s">
        <v>565</v>
      </c>
      <c r="D278" s="272" t="s">
        <v>1820</v>
      </c>
      <c r="E278" s="201">
        <v>500</v>
      </c>
      <c r="F278" s="201">
        <f>200/9</f>
        <v>22.222222222222221</v>
      </c>
      <c r="G278" s="203">
        <v>44274</v>
      </c>
      <c r="M278" s="199"/>
      <c r="N278" s="199"/>
      <c r="O278" s="199"/>
      <c r="P278" s="199"/>
      <c r="Q278" s="199"/>
      <c r="R278" s="199"/>
    </row>
    <row r="279" spans="2:18">
      <c r="B279" s="227"/>
      <c r="C279" s="272" t="s">
        <v>402</v>
      </c>
      <c r="D279" s="272" t="s">
        <v>1820</v>
      </c>
      <c r="E279" s="201">
        <v>120</v>
      </c>
      <c r="F279" s="201">
        <f>30/3</f>
        <v>10</v>
      </c>
      <c r="G279" s="203">
        <v>43391</v>
      </c>
      <c r="M279" s="199"/>
      <c r="N279" s="199"/>
      <c r="O279" s="199"/>
      <c r="P279" s="199"/>
      <c r="Q279" s="199"/>
      <c r="R279" s="199"/>
    </row>
    <row r="280" spans="2:18">
      <c r="B280" s="227"/>
      <c r="C280" s="274" t="s">
        <v>738</v>
      </c>
      <c r="D280" s="274" t="s">
        <v>1828</v>
      </c>
      <c r="E280" s="201">
        <f>300</f>
        <v>300</v>
      </c>
      <c r="F280" s="280" t="s">
        <v>4058</v>
      </c>
      <c r="G280" s="203">
        <v>44271</v>
      </c>
      <c r="M280" s="199"/>
      <c r="N280" s="199"/>
      <c r="O280" s="199"/>
      <c r="P280" s="199"/>
      <c r="Q280" s="199"/>
      <c r="R280" s="199"/>
    </row>
    <row r="281" spans="2:18">
      <c r="B281" s="227"/>
      <c r="C281" s="282" t="s">
        <v>565</v>
      </c>
      <c r="D281" s="282" t="s">
        <v>1933</v>
      </c>
      <c r="E281" s="201">
        <v>257</v>
      </c>
      <c r="F281" s="280">
        <f>107/3</f>
        <v>35.666666666666664</v>
      </c>
      <c r="G281" s="203">
        <v>44201</v>
      </c>
      <c r="M281" s="199"/>
      <c r="N281" s="199"/>
      <c r="O281" s="199"/>
      <c r="P281" s="199"/>
      <c r="Q281" s="199"/>
      <c r="R281" s="199"/>
    </row>
    <row r="282" spans="2:18">
      <c r="B282" s="227"/>
      <c r="C282" s="282" t="s">
        <v>402</v>
      </c>
      <c r="D282" s="282" t="s">
        <v>1933</v>
      </c>
      <c r="E282" s="201">
        <v>100</v>
      </c>
      <c r="F282" s="280">
        <v>20</v>
      </c>
      <c r="G282" s="203">
        <v>43958</v>
      </c>
      <c r="M282" s="199"/>
      <c r="N282" s="199"/>
      <c r="O282" s="199"/>
      <c r="P282" s="199"/>
      <c r="Q282" s="199"/>
      <c r="R282" s="199"/>
    </row>
    <row r="283" spans="2:18">
      <c r="B283" s="227"/>
      <c r="C283" s="282" t="s">
        <v>544</v>
      </c>
      <c r="D283" s="282" t="s">
        <v>1933</v>
      </c>
      <c r="E283" s="201">
        <v>43</v>
      </c>
      <c r="F283" s="280">
        <f>+E283/6</f>
        <v>7.166666666666667</v>
      </c>
      <c r="G283" s="203">
        <v>43622</v>
      </c>
      <c r="M283" s="199"/>
      <c r="N283" s="199"/>
      <c r="O283" s="199"/>
      <c r="P283" s="199"/>
      <c r="Q283" s="199"/>
      <c r="R283" s="199"/>
    </row>
    <row r="284" spans="2:18">
      <c r="B284" s="227"/>
      <c r="C284" s="282" t="s">
        <v>549</v>
      </c>
      <c r="D284" s="282" t="s">
        <v>1933</v>
      </c>
      <c r="E284" s="201">
        <v>19</v>
      </c>
      <c r="F284" s="280">
        <v>19</v>
      </c>
      <c r="G284" s="203">
        <v>43319</v>
      </c>
      <c r="M284" s="199"/>
      <c r="N284" s="199"/>
      <c r="O284" s="199"/>
      <c r="P284" s="199"/>
      <c r="Q284" s="199"/>
      <c r="R284" s="199"/>
    </row>
    <row r="285" spans="2:18">
      <c r="B285" s="227"/>
      <c r="C285" s="282" t="s">
        <v>544</v>
      </c>
      <c r="D285" s="282" t="s">
        <v>1942</v>
      </c>
      <c r="E285" s="201">
        <f>1600/7</f>
        <v>228.57142857142858</v>
      </c>
      <c r="F285" s="280">
        <f>109/2</f>
        <v>54.5</v>
      </c>
      <c r="G285" s="203">
        <v>45078</v>
      </c>
      <c r="I285" s="199">
        <v>1000</v>
      </c>
      <c r="J285" s="199">
        <v>1000</v>
      </c>
      <c r="M285" s="199"/>
      <c r="N285" s="199"/>
      <c r="O285" s="199"/>
      <c r="P285" s="199"/>
      <c r="Q285" s="199"/>
      <c r="R285" s="199"/>
    </row>
    <row r="286" spans="2:18">
      <c r="B286" s="227"/>
      <c r="C286" s="228"/>
      <c r="D286" s="228"/>
      <c r="G286" s="203"/>
      <c r="M286" s="199"/>
      <c r="N286" s="199"/>
      <c r="O286" s="199"/>
      <c r="P286" s="199"/>
      <c r="Q286" s="199"/>
      <c r="R286" s="199"/>
    </row>
    <row r="287" spans="2:18" s="64" customFormat="1">
      <c r="B287" s="64" t="s">
        <v>762</v>
      </c>
      <c r="C287" s="191" t="s">
        <v>491</v>
      </c>
      <c r="D287" s="191" t="s">
        <v>759</v>
      </c>
      <c r="E287" s="188"/>
      <c r="F287" s="188">
        <f>SUM(F288:F291)</f>
        <v>268</v>
      </c>
      <c r="G287" s="202">
        <f>+G288</f>
        <v>45069</v>
      </c>
      <c r="I287" s="64">
        <v>3800</v>
      </c>
      <c r="J287" s="235">
        <f>+F287/I287</f>
        <v>7.0526315789473687E-2</v>
      </c>
      <c r="K287" s="64">
        <v>2005</v>
      </c>
      <c r="M287" s="191"/>
      <c r="N287" s="191"/>
      <c r="O287" s="191"/>
      <c r="P287" s="191"/>
      <c r="Q287" s="191"/>
      <c r="R287" s="191"/>
    </row>
    <row r="288" spans="2:18">
      <c r="C288" s="200" t="s">
        <v>565</v>
      </c>
      <c r="D288" s="200" t="s">
        <v>144</v>
      </c>
      <c r="E288" s="201">
        <v>450</v>
      </c>
      <c r="F288" s="201">
        <v>150</v>
      </c>
      <c r="G288" s="203">
        <v>45069</v>
      </c>
    </row>
    <row r="289" spans="2:11">
      <c r="C289" s="200" t="s">
        <v>402</v>
      </c>
      <c r="D289" s="200" t="s">
        <v>431</v>
      </c>
      <c r="E289" s="201">
        <v>350</v>
      </c>
      <c r="F289" s="201">
        <v>75</v>
      </c>
      <c r="G289" s="203">
        <v>44999</v>
      </c>
    </row>
    <row r="290" spans="2:11">
      <c r="C290" s="200" t="s">
        <v>565</v>
      </c>
      <c r="D290" s="200" t="s">
        <v>751</v>
      </c>
      <c r="E290" s="201">
        <v>100</v>
      </c>
      <c r="F290" s="201">
        <v>13</v>
      </c>
      <c r="G290" s="203">
        <v>43682</v>
      </c>
    </row>
    <row r="291" spans="2:11">
      <c r="C291" s="245" t="s">
        <v>565</v>
      </c>
      <c r="D291" s="245" t="s">
        <v>2853</v>
      </c>
      <c r="E291" s="201">
        <v>130</v>
      </c>
      <c r="F291" s="201">
        <v>30</v>
      </c>
      <c r="G291" s="203">
        <v>44323</v>
      </c>
    </row>
    <row r="292" spans="2:11">
      <c r="G292" s="203"/>
    </row>
    <row r="293" spans="2:11">
      <c r="B293" s="64" t="s">
        <v>804</v>
      </c>
      <c r="C293" s="191" t="s">
        <v>491</v>
      </c>
      <c r="D293" s="191" t="s">
        <v>759</v>
      </c>
      <c r="E293" s="188"/>
      <c r="F293" s="188">
        <f>SUM(F294:F304)</f>
        <v>259</v>
      </c>
      <c r="G293" s="202">
        <f>G303</f>
        <v>45091</v>
      </c>
      <c r="I293" s="64">
        <v>6500</v>
      </c>
      <c r="J293" s="235">
        <f>+F293/I293</f>
        <v>3.9846153846153844E-2</v>
      </c>
      <c r="K293" s="64">
        <v>2020</v>
      </c>
    </row>
    <row r="294" spans="2:11">
      <c r="B294" s="64"/>
      <c r="C294" s="200" t="s">
        <v>402</v>
      </c>
      <c r="D294" s="200" t="s">
        <v>431</v>
      </c>
      <c r="E294" s="201">
        <v>350</v>
      </c>
      <c r="F294" s="201">
        <v>20</v>
      </c>
      <c r="G294" s="203">
        <v>44999</v>
      </c>
    </row>
    <row r="295" spans="2:11">
      <c r="B295" s="64"/>
      <c r="C295" s="200" t="s">
        <v>544</v>
      </c>
      <c r="D295" s="200" t="s">
        <v>431</v>
      </c>
      <c r="E295" s="201">
        <v>65</v>
      </c>
      <c r="F295" s="201">
        <v>25</v>
      </c>
      <c r="G295" s="203">
        <v>44679</v>
      </c>
    </row>
    <row r="296" spans="2:11">
      <c r="C296" s="200" t="s">
        <v>565</v>
      </c>
      <c r="D296" s="200" t="s">
        <v>797</v>
      </c>
      <c r="E296" s="201">
        <v>100</v>
      </c>
      <c r="F296" s="201">
        <v>9</v>
      </c>
      <c r="G296" s="203">
        <v>44690</v>
      </c>
    </row>
    <row r="297" spans="2:11">
      <c r="C297" s="200" t="s">
        <v>402</v>
      </c>
      <c r="D297" s="200" t="s">
        <v>797</v>
      </c>
      <c r="E297" s="201">
        <v>40</v>
      </c>
      <c r="F297" s="201">
        <v>7</v>
      </c>
      <c r="G297" s="203">
        <v>44327</v>
      </c>
    </row>
    <row r="298" spans="2:11">
      <c r="C298" s="200" t="s">
        <v>565</v>
      </c>
      <c r="D298" s="200" t="s">
        <v>617</v>
      </c>
      <c r="E298" s="201">
        <v>85</v>
      </c>
      <c r="F298" s="201">
        <v>10</v>
      </c>
      <c r="G298" s="203">
        <v>44501</v>
      </c>
    </row>
    <row r="299" spans="2:11">
      <c r="C299" s="200" t="s">
        <v>402</v>
      </c>
      <c r="D299" s="200" t="s">
        <v>617</v>
      </c>
      <c r="E299" s="201">
        <v>28</v>
      </c>
      <c r="F299" s="201">
        <v>18</v>
      </c>
      <c r="G299" s="203">
        <v>44272</v>
      </c>
    </row>
    <row r="300" spans="2:11">
      <c r="C300" s="200" t="s">
        <v>565</v>
      </c>
      <c r="D300" s="200" t="s">
        <v>618</v>
      </c>
      <c r="E300" s="201">
        <v>85</v>
      </c>
      <c r="F300" s="201">
        <v>20</v>
      </c>
      <c r="G300" s="203">
        <v>44417</v>
      </c>
    </row>
    <row r="301" spans="2:11">
      <c r="C301" s="200" t="s">
        <v>979</v>
      </c>
      <c r="D301" s="200" t="s">
        <v>616</v>
      </c>
      <c r="E301" s="201">
        <v>99</v>
      </c>
      <c r="F301" s="201">
        <v>30</v>
      </c>
      <c r="G301" s="203">
        <v>44796</v>
      </c>
    </row>
    <row r="302" spans="2:11">
      <c r="C302" s="200" t="s">
        <v>982</v>
      </c>
      <c r="D302" s="200" t="s">
        <v>616</v>
      </c>
      <c r="E302" s="201">
        <v>100</v>
      </c>
      <c r="F302" s="201">
        <v>30</v>
      </c>
      <c r="G302" s="203">
        <v>44537</v>
      </c>
    </row>
    <row r="303" spans="2:11">
      <c r="C303" s="252" t="s">
        <v>755</v>
      </c>
      <c r="D303" s="252" t="s">
        <v>1628</v>
      </c>
      <c r="E303" s="201">
        <v>69</v>
      </c>
      <c r="F303" s="201">
        <v>50</v>
      </c>
      <c r="G303" s="203">
        <v>45091</v>
      </c>
    </row>
    <row r="304" spans="2:11">
      <c r="C304" s="252" t="s">
        <v>565</v>
      </c>
      <c r="D304" s="252" t="s">
        <v>1628</v>
      </c>
      <c r="E304" s="201">
        <v>110</v>
      </c>
      <c r="F304" s="201">
        <v>40</v>
      </c>
      <c r="G304" s="203">
        <v>44369</v>
      </c>
    </row>
    <row r="305" spans="2:11">
      <c r="G305" s="203"/>
    </row>
    <row r="306" spans="2:11">
      <c r="B306" s="64" t="s">
        <v>822</v>
      </c>
      <c r="C306" s="191" t="s">
        <v>491</v>
      </c>
      <c r="D306" s="191" t="s">
        <v>759</v>
      </c>
      <c r="E306" s="188"/>
      <c r="F306" s="188">
        <f>SUM(F307:F323)</f>
        <v>310.5</v>
      </c>
      <c r="G306" s="202">
        <f>G307</f>
        <v>44852</v>
      </c>
      <c r="I306" s="64">
        <v>90000</v>
      </c>
      <c r="J306" s="235">
        <f>+F306/I306</f>
        <v>3.4499999999999999E-3</v>
      </c>
      <c r="K306" s="64">
        <v>1995</v>
      </c>
    </row>
    <row r="307" spans="2:11">
      <c r="C307" s="200" t="s">
        <v>544</v>
      </c>
      <c r="D307" s="200" t="s">
        <v>420</v>
      </c>
      <c r="E307" s="201">
        <v>125</v>
      </c>
      <c r="F307" s="201">
        <v>35</v>
      </c>
      <c r="G307" s="203">
        <v>44852</v>
      </c>
    </row>
    <row r="308" spans="2:11">
      <c r="C308" s="200" t="s">
        <v>565</v>
      </c>
      <c r="D308" s="200" t="s">
        <v>850</v>
      </c>
      <c r="E308" s="201">
        <v>135</v>
      </c>
      <c r="F308" s="201">
        <v>25</v>
      </c>
      <c r="G308" s="203">
        <v>44482</v>
      </c>
    </row>
    <row r="309" spans="2:11">
      <c r="C309" s="200" t="s">
        <v>402</v>
      </c>
      <c r="D309" s="200" t="s">
        <v>850</v>
      </c>
      <c r="E309" s="201">
        <v>45</v>
      </c>
      <c r="F309" s="201">
        <v>15</v>
      </c>
      <c r="G309" s="203">
        <v>44228</v>
      </c>
    </row>
    <row r="310" spans="2:11">
      <c r="C310" s="200" t="s">
        <v>544</v>
      </c>
      <c r="D310" s="200" t="s">
        <v>1264</v>
      </c>
      <c r="E310" s="201">
        <v>30</v>
      </c>
      <c r="F310" s="201">
        <v>10</v>
      </c>
      <c r="G310" s="203">
        <v>44656</v>
      </c>
    </row>
    <row r="311" spans="2:11">
      <c r="C311" s="200" t="s">
        <v>402</v>
      </c>
      <c r="D311" s="200" t="s">
        <v>673</v>
      </c>
      <c r="E311" s="201">
        <v>25</v>
      </c>
      <c r="F311" s="201">
        <v>10</v>
      </c>
      <c r="G311" s="203">
        <v>44755</v>
      </c>
    </row>
    <row r="312" spans="2:11">
      <c r="C312" s="200" t="s">
        <v>544</v>
      </c>
      <c r="D312" s="200" t="s">
        <v>673</v>
      </c>
      <c r="E312" s="201">
        <v>21</v>
      </c>
      <c r="F312" s="201">
        <v>7</v>
      </c>
      <c r="G312" s="203">
        <v>44489</v>
      </c>
    </row>
    <row r="313" spans="2:11">
      <c r="C313" s="200" t="s">
        <v>544</v>
      </c>
      <c r="D313" s="200" t="s">
        <v>679</v>
      </c>
      <c r="E313" s="201">
        <v>20</v>
      </c>
      <c r="F313" s="201">
        <v>7</v>
      </c>
      <c r="G313" s="203">
        <v>44676</v>
      </c>
    </row>
    <row r="314" spans="2:11">
      <c r="C314" s="200" t="s">
        <v>544</v>
      </c>
      <c r="D314" s="200" t="s">
        <v>1445</v>
      </c>
      <c r="E314" s="201">
        <v>20</v>
      </c>
      <c r="F314" s="201">
        <v>5</v>
      </c>
      <c r="G314" s="203">
        <v>44602</v>
      </c>
    </row>
    <row r="315" spans="2:11">
      <c r="C315" s="200" t="s">
        <v>544</v>
      </c>
      <c r="D315" s="200" t="s">
        <v>690</v>
      </c>
      <c r="E315" s="201">
        <v>20</v>
      </c>
      <c r="F315" s="201">
        <v>10</v>
      </c>
      <c r="G315" s="203">
        <v>44371</v>
      </c>
    </row>
    <row r="316" spans="2:11">
      <c r="C316" s="200" t="s">
        <v>544</v>
      </c>
      <c r="D316" s="200" t="s">
        <v>696</v>
      </c>
      <c r="E316" s="201">
        <v>15</v>
      </c>
      <c r="F316" s="201">
        <v>5</v>
      </c>
      <c r="G316" s="203">
        <v>44468</v>
      </c>
    </row>
    <row r="317" spans="2:11">
      <c r="C317" s="228" t="s">
        <v>402</v>
      </c>
      <c r="D317" s="228" t="s">
        <v>1524</v>
      </c>
      <c r="E317" s="201">
        <v>30</v>
      </c>
      <c r="F317" s="201">
        <v>15</v>
      </c>
      <c r="G317" s="203">
        <v>44756</v>
      </c>
    </row>
    <row r="318" spans="2:11">
      <c r="C318" s="238" t="s">
        <v>402</v>
      </c>
      <c r="D318" s="238" t="s">
        <v>2741</v>
      </c>
      <c r="E318" s="201">
        <v>32</v>
      </c>
      <c r="F318" s="201">
        <v>12</v>
      </c>
      <c r="G318" s="203">
        <v>44364</v>
      </c>
    </row>
    <row r="319" spans="2:11">
      <c r="C319" s="249" t="s">
        <v>544</v>
      </c>
      <c r="D319" s="249" t="s">
        <v>1609</v>
      </c>
      <c r="E319" s="201">
        <v>57</v>
      </c>
      <c r="F319" s="201">
        <v>6</v>
      </c>
      <c r="G319" s="203">
        <v>44508</v>
      </c>
    </row>
    <row r="320" spans="2:11">
      <c r="C320" s="272" t="s">
        <v>813</v>
      </c>
      <c r="D320" s="272" t="s">
        <v>1824</v>
      </c>
      <c r="E320" s="201">
        <v>200</v>
      </c>
      <c r="F320" s="201">
        <v>50</v>
      </c>
      <c r="G320" s="203">
        <v>44907</v>
      </c>
      <c r="I320" s="199">
        <v>3500</v>
      </c>
    </row>
    <row r="321" spans="2:18">
      <c r="C321" s="274" t="s">
        <v>738</v>
      </c>
      <c r="D321" s="272" t="s">
        <v>1824</v>
      </c>
      <c r="E321" s="201">
        <v>400</v>
      </c>
      <c r="F321" s="201">
        <v>36</v>
      </c>
      <c r="G321" s="203">
        <v>44413</v>
      </c>
      <c r="I321" s="199">
        <v>4200</v>
      </c>
    </row>
    <row r="322" spans="2:18">
      <c r="C322" s="282" t="s">
        <v>755</v>
      </c>
      <c r="D322" s="282" t="s">
        <v>1936</v>
      </c>
      <c r="E322" s="201">
        <v>250</v>
      </c>
      <c r="F322" s="201">
        <f>150/4</f>
        <v>37.5</v>
      </c>
      <c r="G322" s="203">
        <v>45069</v>
      </c>
    </row>
    <row r="323" spans="2:18">
      <c r="C323" s="282" t="s">
        <v>565</v>
      </c>
      <c r="D323" s="282" t="s">
        <v>1936</v>
      </c>
      <c r="E323" s="201">
        <v>100</v>
      </c>
      <c r="F323" s="201">
        <v>25</v>
      </c>
      <c r="G323" s="203">
        <v>44650</v>
      </c>
    </row>
    <row r="324" spans="2:18">
      <c r="G324" s="203"/>
    </row>
    <row r="325" spans="2:18" s="64" customFormat="1">
      <c r="B325" s="64" t="s">
        <v>764</v>
      </c>
      <c r="C325" s="191" t="s">
        <v>491</v>
      </c>
      <c r="D325" s="191" t="s">
        <v>759</v>
      </c>
      <c r="E325" s="188"/>
      <c r="F325" s="188">
        <f>SUM(F326:F342)</f>
        <v>274.58333333333331</v>
      </c>
      <c r="G325" s="202">
        <f>+G337</f>
        <v>45090</v>
      </c>
      <c r="I325" s="64">
        <v>13000</v>
      </c>
      <c r="J325" s="235">
        <f>+F325/I325</f>
        <v>2.1121794871794872E-2</v>
      </c>
      <c r="K325" s="64">
        <v>1996</v>
      </c>
      <c r="M325" s="191"/>
      <c r="N325" s="191"/>
      <c r="O325" s="191"/>
      <c r="P325" s="191"/>
      <c r="Q325" s="191"/>
      <c r="R325" s="191"/>
    </row>
    <row r="326" spans="2:18">
      <c r="C326" s="200" t="s">
        <v>738</v>
      </c>
      <c r="D326" s="200" t="s">
        <v>751</v>
      </c>
      <c r="E326" s="201">
        <v>325</v>
      </c>
      <c r="F326" s="201">
        <v>18.5</v>
      </c>
      <c r="G326" s="203">
        <v>44299</v>
      </c>
    </row>
    <row r="327" spans="2:18">
      <c r="C327" s="200" t="s">
        <v>402</v>
      </c>
      <c r="D327" s="200" t="s">
        <v>751</v>
      </c>
      <c r="E327" s="201">
        <v>18</v>
      </c>
      <c r="F327" s="201">
        <v>12</v>
      </c>
      <c r="G327" s="203">
        <v>43319</v>
      </c>
    </row>
    <row r="328" spans="2:18">
      <c r="C328" s="200" t="s">
        <v>565</v>
      </c>
      <c r="D328" s="200" t="s">
        <v>404</v>
      </c>
      <c r="E328" s="201">
        <v>270</v>
      </c>
      <c r="F328" s="201">
        <v>24</v>
      </c>
      <c r="G328" s="203">
        <v>45048</v>
      </c>
    </row>
    <row r="329" spans="2:18">
      <c r="C329" s="200" t="s">
        <v>402</v>
      </c>
      <c r="D329" s="200" t="s">
        <v>404</v>
      </c>
      <c r="E329" s="201">
        <v>130</v>
      </c>
      <c r="F329" s="201">
        <v>23</v>
      </c>
      <c r="G329" s="203">
        <v>44607</v>
      </c>
    </row>
    <row r="330" spans="2:18">
      <c r="C330" s="200" t="s">
        <v>544</v>
      </c>
      <c r="D330" s="200" t="s">
        <v>404</v>
      </c>
      <c r="E330" s="201">
        <v>40</v>
      </c>
      <c r="F330" s="201">
        <v>20</v>
      </c>
      <c r="G330" s="203">
        <v>44446</v>
      </c>
    </row>
    <row r="331" spans="2:18">
      <c r="C331" s="200" t="s">
        <v>565</v>
      </c>
      <c r="D331" s="200" t="s">
        <v>626</v>
      </c>
      <c r="E331" s="201">
        <v>50</v>
      </c>
      <c r="F331" s="201">
        <f>25/3</f>
        <v>8.3333333333333339</v>
      </c>
      <c r="G331" s="203">
        <v>44496</v>
      </c>
    </row>
    <row r="332" spans="2:18">
      <c r="C332" s="200" t="s">
        <v>402</v>
      </c>
      <c r="D332" s="200" t="s">
        <v>626</v>
      </c>
      <c r="E332" s="201">
        <v>22</v>
      </c>
      <c r="F332" s="201">
        <v>5</v>
      </c>
      <c r="G332" s="203">
        <v>44153</v>
      </c>
    </row>
    <row r="333" spans="2:18">
      <c r="C333" s="200" t="s">
        <v>544</v>
      </c>
      <c r="D333" s="200" t="s">
        <v>626</v>
      </c>
      <c r="E333" s="201">
        <v>13</v>
      </c>
      <c r="F333" s="201">
        <v>10</v>
      </c>
      <c r="G333" s="203">
        <v>44026</v>
      </c>
    </row>
    <row r="334" spans="2:18">
      <c r="C334" s="200" t="s">
        <v>402</v>
      </c>
      <c r="D334" s="200" t="s">
        <v>623</v>
      </c>
      <c r="E334" s="201">
        <v>50</v>
      </c>
      <c r="F334" s="201">
        <v>20</v>
      </c>
      <c r="G334" s="203">
        <v>45036</v>
      </c>
    </row>
    <row r="335" spans="2:18">
      <c r="C335" s="200" t="s">
        <v>402</v>
      </c>
      <c r="D335" s="200" t="s">
        <v>649</v>
      </c>
      <c r="E335" s="201">
        <v>40</v>
      </c>
      <c r="F335" s="201">
        <v>5</v>
      </c>
      <c r="G335" s="203">
        <v>44728</v>
      </c>
    </row>
    <row r="336" spans="2:18">
      <c r="C336" s="200" t="s">
        <v>544</v>
      </c>
      <c r="D336" s="200" t="s">
        <v>649</v>
      </c>
      <c r="E336" s="201">
        <v>18.600000000000001</v>
      </c>
      <c r="F336" s="201">
        <v>10</v>
      </c>
      <c r="G336" s="203">
        <v>44112</v>
      </c>
    </row>
    <row r="337" spans="2:10">
      <c r="C337" s="211" t="s">
        <v>549</v>
      </c>
      <c r="D337" s="211" t="s">
        <v>1149</v>
      </c>
      <c r="E337" s="201">
        <v>113</v>
      </c>
      <c r="F337" s="201">
        <v>19</v>
      </c>
      <c r="G337" s="203">
        <v>45090</v>
      </c>
    </row>
    <row r="338" spans="2:10">
      <c r="C338" s="225" t="s">
        <v>544</v>
      </c>
      <c r="D338" s="225" t="s">
        <v>445</v>
      </c>
      <c r="E338" s="201">
        <v>7</v>
      </c>
      <c r="F338" s="201">
        <v>1</v>
      </c>
      <c r="G338" s="203">
        <v>42885</v>
      </c>
    </row>
    <row r="339" spans="2:10">
      <c r="C339" s="228" t="s">
        <v>565</v>
      </c>
      <c r="D339" s="228" t="s">
        <v>1576</v>
      </c>
      <c r="E339" s="201">
        <v>75</v>
      </c>
      <c r="F339" s="201">
        <v>20</v>
      </c>
      <c r="G339" s="203">
        <v>45020</v>
      </c>
    </row>
    <row r="340" spans="2:10">
      <c r="C340" s="228" t="s">
        <v>565</v>
      </c>
      <c r="D340" s="228" t="s">
        <v>1576</v>
      </c>
      <c r="E340" s="201">
        <v>80</v>
      </c>
      <c r="F340" s="201">
        <v>40</v>
      </c>
      <c r="G340" s="203">
        <v>44404</v>
      </c>
    </row>
    <row r="341" spans="2:10">
      <c r="C341" s="228" t="s">
        <v>402</v>
      </c>
      <c r="D341" s="228" t="s">
        <v>1576</v>
      </c>
      <c r="E341" s="201">
        <v>40</v>
      </c>
      <c r="F341" s="201">
        <v>20</v>
      </c>
      <c r="G341" s="203">
        <v>43957</v>
      </c>
    </row>
    <row r="342" spans="2:10">
      <c r="C342" s="282" t="s">
        <v>755</v>
      </c>
      <c r="D342" s="282" t="s">
        <v>4285</v>
      </c>
      <c r="E342" s="201">
        <v>200</v>
      </c>
      <c r="F342" s="201">
        <f>150/8</f>
        <v>18.75</v>
      </c>
      <c r="G342" s="203">
        <v>44055</v>
      </c>
      <c r="I342" s="199">
        <v>2000</v>
      </c>
      <c r="J342" s="199">
        <v>7000</v>
      </c>
    </row>
    <row r="343" spans="2:10">
      <c r="C343" s="211"/>
      <c r="D343" s="211"/>
      <c r="G343" s="203"/>
    </row>
    <row r="344" spans="2:10">
      <c r="B344" s="64" t="s">
        <v>980</v>
      </c>
      <c r="C344" s="191" t="s">
        <v>491</v>
      </c>
      <c r="D344" s="191" t="s">
        <v>759</v>
      </c>
      <c r="F344" s="188">
        <f>SUM(F345:F357)</f>
        <v>256.42857142857144</v>
      </c>
      <c r="G344" s="202">
        <f>G345</f>
        <v>44796</v>
      </c>
    </row>
    <row r="345" spans="2:10">
      <c r="C345" s="200" t="s">
        <v>979</v>
      </c>
      <c r="D345" s="200" t="s">
        <v>616</v>
      </c>
      <c r="E345" s="201">
        <v>99</v>
      </c>
      <c r="F345" s="201">
        <v>30</v>
      </c>
      <c r="G345" s="203">
        <v>44796</v>
      </c>
    </row>
    <row r="346" spans="2:10">
      <c r="C346" s="200" t="s">
        <v>982</v>
      </c>
      <c r="D346" s="200" t="s">
        <v>616</v>
      </c>
      <c r="E346" s="201">
        <v>100</v>
      </c>
      <c r="F346" s="201">
        <f>40/3</f>
        <v>13.333333333333334</v>
      </c>
      <c r="G346" s="203">
        <v>44537</v>
      </c>
    </row>
    <row r="347" spans="2:10">
      <c r="C347" s="200" t="s">
        <v>402</v>
      </c>
      <c r="D347" s="200" t="s">
        <v>616</v>
      </c>
      <c r="E347" s="201">
        <v>40</v>
      </c>
      <c r="F347" s="201">
        <f>20/3</f>
        <v>6.666666666666667</v>
      </c>
      <c r="G347" s="203">
        <v>44125</v>
      </c>
    </row>
    <row r="348" spans="2:10">
      <c r="C348" s="200" t="s">
        <v>544</v>
      </c>
      <c r="D348" s="200" t="s">
        <v>616</v>
      </c>
      <c r="E348" s="201">
        <v>20</v>
      </c>
      <c r="F348" s="201">
        <f>12/6</f>
        <v>2</v>
      </c>
      <c r="G348" s="203">
        <v>43816</v>
      </c>
    </row>
    <row r="349" spans="2:10">
      <c r="C349" s="200" t="s">
        <v>544</v>
      </c>
      <c r="D349" s="200" t="s">
        <v>1093</v>
      </c>
      <c r="E349" s="201">
        <v>50</v>
      </c>
      <c r="F349" s="201">
        <v>10</v>
      </c>
      <c r="G349" s="203">
        <v>44796</v>
      </c>
    </row>
    <row r="350" spans="2:10">
      <c r="C350" s="225" t="s">
        <v>544</v>
      </c>
      <c r="D350" s="225" t="s">
        <v>502</v>
      </c>
      <c r="E350" s="201">
        <v>14.5</v>
      </c>
      <c r="F350" s="201">
        <v>3</v>
      </c>
      <c r="G350" s="203">
        <v>43389</v>
      </c>
    </row>
    <row r="351" spans="2:10">
      <c r="C351" s="228" t="s">
        <v>738</v>
      </c>
      <c r="D351" s="228" t="s">
        <v>2428</v>
      </c>
      <c r="E351" s="201">
        <v>206</v>
      </c>
      <c r="F351" s="201">
        <v>14</v>
      </c>
      <c r="G351" s="203">
        <v>43725</v>
      </c>
    </row>
    <row r="352" spans="2:10">
      <c r="C352" s="228" t="s">
        <v>755</v>
      </c>
      <c r="D352" s="228" t="s">
        <v>2428</v>
      </c>
      <c r="E352" s="201">
        <v>100</v>
      </c>
      <c r="F352" s="201">
        <v>15</v>
      </c>
      <c r="G352" s="203">
        <v>43397</v>
      </c>
    </row>
    <row r="353" spans="2:11">
      <c r="C353" s="249" t="s">
        <v>549</v>
      </c>
      <c r="D353" s="249" t="s">
        <v>1547</v>
      </c>
      <c r="E353" s="201">
        <v>5</v>
      </c>
      <c r="F353" s="201">
        <v>1</v>
      </c>
      <c r="G353" s="203">
        <v>43990</v>
      </c>
    </row>
    <row r="354" spans="2:11">
      <c r="C354" s="249" t="s">
        <v>544</v>
      </c>
      <c r="D354" s="249" t="s">
        <v>1609</v>
      </c>
      <c r="E354" s="201">
        <v>57</v>
      </c>
      <c r="F354" s="201">
        <v>6</v>
      </c>
      <c r="G354" s="203">
        <v>44508</v>
      </c>
    </row>
    <row r="355" spans="2:11">
      <c r="C355" s="272" t="s">
        <v>755</v>
      </c>
      <c r="D355" s="272" t="s">
        <v>1818</v>
      </c>
      <c r="E355" s="201">
        <v>676</v>
      </c>
      <c r="F355" s="201">
        <f>500/7</f>
        <v>71.428571428571431</v>
      </c>
      <c r="G355" s="203">
        <v>44299</v>
      </c>
      <c r="I355" s="199">
        <v>4400</v>
      </c>
    </row>
    <row r="356" spans="2:11">
      <c r="C356" s="272" t="s">
        <v>565</v>
      </c>
      <c r="D356" s="272" t="s">
        <v>1818</v>
      </c>
      <c r="E356" s="201">
        <v>250</v>
      </c>
      <c r="F356" s="201">
        <f>170/5</f>
        <v>34</v>
      </c>
      <c r="G356" s="203">
        <v>43886</v>
      </c>
      <c r="I356" s="199">
        <v>2300</v>
      </c>
    </row>
    <row r="357" spans="2:11">
      <c r="C357" s="272" t="s">
        <v>402</v>
      </c>
      <c r="D357" s="272" t="s">
        <v>1818</v>
      </c>
      <c r="E357" s="201">
        <v>150</v>
      </c>
      <c r="F357" s="201">
        <v>50</v>
      </c>
      <c r="G357" s="203">
        <v>43556</v>
      </c>
    </row>
    <row r="358" spans="2:11">
      <c r="G358" s="203"/>
    </row>
    <row r="359" spans="2:11">
      <c r="B359" s="64" t="s">
        <v>800</v>
      </c>
      <c r="C359" s="191" t="s">
        <v>491</v>
      </c>
      <c r="D359" s="191" t="s">
        <v>759</v>
      </c>
      <c r="E359" s="188"/>
      <c r="F359" s="188">
        <f>SUM(F360:F386)</f>
        <v>249.83333333333331</v>
      </c>
      <c r="G359" s="202">
        <f>G378</f>
        <v>45104</v>
      </c>
      <c r="I359" s="64">
        <v>85000</v>
      </c>
      <c r="J359" s="235">
        <f>+F359/I359</f>
        <v>2.9392156862745097E-3</v>
      </c>
      <c r="K359" s="64">
        <v>1972</v>
      </c>
    </row>
    <row r="360" spans="2:11">
      <c r="C360" s="200" t="s">
        <v>565</v>
      </c>
      <c r="D360" s="200" t="s">
        <v>797</v>
      </c>
      <c r="E360" s="201">
        <v>100</v>
      </c>
      <c r="F360" s="201">
        <v>9</v>
      </c>
      <c r="G360" s="203">
        <v>44690</v>
      </c>
    </row>
    <row r="361" spans="2:11">
      <c r="C361" s="200" t="s">
        <v>565</v>
      </c>
      <c r="D361" s="200" t="s">
        <v>423</v>
      </c>
      <c r="E361" s="201">
        <v>100</v>
      </c>
      <c r="F361" s="201">
        <v>40</v>
      </c>
      <c r="G361" s="203">
        <v>44699</v>
      </c>
    </row>
    <row r="362" spans="2:11">
      <c r="C362" s="200" t="s">
        <v>565</v>
      </c>
      <c r="D362" s="200" t="s">
        <v>611</v>
      </c>
      <c r="E362" s="201">
        <v>100</v>
      </c>
      <c r="F362" s="201">
        <v>10</v>
      </c>
      <c r="G362" s="203">
        <v>44754</v>
      </c>
    </row>
    <row r="363" spans="2:11">
      <c r="C363" s="200" t="s">
        <v>402</v>
      </c>
      <c r="D363" s="200" t="s">
        <v>611</v>
      </c>
      <c r="E363" s="201">
        <v>35</v>
      </c>
      <c r="F363" s="201">
        <f>E363/2</f>
        <v>17.5</v>
      </c>
      <c r="G363" s="203">
        <v>44172</v>
      </c>
    </row>
    <row r="364" spans="2:11">
      <c r="C364" s="200" t="s">
        <v>544</v>
      </c>
      <c r="D364" s="200" t="s">
        <v>611</v>
      </c>
      <c r="E364" s="201">
        <v>20</v>
      </c>
      <c r="F364" s="201">
        <v>8</v>
      </c>
      <c r="G364" s="203">
        <v>43949</v>
      </c>
    </row>
    <row r="365" spans="2:11">
      <c r="C365" s="200" t="s">
        <v>549</v>
      </c>
      <c r="D365" s="200" t="s">
        <v>611</v>
      </c>
      <c r="E365" s="201">
        <v>5</v>
      </c>
      <c r="F365" s="201">
        <v>1</v>
      </c>
      <c r="G365" s="203">
        <v>43438</v>
      </c>
    </row>
    <row r="366" spans="2:11">
      <c r="C366" s="200" t="s">
        <v>549</v>
      </c>
      <c r="D366" s="200" t="s">
        <v>1093</v>
      </c>
      <c r="E366" s="201">
        <v>7.2</v>
      </c>
      <c r="F366" s="201">
        <v>1</v>
      </c>
      <c r="G366" s="203">
        <v>44508</v>
      </c>
    </row>
    <row r="367" spans="2:11">
      <c r="C367" s="200" t="s">
        <v>544</v>
      </c>
      <c r="D367" s="200" t="s">
        <v>1156</v>
      </c>
      <c r="E367" s="201">
        <v>21</v>
      </c>
      <c r="F367" s="201">
        <v>10</v>
      </c>
      <c r="G367" s="203">
        <v>45027</v>
      </c>
    </row>
    <row r="368" spans="2:11">
      <c r="C368" s="200" t="s">
        <v>402</v>
      </c>
      <c r="D368" s="200" t="s">
        <v>655</v>
      </c>
      <c r="E368" s="201">
        <v>30</v>
      </c>
      <c r="F368" s="201">
        <v>6</v>
      </c>
      <c r="G368" s="203">
        <v>44539</v>
      </c>
    </row>
    <row r="369" spans="3:12">
      <c r="C369" s="200" t="s">
        <v>544</v>
      </c>
      <c r="D369" s="200" t="s">
        <v>655</v>
      </c>
      <c r="E369" s="201">
        <v>11</v>
      </c>
      <c r="F369" s="201">
        <v>6</v>
      </c>
      <c r="G369" s="203">
        <v>43862</v>
      </c>
    </row>
    <row r="370" spans="3:12">
      <c r="C370" s="200" t="s">
        <v>549</v>
      </c>
      <c r="D370" s="200" t="s">
        <v>655</v>
      </c>
      <c r="E370" s="201">
        <v>3</v>
      </c>
      <c r="F370" s="201">
        <v>1.5</v>
      </c>
      <c r="G370" s="203">
        <v>43525</v>
      </c>
    </row>
    <row r="371" spans="3:12">
      <c r="C371" s="218" t="s">
        <v>544</v>
      </c>
      <c r="D371" s="218" t="s">
        <v>706</v>
      </c>
      <c r="E371" s="201">
        <v>12.5</v>
      </c>
      <c r="F371" s="201">
        <v>3</v>
      </c>
      <c r="G371" s="203">
        <v>44978</v>
      </c>
    </row>
    <row r="372" spans="3:12">
      <c r="C372" s="218" t="s">
        <v>544</v>
      </c>
      <c r="D372" s="218" t="s">
        <v>706</v>
      </c>
      <c r="E372" s="201">
        <v>5.3</v>
      </c>
      <c r="F372" s="201">
        <v>2.5</v>
      </c>
      <c r="G372" s="203">
        <v>44978</v>
      </c>
    </row>
    <row r="373" spans="3:12">
      <c r="C373" s="220" t="s">
        <v>549</v>
      </c>
      <c r="D373" s="220" t="s">
        <v>710</v>
      </c>
      <c r="E373" s="201">
        <v>12.8</v>
      </c>
      <c r="F373" s="201">
        <v>2</v>
      </c>
      <c r="G373" s="203">
        <v>44601</v>
      </c>
    </row>
    <row r="374" spans="3:12">
      <c r="C374" s="222" t="s">
        <v>544</v>
      </c>
      <c r="D374" s="222" t="s">
        <v>719</v>
      </c>
      <c r="E374" s="201">
        <v>11</v>
      </c>
      <c r="F374" s="201">
        <f>7/3</f>
        <v>2.3333333333333335</v>
      </c>
      <c r="G374" s="203">
        <v>44483</v>
      </c>
    </row>
    <row r="375" spans="3:12">
      <c r="C375" s="222" t="s">
        <v>549</v>
      </c>
      <c r="D375" s="222" t="s">
        <v>719</v>
      </c>
      <c r="E375" s="201">
        <v>2.9</v>
      </c>
      <c r="F375" s="201">
        <v>0.5</v>
      </c>
      <c r="G375" s="203">
        <v>44272</v>
      </c>
    </row>
    <row r="376" spans="3:12">
      <c r="C376" s="225" t="s">
        <v>402</v>
      </c>
      <c r="D376" s="225" t="s">
        <v>2393</v>
      </c>
      <c r="E376" s="201">
        <v>18</v>
      </c>
      <c r="F376" s="201">
        <v>9</v>
      </c>
      <c r="G376" s="203">
        <v>44831</v>
      </c>
    </row>
    <row r="377" spans="3:12">
      <c r="C377" s="228" t="s">
        <v>544</v>
      </c>
      <c r="D377" s="225" t="s">
        <v>2393</v>
      </c>
      <c r="E377" s="201">
        <v>18.5</v>
      </c>
      <c r="F377" s="201">
        <v>9</v>
      </c>
      <c r="G377" s="203">
        <v>44658</v>
      </c>
    </row>
    <row r="378" spans="3:12">
      <c r="C378" s="228" t="s">
        <v>549</v>
      </c>
      <c r="D378" s="228" t="s">
        <v>1193</v>
      </c>
      <c r="E378" s="201">
        <v>6</v>
      </c>
      <c r="F378" s="201">
        <v>2</v>
      </c>
      <c r="G378" s="203">
        <v>45104</v>
      </c>
    </row>
    <row r="379" spans="3:12">
      <c r="C379" s="249" t="s">
        <v>544</v>
      </c>
      <c r="D379" s="249" t="s">
        <v>1599</v>
      </c>
      <c r="E379" s="201">
        <v>16</v>
      </c>
      <c r="F379" s="201">
        <v>6</v>
      </c>
      <c r="G379" s="203">
        <v>43783</v>
      </c>
      <c r="L379" s="199">
        <f>+F379*5</f>
        <v>30</v>
      </c>
    </row>
    <row r="380" spans="3:12">
      <c r="C380" s="249" t="s">
        <v>402</v>
      </c>
      <c r="D380" s="249" t="s">
        <v>1599</v>
      </c>
      <c r="E380" s="201">
        <v>55</v>
      </c>
      <c r="F380" s="201">
        <v>5</v>
      </c>
      <c r="G380" s="203">
        <v>44200</v>
      </c>
    </row>
    <row r="381" spans="3:12">
      <c r="C381" s="249" t="s">
        <v>565</v>
      </c>
      <c r="D381" s="249" t="s">
        <v>1599</v>
      </c>
      <c r="E381" s="201">
        <v>91</v>
      </c>
      <c r="F381" s="201">
        <v>8.75</v>
      </c>
      <c r="G381" s="203">
        <v>44867</v>
      </c>
    </row>
    <row r="382" spans="3:12">
      <c r="C382" s="272" t="s">
        <v>544</v>
      </c>
      <c r="D382" s="272" t="s">
        <v>1823</v>
      </c>
      <c r="E382" s="201">
        <v>112</v>
      </c>
      <c r="F382" s="201">
        <v>9</v>
      </c>
      <c r="G382" s="203">
        <v>43115</v>
      </c>
    </row>
    <row r="383" spans="3:12">
      <c r="C383" s="282" t="s">
        <v>565</v>
      </c>
      <c r="D383" s="282" t="s">
        <v>1934</v>
      </c>
      <c r="E383" s="201">
        <v>60</v>
      </c>
      <c r="F383" s="201">
        <f>E383/5</f>
        <v>12</v>
      </c>
      <c r="G383" s="203">
        <v>42736</v>
      </c>
      <c r="I383" s="199">
        <v>800</v>
      </c>
      <c r="J383" s="199">
        <v>3800</v>
      </c>
    </row>
    <row r="384" spans="3:12">
      <c r="C384" s="282" t="s">
        <v>738</v>
      </c>
      <c r="D384" s="282" t="s">
        <v>4285</v>
      </c>
      <c r="E384" s="201">
        <v>250</v>
      </c>
      <c r="F384" s="201">
        <f>150/5</f>
        <v>30</v>
      </c>
      <c r="G384" s="203">
        <v>44350</v>
      </c>
      <c r="I384" s="199">
        <v>7000</v>
      </c>
      <c r="J384" s="199">
        <v>7000</v>
      </c>
    </row>
    <row r="385" spans="2:11">
      <c r="C385" s="282" t="s">
        <v>755</v>
      </c>
      <c r="D385" s="282" t="s">
        <v>4285</v>
      </c>
      <c r="E385" s="201">
        <v>200</v>
      </c>
      <c r="F385" s="201">
        <v>18.75</v>
      </c>
      <c r="G385" s="203">
        <v>44055</v>
      </c>
      <c r="I385" s="199">
        <v>2000</v>
      </c>
      <c r="J385" s="199">
        <v>7000</v>
      </c>
    </row>
    <row r="386" spans="2:11">
      <c r="C386" s="282" t="s">
        <v>565</v>
      </c>
      <c r="D386" s="282" t="s">
        <v>4285</v>
      </c>
      <c r="E386" s="201">
        <v>65</v>
      </c>
      <c r="F386" s="201">
        <v>20</v>
      </c>
      <c r="G386" s="203">
        <v>43802</v>
      </c>
      <c r="I386" s="199">
        <v>685</v>
      </c>
      <c r="J386" s="199">
        <v>7000</v>
      </c>
    </row>
    <row r="387" spans="2:11">
      <c r="C387" s="282" t="s">
        <v>738</v>
      </c>
      <c r="D387" s="282" t="s">
        <v>4370</v>
      </c>
      <c r="E387" s="201">
        <v>222</v>
      </c>
      <c r="F387" s="201">
        <f>200/21</f>
        <v>9.5238095238095237</v>
      </c>
      <c r="G387" s="203">
        <v>44194</v>
      </c>
      <c r="I387" s="199">
        <v>2500</v>
      </c>
      <c r="J387" s="199">
        <v>2500</v>
      </c>
    </row>
    <row r="388" spans="2:11">
      <c r="C388" s="282" t="s">
        <v>755</v>
      </c>
      <c r="D388" s="282" t="s">
        <v>4370</v>
      </c>
      <c r="E388" s="201">
        <v>200</v>
      </c>
      <c r="F388" s="201">
        <v>12.727272727272727</v>
      </c>
      <c r="G388" s="203">
        <v>43452</v>
      </c>
      <c r="I388" s="199">
        <v>1500</v>
      </c>
      <c r="J388" s="199">
        <v>2500</v>
      </c>
    </row>
    <row r="389" spans="2:11">
      <c r="C389" s="282" t="s">
        <v>565</v>
      </c>
      <c r="D389" s="282" t="s">
        <v>4370</v>
      </c>
      <c r="E389" s="201">
        <v>50</v>
      </c>
      <c r="F389" s="201">
        <v>10</v>
      </c>
      <c r="G389" s="203">
        <v>43051</v>
      </c>
      <c r="J389" s="199">
        <v>2500</v>
      </c>
    </row>
    <row r="390" spans="2:11">
      <c r="G390" s="203"/>
    </row>
    <row r="391" spans="2:11">
      <c r="B391" s="64" t="s">
        <v>876</v>
      </c>
      <c r="C391" s="191" t="s">
        <v>491</v>
      </c>
      <c r="D391" s="191" t="s">
        <v>759</v>
      </c>
      <c r="E391" s="188"/>
      <c r="F391" s="188">
        <f>SUM(F392:F407)</f>
        <v>371.70833333333331</v>
      </c>
      <c r="G391" s="202">
        <f>G395</f>
        <v>45062</v>
      </c>
      <c r="I391" s="199">
        <v>8600</v>
      </c>
      <c r="J391" s="234">
        <f>+F391/I391</f>
        <v>4.3221899224806203E-2</v>
      </c>
      <c r="K391" s="199">
        <v>2000</v>
      </c>
    </row>
    <row r="392" spans="2:11">
      <c r="C392" s="200" t="s">
        <v>402</v>
      </c>
      <c r="D392" s="200" t="s">
        <v>431</v>
      </c>
      <c r="E392" s="201">
        <v>350</v>
      </c>
      <c r="F392" s="201">
        <v>75</v>
      </c>
      <c r="G392" s="203">
        <v>44999</v>
      </c>
    </row>
    <row r="393" spans="2:11">
      <c r="C393" s="200" t="s">
        <v>565</v>
      </c>
      <c r="D393" s="200" t="s">
        <v>423</v>
      </c>
      <c r="E393" s="201">
        <v>100</v>
      </c>
      <c r="F393" s="201">
        <v>15</v>
      </c>
      <c r="G393" s="203">
        <v>44699</v>
      </c>
    </row>
    <row r="394" spans="2:11">
      <c r="C394" s="200" t="s">
        <v>402</v>
      </c>
      <c r="D394" s="200" t="s">
        <v>423</v>
      </c>
      <c r="E394" s="201">
        <v>40</v>
      </c>
      <c r="F394" s="201">
        <v>15</v>
      </c>
      <c r="G394" s="203">
        <v>44286</v>
      </c>
    </row>
    <row r="395" spans="2:11">
      <c r="C395" s="200" t="s">
        <v>549</v>
      </c>
      <c r="D395" s="200" t="s">
        <v>1079</v>
      </c>
      <c r="E395" s="201">
        <v>50</v>
      </c>
      <c r="F395" s="201">
        <v>25</v>
      </c>
      <c r="G395" s="203">
        <v>45062</v>
      </c>
    </row>
    <row r="396" spans="2:11">
      <c r="C396" s="243" t="s">
        <v>544</v>
      </c>
      <c r="D396" s="243" t="s">
        <v>1461</v>
      </c>
      <c r="E396" s="201">
        <v>86</v>
      </c>
      <c r="F396" s="201">
        <v>36</v>
      </c>
      <c r="G396" s="203">
        <v>44488</v>
      </c>
    </row>
    <row r="397" spans="2:11">
      <c r="C397" s="247" t="s">
        <v>402</v>
      </c>
      <c r="D397" s="247" t="s">
        <v>1355</v>
      </c>
      <c r="E397" s="201">
        <v>27.5</v>
      </c>
      <c r="F397" s="201">
        <f>E397/4</f>
        <v>6.875</v>
      </c>
      <c r="G397" s="203">
        <v>44181</v>
      </c>
    </row>
    <row r="398" spans="2:11">
      <c r="C398" s="247" t="s">
        <v>544</v>
      </c>
      <c r="D398" s="247" t="s">
        <v>1355</v>
      </c>
      <c r="E398" s="201">
        <v>10.7</v>
      </c>
      <c r="F398" s="201">
        <v>4</v>
      </c>
      <c r="G398" s="203">
        <v>43250</v>
      </c>
    </row>
    <row r="399" spans="2:11">
      <c r="C399" s="282" t="s">
        <v>813</v>
      </c>
      <c r="D399" s="282" t="s">
        <v>1938</v>
      </c>
      <c r="E399" s="201">
        <v>100</v>
      </c>
      <c r="F399" s="201">
        <v>11</v>
      </c>
      <c r="G399" s="203">
        <v>44515</v>
      </c>
      <c r="I399" s="199">
        <v>4100</v>
      </c>
      <c r="J399" s="199">
        <v>4100</v>
      </c>
    </row>
    <row r="400" spans="2:11">
      <c r="C400" s="282" t="s">
        <v>755</v>
      </c>
      <c r="D400" s="282" t="s">
        <v>1938</v>
      </c>
      <c r="E400" s="201">
        <v>145</v>
      </c>
      <c r="F400" s="201">
        <v>14.166666666666666</v>
      </c>
      <c r="G400" s="203">
        <v>43228</v>
      </c>
      <c r="I400" s="199">
        <v>855</v>
      </c>
      <c r="J400" s="199">
        <v>4100</v>
      </c>
    </row>
    <row r="401" spans="2:11">
      <c r="C401" s="282" t="s">
        <v>565</v>
      </c>
      <c r="D401" s="282" t="s">
        <v>1938</v>
      </c>
      <c r="E401" s="201">
        <v>50</v>
      </c>
      <c r="F401" s="201">
        <v>15</v>
      </c>
      <c r="G401" s="203">
        <v>42509</v>
      </c>
      <c r="J401" s="199">
        <v>4100</v>
      </c>
    </row>
    <row r="402" spans="2:11">
      <c r="C402" s="282" t="s">
        <v>755</v>
      </c>
      <c r="D402" s="282" t="s">
        <v>1945</v>
      </c>
      <c r="E402" s="201">
        <v>220</v>
      </c>
      <c r="F402" s="201">
        <v>30</v>
      </c>
      <c r="G402" s="203">
        <v>44502</v>
      </c>
      <c r="I402" s="199">
        <v>794</v>
      </c>
      <c r="J402" s="199">
        <v>794</v>
      </c>
    </row>
    <row r="403" spans="2:11">
      <c r="C403" s="282" t="s">
        <v>755</v>
      </c>
      <c r="D403" s="282" t="s">
        <v>1945</v>
      </c>
      <c r="E403" s="201">
        <v>220</v>
      </c>
      <c r="F403" s="201">
        <v>26.666666666666668</v>
      </c>
      <c r="G403" s="203">
        <v>44322</v>
      </c>
      <c r="I403" s="199">
        <v>780</v>
      </c>
      <c r="J403" s="199">
        <v>780</v>
      </c>
    </row>
    <row r="404" spans="2:11">
      <c r="C404" s="282" t="s">
        <v>565</v>
      </c>
      <c r="D404" s="282" t="s">
        <v>1945</v>
      </c>
      <c r="E404" s="201">
        <v>60</v>
      </c>
      <c r="F404" s="201">
        <v>10</v>
      </c>
      <c r="G404" s="203">
        <v>43528</v>
      </c>
    </row>
    <row r="405" spans="2:11">
      <c r="C405" s="282" t="s">
        <v>402</v>
      </c>
      <c r="D405" s="282" t="s">
        <v>1945</v>
      </c>
      <c r="E405" s="201">
        <v>28</v>
      </c>
      <c r="F405" s="201">
        <v>10</v>
      </c>
      <c r="G405" s="203">
        <v>43031</v>
      </c>
    </row>
    <row r="406" spans="2:11">
      <c r="C406" s="282" t="s">
        <v>738</v>
      </c>
      <c r="D406" s="282" t="s">
        <v>4410</v>
      </c>
      <c r="E406" s="201">
        <v>220</v>
      </c>
      <c r="F406" s="201">
        <v>28</v>
      </c>
      <c r="G406" s="203">
        <v>44357</v>
      </c>
      <c r="I406" s="199">
        <v>1900</v>
      </c>
      <c r="J406" s="199">
        <v>1900</v>
      </c>
    </row>
    <row r="407" spans="2:11">
      <c r="C407" s="282" t="s">
        <v>755</v>
      </c>
      <c r="D407" s="282" t="s">
        <v>4410</v>
      </c>
      <c r="E407" s="201">
        <v>125</v>
      </c>
      <c r="F407" s="201">
        <v>50</v>
      </c>
      <c r="G407" s="203">
        <v>44131</v>
      </c>
      <c r="I407" s="199">
        <v>875</v>
      </c>
      <c r="J407" s="199">
        <v>1900</v>
      </c>
    </row>
    <row r="408" spans="2:11">
      <c r="G408" s="203"/>
    </row>
    <row r="409" spans="2:11">
      <c r="B409" s="64" t="s">
        <v>924</v>
      </c>
      <c r="C409" s="191" t="s">
        <v>491</v>
      </c>
      <c r="D409" s="191" t="s">
        <v>759</v>
      </c>
      <c r="E409" s="188"/>
      <c r="F409" s="188">
        <f>SUM(F410:F416)</f>
        <v>210.5952380952381</v>
      </c>
      <c r="G409" s="202">
        <f>G410</f>
        <v>44417</v>
      </c>
      <c r="I409" s="227" t="s">
        <v>496</v>
      </c>
      <c r="J409" s="227" t="s">
        <v>496</v>
      </c>
      <c r="K409" s="227" t="s">
        <v>496</v>
      </c>
    </row>
    <row r="410" spans="2:11">
      <c r="C410" s="200" t="s">
        <v>565</v>
      </c>
      <c r="D410" s="200" t="s">
        <v>618</v>
      </c>
      <c r="E410" s="201">
        <v>85</v>
      </c>
      <c r="F410" s="201">
        <v>20</v>
      </c>
      <c r="G410" s="203">
        <v>44417</v>
      </c>
    </row>
    <row r="411" spans="2:11">
      <c r="C411" s="200" t="s">
        <v>402</v>
      </c>
      <c r="D411" s="200" t="s">
        <v>618</v>
      </c>
      <c r="E411" s="201">
        <v>35</v>
      </c>
      <c r="F411" s="201">
        <f>25/6</f>
        <v>4.166666666666667</v>
      </c>
      <c r="G411" s="203">
        <v>44293</v>
      </c>
    </row>
    <row r="412" spans="2:11">
      <c r="C412" s="228" t="s">
        <v>813</v>
      </c>
      <c r="D412" s="228" t="s">
        <v>2428</v>
      </c>
      <c r="E412" s="201">
        <v>270</v>
      </c>
      <c r="F412" s="201">
        <v>22</v>
      </c>
      <c r="G412" s="203">
        <v>44152</v>
      </c>
    </row>
    <row r="413" spans="2:11">
      <c r="C413" s="228" t="s">
        <v>402</v>
      </c>
      <c r="D413" s="228" t="s">
        <v>1518</v>
      </c>
      <c r="E413" s="201">
        <v>90</v>
      </c>
      <c r="F413" s="201">
        <v>6</v>
      </c>
      <c r="G413" s="203">
        <v>44398</v>
      </c>
    </row>
    <row r="414" spans="2:11">
      <c r="C414" s="272" t="s">
        <v>755</v>
      </c>
      <c r="D414" s="272" t="s">
        <v>1798</v>
      </c>
      <c r="E414" s="201">
        <v>111</v>
      </c>
      <c r="F414" s="201">
        <v>7</v>
      </c>
      <c r="G414" s="203">
        <v>44622</v>
      </c>
    </row>
    <row r="415" spans="2:11">
      <c r="C415" s="272" t="s">
        <v>755</v>
      </c>
      <c r="D415" s="272" t="s">
        <v>1818</v>
      </c>
      <c r="E415" s="201">
        <v>676</v>
      </c>
      <c r="F415" s="201">
        <f>500/7</f>
        <v>71.428571428571431</v>
      </c>
      <c r="G415" s="203">
        <v>44299</v>
      </c>
      <c r="I415" s="199">
        <v>4400</v>
      </c>
    </row>
    <row r="416" spans="2:11">
      <c r="C416" s="272" t="s">
        <v>565</v>
      </c>
      <c r="D416" s="272" t="s">
        <v>1818</v>
      </c>
      <c r="E416" s="201">
        <v>250</v>
      </c>
      <c r="F416" s="201">
        <v>80</v>
      </c>
      <c r="G416" s="203">
        <v>43886</v>
      </c>
      <c r="I416" s="199">
        <v>2300</v>
      </c>
    </row>
    <row r="417" spans="2:18">
      <c r="G417" s="203"/>
    </row>
    <row r="418" spans="2:18">
      <c r="B418" s="64" t="s">
        <v>1702</v>
      </c>
      <c r="C418" s="191" t="s">
        <v>491</v>
      </c>
      <c r="D418" s="191" t="s">
        <v>759</v>
      </c>
      <c r="E418" s="188"/>
      <c r="F418" s="188">
        <f>SUM(F419:F427)</f>
        <v>204.5</v>
      </c>
      <c r="G418" s="202">
        <f>G419</f>
        <v>45042</v>
      </c>
    </row>
    <row r="419" spans="2:18">
      <c r="C419" s="200" t="s">
        <v>402</v>
      </c>
      <c r="D419" s="200" t="s">
        <v>409</v>
      </c>
      <c r="E419" s="201">
        <v>100</v>
      </c>
      <c r="F419" s="201">
        <v>5</v>
      </c>
      <c r="G419" s="203">
        <v>45042</v>
      </c>
    </row>
    <row r="420" spans="2:18">
      <c r="B420" s="210"/>
      <c r="C420" s="211" t="s">
        <v>565</v>
      </c>
      <c r="D420" s="211" t="s">
        <v>433</v>
      </c>
      <c r="E420" s="201">
        <v>200</v>
      </c>
      <c r="F420" s="201">
        <v>20</v>
      </c>
      <c r="G420" s="203">
        <v>44377</v>
      </c>
    </row>
    <row r="421" spans="2:18">
      <c r="B421" s="210"/>
      <c r="C421" s="211" t="s">
        <v>402</v>
      </c>
      <c r="D421" s="211" t="s">
        <v>433</v>
      </c>
      <c r="E421" s="201">
        <v>75</v>
      </c>
      <c r="F421" s="201">
        <v>20</v>
      </c>
      <c r="G421" s="203">
        <v>43783</v>
      </c>
    </row>
    <row r="422" spans="2:18">
      <c r="B422" s="210"/>
      <c r="C422" s="225" t="s">
        <v>755</v>
      </c>
      <c r="D422" s="225" t="s">
        <v>445</v>
      </c>
      <c r="E422" s="201">
        <v>100</v>
      </c>
      <c r="F422" s="201">
        <f>50/4</f>
        <v>12.5</v>
      </c>
      <c r="G422" s="203">
        <v>44419</v>
      </c>
    </row>
    <row r="423" spans="2:18">
      <c r="B423" s="210"/>
      <c r="C423" s="225" t="s">
        <v>565</v>
      </c>
      <c r="D423" s="225" t="s">
        <v>445</v>
      </c>
      <c r="E423" s="201">
        <v>60</v>
      </c>
      <c r="F423" s="201">
        <v>20</v>
      </c>
      <c r="G423" s="203">
        <v>43606</v>
      </c>
    </row>
    <row r="424" spans="2:18">
      <c r="B424" s="210"/>
      <c r="C424" s="274" t="s">
        <v>738</v>
      </c>
      <c r="D424" s="274" t="s">
        <v>1824</v>
      </c>
      <c r="E424" s="201">
        <v>400</v>
      </c>
      <c r="F424" s="201">
        <v>36</v>
      </c>
      <c r="G424" s="203">
        <v>44413</v>
      </c>
    </row>
    <row r="425" spans="2:18">
      <c r="B425" s="210"/>
      <c r="C425" s="274" t="s">
        <v>755</v>
      </c>
      <c r="D425" s="274" t="s">
        <v>1824</v>
      </c>
      <c r="E425" s="201">
        <v>100</v>
      </c>
      <c r="F425" s="201">
        <f>75/6</f>
        <v>12.5</v>
      </c>
      <c r="G425" s="203">
        <v>44067</v>
      </c>
    </row>
    <row r="426" spans="2:18">
      <c r="B426" s="210"/>
      <c r="C426" s="274" t="s">
        <v>565</v>
      </c>
      <c r="D426" s="274" t="s">
        <v>1824</v>
      </c>
      <c r="E426" s="201">
        <v>101</v>
      </c>
      <c r="F426" s="201">
        <v>41</v>
      </c>
      <c r="G426" s="203">
        <v>43453</v>
      </c>
    </row>
    <row r="427" spans="2:18">
      <c r="B427" s="210"/>
      <c r="C427" s="282" t="s">
        <v>755</v>
      </c>
      <c r="D427" s="282" t="s">
        <v>1936</v>
      </c>
      <c r="E427" s="201">
        <v>250</v>
      </c>
      <c r="F427" s="201">
        <f>150/4</f>
        <v>37.5</v>
      </c>
      <c r="G427" s="203">
        <v>45069</v>
      </c>
    </row>
    <row r="428" spans="2:18">
      <c r="B428" s="210"/>
      <c r="C428" s="211"/>
      <c r="D428" s="211"/>
      <c r="G428" s="203"/>
    </row>
    <row r="429" spans="2:18" s="64" customFormat="1">
      <c r="B429" s="64" t="s">
        <v>1653</v>
      </c>
      <c r="C429" s="191" t="s">
        <v>491</v>
      </c>
      <c r="D429" s="191" t="s">
        <v>759</v>
      </c>
      <c r="E429" s="188"/>
      <c r="F429" s="188">
        <f>SUM(F430:F437)</f>
        <v>196.21428571428572</v>
      </c>
      <c r="G429" s="202">
        <f>G435</f>
        <v>44515</v>
      </c>
    </row>
    <row r="430" spans="2:18">
      <c r="B430" s="210"/>
      <c r="C430" s="211" t="s">
        <v>565</v>
      </c>
      <c r="D430" s="211" t="s">
        <v>433</v>
      </c>
      <c r="E430" s="201">
        <v>200</v>
      </c>
      <c r="F430" s="201">
        <f>100/5</f>
        <v>20</v>
      </c>
      <c r="G430" s="203">
        <v>44377</v>
      </c>
      <c r="M430" s="199"/>
      <c r="N430" s="199"/>
      <c r="O430" s="199"/>
      <c r="P430" s="199"/>
      <c r="Q430" s="199"/>
      <c r="R430" s="199"/>
    </row>
    <row r="431" spans="2:18">
      <c r="C431" s="211" t="s">
        <v>402</v>
      </c>
      <c r="D431" s="211" t="s">
        <v>433</v>
      </c>
      <c r="E431" s="201">
        <v>75</v>
      </c>
      <c r="F431" s="201">
        <v>20</v>
      </c>
      <c r="G431" s="203">
        <v>43783</v>
      </c>
      <c r="M431" s="199"/>
      <c r="N431" s="199"/>
      <c r="O431" s="199"/>
      <c r="P431" s="199"/>
      <c r="Q431" s="199"/>
      <c r="R431" s="199"/>
    </row>
    <row r="432" spans="2:18">
      <c r="C432" s="228" t="s">
        <v>813</v>
      </c>
      <c r="D432" s="228" t="s">
        <v>2428</v>
      </c>
      <c r="E432" s="201">
        <v>270</v>
      </c>
      <c r="F432" s="201">
        <v>22</v>
      </c>
      <c r="G432" s="203">
        <v>44152</v>
      </c>
      <c r="M432" s="199"/>
      <c r="N432" s="199"/>
      <c r="O432" s="199"/>
      <c r="P432" s="199"/>
      <c r="Q432" s="199"/>
      <c r="R432" s="199"/>
    </row>
    <row r="433" spans="2:18">
      <c r="C433" s="228" t="s">
        <v>738</v>
      </c>
      <c r="D433" s="228" t="s">
        <v>2428</v>
      </c>
      <c r="E433" s="201">
        <v>206</v>
      </c>
      <c r="F433" s="201">
        <v>36</v>
      </c>
      <c r="G433" s="203">
        <v>43725</v>
      </c>
      <c r="M433" s="199"/>
      <c r="N433" s="199"/>
      <c r="O433" s="199"/>
      <c r="P433" s="199"/>
      <c r="Q433" s="199"/>
      <c r="R433" s="199"/>
    </row>
    <row r="434" spans="2:18">
      <c r="C434" s="228" t="s">
        <v>755</v>
      </c>
      <c r="D434" s="228" t="s">
        <v>2428</v>
      </c>
      <c r="E434" s="201">
        <v>100</v>
      </c>
      <c r="F434" s="201">
        <v>20</v>
      </c>
      <c r="G434" s="203">
        <v>43397</v>
      </c>
      <c r="M434" s="199"/>
      <c r="N434" s="199"/>
      <c r="O434" s="199"/>
      <c r="P434" s="199"/>
      <c r="Q434" s="199"/>
      <c r="R434" s="199"/>
    </row>
    <row r="435" spans="2:18">
      <c r="C435" s="282" t="s">
        <v>813</v>
      </c>
      <c r="D435" s="282" t="s">
        <v>1938</v>
      </c>
      <c r="E435" s="201">
        <v>100</v>
      </c>
      <c r="F435" s="201">
        <f>75/7</f>
        <v>10.714285714285714</v>
      </c>
      <c r="G435" s="203">
        <v>44515</v>
      </c>
      <c r="I435" s="199">
        <v>4100</v>
      </c>
      <c r="J435" s="199">
        <v>4100</v>
      </c>
      <c r="M435" s="199"/>
      <c r="N435" s="199"/>
      <c r="O435" s="199"/>
      <c r="P435" s="199"/>
      <c r="Q435" s="199"/>
      <c r="R435" s="199"/>
    </row>
    <row r="436" spans="2:18">
      <c r="C436" s="282" t="s">
        <v>738</v>
      </c>
      <c r="D436" s="282" t="s">
        <v>1938</v>
      </c>
      <c r="E436" s="201">
        <v>248</v>
      </c>
      <c r="F436" s="201">
        <v>37.5</v>
      </c>
      <c r="G436" s="203">
        <v>43678</v>
      </c>
      <c r="I436" s="199">
        <v>1700</v>
      </c>
      <c r="J436" s="199">
        <v>4100</v>
      </c>
      <c r="M436" s="199"/>
      <c r="N436" s="199"/>
      <c r="O436" s="199"/>
      <c r="P436" s="199"/>
      <c r="Q436" s="199"/>
      <c r="R436" s="199"/>
    </row>
    <row r="437" spans="2:18">
      <c r="C437" s="282" t="s">
        <v>755</v>
      </c>
      <c r="D437" s="282" t="s">
        <v>1938</v>
      </c>
      <c r="E437" s="201">
        <v>145</v>
      </c>
      <c r="F437" s="201">
        <v>30</v>
      </c>
      <c r="G437" s="203">
        <v>43228</v>
      </c>
      <c r="I437" s="199">
        <v>855</v>
      </c>
      <c r="J437" s="199">
        <v>4100</v>
      </c>
      <c r="M437" s="199"/>
      <c r="N437" s="199"/>
      <c r="O437" s="199"/>
      <c r="P437" s="199"/>
      <c r="Q437" s="199"/>
      <c r="R437" s="199"/>
    </row>
    <row r="438" spans="2:18">
      <c r="B438" s="210"/>
      <c r="C438" s="211"/>
      <c r="D438" s="211"/>
      <c r="G438" s="203"/>
      <c r="M438" s="199"/>
      <c r="N438" s="199"/>
      <c r="O438" s="199"/>
      <c r="P438" s="199"/>
      <c r="Q438" s="199"/>
      <c r="R438" s="199"/>
    </row>
    <row r="439" spans="2:18" s="64" customFormat="1">
      <c r="B439" s="64" t="s">
        <v>3705</v>
      </c>
      <c r="C439" s="191" t="s">
        <v>491</v>
      </c>
      <c r="D439" s="191" t="s">
        <v>759</v>
      </c>
      <c r="E439" s="188"/>
      <c r="F439" s="188">
        <f>SUM(F440:F451)</f>
        <v>191.96055555555554</v>
      </c>
      <c r="G439" s="202">
        <f>G443</f>
        <v>44274</v>
      </c>
      <c r="M439" s="191"/>
      <c r="N439" s="191"/>
      <c r="O439" s="191"/>
      <c r="P439" s="191"/>
      <c r="Q439" s="191"/>
      <c r="R439" s="191"/>
    </row>
    <row r="440" spans="2:18">
      <c r="B440" s="250"/>
      <c r="C440" s="252" t="s">
        <v>565</v>
      </c>
      <c r="D440" s="252" t="s">
        <v>3702</v>
      </c>
      <c r="E440" s="201">
        <v>38</v>
      </c>
      <c r="F440" s="201">
        <f>20/6</f>
        <v>3.3333333333333335</v>
      </c>
      <c r="G440" s="203">
        <v>43104</v>
      </c>
    </row>
    <row r="441" spans="2:18">
      <c r="B441" s="250"/>
      <c r="C441" s="252" t="s">
        <v>402</v>
      </c>
      <c r="D441" s="252" t="s">
        <v>3702</v>
      </c>
      <c r="E441" s="201">
        <v>6.9</v>
      </c>
      <c r="F441" s="201">
        <f t="shared" ref="F441" si="2">E441/5</f>
        <v>1.3800000000000001</v>
      </c>
      <c r="G441" s="203">
        <v>42458</v>
      </c>
    </row>
    <row r="442" spans="2:18">
      <c r="B442" s="250"/>
      <c r="C442" s="252" t="s">
        <v>544</v>
      </c>
      <c r="D442" s="252" t="s">
        <v>3702</v>
      </c>
      <c r="E442" s="201">
        <v>2.7</v>
      </c>
      <c r="F442" s="201">
        <f>1.7/4</f>
        <v>0.42499999999999999</v>
      </c>
      <c r="G442" s="203">
        <v>42139</v>
      </c>
    </row>
    <row r="443" spans="2:18">
      <c r="B443" s="250"/>
      <c r="C443" s="272" t="s">
        <v>565</v>
      </c>
      <c r="D443" s="272" t="s">
        <v>1820</v>
      </c>
      <c r="E443" s="201">
        <v>500</v>
      </c>
      <c r="F443" s="201">
        <v>100</v>
      </c>
      <c r="G443" s="203">
        <v>44274</v>
      </c>
    </row>
    <row r="444" spans="2:18">
      <c r="B444" s="250"/>
      <c r="C444" s="272" t="s">
        <v>565</v>
      </c>
      <c r="D444" s="272" t="s">
        <v>1820</v>
      </c>
      <c r="E444" s="201">
        <v>500</v>
      </c>
      <c r="F444" s="201">
        <f>200/9</f>
        <v>22.222222222222221</v>
      </c>
      <c r="G444" s="203">
        <v>44274</v>
      </c>
    </row>
    <row r="445" spans="2:18">
      <c r="B445" s="250"/>
      <c r="C445" s="282" t="s">
        <v>402</v>
      </c>
      <c r="D445" s="282" t="s">
        <v>4313</v>
      </c>
      <c r="E445" s="285">
        <v>43</v>
      </c>
      <c r="F445" s="201">
        <f>E445/5</f>
        <v>8.6</v>
      </c>
      <c r="G445" s="203">
        <v>44077</v>
      </c>
    </row>
    <row r="446" spans="2:18">
      <c r="B446" s="250"/>
      <c r="C446" s="282" t="s">
        <v>544</v>
      </c>
      <c r="D446" s="282" t="s">
        <v>4313</v>
      </c>
      <c r="E446" s="285">
        <v>28</v>
      </c>
      <c r="F446" s="201">
        <v>20</v>
      </c>
      <c r="G446" s="203">
        <v>43271</v>
      </c>
    </row>
    <row r="447" spans="2:18">
      <c r="B447" s="250"/>
      <c r="C447" s="282" t="s">
        <v>738</v>
      </c>
      <c r="D447" s="282" t="s">
        <v>4370</v>
      </c>
      <c r="E447" s="285">
        <v>222</v>
      </c>
      <c r="F447" s="201">
        <v>10</v>
      </c>
      <c r="G447" s="203">
        <v>44194</v>
      </c>
      <c r="I447" s="199">
        <v>2500</v>
      </c>
      <c r="J447" s="199">
        <v>2500</v>
      </c>
    </row>
    <row r="448" spans="2:18">
      <c r="B448" s="250"/>
      <c r="C448" s="282" t="s">
        <v>755</v>
      </c>
      <c r="D448" s="282" t="s">
        <v>4370</v>
      </c>
      <c r="E448" s="285">
        <v>200</v>
      </c>
      <c r="F448" s="201">
        <v>13</v>
      </c>
      <c r="G448" s="203">
        <v>43452</v>
      </c>
      <c r="I448" s="199">
        <v>1500</v>
      </c>
      <c r="J448" s="199">
        <v>2500</v>
      </c>
    </row>
    <row r="449" spans="2:18">
      <c r="B449" s="250"/>
      <c r="C449" s="282" t="s">
        <v>565</v>
      </c>
      <c r="D449" s="282" t="s">
        <v>4370</v>
      </c>
      <c r="E449" s="285">
        <v>50</v>
      </c>
      <c r="F449" s="201">
        <v>5</v>
      </c>
      <c r="G449" s="203">
        <v>43051</v>
      </c>
      <c r="J449" s="199">
        <v>2500</v>
      </c>
    </row>
    <row r="450" spans="2:18">
      <c r="B450" s="250"/>
      <c r="C450" s="282" t="s">
        <v>402</v>
      </c>
      <c r="D450" s="282" t="s">
        <v>4370</v>
      </c>
      <c r="E450" s="285">
        <v>30</v>
      </c>
      <c r="F450" s="201">
        <v>3</v>
      </c>
      <c r="G450" s="203">
        <v>42936</v>
      </c>
      <c r="J450" s="199">
        <v>2500</v>
      </c>
    </row>
    <row r="451" spans="2:18">
      <c r="B451" s="250"/>
      <c r="C451" s="282" t="s">
        <v>544</v>
      </c>
      <c r="D451" s="282" t="s">
        <v>4370</v>
      </c>
      <c r="E451" s="285">
        <v>30</v>
      </c>
      <c r="F451" s="201">
        <v>5</v>
      </c>
      <c r="G451" s="203">
        <v>42674</v>
      </c>
      <c r="J451" s="199">
        <v>2500</v>
      </c>
    </row>
    <row r="452" spans="2:18">
      <c r="B452" s="250"/>
      <c r="C452" s="252"/>
      <c r="D452" s="252"/>
      <c r="G452" s="203"/>
    </row>
    <row r="453" spans="2:18" s="64" customFormat="1">
      <c r="B453" s="64" t="s">
        <v>772</v>
      </c>
      <c r="C453" s="191" t="s">
        <v>491</v>
      </c>
      <c r="D453" s="191" t="s">
        <v>759</v>
      </c>
      <c r="E453" s="188"/>
      <c r="F453" s="188">
        <f>SUM(F454:F460)</f>
        <v>176.19444444444446</v>
      </c>
      <c r="G453" s="202">
        <f>G454</f>
        <v>45069</v>
      </c>
      <c r="I453" s="191" t="s">
        <v>496</v>
      </c>
      <c r="J453" s="191" t="s">
        <v>496</v>
      </c>
      <c r="K453" s="191" t="s">
        <v>496</v>
      </c>
      <c r="M453" s="191"/>
      <c r="N453" s="191"/>
      <c r="O453" s="191"/>
      <c r="P453" s="191"/>
      <c r="Q453" s="191"/>
      <c r="R453" s="191"/>
    </row>
    <row r="454" spans="2:18">
      <c r="C454" s="200" t="s">
        <v>565</v>
      </c>
      <c r="D454" s="200" t="s">
        <v>144</v>
      </c>
      <c r="E454" s="201">
        <v>450</v>
      </c>
      <c r="F454" s="201">
        <f>300/5</f>
        <v>60</v>
      </c>
      <c r="G454" s="203">
        <v>45069</v>
      </c>
    </row>
    <row r="455" spans="2:18">
      <c r="C455" s="200" t="s">
        <v>565</v>
      </c>
      <c r="D455" s="200" t="s">
        <v>404</v>
      </c>
      <c r="E455" s="201">
        <v>270</v>
      </c>
      <c r="F455" s="201">
        <f>220/9</f>
        <v>24.444444444444443</v>
      </c>
      <c r="G455" s="203">
        <v>45048</v>
      </c>
    </row>
    <row r="456" spans="2:18">
      <c r="C456" s="220" t="s">
        <v>549</v>
      </c>
      <c r="D456" s="220" t="s">
        <v>714</v>
      </c>
      <c r="E456" s="201">
        <v>12.3</v>
      </c>
      <c r="F456" s="201">
        <v>3</v>
      </c>
      <c r="G456" s="203">
        <v>44622</v>
      </c>
    </row>
    <row r="457" spans="2:18">
      <c r="C457" s="228" t="s">
        <v>2426</v>
      </c>
      <c r="D457" s="228" t="s">
        <v>2428</v>
      </c>
      <c r="E457" s="201">
        <v>250</v>
      </c>
      <c r="F457" s="201">
        <v>30</v>
      </c>
      <c r="G457" s="203">
        <v>44376</v>
      </c>
    </row>
    <row r="458" spans="2:18">
      <c r="C458" s="228" t="s">
        <v>813</v>
      </c>
      <c r="D458" s="228" t="s">
        <v>2428</v>
      </c>
      <c r="E458" s="201">
        <v>50</v>
      </c>
      <c r="F458" s="201">
        <v>10</v>
      </c>
      <c r="G458" s="203">
        <v>44174</v>
      </c>
    </row>
    <row r="459" spans="2:18">
      <c r="C459" s="282" t="s">
        <v>738</v>
      </c>
      <c r="D459" s="282" t="s">
        <v>4285</v>
      </c>
      <c r="E459" s="201">
        <v>250</v>
      </c>
      <c r="F459" s="201">
        <v>30</v>
      </c>
      <c r="G459" s="203">
        <v>44350</v>
      </c>
      <c r="I459" s="199">
        <v>7000</v>
      </c>
      <c r="J459" s="199">
        <v>7000</v>
      </c>
    </row>
    <row r="460" spans="2:18">
      <c r="C460" s="282" t="s">
        <v>755</v>
      </c>
      <c r="D460" s="282" t="s">
        <v>4285</v>
      </c>
      <c r="E460" s="201">
        <v>200</v>
      </c>
      <c r="F460" s="201">
        <v>18.75</v>
      </c>
      <c r="G460" s="203">
        <v>44055</v>
      </c>
      <c r="I460" s="199">
        <v>2000</v>
      </c>
      <c r="J460" s="199">
        <v>7000</v>
      </c>
    </row>
    <row r="461" spans="2:18">
      <c r="G461" s="203"/>
    </row>
    <row r="462" spans="2:18" s="64" customFormat="1">
      <c r="B462" s="64" t="s">
        <v>2798</v>
      </c>
      <c r="C462" s="191" t="s">
        <v>491</v>
      </c>
      <c r="D462" s="191" t="s">
        <v>759</v>
      </c>
      <c r="E462" s="188"/>
      <c r="F462" s="188">
        <f>SUM(F463:F466)</f>
        <v>175</v>
      </c>
      <c r="G462" s="202">
        <f>G463</f>
        <v>44608</v>
      </c>
      <c r="K462" s="64">
        <v>2014</v>
      </c>
    </row>
    <row r="463" spans="2:18">
      <c r="B463" s="239"/>
      <c r="C463" s="240" t="s">
        <v>738</v>
      </c>
      <c r="D463" s="240" t="s">
        <v>2797</v>
      </c>
      <c r="E463" s="201">
        <v>400</v>
      </c>
      <c r="F463" s="201">
        <v>100</v>
      </c>
      <c r="G463" s="203">
        <v>44608</v>
      </c>
      <c r="M463" s="199"/>
      <c r="N463" s="199"/>
      <c r="O463" s="199"/>
      <c r="P463" s="199"/>
      <c r="Q463" s="199"/>
      <c r="R463" s="199"/>
    </row>
    <row r="464" spans="2:18">
      <c r="B464" s="239"/>
      <c r="C464" s="240" t="s">
        <v>755</v>
      </c>
      <c r="D464" s="240" t="s">
        <v>2797</v>
      </c>
      <c r="E464" s="201">
        <v>140</v>
      </c>
      <c r="F464" s="201">
        <v>10</v>
      </c>
      <c r="G464" s="203">
        <v>44286</v>
      </c>
      <c r="M464" s="199"/>
      <c r="N464" s="199"/>
      <c r="O464" s="199"/>
      <c r="P464" s="199"/>
      <c r="Q464" s="199"/>
      <c r="R464" s="199"/>
    </row>
    <row r="465" spans="2:18">
      <c r="B465" s="239"/>
      <c r="C465" s="240" t="s">
        <v>565</v>
      </c>
      <c r="D465" s="240" t="s">
        <v>2797</v>
      </c>
      <c r="E465" s="201">
        <v>110</v>
      </c>
      <c r="F465" s="201">
        <v>40</v>
      </c>
      <c r="G465" s="203">
        <v>43690</v>
      </c>
      <c r="M465" s="199"/>
      <c r="N465" s="199"/>
      <c r="O465" s="199"/>
      <c r="P465" s="199"/>
      <c r="Q465" s="199"/>
      <c r="R465" s="199"/>
    </row>
    <row r="466" spans="2:18">
      <c r="B466" s="239"/>
      <c r="C466" s="282" t="s">
        <v>813</v>
      </c>
      <c r="D466" s="282" t="s">
        <v>1938</v>
      </c>
      <c r="E466" s="201">
        <v>100</v>
      </c>
      <c r="F466" s="201">
        <v>25</v>
      </c>
      <c r="G466" s="203">
        <v>44515</v>
      </c>
      <c r="I466" s="199">
        <v>4100</v>
      </c>
      <c r="J466" s="199">
        <v>4100</v>
      </c>
      <c r="M466" s="199"/>
      <c r="N466" s="199"/>
      <c r="O466" s="199"/>
      <c r="P466" s="199"/>
      <c r="Q466" s="199"/>
      <c r="R466" s="199"/>
    </row>
    <row r="467" spans="2:18">
      <c r="B467" s="239"/>
      <c r="C467" s="240"/>
      <c r="D467" s="240"/>
      <c r="G467" s="203"/>
      <c r="M467" s="199"/>
      <c r="N467" s="199"/>
      <c r="O467" s="199"/>
      <c r="P467" s="199"/>
      <c r="Q467" s="199"/>
      <c r="R467" s="199"/>
    </row>
    <row r="468" spans="2:18" s="64" customFormat="1">
      <c r="B468" s="64" t="s">
        <v>765</v>
      </c>
      <c r="C468" s="191" t="s">
        <v>491</v>
      </c>
      <c r="D468" s="191" t="s">
        <v>759</v>
      </c>
      <c r="E468" s="188"/>
      <c r="F468" s="188">
        <f>SUM(F469:F487)</f>
        <v>189.68571428571431</v>
      </c>
      <c r="G468" s="202">
        <f>G476</f>
        <v>45090</v>
      </c>
      <c r="M468" s="191"/>
      <c r="N468" s="191"/>
      <c r="O468" s="191"/>
      <c r="P468" s="191"/>
      <c r="Q468" s="191"/>
      <c r="R468" s="191"/>
    </row>
    <row r="469" spans="2:18">
      <c r="C469" s="200" t="s">
        <v>565</v>
      </c>
      <c r="D469" s="200" t="s">
        <v>751</v>
      </c>
      <c r="E469" s="201">
        <v>100</v>
      </c>
      <c r="F469" s="201">
        <v>13</v>
      </c>
      <c r="G469" s="203">
        <v>43682</v>
      </c>
    </row>
    <row r="470" spans="2:18">
      <c r="C470" s="200" t="s">
        <v>402</v>
      </c>
      <c r="D470" s="200" t="s">
        <v>751</v>
      </c>
      <c r="E470" s="201">
        <v>18</v>
      </c>
      <c r="F470" s="201">
        <v>3</v>
      </c>
      <c r="G470" s="203">
        <v>43319</v>
      </c>
    </row>
    <row r="471" spans="2:18">
      <c r="C471" s="200" t="s">
        <v>544</v>
      </c>
      <c r="D471" s="200" t="s">
        <v>751</v>
      </c>
      <c r="E471" s="201">
        <v>4.5</v>
      </c>
      <c r="F471" s="201">
        <f>E471/3</f>
        <v>1.5</v>
      </c>
      <c r="G471" s="203">
        <v>42878</v>
      </c>
    </row>
    <row r="472" spans="2:18">
      <c r="C472" s="200" t="s">
        <v>549</v>
      </c>
      <c r="D472" s="200" t="s">
        <v>618</v>
      </c>
      <c r="E472" s="201">
        <v>3.3</v>
      </c>
      <c r="F472" s="201">
        <v>0.5</v>
      </c>
      <c r="G472" s="203">
        <v>44026</v>
      </c>
    </row>
    <row r="473" spans="2:18">
      <c r="C473" s="228" t="s">
        <v>544</v>
      </c>
      <c r="D473" s="228" t="s">
        <v>2459</v>
      </c>
      <c r="E473" s="201">
        <v>13</v>
      </c>
      <c r="F473" s="201">
        <v>1.4</v>
      </c>
      <c r="G473" s="203">
        <v>44516</v>
      </c>
    </row>
    <row r="474" spans="2:18">
      <c r="C474" s="228" t="s">
        <v>402</v>
      </c>
      <c r="D474" s="228" t="s">
        <v>1524</v>
      </c>
      <c r="E474" s="201">
        <v>30</v>
      </c>
      <c r="F474" s="201">
        <v>5</v>
      </c>
      <c r="G474" s="203">
        <v>44756</v>
      </c>
    </row>
    <row r="475" spans="2:18">
      <c r="C475" s="228" t="s">
        <v>544</v>
      </c>
      <c r="D475" s="228" t="s">
        <v>1524</v>
      </c>
      <c r="E475" s="201">
        <v>28</v>
      </c>
      <c r="F475" s="201">
        <v>13</v>
      </c>
      <c r="G475" s="203">
        <v>44624</v>
      </c>
    </row>
    <row r="476" spans="2:18">
      <c r="C476" s="238" t="s">
        <v>565</v>
      </c>
      <c r="D476" s="238" t="s">
        <v>1981</v>
      </c>
      <c r="E476" s="201">
        <v>90</v>
      </c>
      <c r="F476" s="201">
        <v>30</v>
      </c>
      <c r="G476" s="203">
        <v>45090</v>
      </c>
    </row>
    <row r="477" spans="2:18">
      <c r="C477" s="245" t="s">
        <v>565</v>
      </c>
      <c r="D477" s="245" t="s">
        <v>2853</v>
      </c>
      <c r="E477" s="201">
        <v>130</v>
      </c>
      <c r="F477" s="201">
        <f>100/7</f>
        <v>14.285714285714286</v>
      </c>
      <c r="G477" s="203">
        <v>44323</v>
      </c>
    </row>
    <row r="478" spans="2:18">
      <c r="C478" s="245" t="s">
        <v>402</v>
      </c>
      <c r="D478" s="245" t="s">
        <v>2853</v>
      </c>
      <c r="E478" s="201">
        <v>44</v>
      </c>
      <c r="F478" s="201">
        <v>14</v>
      </c>
      <c r="G478" s="203">
        <v>43909</v>
      </c>
    </row>
    <row r="479" spans="2:18">
      <c r="C479" s="274" t="s">
        <v>544</v>
      </c>
      <c r="D479" s="274" t="s">
        <v>1828</v>
      </c>
      <c r="E479" s="201">
        <v>3</v>
      </c>
      <c r="F479" s="280" t="s">
        <v>4054</v>
      </c>
      <c r="G479" s="203">
        <v>41879</v>
      </c>
      <c r="I479" s="199">
        <v>11</v>
      </c>
    </row>
    <row r="480" spans="2:18">
      <c r="C480" s="282" t="s">
        <v>402</v>
      </c>
      <c r="D480" s="282" t="s">
        <v>1940</v>
      </c>
      <c r="E480" s="201">
        <v>42</v>
      </c>
      <c r="F480" s="280">
        <v>7</v>
      </c>
      <c r="G480" s="203">
        <v>43144</v>
      </c>
      <c r="J480" s="199">
        <v>2000</v>
      </c>
    </row>
    <row r="481" spans="2:18">
      <c r="C481" s="282" t="s">
        <v>544</v>
      </c>
      <c r="D481" s="282" t="s">
        <v>1940</v>
      </c>
      <c r="E481" s="201">
        <v>25</v>
      </c>
      <c r="F481" s="280">
        <v>5</v>
      </c>
      <c r="G481" s="203">
        <v>42374</v>
      </c>
      <c r="J481" s="199">
        <v>2000</v>
      </c>
    </row>
    <row r="482" spans="2:18">
      <c r="C482" s="282" t="s">
        <v>549</v>
      </c>
      <c r="D482" s="282" t="s">
        <v>1940</v>
      </c>
      <c r="E482" s="201">
        <v>3</v>
      </c>
      <c r="F482" s="280">
        <v>1</v>
      </c>
      <c r="G482" s="203">
        <v>42019</v>
      </c>
      <c r="J482" s="199">
        <v>2000</v>
      </c>
    </row>
    <row r="483" spans="2:18">
      <c r="C483" s="282" t="s">
        <v>755</v>
      </c>
      <c r="D483" s="282" t="s">
        <v>1945</v>
      </c>
      <c r="E483" s="201">
        <v>220</v>
      </c>
      <c r="F483" s="280">
        <v>30</v>
      </c>
      <c r="G483" s="203">
        <v>44502</v>
      </c>
      <c r="I483" s="199">
        <v>794</v>
      </c>
      <c r="J483" s="199">
        <v>794</v>
      </c>
    </row>
    <row r="484" spans="2:18">
      <c r="C484" s="282" t="s">
        <v>755</v>
      </c>
      <c r="D484" s="282" t="s">
        <v>1945</v>
      </c>
      <c r="E484" s="201">
        <v>220</v>
      </c>
      <c r="F484" s="280">
        <v>27</v>
      </c>
      <c r="G484" s="203">
        <v>44322</v>
      </c>
      <c r="I484" s="199">
        <v>780</v>
      </c>
      <c r="J484" s="199">
        <v>780</v>
      </c>
    </row>
    <row r="485" spans="2:18">
      <c r="C485" s="282" t="s">
        <v>565</v>
      </c>
      <c r="D485" s="282" t="s">
        <v>1945</v>
      </c>
      <c r="E485" s="201">
        <v>60</v>
      </c>
      <c r="F485" s="280">
        <v>10</v>
      </c>
      <c r="G485" s="203">
        <v>43528</v>
      </c>
    </row>
    <row r="486" spans="2:18">
      <c r="C486" s="282" t="s">
        <v>402</v>
      </c>
      <c r="D486" s="282" t="s">
        <v>1945</v>
      </c>
      <c r="E486" s="201">
        <v>28</v>
      </c>
      <c r="F486" s="280">
        <v>10</v>
      </c>
      <c r="G486" s="203">
        <v>43031</v>
      </c>
    </row>
    <row r="487" spans="2:18">
      <c r="C487" s="282" t="s">
        <v>544</v>
      </c>
      <c r="D487" s="282" t="s">
        <v>1945</v>
      </c>
      <c r="E487" s="201">
        <v>10</v>
      </c>
      <c r="F487" s="280">
        <v>4</v>
      </c>
      <c r="G487" s="203">
        <v>42508</v>
      </c>
    </row>
    <row r="488" spans="2:18">
      <c r="C488" s="282" t="s">
        <v>549</v>
      </c>
      <c r="D488" s="282" t="s">
        <v>1945</v>
      </c>
      <c r="E488" s="201">
        <v>1.8</v>
      </c>
      <c r="F488" s="280">
        <v>0.4</v>
      </c>
      <c r="G488" s="203">
        <v>41976</v>
      </c>
    </row>
    <row r="489" spans="2:18">
      <c r="G489" s="203"/>
    </row>
    <row r="490" spans="2:18" s="64" customFormat="1">
      <c r="B490" s="64" t="s">
        <v>4084</v>
      </c>
      <c r="C490" s="191" t="s">
        <v>491</v>
      </c>
      <c r="D490" s="191" t="s">
        <v>759</v>
      </c>
      <c r="E490" s="188"/>
      <c r="F490" s="188">
        <f>SUM(F491:F496)</f>
        <v>162.625</v>
      </c>
      <c r="G490" s="202">
        <f>G491</f>
        <v>44417</v>
      </c>
      <c r="M490" s="191"/>
      <c r="N490" s="191"/>
      <c r="O490" s="191"/>
      <c r="P490" s="191"/>
      <c r="Q490" s="191"/>
      <c r="R490" s="191"/>
    </row>
    <row r="491" spans="2:18">
      <c r="C491" s="200" t="s">
        <v>565</v>
      </c>
      <c r="D491" s="200" t="s">
        <v>618</v>
      </c>
      <c r="E491" s="201">
        <v>85</v>
      </c>
      <c r="F491" s="201">
        <f>45/8</f>
        <v>5.625</v>
      </c>
      <c r="G491" s="203">
        <v>44417</v>
      </c>
      <c r="H491" s="212"/>
    </row>
    <row r="492" spans="2:18">
      <c r="C492" s="272" t="s">
        <v>755</v>
      </c>
      <c r="D492" s="272" t="s">
        <v>1818</v>
      </c>
      <c r="E492" s="201">
        <v>676</v>
      </c>
      <c r="F492" s="201">
        <v>71</v>
      </c>
      <c r="G492" s="203">
        <v>44299</v>
      </c>
      <c r="H492" s="212"/>
      <c r="I492" s="199">
        <v>4400</v>
      </c>
    </row>
    <row r="493" spans="2:18">
      <c r="C493" s="272" t="s">
        <v>565</v>
      </c>
      <c r="D493" s="272" t="s">
        <v>1818</v>
      </c>
      <c r="E493" s="201">
        <v>250</v>
      </c>
      <c r="F493" s="201">
        <f>170/5</f>
        <v>34</v>
      </c>
      <c r="G493" s="203">
        <v>43886</v>
      </c>
      <c r="H493" s="212"/>
      <c r="I493" s="199">
        <v>2300</v>
      </c>
    </row>
    <row r="494" spans="2:18">
      <c r="C494" s="272" t="s">
        <v>402</v>
      </c>
      <c r="D494" s="272" t="s">
        <v>1818</v>
      </c>
      <c r="E494" s="201">
        <v>150</v>
      </c>
      <c r="F494" s="201">
        <f>100/5</f>
        <v>20</v>
      </c>
      <c r="G494" s="203">
        <v>43556</v>
      </c>
      <c r="H494" s="212"/>
    </row>
    <row r="495" spans="2:18">
      <c r="C495" s="272" t="s">
        <v>544</v>
      </c>
      <c r="D495" s="272" t="s">
        <v>1818</v>
      </c>
      <c r="E495" s="201">
        <v>56</v>
      </c>
      <c r="F495" s="201">
        <v>20</v>
      </c>
      <c r="G495" s="203">
        <v>43174</v>
      </c>
      <c r="H495" s="212"/>
    </row>
    <row r="496" spans="2:18">
      <c r="C496" s="274" t="s">
        <v>402</v>
      </c>
      <c r="D496" s="274" t="s">
        <v>4072</v>
      </c>
      <c r="E496" s="201">
        <v>32</v>
      </c>
      <c r="F496" s="201">
        <v>12</v>
      </c>
      <c r="G496" s="203">
        <v>42528</v>
      </c>
      <c r="H496" s="212"/>
    </row>
    <row r="497" spans="2:18">
      <c r="G497" s="203"/>
      <c r="H497" s="212"/>
    </row>
    <row r="498" spans="2:18" s="64" customFormat="1">
      <c r="B498" s="64" t="s">
        <v>3899</v>
      </c>
      <c r="C498" s="191" t="s">
        <v>491</v>
      </c>
      <c r="D498" s="191" t="s">
        <v>759</v>
      </c>
      <c r="E498" s="188"/>
      <c r="F498" s="188">
        <f>SUM(F499:F504)</f>
        <v>160.33333333333334</v>
      </c>
      <c r="G498" s="202">
        <f>G503</f>
        <v>44271</v>
      </c>
      <c r="M498" s="191"/>
      <c r="N498" s="191"/>
      <c r="O498" s="191"/>
      <c r="P498" s="191"/>
      <c r="Q498" s="191"/>
      <c r="R498" s="191"/>
    </row>
    <row r="499" spans="2:18">
      <c r="B499" s="267"/>
      <c r="C499" s="272" t="s">
        <v>402</v>
      </c>
      <c r="D499" s="272" t="s">
        <v>1814</v>
      </c>
      <c r="E499" s="201">
        <v>100</v>
      </c>
      <c r="F499" s="201">
        <v>25</v>
      </c>
      <c r="G499" s="203">
        <v>42576</v>
      </c>
    </row>
    <row r="500" spans="2:18">
      <c r="B500" s="267"/>
      <c r="C500" s="272" t="s">
        <v>755</v>
      </c>
      <c r="D500" s="272" t="s">
        <v>1817</v>
      </c>
      <c r="E500" s="201">
        <v>700</v>
      </c>
      <c r="F500" s="201">
        <v>33</v>
      </c>
      <c r="G500" s="203">
        <v>44218</v>
      </c>
    </row>
    <row r="501" spans="2:18">
      <c r="B501" s="267"/>
      <c r="C501" s="272" t="s">
        <v>565</v>
      </c>
      <c r="D501" s="272" t="s">
        <v>1817</v>
      </c>
      <c r="E501" s="201">
        <v>230</v>
      </c>
      <c r="F501" s="201">
        <f>E501/6</f>
        <v>38.333333333333336</v>
      </c>
      <c r="G501" s="203">
        <v>43923</v>
      </c>
    </row>
    <row r="502" spans="2:18">
      <c r="B502" s="267"/>
      <c r="C502" s="272" t="s">
        <v>565</v>
      </c>
      <c r="D502" s="272" t="s">
        <v>1823</v>
      </c>
      <c r="E502" s="201">
        <v>100</v>
      </c>
      <c r="F502" s="201">
        <f>70/5</f>
        <v>14</v>
      </c>
      <c r="G502" s="203">
        <v>44235</v>
      </c>
    </row>
    <row r="503" spans="2:18">
      <c r="B503" s="267"/>
      <c r="C503" s="274" t="s">
        <v>738</v>
      </c>
      <c r="D503" s="274" t="s">
        <v>1828</v>
      </c>
      <c r="E503" s="201">
        <v>300</v>
      </c>
      <c r="F503" s="280" t="s">
        <v>4052</v>
      </c>
      <c r="G503" s="203">
        <v>44271</v>
      </c>
    </row>
    <row r="504" spans="2:18">
      <c r="B504" s="267"/>
      <c r="C504" s="282" t="s">
        <v>565</v>
      </c>
      <c r="D504" s="282" t="s">
        <v>1933</v>
      </c>
      <c r="E504" s="201">
        <v>257</v>
      </c>
      <c r="F504" s="280">
        <v>50</v>
      </c>
      <c r="G504" s="203">
        <v>44201</v>
      </c>
    </row>
    <row r="505" spans="2:18">
      <c r="B505" s="267"/>
      <c r="C505" s="272"/>
      <c r="D505" s="272"/>
      <c r="G505" s="203"/>
    </row>
    <row r="506" spans="2:18" s="64" customFormat="1">
      <c r="B506" s="64" t="s">
        <v>823</v>
      </c>
      <c r="C506" s="191" t="s">
        <v>491</v>
      </c>
      <c r="D506" s="191" t="s">
        <v>759</v>
      </c>
      <c r="E506" s="188"/>
      <c r="F506" s="188">
        <f>SUM(F507:F516)</f>
        <v>204.75</v>
      </c>
      <c r="G506" s="202">
        <f>G507</f>
        <v>44852</v>
      </c>
      <c r="M506" s="191"/>
      <c r="N506" s="191"/>
      <c r="O506" s="191"/>
      <c r="P506" s="191"/>
      <c r="Q506" s="191"/>
      <c r="R506" s="191"/>
    </row>
    <row r="507" spans="2:18">
      <c r="C507" s="200" t="s">
        <v>544</v>
      </c>
      <c r="D507" s="200" t="s">
        <v>420</v>
      </c>
      <c r="E507" s="201">
        <v>125</v>
      </c>
      <c r="F507" s="201">
        <v>15</v>
      </c>
      <c r="G507" s="203">
        <v>44852</v>
      </c>
    </row>
    <row r="508" spans="2:18">
      <c r="C508" s="272" t="s">
        <v>813</v>
      </c>
      <c r="D508" s="272" t="s">
        <v>1822</v>
      </c>
      <c r="E508" s="201">
        <v>475</v>
      </c>
      <c r="F508" s="201">
        <v>40</v>
      </c>
      <c r="G508" s="203">
        <v>44278</v>
      </c>
    </row>
    <row r="509" spans="2:18">
      <c r="C509" s="272" t="s">
        <v>755</v>
      </c>
      <c r="D509" s="272" t="s">
        <v>1822</v>
      </c>
      <c r="E509" s="201">
        <v>130</v>
      </c>
      <c r="F509" s="201">
        <v>12</v>
      </c>
      <c r="G509" s="203">
        <v>42080</v>
      </c>
      <c r="I509" s="199">
        <v>570</v>
      </c>
    </row>
    <row r="510" spans="2:18">
      <c r="C510" s="272" t="s">
        <v>565</v>
      </c>
      <c r="D510" s="272" t="s">
        <v>1822</v>
      </c>
      <c r="E510" s="201">
        <v>34</v>
      </c>
      <c r="F510" s="201">
        <v>20</v>
      </c>
      <c r="G510" s="203">
        <v>41437</v>
      </c>
    </row>
    <row r="511" spans="2:18">
      <c r="C511" s="282" t="s">
        <v>738</v>
      </c>
      <c r="D511" s="282" t="s">
        <v>1940</v>
      </c>
      <c r="E511" s="201">
        <v>230</v>
      </c>
      <c r="F511" s="201">
        <v>24</v>
      </c>
      <c r="G511" s="203">
        <v>44984</v>
      </c>
      <c r="I511" s="199">
        <v>2000</v>
      </c>
      <c r="J511" s="199">
        <v>2000</v>
      </c>
    </row>
    <row r="512" spans="2:18">
      <c r="C512" s="282" t="s">
        <v>755</v>
      </c>
      <c r="D512" s="282" t="s">
        <v>1940</v>
      </c>
      <c r="E512" s="201">
        <v>170</v>
      </c>
      <c r="F512" s="201">
        <v>22</v>
      </c>
      <c r="G512" s="203">
        <v>44255</v>
      </c>
      <c r="I512" s="199">
        <v>830</v>
      </c>
      <c r="J512" s="199">
        <v>2000</v>
      </c>
    </row>
    <row r="513" spans="2:11">
      <c r="C513" s="282" t="s">
        <v>565</v>
      </c>
      <c r="D513" s="282" t="s">
        <v>1940</v>
      </c>
      <c r="E513" s="201">
        <v>100</v>
      </c>
      <c r="F513" s="201">
        <v>15</v>
      </c>
      <c r="G513" s="203">
        <v>44025</v>
      </c>
      <c r="J513" s="199">
        <v>2000</v>
      </c>
    </row>
    <row r="514" spans="2:11">
      <c r="C514" s="282" t="s">
        <v>402</v>
      </c>
      <c r="D514" s="282" t="s">
        <v>1940</v>
      </c>
      <c r="E514" s="201">
        <v>42</v>
      </c>
      <c r="F514" s="201">
        <v>10</v>
      </c>
      <c r="G514" s="203">
        <v>43144</v>
      </c>
      <c r="J514" s="199">
        <v>2000</v>
      </c>
    </row>
    <row r="515" spans="2:11">
      <c r="C515" s="282" t="s">
        <v>738</v>
      </c>
      <c r="D515" s="282" t="s">
        <v>4410</v>
      </c>
      <c r="E515" s="201">
        <v>220</v>
      </c>
      <c r="F515" s="201">
        <v>28</v>
      </c>
      <c r="G515" s="203">
        <v>44357</v>
      </c>
      <c r="I515" s="199">
        <v>1900</v>
      </c>
      <c r="J515" s="199">
        <v>1900</v>
      </c>
    </row>
    <row r="516" spans="2:11">
      <c r="C516" s="282" t="s">
        <v>755</v>
      </c>
      <c r="D516" s="282" t="s">
        <v>4410</v>
      </c>
      <c r="E516" s="201">
        <v>125</v>
      </c>
      <c r="F516" s="201">
        <v>18.75</v>
      </c>
      <c r="G516" s="203">
        <v>44131</v>
      </c>
      <c r="I516" s="199">
        <v>875</v>
      </c>
      <c r="J516" s="199">
        <v>1900</v>
      </c>
    </row>
    <row r="517" spans="2:11">
      <c r="C517" s="282" t="s">
        <v>565</v>
      </c>
      <c r="D517" s="282" t="s">
        <v>4410</v>
      </c>
      <c r="E517" s="201">
        <v>28</v>
      </c>
      <c r="F517" s="201">
        <v>14</v>
      </c>
      <c r="G517" s="203">
        <v>43579</v>
      </c>
      <c r="J517" s="199">
        <v>1900</v>
      </c>
    </row>
    <row r="518" spans="2:11">
      <c r="G518" s="203"/>
    </row>
    <row r="519" spans="2:11">
      <c r="B519" s="64" t="s">
        <v>962</v>
      </c>
      <c r="C519" s="191" t="s">
        <v>491</v>
      </c>
      <c r="D519" s="191" t="s">
        <v>759</v>
      </c>
      <c r="E519" s="188"/>
      <c r="F519" s="188">
        <f>SUM(F520:F531)</f>
        <v>156.10000000000002</v>
      </c>
      <c r="G519" s="202">
        <f>G522</f>
        <v>44754</v>
      </c>
      <c r="I519" s="199">
        <v>6800</v>
      </c>
      <c r="J519" s="233">
        <f>+F519/I519</f>
        <v>2.295588235294118E-2</v>
      </c>
      <c r="K519" s="199">
        <v>1972</v>
      </c>
    </row>
    <row r="520" spans="2:11">
      <c r="C520" s="200" t="s">
        <v>565</v>
      </c>
      <c r="D520" s="200" t="s">
        <v>423</v>
      </c>
      <c r="E520" s="201">
        <v>100</v>
      </c>
      <c r="F520" s="201">
        <v>15</v>
      </c>
      <c r="G520" s="203">
        <v>44699</v>
      </c>
    </row>
    <row r="521" spans="2:11">
      <c r="C521" s="200" t="s">
        <v>402</v>
      </c>
      <c r="D521" s="200" t="s">
        <v>423</v>
      </c>
      <c r="E521" s="201">
        <v>100</v>
      </c>
      <c r="F521" s="201">
        <f>25/3</f>
        <v>8.3333333333333339</v>
      </c>
      <c r="G521" s="203">
        <v>44286</v>
      </c>
    </row>
    <row r="522" spans="2:11">
      <c r="C522" s="200" t="s">
        <v>565</v>
      </c>
      <c r="D522" s="200" t="s">
        <v>611</v>
      </c>
      <c r="E522" s="201">
        <v>100</v>
      </c>
      <c r="F522" s="201">
        <v>40</v>
      </c>
      <c r="G522" s="203">
        <v>44754</v>
      </c>
    </row>
    <row r="523" spans="2:11">
      <c r="C523" s="200" t="s">
        <v>544</v>
      </c>
      <c r="D523" s="200" t="s">
        <v>1093</v>
      </c>
      <c r="E523" s="201">
        <v>50</v>
      </c>
      <c r="F523" s="201">
        <f>30/12</f>
        <v>2.5</v>
      </c>
      <c r="G523" s="203">
        <v>44796</v>
      </c>
    </row>
    <row r="524" spans="2:11">
      <c r="C524" s="200" t="s">
        <v>549</v>
      </c>
      <c r="D524" s="200" t="s">
        <v>1093</v>
      </c>
      <c r="E524" s="201">
        <v>12.5</v>
      </c>
      <c r="F524" s="201">
        <f>8/5</f>
        <v>1.6</v>
      </c>
      <c r="G524" s="203">
        <v>44623</v>
      </c>
    </row>
    <row r="525" spans="2:11">
      <c r="C525" s="200" t="s">
        <v>549</v>
      </c>
      <c r="D525" s="200" t="s">
        <v>1093</v>
      </c>
      <c r="E525" s="201">
        <v>7.2</v>
      </c>
      <c r="F525" s="201">
        <v>2</v>
      </c>
      <c r="G525" s="203">
        <v>44508</v>
      </c>
    </row>
    <row r="526" spans="2:11">
      <c r="C526" s="200" t="s">
        <v>402</v>
      </c>
      <c r="D526" s="200" t="s">
        <v>1161</v>
      </c>
      <c r="E526" s="201">
        <v>30</v>
      </c>
      <c r="F526" s="201">
        <f>20/3</f>
        <v>6.666666666666667</v>
      </c>
      <c r="G526" s="203">
        <v>44510</v>
      </c>
    </row>
    <row r="527" spans="2:11">
      <c r="C527" s="200" t="s">
        <v>544</v>
      </c>
      <c r="D527" s="200" t="s">
        <v>1161</v>
      </c>
      <c r="E527" s="201">
        <v>21.4</v>
      </c>
      <c r="F527" s="201">
        <v>5</v>
      </c>
      <c r="G527" s="203">
        <v>44232</v>
      </c>
    </row>
    <row r="528" spans="2:11">
      <c r="C528" s="211" t="s">
        <v>565</v>
      </c>
      <c r="D528" s="211" t="s">
        <v>433</v>
      </c>
      <c r="E528" s="201">
        <v>200</v>
      </c>
      <c r="F528" s="201">
        <v>20</v>
      </c>
      <c r="G528" s="203">
        <v>44377</v>
      </c>
    </row>
    <row r="529" spans="2:18">
      <c r="C529" s="211" t="s">
        <v>402</v>
      </c>
      <c r="D529" s="211" t="s">
        <v>433</v>
      </c>
      <c r="E529" s="201">
        <v>75</v>
      </c>
      <c r="F529" s="201">
        <v>20</v>
      </c>
      <c r="G529" s="203">
        <v>43783</v>
      </c>
    </row>
    <row r="530" spans="2:18">
      <c r="C530" s="238" t="s">
        <v>565</v>
      </c>
      <c r="D530" s="238" t="s">
        <v>1981</v>
      </c>
      <c r="E530" s="201">
        <v>90</v>
      </c>
      <c r="F530" s="201">
        <v>15</v>
      </c>
      <c r="G530" s="203">
        <v>45090</v>
      </c>
    </row>
    <row r="531" spans="2:18">
      <c r="C531" s="238" t="s">
        <v>402</v>
      </c>
      <c r="D531" s="238" t="s">
        <v>1981</v>
      </c>
      <c r="E531" s="201">
        <v>50</v>
      </c>
      <c r="F531" s="201">
        <v>20</v>
      </c>
      <c r="G531" s="203">
        <v>44538</v>
      </c>
    </row>
    <row r="532" spans="2:18">
      <c r="C532" s="211"/>
      <c r="D532" s="211"/>
      <c r="G532" s="203"/>
    </row>
    <row r="533" spans="2:18" s="64" customFormat="1">
      <c r="B533" s="64" t="s">
        <v>3923</v>
      </c>
      <c r="C533" s="191" t="s">
        <v>491</v>
      </c>
      <c r="D533" s="191" t="s">
        <v>759</v>
      </c>
      <c r="E533" s="188"/>
      <c r="F533" s="188">
        <f>SUM(F534:F540)</f>
        <v>152.72857142857143</v>
      </c>
      <c r="G533" s="202">
        <f>G539</f>
        <v>44880</v>
      </c>
      <c r="M533" s="191"/>
      <c r="N533" s="191"/>
      <c r="O533" s="191"/>
      <c r="P533" s="191"/>
      <c r="Q533" s="191"/>
      <c r="R533" s="191"/>
    </row>
    <row r="534" spans="2:18">
      <c r="B534" s="267"/>
      <c r="C534" s="272" t="s">
        <v>755</v>
      </c>
      <c r="D534" s="272" t="s">
        <v>1818</v>
      </c>
      <c r="E534" s="201">
        <v>676</v>
      </c>
      <c r="F534" s="201">
        <f>500/7</f>
        <v>71.428571428571431</v>
      </c>
      <c r="G534" s="203">
        <v>44299</v>
      </c>
      <c r="I534" s="199">
        <v>4400</v>
      </c>
    </row>
    <row r="535" spans="2:18">
      <c r="B535" s="267"/>
      <c r="C535" s="272" t="s">
        <v>565</v>
      </c>
      <c r="D535" s="272" t="s">
        <v>1818</v>
      </c>
      <c r="E535" s="201">
        <v>250</v>
      </c>
      <c r="F535" s="201">
        <f>170/5</f>
        <v>34</v>
      </c>
      <c r="G535" s="203">
        <v>43886</v>
      </c>
      <c r="I535" s="199">
        <v>2300</v>
      </c>
    </row>
    <row r="536" spans="2:18">
      <c r="B536" s="267"/>
      <c r="C536" s="272" t="s">
        <v>402</v>
      </c>
      <c r="D536" s="272" t="s">
        <v>1818</v>
      </c>
      <c r="E536" s="201">
        <v>150</v>
      </c>
      <c r="F536" s="201">
        <v>20</v>
      </c>
      <c r="G536" s="203">
        <v>43556</v>
      </c>
    </row>
    <row r="537" spans="2:18">
      <c r="B537" s="267"/>
      <c r="C537" s="272" t="s">
        <v>544</v>
      </c>
      <c r="D537" s="272" t="s">
        <v>1818</v>
      </c>
      <c r="E537" s="201">
        <v>7.3</v>
      </c>
      <c r="F537" s="201">
        <v>7.3</v>
      </c>
      <c r="G537" s="203">
        <v>43327</v>
      </c>
    </row>
    <row r="538" spans="2:18">
      <c r="B538" s="267"/>
      <c r="C538" s="272" t="s">
        <v>549</v>
      </c>
      <c r="D538" s="272" t="s">
        <v>1818</v>
      </c>
      <c r="E538" s="201">
        <v>2</v>
      </c>
      <c r="F538" s="201">
        <v>2</v>
      </c>
      <c r="G538" s="203">
        <v>43047</v>
      </c>
    </row>
    <row r="539" spans="2:18">
      <c r="B539" s="267"/>
      <c r="C539" s="274" t="s">
        <v>755</v>
      </c>
      <c r="D539" s="274" t="s">
        <v>4072</v>
      </c>
      <c r="E539" s="201">
        <v>135</v>
      </c>
      <c r="F539" s="201">
        <v>8</v>
      </c>
      <c r="G539" s="277">
        <v>44880</v>
      </c>
      <c r="I539" s="199">
        <v>615</v>
      </c>
    </row>
    <row r="540" spans="2:18">
      <c r="B540" s="267"/>
      <c r="C540" s="274" t="s">
        <v>402</v>
      </c>
      <c r="D540" s="274" t="s">
        <v>4072</v>
      </c>
      <c r="E540" s="201">
        <v>10</v>
      </c>
      <c r="F540" s="201">
        <v>10</v>
      </c>
      <c r="G540" s="277">
        <v>42414</v>
      </c>
      <c r="J540" s="199">
        <v>615</v>
      </c>
    </row>
    <row r="541" spans="2:18">
      <c r="B541" s="267"/>
      <c r="C541" s="272"/>
      <c r="D541" s="272"/>
      <c r="G541" s="203"/>
    </row>
    <row r="542" spans="2:18" s="64" customFormat="1">
      <c r="B542" s="64" t="s">
        <v>741</v>
      </c>
      <c r="C542" s="191" t="s">
        <v>491</v>
      </c>
      <c r="D542" s="191" t="s">
        <v>759</v>
      </c>
      <c r="E542" s="188"/>
      <c r="F542" s="188">
        <f>SUM(F543:F546)</f>
        <v>151.5</v>
      </c>
      <c r="G542" s="202">
        <f>G544</f>
        <v>44867</v>
      </c>
      <c r="M542" s="191"/>
      <c r="N542" s="191"/>
      <c r="O542" s="191"/>
      <c r="P542" s="191"/>
      <c r="Q542" s="191"/>
      <c r="R542" s="191"/>
    </row>
    <row r="543" spans="2:18">
      <c r="C543" s="200" t="s">
        <v>738</v>
      </c>
      <c r="D543" s="200" t="s">
        <v>751</v>
      </c>
      <c r="E543" s="201">
        <v>325</v>
      </c>
      <c r="F543" s="201">
        <v>18.5</v>
      </c>
      <c r="G543" s="203">
        <v>44299</v>
      </c>
    </row>
    <row r="544" spans="2:18">
      <c r="C544" s="249" t="s">
        <v>565</v>
      </c>
      <c r="D544" s="249" t="s">
        <v>1599</v>
      </c>
      <c r="E544" s="201">
        <v>91</v>
      </c>
      <c r="F544" s="201">
        <v>21</v>
      </c>
      <c r="G544" s="203">
        <v>44867</v>
      </c>
    </row>
    <row r="545" spans="2:11">
      <c r="C545" s="272" t="s">
        <v>755</v>
      </c>
      <c r="D545" s="272" t="s">
        <v>1822</v>
      </c>
      <c r="E545" s="201">
        <v>130</v>
      </c>
      <c r="F545" s="201">
        <v>12</v>
      </c>
      <c r="G545" s="203">
        <v>42080</v>
      </c>
    </row>
    <row r="546" spans="2:11">
      <c r="C546" s="272" t="s">
        <v>813</v>
      </c>
      <c r="D546" s="272" t="s">
        <v>1824</v>
      </c>
      <c r="E546" s="201">
        <v>200</v>
      </c>
      <c r="F546" s="201">
        <v>100</v>
      </c>
      <c r="G546" s="203">
        <v>44907</v>
      </c>
      <c r="I546" s="199">
        <v>3500</v>
      </c>
    </row>
    <row r="547" spans="2:11">
      <c r="G547" s="203"/>
    </row>
    <row r="548" spans="2:11">
      <c r="B548" s="64" t="s">
        <v>773</v>
      </c>
      <c r="C548" s="191" t="s">
        <v>491</v>
      </c>
      <c r="D548" s="191" t="s">
        <v>759</v>
      </c>
      <c r="F548" s="188">
        <f>SUM(F549:F561)</f>
        <v>149.29545454545456</v>
      </c>
      <c r="G548" s="202">
        <f>G549</f>
        <v>45069</v>
      </c>
      <c r="I548" s="199">
        <v>5000</v>
      </c>
      <c r="J548" s="234">
        <f>+F548/I548</f>
        <v>2.9859090909090912E-2</v>
      </c>
      <c r="K548" s="199">
        <v>1976</v>
      </c>
    </row>
    <row r="549" spans="2:11">
      <c r="C549" s="200" t="s">
        <v>565</v>
      </c>
      <c r="D549" s="200" t="s">
        <v>144</v>
      </c>
      <c r="E549" s="201">
        <v>450</v>
      </c>
      <c r="F549" s="201">
        <f>300/5</f>
        <v>60</v>
      </c>
      <c r="G549" s="203">
        <v>45069</v>
      </c>
    </row>
    <row r="550" spans="2:11">
      <c r="C550" s="200" t="s">
        <v>402</v>
      </c>
      <c r="D550" s="200" t="s">
        <v>409</v>
      </c>
      <c r="E550" s="201">
        <v>100</v>
      </c>
      <c r="F550" s="201">
        <v>5</v>
      </c>
      <c r="G550" s="203">
        <v>45042</v>
      </c>
    </row>
    <row r="551" spans="2:11">
      <c r="C551" s="200" t="s">
        <v>544</v>
      </c>
      <c r="D551" s="200" t="s">
        <v>409</v>
      </c>
      <c r="E551" s="201">
        <v>28</v>
      </c>
      <c r="F551" s="201">
        <v>16</v>
      </c>
      <c r="G551" s="203">
        <v>44649</v>
      </c>
    </row>
    <row r="552" spans="2:11">
      <c r="C552" s="200" t="s">
        <v>544</v>
      </c>
      <c r="D552" s="200" t="s">
        <v>424</v>
      </c>
      <c r="E552" s="201">
        <v>65</v>
      </c>
      <c r="F552" s="201">
        <v>10</v>
      </c>
      <c r="G552" s="203">
        <v>44984</v>
      </c>
    </row>
    <row r="553" spans="2:11">
      <c r="C553" s="200" t="s">
        <v>402</v>
      </c>
      <c r="D553" s="200" t="s">
        <v>671</v>
      </c>
      <c r="E553" s="201">
        <v>25</v>
      </c>
      <c r="F553" s="201">
        <v>7</v>
      </c>
      <c r="G553" s="203">
        <v>44636</v>
      </c>
    </row>
    <row r="554" spans="2:11">
      <c r="C554" s="225" t="s">
        <v>565</v>
      </c>
      <c r="D554" s="225" t="s">
        <v>2153</v>
      </c>
      <c r="E554" s="201">
        <v>125</v>
      </c>
      <c r="F554" s="201">
        <v>9</v>
      </c>
      <c r="G554" s="203">
        <v>44663</v>
      </c>
    </row>
    <row r="555" spans="2:11">
      <c r="C555" s="225" t="s">
        <v>402</v>
      </c>
      <c r="D555" s="225" t="s">
        <v>2153</v>
      </c>
      <c r="E555" s="201">
        <v>54</v>
      </c>
      <c r="F555" s="201">
        <v>14</v>
      </c>
      <c r="G555" s="203">
        <v>44089</v>
      </c>
    </row>
    <row r="556" spans="2:11">
      <c r="C556" s="228" t="s">
        <v>755</v>
      </c>
      <c r="D556" s="228" t="s">
        <v>1254</v>
      </c>
      <c r="E556" s="201">
        <v>90</v>
      </c>
      <c r="F556" s="201">
        <f>50/11</f>
        <v>4.5454545454545459</v>
      </c>
      <c r="G556" s="203">
        <v>44776</v>
      </c>
    </row>
    <row r="557" spans="2:11">
      <c r="C557" s="228" t="s">
        <v>565</v>
      </c>
      <c r="D557" s="228" t="s">
        <v>1254</v>
      </c>
      <c r="E557" s="201">
        <v>40</v>
      </c>
      <c r="F557" s="201">
        <v>3.75</v>
      </c>
      <c r="G557" s="203">
        <v>44176</v>
      </c>
    </row>
    <row r="558" spans="2:11">
      <c r="C558" s="228" t="s">
        <v>402</v>
      </c>
      <c r="D558" s="228" t="s">
        <v>1254</v>
      </c>
      <c r="E558" s="201">
        <v>20</v>
      </c>
      <c r="F558" s="201">
        <f>15/5</f>
        <v>3</v>
      </c>
      <c r="G558" s="203">
        <v>43879</v>
      </c>
    </row>
    <row r="559" spans="2:11">
      <c r="C559" s="272" t="s">
        <v>755</v>
      </c>
      <c r="D559" s="272" t="s">
        <v>1798</v>
      </c>
      <c r="E559" s="201">
        <v>111</v>
      </c>
      <c r="F559" s="201">
        <v>7</v>
      </c>
      <c r="G559" s="203">
        <v>44622</v>
      </c>
    </row>
    <row r="560" spans="2:11">
      <c r="C560" s="272" t="s">
        <v>565</v>
      </c>
      <c r="D560" s="272" t="s">
        <v>1798</v>
      </c>
      <c r="E560" s="201">
        <v>55</v>
      </c>
      <c r="F560" s="201">
        <v>6</v>
      </c>
      <c r="G560" s="203">
        <v>44314</v>
      </c>
    </row>
    <row r="561" spans="2:11">
      <c r="C561" s="272" t="s">
        <v>402</v>
      </c>
      <c r="D561" s="272" t="s">
        <v>1798</v>
      </c>
      <c r="E561" s="201">
        <v>16</v>
      </c>
      <c r="F561" s="201">
        <v>4</v>
      </c>
      <c r="G561" s="203">
        <v>44009</v>
      </c>
    </row>
    <row r="562" spans="2:11">
      <c r="G562" s="203"/>
    </row>
    <row r="563" spans="2:11">
      <c r="B563" s="64" t="s">
        <v>894</v>
      </c>
      <c r="C563" s="191" t="s">
        <v>491</v>
      </c>
      <c r="D563" s="191" t="s">
        <v>759</v>
      </c>
      <c r="F563" s="188">
        <f>SUM(F564:F586)</f>
        <v>146.41666666666666</v>
      </c>
      <c r="G563" s="202">
        <f>+G573</f>
        <v>45020</v>
      </c>
      <c r="I563" s="199">
        <v>700</v>
      </c>
      <c r="J563" s="232">
        <f>(F564+F572+F573)/I563</f>
        <v>2.5714285714285714E-2</v>
      </c>
      <c r="K563" s="199">
        <v>2022</v>
      </c>
    </row>
    <row r="564" spans="2:11">
      <c r="C564" s="200" t="s">
        <v>565</v>
      </c>
      <c r="D564" s="200" t="s">
        <v>864</v>
      </c>
      <c r="E564" s="201">
        <v>50</v>
      </c>
      <c r="F564" s="201">
        <v>6</v>
      </c>
      <c r="G564" s="203">
        <v>44900</v>
      </c>
      <c r="I564" s="199">
        <v>1400</v>
      </c>
      <c r="J564" s="232">
        <f>+F563/I564</f>
        <v>0.10458333333333332</v>
      </c>
      <c r="K564" s="199">
        <v>2012</v>
      </c>
    </row>
    <row r="565" spans="2:11">
      <c r="C565" s="200" t="s">
        <v>402</v>
      </c>
      <c r="D565" s="200" t="s">
        <v>864</v>
      </c>
      <c r="E565" s="201">
        <v>35</v>
      </c>
      <c r="F565" s="201">
        <v>5</v>
      </c>
      <c r="G565" s="203">
        <v>44543</v>
      </c>
    </row>
    <row r="566" spans="2:11">
      <c r="C566" s="200" t="s">
        <v>544</v>
      </c>
      <c r="D566" s="200" t="s">
        <v>864</v>
      </c>
      <c r="E566" s="201">
        <v>8.5</v>
      </c>
      <c r="F566" s="201">
        <v>5</v>
      </c>
      <c r="G566" s="203">
        <v>44181</v>
      </c>
    </row>
    <row r="567" spans="2:11">
      <c r="C567" s="200" t="s">
        <v>565</v>
      </c>
      <c r="D567" s="200" t="s">
        <v>617</v>
      </c>
      <c r="E567" s="201">
        <v>85</v>
      </c>
      <c r="F567" s="201">
        <v>10</v>
      </c>
      <c r="G567" s="203">
        <v>44501</v>
      </c>
    </row>
    <row r="568" spans="2:11">
      <c r="C568" s="200" t="s">
        <v>402</v>
      </c>
      <c r="D568" s="200" t="s">
        <v>617</v>
      </c>
      <c r="E568" s="201">
        <v>28</v>
      </c>
      <c r="F568" s="201">
        <v>5</v>
      </c>
      <c r="G568" s="203">
        <v>44272</v>
      </c>
    </row>
    <row r="569" spans="2:11">
      <c r="C569" s="200" t="s">
        <v>544</v>
      </c>
      <c r="D569" s="200" t="s">
        <v>617</v>
      </c>
      <c r="E569" s="201">
        <v>15</v>
      </c>
      <c r="F569" s="201">
        <v>10</v>
      </c>
      <c r="G569" s="203">
        <v>43924</v>
      </c>
    </row>
    <row r="570" spans="2:11">
      <c r="C570" s="200" t="s">
        <v>549</v>
      </c>
      <c r="D570" s="200" t="s">
        <v>617</v>
      </c>
      <c r="E570" s="201">
        <v>2.9</v>
      </c>
      <c r="F570" s="201">
        <v>1</v>
      </c>
      <c r="G570" s="203">
        <v>43761</v>
      </c>
    </row>
    <row r="571" spans="2:11">
      <c r="C571" s="200" t="s">
        <v>544</v>
      </c>
      <c r="D571" s="200" t="s">
        <v>616</v>
      </c>
      <c r="E571" s="201">
        <v>20</v>
      </c>
      <c r="F571" s="201">
        <v>2</v>
      </c>
      <c r="G571" s="203">
        <v>43816</v>
      </c>
    </row>
    <row r="572" spans="2:11">
      <c r="C572" s="200" t="s">
        <v>544</v>
      </c>
      <c r="D572" s="200" t="s">
        <v>460</v>
      </c>
      <c r="E572" s="201">
        <v>23</v>
      </c>
      <c r="F572" s="201">
        <v>5</v>
      </c>
      <c r="G572" s="203">
        <v>44963</v>
      </c>
    </row>
    <row r="573" spans="2:11">
      <c r="C573" s="228" t="s">
        <v>565</v>
      </c>
      <c r="D573" s="228" t="s">
        <v>1576</v>
      </c>
      <c r="E573" s="201">
        <v>75</v>
      </c>
      <c r="F573" s="201">
        <v>7</v>
      </c>
      <c r="G573" s="203">
        <v>45020</v>
      </c>
    </row>
    <row r="574" spans="2:11">
      <c r="C574" s="228" t="s">
        <v>565</v>
      </c>
      <c r="D574" s="228" t="s">
        <v>1576</v>
      </c>
      <c r="E574" s="201">
        <v>80</v>
      </c>
      <c r="F574" s="201">
        <v>10</v>
      </c>
      <c r="G574" s="203">
        <v>44404</v>
      </c>
    </row>
    <row r="575" spans="2:11">
      <c r="C575" s="228" t="s">
        <v>402</v>
      </c>
      <c r="D575" s="228" t="s">
        <v>1576</v>
      </c>
      <c r="E575" s="201">
        <v>40</v>
      </c>
      <c r="F575" s="201">
        <v>10</v>
      </c>
      <c r="G575" s="203">
        <v>43957</v>
      </c>
    </row>
    <row r="576" spans="2:11">
      <c r="C576" s="228" t="s">
        <v>544</v>
      </c>
      <c r="D576" s="228" t="s">
        <v>1576</v>
      </c>
      <c r="E576" s="201">
        <v>20</v>
      </c>
      <c r="F576" s="201">
        <v>20</v>
      </c>
      <c r="G576" s="203">
        <v>43480</v>
      </c>
    </row>
    <row r="577" spans="2:18">
      <c r="C577" s="228" t="s">
        <v>549</v>
      </c>
      <c r="D577" s="228" t="s">
        <v>1576</v>
      </c>
      <c r="E577" s="201">
        <v>7</v>
      </c>
      <c r="F577" s="201">
        <v>2</v>
      </c>
      <c r="G577" s="203">
        <v>43046</v>
      </c>
    </row>
    <row r="578" spans="2:18">
      <c r="C578" s="240" t="s">
        <v>402</v>
      </c>
      <c r="D578" s="240" t="s">
        <v>2780</v>
      </c>
      <c r="E578" s="201">
        <v>37</v>
      </c>
      <c r="F578" s="201">
        <v>4</v>
      </c>
      <c r="G578" s="203">
        <v>44860</v>
      </c>
    </row>
    <row r="579" spans="2:18">
      <c r="C579" s="240" t="s">
        <v>402</v>
      </c>
      <c r="D579" s="240" t="s">
        <v>2780</v>
      </c>
      <c r="E579" s="201">
        <v>80</v>
      </c>
      <c r="F579" s="201">
        <v>10</v>
      </c>
      <c r="G579" s="203">
        <v>44327</v>
      </c>
    </row>
    <row r="580" spans="2:18">
      <c r="C580" s="240" t="s">
        <v>544</v>
      </c>
      <c r="D580" s="240" t="s">
        <v>2780</v>
      </c>
      <c r="E580" s="201">
        <v>30</v>
      </c>
      <c r="F580" s="201">
        <v>7</v>
      </c>
      <c r="G580" s="203">
        <v>43963</v>
      </c>
    </row>
    <row r="581" spans="2:18">
      <c r="C581" s="252" t="s">
        <v>565</v>
      </c>
      <c r="D581" s="252" t="s">
        <v>1628</v>
      </c>
      <c r="E581" s="201">
        <v>110</v>
      </c>
      <c r="F581" s="201">
        <f>70/5</f>
        <v>14</v>
      </c>
      <c r="G581" s="203">
        <v>44369</v>
      </c>
    </row>
    <row r="582" spans="2:18">
      <c r="C582" s="252" t="s">
        <v>402</v>
      </c>
      <c r="D582" s="252" t="s">
        <v>1628</v>
      </c>
      <c r="E582" s="201">
        <v>40</v>
      </c>
      <c r="F582" s="201">
        <v>4</v>
      </c>
      <c r="G582" s="203">
        <v>43419</v>
      </c>
    </row>
    <row r="583" spans="2:18">
      <c r="C583" s="252" t="s">
        <v>544</v>
      </c>
      <c r="D583" s="252" t="s">
        <v>1628</v>
      </c>
      <c r="E583" s="201">
        <v>14.7</v>
      </c>
      <c r="F583" s="201">
        <v>2.25</v>
      </c>
      <c r="G583" s="203">
        <v>43032</v>
      </c>
    </row>
    <row r="584" spans="2:18">
      <c r="C584" s="282" t="s">
        <v>402</v>
      </c>
      <c r="D584" s="282" t="s">
        <v>1922</v>
      </c>
      <c r="E584" s="201">
        <v>25</v>
      </c>
      <c r="F584" s="201">
        <v>3</v>
      </c>
      <c r="G584" s="203">
        <v>43783</v>
      </c>
    </row>
    <row r="585" spans="2:18">
      <c r="C585" s="282" t="s">
        <v>544</v>
      </c>
      <c r="D585" s="282" t="s">
        <v>1922</v>
      </c>
      <c r="E585" s="201">
        <v>10</v>
      </c>
      <c r="F585" s="201">
        <v>2.5</v>
      </c>
      <c r="G585" s="203">
        <v>42304</v>
      </c>
    </row>
    <row r="586" spans="2:18">
      <c r="C586" s="282" t="s">
        <v>549</v>
      </c>
      <c r="D586" s="282" t="s">
        <v>1922</v>
      </c>
      <c r="E586" s="201">
        <v>5</v>
      </c>
      <c r="F586" s="201">
        <f>E586/3</f>
        <v>1.6666666666666667</v>
      </c>
      <c r="G586" s="203">
        <v>41940</v>
      </c>
    </row>
    <row r="587" spans="2:18">
      <c r="G587" s="203"/>
    </row>
    <row r="588" spans="2:18" s="64" customFormat="1">
      <c r="B588" s="64" t="s">
        <v>1025</v>
      </c>
      <c r="C588" s="191" t="s">
        <v>491</v>
      </c>
      <c r="D588" s="191" t="s">
        <v>759</v>
      </c>
      <c r="E588" s="188"/>
      <c r="F588" s="188">
        <f>SUM(F589:F595)</f>
        <v>140.66666666666666</v>
      </c>
      <c r="G588" s="202">
        <f>G589</f>
        <v>44378</v>
      </c>
      <c r="M588" s="191"/>
      <c r="N588" s="191"/>
      <c r="O588" s="191"/>
      <c r="P588" s="191"/>
      <c r="Q588" s="191"/>
      <c r="R588" s="191"/>
    </row>
    <row r="589" spans="2:18">
      <c r="C589" s="200" t="s">
        <v>544</v>
      </c>
      <c r="D589" s="200" t="s">
        <v>630</v>
      </c>
      <c r="E589" s="201">
        <v>10</v>
      </c>
      <c r="F589" s="201">
        <v>3</v>
      </c>
      <c r="G589" s="203">
        <v>44378</v>
      </c>
    </row>
    <row r="590" spans="2:18">
      <c r="C590" s="272" t="s">
        <v>755</v>
      </c>
      <c r="D590" s="272" t="s">
        <v>1817</v>
      </c>
      <c r="E590" s="201">
        <v>700</v>
      </c>
      <c r="F590" s="201">
        <f>400/12</f>
        <v>33.333333333333336</v>
      </c>
      <c r="G590" s="203">
        <v>44218</v>
      </c>
    </row>
    <row r="591" spans="2:18">
      <c r="C591" s="272" t="s">
        <v>565</v>
      </c>
      <c r="D591" s="272" t="s">
        <v>1817</v>
      </c>
      <c r="E591" s="201">
        <v>140</v>
      </c>
      <c r="F591" s="201">
        <f>E591/9</f>
        <v>15.555555555555555</v>
      </c>
      <c r="G591" s="203">
        <v>43453</v>
      </c>
    </row>
    <row r="592" spans="2:18">
      <c r="C592" s="272" t="s">
        <v>402</v>
      </c>
      <c r="D592" s="272" t="s">
        <v>1823</v>
      </c>
      <c r="E592" s="201">
        <v>462</v>
      </c>
      <c r="F592" s="201">
        <f>162/2</f>
        <v>81</v>
      </c>
      <c r="G592" s="203">
        <v>43886</v>
      </c>
      <c r="I592" s="199">
        <v>2500</v>
      </c>
    </row>
    <row r="593" spans="2:18">
      <c r="C593" s="272" t="s">
        <v>544</v>
      </c>
      <c r="D593" s="272" t="s">
        <v>1823</v>
      </c>
      <c r="E593" s="201">
        <v>102</v>
      </c>
      <c r="F593" s="201">
        <f>70/9</f>
        <v>7.7777777777777777</v>
      </c>
      <c r="G593" s="203">
        <v>43292</v>
      </c>
    </row>
    <row r="594" spans="2:18">
      <c r="C594" s="274" t="s">
        <v>738</v>
      </c>
      <c r="D594" s="274" t="s">
        <v>1828</v>
      </c>
      <c r="E594" s="201">
        <v>300</v>
      </c>
      <c r="F594" s="280" t="s">
        <v>4052</v>
      </c>
      <c r="G594" s="203">
        <v>44271</v>
      </c>
    </row>
    <row r="595" spans="2:18">
      <c r="C595" s="274" t="s">
        <v>755</v>
      </c>
      <c r="D595" s="274" t="s">
        <v>1828</v>
      </c>
      <c r="E595" s="201">
        <v>38</v>
      </c>
      <c r="F595" s="280" t="s">
        <v>4053</v>
      </c>
      <c r="G595" s="203">
        <v>43266</v>
      </c>
    </row>
    <row r="596" spans="2:18">
      <c r="C596" s="272"/>
      <c r="D596" s="272"/>
      <c r="G596" s="203"/>
    </row>
    <row r="597" spans="2:18" s="64" customFormat="1">
      <c r="B597" s="64" t="s">
        <v>2432</v>
      </c>
      <c r="C597" s="191" t="s">
        <v>491</v>
      </c>
      <c r="D597" s="191" t="s">
        <v>759</v>
      </c>
      <c r="E597" s="188"/>
      <c r="F597" s="188">
        <f>SUM(F598:F599)</f>
        <v>130</v>
      </c>
      <c r="G597" s="202">
        <f>G598</f>
        <v>44376</v>
      </c>
    </row>
    <row r="598" spans="2:18">
      <c r="B598" s="227"/>
      <c r="C598" s="228" t="s">
        <v>2426</v>
      </c>
      <c r="D598" s="228" t="s">
        <v>2428</v>
      </c>
      <c r="E598" s="201">
        <v>250</v>
      </c>
      <c r="F598" s="201">
        <f>150/5</f>
        <v>30</v>
      </c>
      <c r="G598" s="203">
        <v>44376</v>
      </c>
      <c r="M598" s="199"/>
      <c r="N598" s="199"/>
      <c r="O598" s="199"/>
      <c r="P598" s="199"/>
      <c r="Q598" s="199"/>
      <c r="R598" s="199"/>
    </row>
    <row r="599" spans="2:18">
      <c r="B599" s="227"/>
      <c r="C599" s="282" t="s">
        <v>738</v>
      </c>
      <c r="D599" s="282" t="s">
        <v>4285</v>
      </c>
      <c r="E599" s="201">
        <v>250</v>
      </c>
      <c r="F599" s="201">
        <v>100</v>
      </c>
      <c r="G599" s="203">
        <v>44350</v>
      </c>
      <c r="I599" s="199">
        <v>7000</v>
      </c>
      <c r="J599" s="199">
        <v>7000</v>
      </c>
      <c r="M599" s="199"/>
      <c r="N599" s="199"/>
      <c r="O599" s="199"/>
      <c r="P599" s="199"/>
      <c r="Q599" s="199"/>
      <c r="R599" s="199"/>
    </row>
    <row r="600" spans="2:18">
      <c r="B600" s="227"/>
      <c r="C600" s="228"/>
      <c r="D600" s="228"/>
      <c r="G600" s="203"/>
      <c r="M600" s="199"/>
      <c r="N600" s="199"/>
      <c r="O600" s="199"/>
      <c r="P600" s="199"/>
      <c r="Q600" s="199"/>
      <c r="R600" s="199"/>
    </row>
    <row r="601" spans="2:18" s="64" customFormat="1">
      <c r="B601" s="64" t="s">
        <v>2725</v>
      </c>
      <c r="C601" s="191" t="s">
        <v>491</v>
      </c>
      <c r="D601" s="191" t="s">
        <v>759</v>
      </c>
      <c r="E601" s="188"/>
      <c r="F601" s="188">
        <f>SUM(F602:F611)</f>
        <v>124.03571428571428</v>
      </c>
      <c r="G601" s="202">
        <f>G602</f>
        <v>45090</v>
      </c>
    </row>
    <row r="602" spans="2:18">
      <c r="B602" s="237"/>
      <c r="C602" s="238" t="s">
        <v>565</v>
      </c>
      <c r="D602" s="238" t="s">
        <v>1981</v>
      </c>
      <c r="E602" s="201">
        <v>90</v>
      </c>
      <c r="F602" s="201">
        <v>15</v>
      </c>
      <c r="G602" s="203">
        <v>45090</v>
      </c>
      <c r="M602" s="199"/>
      <c r="N602" s="199"/>
      <c r="O602" s="199"/>
      <c r="P602" s="199"/>
      <c r="Q602" s="199"/>
      <c r="R602" s="199"/>
    </row>
    <row r="603" spans="2:18">
      <c r="B603" s="237"/>
      <c r="C603" s="238" t="s">
        <v>402</v>
      </c>
      <c r="D603" s="238" t="s">
        <v>1981</v>
      </c>
      <c r="E603" s="201">
        <v>50</v>
      </c>
      <c r="F603" s="201">
        <f t="shared" ref="F603" si="3">30/6</f>
        <v>5</v>
      </c>
      <c r="G603" s="203">
        <v>44538</v>
      </c>
      <c r="M603" s="199"/>
      <c r="N603" s="199"/>
      <c r="O603" s="199"/>
      <c r="P603" s="199"/>
      <c r="Q603" s="199"/>
      <c r="R603" s="199"/>
    </row>
    <row r="604" spans="2:18">
      <c r="B604" s="237"/>
      <c r="C604" s="238" t="s">
        <v>544</v>
      </c>
      <c r="D604" s="238" t="s">
        <v>1981</v>
      </c>
      <c r="E604" s="201">
        <v>12.5</v>
      </c>
      <c r="F604" s="201">
        <f>+E604/2</f>
        <v>6.25</v>
      </c>
      <c r="G604" s="203">
        <v>44306</v>
      </c>
      <c r="M604" s="199"/>
      <c r="N604" s="199"/>
      <c r="O604" s="199"/>
      <c r="P604" s="199"/>
      <c r="Q604" s="199"/>
      <c r="R604" s="199"/>
    </row>
    <row r="605" spans="2:18">
      <c r="B605" s="237"/>
      <c r="C605" s="245" t="s">
        <v>565</v>
      </c>
      <c r="D605" s="245" t="s">
        <v>2853</v>
      </c>
      <c r="E605" s="201">
        <v>130</v>
      </c>
      <c r="F605" s="201">
        <f>100/7</f>
        <v>14.285714285714286</v>
      </c>
      <c r="G605" s="203">
        <v>44323</v>
      </c>
      <c r="M605" s="199"/>
      <c r="N605" s="199"/>
      <c r="O605" s="199"/>
      <c r="P605" s="199"/>
      <c r="Q605" s="199"/>
      <c r="R605" s="199"/>
    </row>
    <row r="606" spans="2:18">
      <c r="B606" s="237"/>
      <c r="C606" s="245" t="s">
        <v>402</v>
      </c>
      <c r="D606" s="245" t="s">
        <v>2853</v>
      </c>
      <c r="E606" s="201">
        <v>44</v>
      </c>
      <c r="F606" s="201">
        <v>5</v>
      </c>
      <c r="G606" s="203">
        <v>43909</v>
      </c>
      <c r="M606" s="199"/>
      <c r="N606" s="199"/>
      <c r="O606" s="199"/>
      <c r="P606" s="199"/>
      <c r="Q606" s="199"/>
      <c r="R606" s="199"/>
    </row>
    <row r="607" spans="2:18">
      <c r="B607" s="237"/>
      <c r="C607" s="245" t="s">
        <v>544</v>
      </c>
      <c r="D607" s="245" t="s">
        <v>2853</v>
      </c>
      <c r="E607" s="201">
        <v>15</v>
      </c>
      <c r="F607" s="201">
        <v>5</v>
      </c>
      <c r="G607" s="203">
        <v>43452</v>
      </c>
      <c r="M607" s="199"/>
      <c r="N607" s="199"/>
      <c r="O607" s="199"/>
      <c r="P607" s="199"/>
      <c r="Q607" s="199"/>
      <c r="R607" s="199"/>
    </row>
    <row r="608" spans="2:18">
      <c r="B608" s="237"/>
      <c r="C608" s="274" t="s">
        <v>738</v>
      </c>
      <c r="D608" s="274" t="s">
        <v>1824</v>
      </c>
      <c r="E608" s="201">
        <v>400</v>
      </c>
      <c r="F608" s="201">
        <v>36</v>
      </c>
      <c r="G608" s="203">
        <v>44413</v>
      </c>
      <c r="M608" s="199"/>
      <c r="N608" s="199"/>
      <c r="O608" s="199"/>
      <c r="P608" s="199"/>
      <c r="Q608" s="199"/>
      <c r="R608" s="199"/>
    </row>
    <row r="609" spans="2:18">
      <c r="B609" s="237"/>
      <c r="C609" s="274" t="s">
        <v>755</v>
      </c>
      <c r="D609" s="274" t="s">
        <v>1824</v>
      </c>
      <c r="E609" s="201">
        <v>100</v>
      </c>
      <c r="F609" s="201">
        <f>75/6</f>
        <v>12.5</v>
      </c>
      <c r="G609" s="203">
        <v>44067</v>
      </c>
      <c r="M609" s="199"/>
      <c r="N609" s="199"/>
      <c r="O609" s="199"/>
      <c r="P609" s="199"/>
      <c r="Q609" s="199"/>
      <c r="R609" s="199"/>
    </row>
    <row r="610" spans="2:18">
      <c r="B610" s="237"/>
      <c r="C610" s="274" t="s">
        <v>565</v>
      </c>
      <c r="D610" s="274" t="s">
        <v>1824</v>
      </c>
      <c r="E610" s="201">
        <v>101</v>
      </c>
      <c r="F610" s="201">
        <f>60/4</f>
        <v>15</v>
      </c>
      <c r="G610" s="203">
        <v>43453</v>
      </c>
      <c r="M610" s="199"/>
      <c r="N610" s="199"/>
      <c r="O610" s="199"/>
      <c r="P610" s="199"/>
      <c r="Q610" s="199"/>
      <c r="R610" s="199"/>
    </row>
    <row r="611" spans="2:18">
      <c r="B611" s="237"/>
      <c r="C611" s="274" t="s">
        <v>402</v>
      </c>
      <c r="D611" s="274" t="s">
        <v>1824</v>
      </c>
      <c r="E611" s="201">
        <v>14</v>
      </c>
      <c r="F611" s="201">
        <v>10</v>
      </c>
      <c r="G611" s="203">
        <v>42668</v>
      </c>
      <c r="M611" s="199"/>
      <c r="N611" s="199"/>
      <c r="O611" s="199"/>
      <c r="P611" s="199"/>
      <c r="Q611" s="199"/>
      <c r="R611" s="199"/>
    </row>
    <row r="612" spans="2:18">
      <c r="B612" s="237"/>
      <c r="C612" s="238"/>
      <c r="D612" s="238"/>
      <c r="G612" s="203"/>
      <c r="M612" s="199"/>
      <c r="N612" s="199"/>
      <c r="O612" s="199"/>
      <c r="P612" s="199"/>
      <c r="Q612" s="199"/>
      <c r="R612" s="199"/>
    </row>
    <row r="613" spans="2:18" s="64" customFormat="1">
      <c r="B613" s="64" t="s">
        <v>1294</v>
      </c>
      <c r="C613" s="191" t="s">
        <v>491</v>
      </c>
      <c r="D613" s="191" t="s">
        <v>759</v>
      </c>
      <c r="E613" s="188"/>
      <c r="F613" s="188">
        <f>SUM(F614:F622)</f>
        <v>122.44444444444444</v>
      </c>
      <c r="G613" s="202">
        <f>G615</f>
        <v>45090</v>
      </c>
      <c r="M613" s="191"/>
      <c r="N613" s="191"/>
      <c r="O613" s="191"/>
      <c r="P613" s="191"/>
      <c r="Q613" s="191"/>
      <c r="R613" s="191"/>
    </row>
    <row r="614" spans="2:18">
      <c r="C614" s="200" t="s">
        <v>544</v>
      </c>
      <c r="D614" s="200" t="s">
        <v>668</v>
      </c>
      <c r="E614" s="201">
        <v>25</v>
      </c>
      <c r="F614" s="201">
        <v>5</v>
      </c>
      <c r="G614" s="203">
        <v>44699</v>
      </c>
    </row>
    <row r="615" spans="2:18">
      <c r="C615" s="211" t="s">
        <v>549</v>
      </c>
      <c r="D615" s="211" t="s">
        <v>1149</v>
      </c>
      <c r="E615" s="201">
        <v>113</v>
      </c>
      <c r="F615" s="201">
        <v>8</v>
      </c>
      <c r="G615" s="203">
        <v>45090</v>
      </c>
    </row>
    <row r="616" spans="2:18">
      <c r="C616" s="220" t="s">
        <v>549</v>
      </c>
      <c r="D616" s="220" t="s">
        <v>465</v>
      </c>
      <c r="E616" s="201">
        <v>12</v>
      </c>
      <c r="F616" s="201">
        <v>4</v>
      </c>
      <c r="G616" s="203">
        <v>44971</v>
      </c>
    </row>
    <row r="617" spans="2:18">
      <c r="C617" s="272" t="s">
        <v>544</v>
      </c>
      <c r="D617" s="272" t="s">
        <v>1823</v>
      </c>
      <c r="E617" s="201">
        <v>102</v>
      </c>
      <c r="F617" s="201">
        <f>70/9</f>
        <v>7.7777777777777777</v>
      </c>
      <c r="G617" s="203">
        <v>43292</v>
      </c>
    </row>
    <row r="618" spans="2:18">
      <c r="C618" s="282" t="s">
        <v>565</v>
      </c>
      <c r="D618" s="282" t="s">
        <v>1933</v>
      </c>
      <c r="E618" s="201">
        <v>257</v>
      </c>
      <c r="F618" s="201">
        <f>107/3</f>
        <v>35.666666666666664</v>
      </c>
      <c r="G618" s="203">
        <v>44201</v>
      </c>
    </row>
    <row r="619" spans="2:18">
      <c r="C619" s="282" t="s">
        <v>402</v>
      </c>
      <c r="D619" s="282" t="s">
        <v>1933</v>
      </c>
      <c r="E619" s="201">
        <v>100</v>
      </c>
      <c r="F619" s="201">
        <v>20</v>
      </c>
      <c r="G619" s="203">
        <v>43958</v>
      </c>
    </row>
    <row r="620" spans="2:18">
      <c r="C620" s="282" t="s">
        <v>544</v>
      </c>
      <c r="D620" s="282" t="s">
        <v>1933</v>
      </c>
      <c r="E620" s="201">
        <v>43</v>
      </c>
      <c r="F620" s="201">
        <f>+E620/6</f>
        <v>7.166666666666667</v>
      </c>
      <c r="G620" s="203">
        <v>43622</v>
      </c>
    </row>
    <row r="621" spans="2:18">
      <c r="C621" s="282" t="s">
        <v>402</v>
      </c>
      <c r="D621" s="282" t="s">
        <v>1935</v>
      </c>
      <c r="E621" s="201">
        <f>1600/7</f>
        <v>228.57142857142858</v>
      </c>
      <c r="F621" s="201">
        <f>149/6</f>
        <v>24.833333333333332</v>
      </c>
      <c r="G621" s="203">
        <v>44550</v>
      </c>
    </row>
    <row r="622" spans="2:18">
      <c r="C622" s="282" t="s">
        <v>544</v>
      </c>
      <c r="D622" s="282" t="s">
        <v>1935</v>
      </c>
      <c r="E622" s="201">
        <v>50</v>
      </c>
      <c r="F622" s="201">
        <v>10</v>
      </c>
      <c r="G622" s="203">
        <v>44165</v>
      </c>
    </row>
    <row r="623" spans="2:18">
      <c r="C623" s="211"/>
      <c r="D623" s="211"/>
      <c r="G623" s="203"/>
    </row>
    <row r="624" spans="2:18" s="64" customFormat="1">
      <c r="B624" s="64" t="s">
        <v>1237</v>
      </c>
      <c r="C624" s="191" t="s">
        <v>491</v>
      </c>
      <c r="D624" s="191" t="s">
        <v>759</v>
      </c>
      <c r="E624" s="188"/>
      <c r="F624" s="188">
        <f>SUM(F625:F644)</f>
        <v>120.18333333333334</v>
      </c>
      <c r="G624" s="202">
        <f>G625</f>
        <v>45041</v>
      </c>
      <c r="M624" s="191"/>
      <c r="N624" s="191"/>
      <c r="O624" s="191"/>
      <c r="P624" s="191"/>
      <c r="Q624" s="191"/>
      <c r="R624" s="191"/>
    </row>
    <row r="625" spans="3:7">
      <c r="C625" s="200" t="s">
        <v>402</v>
      </c>
      <c r="D625" s="200" t="s">
        <v>392</v>
      </c>
      <c r="E625" s="201">
        <v>97.4</v>
      </c>
      <c r="F625" s="201">
        <f>47/6</f>
        <v>7.833333333333333</v>
      </c>
      <c r="G625" s="203">
        <v>45041</v>
      </c>
    </row>
    <row r="626" spans="3:7">
      <c r="C626" s="225" t="s">
        <v>402</v>
      </c>
      <c r="D626" s="225" t="s">
        <v>1522</v>
      </c>
      <c r="E626" s="201">
        <v>40</v>
      </c>
      <c r="F626" s="201">
        <f>25/4</f>
        <v>6.25</v>
      </c>
      <c r="G626" s="203">
        <v>44811</v>
      </c>
    </row>
    <row r="627" spans="3:7">
      <c r="C627" s="225" t="s">
        <v>544</v>
      </c>
      <c r="D627" s="225" t="s">
        <v>1522</v>
      </c>
      <c r="E627" s="201">
        <v>14</v>
      </c>
      <c r="F627" s="201">
        <v>6</v>
      </c>
      <c r="G627" s="203">
        <v>44447</v>
      </c>
    </row>
    <row r="628" spans="3:7">
      <c r="C628" s="228" t="s">
        <v>544</v>
      </c>
      <c r="D628" s="228" t="s">
        <v>1200</v>
      </c>
      <c r="E628" s="201">
        <v>15.5</v>
      </c>
      <c r="F628" s="201">
        <v>1.625</v>
      </c>
      <c r="G628" s="203">
        <v>44727</v>
      </c>
    </row>
    <row r="629" spans="3:7">
      <c r="C629" s="228" t="s">
        <v>544</v>
      </c>
      <c r="D629" s="228" t="s">
        <v>1200</v>
      </c>
      <c r="E629" s="201">
        <v>12</v>
      </c>
      <c r="F629" s="201">
        <v>3</v>
      </c>
      <c r="G629" s="203">
        <v>43948</v>
      </c>
    </row>
    <row r="630" spans="3:7">
      <c r="C630" s="228" t="s">
        <v>544</v>
      </c>
      <c r="D630" s="228" t="s">
        <v>1225</v>
      </c>
      <c r="E630" s="201">
        <v>5</v>
      </c>
      <c r="F630" s="201">
        <v>3</v>
      </c>
      <c r="G630" s="203">
        <v>44514</v>
      </c>
    </row>
    <row r="631" spans="3:7">
      <c r="C631" s="228" t="s">
        <v>755</v>
      </c>
      <c r="D631" s="228" t="s">
        <v>1254</v>
      </c>
      <c r="E631" s="201">
        <v>90</v>
      </c>
      <c r="F631" s="201">
        <v>5</v>
      </c>
      <c r="G631" s="203">
        <v>44776</v>
      </c>
    </row>
    <row r="632" spans="3:7">
      <c r="C632" s="228" t="s">
        <v>565</v>
      </c>
      <c r="D632" s="228" t="s">
        <v>1254</v>
      </c>
      <c r="E632" s="201">
        <v>40</v>
      </c>
      <c r="F632" s="201">
        <v>4</v>
      </c>
      <c r="G632" s="203">
        <v>44176</v>
      </c>
    </row>
    <row r="633" spans="3:7">
      <c r="C633" s="228" t="s">
        <v>402</v>
      </c>
      <c r="D633" s="228" t="s">
        <v>1254</v>
      </c>
      <c r="E633" s="201">
        <v>20</v>
      </c>
      <c r="F633" s="201">
        <v>3</v>
      </c>
      <c r="G633" s="203">
        <v>43879</v>
      </c>
    </row>
    <row r="634" spans="3:7">
      <c r="C634" s="228" t="s">
        <v>402</v>
      </c>
      <c r="D634" s="228" t="s">
        <v>1527</v>
      </c>
      <c r="E634" s="201">
        <v>16</v>
      </c>
      <c r="F634" s="201">
        <v>4</v>
      </c>
      <c r="G634" s="203">
        <v>42995</v>
      </c>
    </row>
    <row r="635" spans="3:7">
      <c r="C635" s="228" t="s">
        <v>544</v>
      </c>
      <c r="D635" s="228" t="s">
        <v>1527</v>
      </c>
      <c r="E635" s="201">
        <v>8</v>
      </c>
      <c r="F635" s="201">
        <v>4</v>
      </c>
      <c r="G635" s="203">
        <v>42416</v>
      </c>
    </row>
    <row r="636" spans="3:7">
      <c r="C636" s="247" t="s">
        <v>402</v>
      </c>
      <c r="D636" s="247" t="s">
        <v>1355</v>
      </c>
      <c r="E636" s="201">
        <v>27.5</v>
      </c>
      <c r="F636" s="201">
        <f>E636/4</f>
        <v>6.875</v>
      </c>
      <c r="G636" s="203">
        <v>44181</v>
      </c>
    </row>
    <row r="637" spans="3:7">
      <c r="C637" s="247" t="s">
        <v>544</v>
      </c>
      <c r="D637" s="247" t="s">
        <v>1355</v>
      </c>
      <c r="E637" s="201">
        <v>10.7</v>
      </c>
      <c r="F637" s="201">
        <v>4</v>
      </c>
      <c r="G637" s="203">
        <v>43250</v>
      </c>
    </row>
    <row r="638" spans="3:7">
      <c r="C638" s="252" t="s">
        <v>544</v>
      </c>
      <c r="D638" s="252" t="s">
        <v>1643</v>
      </c>
      <c r="E638" s="201">
        <v>10</v>
      </c>
      <c r="F638" s="201">
        <v>3</v>
      </c>
      <c r="G638" s="203">
        <v>44637</v>
      </c>
    </row>
    <row r="639" spans="3:7">
      <c r="C639" s="252" t="s">
        <v>549</v>
      </c>
      <c r="D639" s="252" t="s">
        <v>1643</v>
      </c>
      <c r="E639" s="201">
        <v>4.5</v>
      </c>
      <c r="F639" s="201">
        <v>2</v>
      </c>
      <c r="G639" s="203">
        <v>44175</v>
      </c>
    </row>
    <row r="640" spans="3:7">
      <c r="C640" s="272" t="s">
        <v>549</v>
      </c>
      <c r="D640" s="272" t="s">
        <v>1754</v>
      </c>
      <c r="E640" s="201">
        <v>4.3</v>
      </c>
      <c r="F640" s="201">
        <f>E640/3</f>
        <v>1.4333333333333333</v>
      </c>
      <c r="G640" s="203">
        <v>42821</v>
      </c>
    </row>
    <row r="641" spans="2:10">
      <c r="C641" s="282" t="s">
        <v>813</v>
      </c>
      <c r="D641" s="282" t="s">
        <v>1938</v>
      </c>
      <c r="E641" s="201">
        <v>100</v>
      </c>
      <c r="F641" s="201">
        <v>11</v>
      </c>
      <c r="G641" s="203">
        <v>44515</v>
      </c>
      <c r="I641" s="199">
        <v>4100</v>
      </c>
      <c r="J641" s="199">
        <v>4100</v>
      </c>
    </row>
    <row r="642" spans="2:10">
      <c r="C642" s="282" t="s">
        <v>755</v>
      </c>
      <c r="D642" s="282" t="s">
        <v>1938</v>
      </c>
      <c r="E642" s="201">
        <v>145</v>
      </c>
      <c r="F642" s="201">
        <f>85/6</f>
        <v>14.166666666666666</v>
      </c>
      <c r="G642" s="203">
        <v>43228</v>
      </c>
      <c r="I642" s="199">
        <v>855</v>
      </c>
      <c r="J642" s="199">
        <v>4100</v>
      </c>
    </row>
    <row r="643" spans="2:10">
      <c r="C643" s="282" t="s">
        <v>565</v>
      </c>
      <c r="D643" s="282" t="s">
        <v>1938</v>
      </c>
      <c r="E643" s="201">
        <v>50</v>
      </c>
      <c r="F643" s="201">
        <v>10</v>
      </c>
      <c r="G643" s="203">
        <v>42509</v>
      </c>
      <c r="J643" s="199">
        <v>4100</v>
      </c>
    </row>
    <row r="644" spans="2:10">
      <c r="C644" s="282" t="s">
        <v>402</v>
      </c>
      <c r="D644" s="282" t="s">
        <v>1938</v>
      </c>
      <c r="E644" s="201">
        <v>30</v>
      </c>
      <c r="F644" s="201">
        <v>20</v>
      </c>
      <c r="G644" s="203">
        <v>41808</v>
      </c>
      <c r="J644" s="199">
        <v>4100</v>
      </c>
    </row>
    <row r="645" spans="2:10">
      <c r="C645" s="252"/>
      <c r="D645" s="252"/>
      <c r="G645" s="203"/>
    </row>
    <row r="646" spans="2:10">
      <c r="B646" s="64" t="s">
        <v>796</v>
      </c>
      <c r="C646" s="191" t="s">
        <v>491</v>
      </c>
      <c r="D646" s="191" t="s">
        <v>759</v>
      </c>
      <c r="F646" s="188">
        <f>SUM(F647:F666)</f>
        <v>114.21031746031746</v>
      </c>
      <c r="G646" s="202">
        <f>+G650</f>
        <v>44900</v>
      </c>
    </row>
    <row r="647" spans="2:10">
      <c r="C647" s="200" t="s">
        <v>565</v>
      </c>
      <c r="D647" s="200" t="s">
        <v>797</v>
      </c>
      <c r="E647" s="201">
        <v>100</v>
      </c>
      <c r="F647" s="201">
        <v>20</v>
      </c>
      <c r="G647" s="203">
        <v>44690</v>
      </c>
    </row>
    <row r="648" spans="2:10">
      <c r="C648" s="200" t="s">
        <v>402</v>
      </c>
      <c r="D648" s="200" t="s">
        <v>797</v>
      </c>
      <c r="E648" s="201">
        <v>40</v>
      </c>
      <c r="F648" s="201">
        <v>20</v>
      </c>
      <c r="G648" s="203">
        <v>44327</v>
      </c>
    </row>
    <row r="649" spans="2:10">
      <c r="C649" s="200" t="s">
        <v>544</v>
      </c>
      <c r="D649" s="200" t="s">
        <v>797</v>
      </c>
      <c r="E649" s="201">
        <v>15</v>
      </c>
      <c r="F649" s="201">
        <v>5</v>
      </c>
      <c r="G649" s="203">
        <v>43816</v>
      </c>
    </row>
    <row r="650" spans="2:10">
      <c r="C650" s="200" t="s">
        <v>565</v>
      </c>
      <c r="D650" s="200" t="s">
        <v>864</v>
      </c>
      <c r="E650" s="201">
        <v>50</v>
      </c>
      <c r="F650" s="201">
        <v>6</v>
      </c>
      <c r="G650" s="203">
        <v>44900</v>
      </c>
    </row>
    <row r="651" spans="2:10">
      <c r="C651" s="200" t="s">
        <v>402</v>
      </c>
      <c r="D651" s="200" t="s">
        <v>864</v>
      </c>
      <c r="E651" s="201">
        <v>35</v>
      </c>
      <c r="F651" s="201">
        <v>5</v>
      </c>
      <c r="G651" s="203">
        <v>44543</v>
      </c>
    </row>
    <row r="652" spans="2:10">
      <c r="C652" s="200" t="s">
        <v>544</v>
      </c>
      <c r="D652" s="200" t="s">
        <v>864</v>
      </c>
      <c r="E652" s="201">
        <v>8.5</v>
      </c>
      <c r="F652" s="201">
        <v>1</v>
      </c>
      <c r="G652" s="203">
        <v>44181</v>
      </c>
    </row>
    <row r="653" spans="2:10">
      <c r="C653" s="200" t="s">
        <v>549</v>
      </c>
      <c r="D653" s="200" t="s">
        <v>864</v>
      </c>
      <c r="E653" s="201">
        <v>2</v>
      </c>
      <c r="F653" s="201">
        <v>2</v>
      </c>
      <c r="G653" s="203">
        <v>43435</v>
      </c>
    </row>
    <row r="654" spans="2:10">
      <c r="C654" s="200" t="s">
        <v>544</v>
      </c>
      <c r="D654" s="200" t="s">
        <v>611</v>
      </c>
      <c r="E654" s="201">
        <v>20</v>
      </c>
      <c r="F654" s="201">
        <v>4</v>
      </c>
      <c r="G654" s="203">
        <v>43949</v>
      </c>
    </row>
    <row r="655" spans="2:10">
      <c r="C655" s="200" t="s">
        <v>549</v>
      </c>
      <c r="D655" s="200" t="s">
        <v>611</v>
      </c>
      <c r="E655" s="201">
        <v>5</v>
      </c>
      <c r="F655" s="201">
        <v>1</v>
      </c>
      <c r="G655" s="203">
        <v>43438</v>
      </c>
    </row>
    <row r="656" spans="2:10">
      <c r="C656" s="228" t="s">
        <v>549</v>
      </c>
      <c r="D656" s="228" t="s">
        <v>1576</v>
      </c>
      <c r="E656" s="201">
        <v>7</v>
      </c>
      <c r="F656" s="201">
        <v>0.7142857142857143</v>
      </c>
      <c r="G656" s="203">
        <v>43046</v>
      </c>
    </row>
    <row r="657" spans="2:7">
      <c r="C657" s="238" t="s">
        <v>402</v>
      </c>
      <c r="D657" s="238" t="s">
        <v>2741</v>
      </c>
      <c r="E657" s="201">
        <v>32</v>
      </c>
      <c r="F657" s="201">
        <f>20/7</f>
        <v>2.8571428571428572</v>
      </c>
      <c r="G657" s="203">
        <v>44364</v>
      </c>
    </row>
    <row r="658" spans="2:7">
      <c r="C658" s="238" t="s">
        <v>402</v>
      </c>
      <c r="D658" s="252" t="s">
        <v>2741</v>
      </c>
      <c r="E658" s="201">
        <v>10.199999999999999</v>
      </c>
      <c r="F658" s="201">
        <v>3</v>
      </c>
      <c r="G658" s="203">
        <v>43732</v>
      </c>
    </row>
    <row r="659" spans="2:7">
      <c r="C659" s="252" t="s">
        <v>565</v>
      </c>
      <c r="D659" s="252" t="s">
        <v>1628</v>
      </c>
      <c r="E659" s="201">
        <v>110</v>
      </c>
      <c r="F659" s="201">
        <f>70/5</f>
        <v>14</v>
      </c>
      <c r="G659" s="203">
        <v>44369</v>
      </c>
    </row>
    <row r="660" spans="2:7">
      <c r="C660" s="252" t="s">
        <v>402</v>
      </c>
      <c r="D660" s="252" t="s">
        <v>1628</v>
      </c>
      <c r="E660" s="201">
        <v>40</v>
      </c>
      <c r="F660" s="201">
        <v>8</v>
      </c>
      <c r="G660" s="203">
        <v>43419</v>
      </c>
    </row>
    <row r="661" spans="2:7">
      <c r="C661" s="252" t="s">
        <v>544</v>
      </c>
      <c r="D661" s="252" t="s">
        <v>1628</v>
      </c>
      <c r="E661" s="201">
        <v>14.7</v>
      </c>
      <c r="F661" s="201">
        <v>2.25</v>
      </c>
      <c r="G661" s="203">
        <v>43032</v>
      </c>
    </row>
    <row r="662" spans="2:7">
      <c r="C662" s="272" t="s">
        <v>755</v>
      </c>
      <c r="D662" s="272" t="s">
        <v>1798</v>
      </c>
      <c r="E662" s="201">
        <v>111</v>
      </c>
      <c r="F662" s="201">
        <v>7</v>
      </c>
      <c r="G662" s="203">
        <v>44622</v>
      </c>
    </row>
    <row r="663" spans="2:7">
      <c r="C663" s="272" t="s">
        <v>565</v>
      </c>
      <c r="D663" s="272" t="s">
        <v>1798</v>
      </c>
      <c r="E663" s="201">
        <v>55</v>
      </c>
      <c r="F663" s="201">
        <v>6</v>
      </c>
      <c r="G663" s="203">
        <v>44314</v>
      </c>
    </row>
    <row r="664" spans="2:7">
      <c r="C664" s="272" t="s">
        <v>402</v>
      </c>
      <c r="D664" s="272" t="s">
        <v>1798</v>
      </c>
      <c r="E664" s="201">
        <v>16</v>
      </c>
      <c r="F664" s="201">
        <v>2</v>
      </c>
      <c r="G664" s="203">
        <v>44009</v>
      </c>
    </row>
    <row r="665" spans="2:7">
      <c r="C665" s="272" t="s">
        <v>544</v>
      </c>
      <c r="D665" s="272" t="s">
        <v>1798</v>
      </c>
      <c r="E665" s="201">
        <v>14</v>
      </c>
      <c r="F665" s="201">
        <v>4</v>
      </c>
      <c r="G665" s="203">
        <v>43690</v>
      </c>
    </row>
    <row r="666" spans="2:7">
      <c r="C666" s="272" t="s">
        <v>549</v>
      </c>
      <c r="D666" s="272" t="s">
        <v>1798</v>
      </c>
      <c r="E666" s="201">
        <v>3.5</v>
      </c>
      <c r="F666" s="201">
        <f>+E666/9</f>
        <v>0.3888888888888889</v>
      </c>
      <c r="G666" s="203">
        <v>42979</v>
      </c>
    </row>
    <row r="667" spans="2:7">
      <c r="G667" s="203"/>
    </row>
    <row r="668" spans="2:7">
      <c r="B668" s="64" t="s">
        <v>1041</v>
      </c>
      <c r="C668" s="191" t="s">
        <v>491</v>
      </c>
      <c r="D668" s="191" t="s">
        <v>759</v>
      </c>
      <c r="F668" s="188">
        <f>SUM(F669:F677)</f>
        <v>112.91666666666667</v>
      </c>
      <c r="G668" s="202">
        <f>G669</f>
        <v>45036</v>
      </c>
    </row>
    <row r="669" spans="2:7">
      <c r="C669" s="200" t="s">
        <v>402</v>
      </c>
      <c r="D669" s="200" t="s">
        <v>623</v>
      </c>
      <c r="E669" s="201">
        <v>50</v>
      </c>
      <c r="F669" s="201">
        <v>6</v>
      </c>
      <c r="G669" s="203">
        <v>45036</v>
      </c>
    </row>
    <row r="670" spans="2:7">
      <c r="C670" s="200" t="s">
        <v>402</v>
      </c>
      <c r="D670" s="200" t="s">
        <v>652</v>
      </c>
      <c r="E670" s="201">
        <v>38</v>
      </c>
      <c r="F670" s="201">
        <f>20/3</f>
        <v>6.666666666666667</v>
      </c>
      <c r="G670" s="203">
        <v>44812</v>
      </c>
    </row>
    <row r="671" spans="2:7">
      <c r="C671" s="200" t="s">
        <v>544</v>
      </c>
      <c r="D671" s="200" t="s">
        <v>652</v>
      </c>
      <c r="E671" s="201">
        <v>19</v>
      </c>
      <c r="F671" s="201">
        <v>7</v>
      </c>
      <c r="G671" s="203">
        <v>44467</v>
      </c>
    </row>
    <row r="672" spans="2:7">
      <c r="C672" s="225" t="s">
        <v>544</v>
      </c>
      <c r="D672" s="225" t="s">
        <v>502</v>
      </c>
      <c r="E672" s="201">
        <v>14.5</v>
      </c>
      <c r="F672" s="201">
        <v>3</v>
      </c>
      <c r="G672" s="203">
        <v>43389</v>
      </c>
    </row>
    <row r="673" spans="2:19">
      <c r="C673" s="274" t="s">
        <v>738</v>
      </c>
      <c r="D673" s="274" t="s">
        <v>1824</v>
      </c>
      <c r="E673" s="201">
        <v>400</v>
      </c>
      <c r="F673" s="201">
        <v>36</v>
      </c>
      <c r="G673" s="203">
        <v>44413</v>
      </c>
      <c r="I673" s="199">
        <v>4200</v>
      </c>
    </row>
    <row r="674" spans="2:19">
      <c r="C674" s="274" t="s">
        <v>755</v>
      </c>
      <c r="D674" s="274" t="s">
        <v>1824</v>
      </c>
      <c r="E674" s="201">
        <v>100</v>
      </c>
      <c r="F674" s="201">
        <f>75/6</f>
        <v>12.5</v>
      </c>
      <c r="G674" s="203">
        <v>44067</v>
      </c>
    </row>
    <row r="675" spans="2:19">
      <c r="C675" s="282" t="s">
        <v>755</v>
      </c>
      <c r="D675" s="282" t="s">
        <v>4285</v>
      </c>
      <c r="E675" s="201">
        <v>200</v>
      </c>
      <c r="F675" s="201">
        <f>150/8</f>
        <v>18.75</v>
      </c>
      <c r="G675" s="203">
        <v>44055</v>
      </c>
      <c r="I675" s="199">
        <v>2000</v>
      </c>
      <c r="J675" s="199">
        <v>7000</v>
      </c>
    </row>
    <row r="676" spans="2:19">
      <c r="C676" s="282" t="s">
        <v>565</v>
      </c>
      <c r="D676" s="282" t="s">
        <v>4285</v>
      </c>
      <c r="E676" s="201">
        <v>65</v>
      </c>
      <c r="F676" s="201">
        <v>8</v>
      </c>
      <c r="G676" s="203">
        <v>43802</v>
      </c>
      <c r="I676" s="199">
        <v>685</v>
      </c>
      <c r="J676" s="199">
        <v>7000</v>
      </c>
    </row>
    <row r="677" spans="2:19">
      <c r="C677" s="282" t="s">
        <v>402</v>
      </c>
      <c r="D677" s="282" t="s">
        <v>4285</v>
      </c>
      <c r="E677" s="201">
        <v>40</v>
      </c>
      <c r="F677" s="201">
        <v>15</v>
      </c>
      <c r="G677" s="203">
        <v>43503</v>
      </c>
      <c r="J677" s="199">
        <v>7000</v>
      </c>
    </row>
    <row r="678" spans="2:19">
      <c r="G678" s="203"/>
    </row>
    <row r="679" spans="2:19">
      <c r="B679" s="64" t="s">
        <v>792</v>
      </c>
      <c r="C679" s="191" t="s">
        <v>491</v>
      </c>
      <c r="D679" s="191" t="s">
        <v>759</v>
      </c>
      <c r="E679" s="188"/>
      <c r="F679" s="188">
        <f>SUM(F680:F686)</f>
        <v>108.33333333333333</v>
      </c>
      <c r="G679" s="202">
        <f>+G683</f>
        <v>45104</v>
      </c>
      <c r="I679" s="199">
        <v>350</v>
      </c>
      <c r="J679" s="232">
        <f>+F679/I679</f>
        <v>0.30952380952380953</v>
      </c>
      <c r="K679" s="199">
        <v>2017</v>
      </c>
      <c r="L679" s="227"/>
      <c r="M679" s="228"/>
      <c r="N679" s="228"/>
      <c r="S679" s="227" t="s">
        <v>2697</v>
      </c>
    </row>
    <row r="680" spans="2:19">
      <c r="C680" s="200" t="s">
        <v>402</v>
      </c>
      <c r="D680" s="200" t="s">
        <v>404</v>
      </c>
      <c r="E680" s="201">
        <v>130</v>
      </c>
      <c r="F680" s="201">
        <f>70/3</f>
        <v>23.333333333333332</v>
      </c>
      <c r="G680" s="203">
        <v>44607</v>
      </c>
    </row>
    <row r="681" spans="2:19">
      <c r="C681" s="200" t="s">
        <v>544</v>
      </c>
      <c r="D681" s="200" t="s">
        <v>404</v>
      </c>
      <c r="E681" s="201">
        <v>40</v>
      </c>
      <c r="F681" s="201">
        <v>10</v>
      </c>
      <c r="G681" s="203">
        <v>44446</v>
      </c>
    </row>
    <row r="682" spans="2:19">
      <c r="C682" s="200" t="s">
        <v>544</v>
      </c>
      <c r="D682" s="200" t="s">
        <v>654</v>
      </c>
      <c r="E682" s="201">
        <v>33</v>
      </c>
      <c r="F682" s="201">
        <v>10</v>
      </c>
      <c r="G682" s="203">
        <v>44893</v>
      </c>
    </row>
    <row r="683" spans="2:19">
      <c r="C683" s="225" t="s">
        <v>544</v>
      </c>
      <c r="D683" s="225" t="s">
        <v>2292</v>
      </c>
      <c r="E683" s="201">
        <v>58</v>
      </c>
      <c r="F683" s="201">
        <v>25</v>
      </c>
      <c r="G683" s="203">
        <v>45104</v>
      </c>
    </row>
    <row r="684" spans="2:19">
      <c r="C684" s="228" t="s">
        <v>565</v>
      </c>
      <c r="D684" s="228" t="s">
        <v>1576</v>
      </c>
      <c r="E684" s="201">
        <v>75</v>
      </c>
      <c r="F684" s="201">
        <v>20</v>
      </c>
      <c r="G684" s="203">
        <v>45020</v>
      </c>
    </row>
    <row r="685" spans="2:19">
      <c r="C685" s="228" t="s">
        <v>565</v>
      </c>
      <c r="D685" s="228" t="s">
        <v>1576</v>
      </c>
      <c r="E685" s="201">
        <v>80</v>
      </c>
      <c r="F685" s="201">
        <v>10</v>
      </c>
      <c r="G685" s="203">
        <v>44404</v>
      </c>
    </row>
    <row r="686" spans="2:19">
      <c r="C686" s="228" t="s">
        <v>402</v>
      </c>
      <c r="D686" s="228" t="s">
        <v>1576</v>
      </c>
      <c r="E686" s="201">
        <v>40</v>
      </c>
      <c r="F686" s="201">
        <v>10</v>
      </c>
      <c r="G686" s="203">
        <v>43957</v>
      </c>
    </row>
    <row r="687" spans="2:19">
      <c r="G687" s="203"/>
    </row>
    <row r="688" spans="2:19">
      <c r="B688" s="64" t="s">
        <v>826</v>
      </c>
      <c r="C688" s="191" t="s">
        <v>491</v>
      </c>
      <c r="D688" s="191" t="s">
        <v>759</v>
      </c>
      <c r="F688" s="188">
        <f>SUM(F689:F705)</f>
        <v>157.5376984126984</v>
      </c>
      <c r="G688" s="202">
        <f>G689</f>
        <v>44852</v>
      </c>
    </row>
    <row r="689" spans="3:10">
      <c r="C689" s="200" t="s">
        <v>544</v>
      </c>
      <c r="D689" s="200" t="s">
        <v>420</v>
      </c>
      <c r="E689" s="201">
        <v>125</v>
      </c>
      <c r="F689" s="201">
        <v>15</v>
      </c>
      <c r="G689" s="203">
        <v>44852</v>
      </c>
    </row>
    <row r="690" spans="3:10">
      <c r="C690" s="200" t="s">
        <v>549</v>
      </c>
      <c r="D690" s="200" t="s">
        <v>420</v>
      </c>
      <c r="E690" s="201">
        <v>6</v>
      </c>
      <c r="F690" s="201">
        <v>4</v>
      </c>
      <c r="G690" s="203">
        <v>44352</v>
      </c>
    </row>
    <row r="691" spans="3:10">
      <c r="C691" s="200" t="s">
        <v>979</v>
      </c>
      <c r="D691" s="200" t="s">
        <v>616</v>
      </c>
      <c r="E691" s="201">
        <v>99</v>
      </c>
      <c r="F691" s="201">
        <v>20</v>
      </c>
      <c r="G691" s="203">
        <v>44796</v>
      </c>
    </row>
    <row r="692" spans="3:10">
      <c r="C692" s="200" t="s">
        <v>982</v>
      </c>
      <c r="D692" s="200" t="s">
        <v>616</v>
      </c>
      <c r="E692" s="201">
        <v>100</v>
      </c>
      <c r="F692" s="201">
        <f>40/3</f>
        <v>13.333333333333334</v>
      </c>
      <c r="G692" s="203">
        <v>44537</v>
      </c>
    </row>
    <row r="693" spans="3:10">
      <c r="C693" s="200" t="s">
        <v>402</v>
      </c>
      <c r="D693" s="200" t="s">
        <v>616</v>
      </c>
      <c r="E693" s="201">
        <v>40</v>
      </c>
      <c r="F693" s="201">
        <v>8</v>
      </c>
      <c r="G693" s="203">
        <v>44125</v>
      </c>
    </row>
    <row r="694" spans="3:10">
      <c r="C694" s="200" t="s">
        <v>402</v>
      </c>
      <c r="D694" s="200" t="s">
        <v>652</v>
      </c>
      <c r="E694" s="201">
        <v>38</v>
      </c>
      <c r="F694" s="201">
        <f>20/3</f>
        <v>6.666666666666667</v>
      </c>
      <c r="G694" s="203">
        <v>44812</v>
      </c>
    </row>
    <row r="695" spans="3:10">
      <c r="C695" s="200" t="s">
        <v>544</v>
      </c>
      <c r="D695" s="200" t="s">
        <v>652</v>
      </c>
      <c r="E695" s="201">
        <v>19</v>
      </c>
      <c r="F695" s="201">
        <v>3.5</v>
      </c>
      <c r="G695" s="203">
        <v>44467</v>
      </c>
    </row>
    <row r="696" spans="3:10">
      <c r="C696" s="200" t="s">
        <v>549</v>
      </c>
      <c r="D696" s="200" t="s">
        <v>652</v>
      </c>
      <c r="E696" s="201">
        <v>4</v>
      </c>
      <c r="F696" s="201">
        <v>2</v>
      </c>
      <c r="G696" s="203">
        <v>43873</v>
      </c>
    </row>
    <row r="697" spans="3:10">
      <c r="C697" s="272" t="s">
        <v>549</v>
      </c>
      <c r="D697" s="272" t="s">
        <v>1798</v>
      </c>
      <c r="E697" s="201">
        <v>3.5</v>
      </c>
      <c r="F697" s="201">
        <f>+E697/9</f>
        <v>0.3888888888888889</v>
      </c>
      <c r="G697" s="203">
        <v>42979</v>
      </c>
    </row>
    <row r="698" spans="3:10">
      <c r="C698" s="282" t="s">
        <v>549</v>
      </c>
      <c r="D698" s="282" t="s">
        <v>4200</v>
      </c>
      <c r="E698" s="201">
        <v>4</v>
      </c>
      <c r="F698" s="201">
        <f>2.5/4</f>
        <v>0.625</v>
      </c>
      <c r="G698" s="203">
        <v>43122</v>
      </c>
    </row>
    <row r="699" spans="3:10">
      <c r="C699" s="282" t="s">
        <v>755</v>
      </c>
      <c r="D699" s="282" t="s">
        <v>4242</v>
      </c>
      <c r="E699" s="201">
        <v>81</v>
      </c>
      <c r="F699" s="201">
        <f>E699/6</f>
        <v>13.5</v>
      </c>
      <c r="G699" s="203">
        <v>43418</v>
      </c>
      <c r="I699" s="199">
        <v>1700</v>
      </c>
      <c r="J699" s="199">
        <v>3800</v>
      </c>
    </row>
    <row r="700" spans="3:10">
      <c r="C700" s="282" t="s">
        <v>565</v>
      </c>
      <c r="D700" s="282" t="s">
        <v>4242</v>
      </c>
      <c r="E700" s="201">
        <v>60</v>
      </c>
      <c r="F700" s="201">
        <f>+E700/5</f>
        <v>12</v>
      </c>
      <c r="G700" s="203">
        <v>42736</v>
      </c>
      <c r="I700" s="199">
        <v>800</v>
      </c>
      <c r="J700" s="199">
        <v>3800</v>
      </c>
    </row>
    <row r="701" spans="3:10">
      <c r="C701" s="282" t="s">
        <v>738</v>
      </c>
      <c r="D701" s="282" t="s">
        <v>4370</v>
      </c>
      <c r="E701" s="201">
        <v>222</v>
      </c>
      <c r="F701" s="201">
        <f>200/21</f>
        <v>9.5238095238095237</v>
      </c>
      <c r="G701" s="203">
        <v>44194</v>
      </c>
      <c r="I701" s="199">
        <v>2500</v>
      </c>
      <c r="J701" s="199">
        <v>2500</v>
      </c>
    </row>
    <row r="702" spans="3:10">
      <c r="C702" s="282" t="s">
        <v>755</v>
      </c>
      <c r="D702" s="282" t="s">
        <v>4370</v>
      </c>
      <c r="E702" s="201">
        <v>200</v>
      </c>
      <c r="F702" s="201">
        <v>13</v>
      </c>
      <c r="G702" s="203">
        <v>43452</v>
      </c>
      <c r="I702" s="199">
        <v>1500</v>
      </c>
      <c r="J702" s="199">
        <v>2500</v>
      </c>
    </row>
    <row r="703" spans="3:10">
      <c r="C703" s="282" t="s">
        <v>565</v>
      </c>
      <c r="D703" s="282" t="s">
        <v>4370</v>
      </c>
      <c r="E703" s="201">
        <v>50</v>
      </c>
      <c r="F703" s="201">
        <v>5</v>
      </c>
      <c r="G703" s="203">
        <v>43051</v>
      </c>
      <c r="J703" s="199">
        <v>2500</v>
      </c>
    </row>
    <row r="704" spans="3:10">
      <c r="C704" s="282" t="s">
        <v>402</v>
      </c>
      <c r="D704" s="282" t="s">
        <v>4370</v>
      </c>
      <c r="E704" s="201">
        <v>30</v>
      </c>
      <c r="F704" s="201">
        <v>3</v>
      </c>
      <c r="G704" s="203">
        <v>42936</v>
      </c>
      <c r="J704" s="199">
        <v>2500</v>
      </c>
    </row>
    <row r="705" spans="2:18">
      <c r="C705" s="282" t="s">
        <v>738</v>
      </c>
      <c r="D705" s="282" t="s">
        <v>4410</v>
      </c>
      <c r="E705" s="201">
        <v>220</v>
      </c>
      <c r="F705" s="201">
        <v>28</v>
      </c>
      <c r="G705" s="203">
        <v>44357</v>
      </c>
      <c r="I705" s="199">
        <v>1900</v>
      </c>
      <c r="J705" s="199">
        <v>1900</v>
      </c>
    </row>
    <row r="706" spans="2:18">
      <c r="C706" s="282" t="s">
        <v>755</v>
      </c>
      <c r="D706" s="282" t="s">
        <v>4410</v>
      </c>
      <c r="E706" s="201">
        <v>125</v>
      </c>
      <c r="F706" s="201">
        <v>18.75</v>
      </c>
      <c r="G706" s="203">
        <v>44131</v>
      </c>
      <c r="I706" s="199">
        <v>875</v>
      </c>
      <c r="J706" s="199">
        <v>1900</v>
      </c>
    </row>
    <row r="707" spans="2:18">
      <c r="C707" s="282" t="s">
        <v>565</v>
      </c>
      <c r="D707" s="282" t="s">
        <v>4410</v>
      </c>
      <c r="E707" s="201">
        <v>28</v>
      </c>
      <c r="F707" s="201">
        <v>7</v>
      </c>
      <c r="G707" s="203">
        <v>43579</v>
      </c>
      <c r="J707" s="199">
        <v>1900</v>
      </c>
    </row>
    <row r="708" spans="2:18">
      <c r="C708" s="282" t="s">
        <v>402</v>
      </c>
      <c r="D708" s="282" t="s">
        <v>4410</v>
      </c>
      <c r="E708" s="201">
        <v>18</v>
      </c>
      <c r="F708" s="201">
        <v>12</v>
      </c>
      <c r="G708" s="203">
        <v>43207</v>
      </c>
    </row>
    <row r="709" spans="2:18">
      <c r="G709" s="203"/>
    </row>
    <row r="710" spans="2:18" s="64" customFormat="1">
      <c r="B710" s="64" t="s">
        <v>910</v>
      </c>
      <c r="C710" s="191" t="s">
        <v>491</v>
      </c>
      <c r="D710" s="191" t="s">
        <v>759</v>
      </c>
      <c r="E710" s="188"/>
      <c r="F710" s="188">
        <f>SUM(F711:F726)</f>
        <v>92.738095238095241</v>
      </c>
      <c r="G710" s="202">
        <f>G711</f>
        <v>45042</v>
      </c>
      <c r="M710" s="191"/>
      <c r="N710" s="191"/>
      <c r="O710" s="191"/>
      <c r="P710" s="191"/>
      <c r="Q710" s="191"/>
      <c r="R710" s="191"/>
    </row>
    <row r="711" spans="2:18">
      <c r="C711" s="200" t="s">
        <v>402</v>
      </c>
      <c r="D711" s="200" t="s">
        <v>409</v>
      </c>
      <c r="E711" s="201">
        <v>100</v>
      </c>
      <c r="F711" s="201">
        <v>5</v>
      </c>
      <c r="G711" s="203">
        <v>45042</v>
      </c>
    </row>
    <row r="712" spans="2:18">
      <c r="C712" s="200" t="s">
        <v>544</v>
      </c>
      <c r="D712" s="200" t="s">
        <v>409</v>
      </c>
      <c r="E712" s="201">
        <v>28</v>
      </c>
      <c r="F712" s="201">
        <v>6</v>
      </c>
      <c r="G712" s="203">
        <v>44649</v>
      </c>
    </row>
    <row r="713" spans="2:18">
      <c r="C713" s="200" t="s">
        <v>549</v>
      </c>
      <c r="D713" s="200" t="s">
        <v>409</v>
      </c>
      <c r="E713" s="201">
        <v>10</v>
      </c>
      <c r="F713" s="201">
        <v>5</v>
      </c>
      <c r="G713" s="203">
        <v>44223</v>
      </c>
    </row>
    <row r="714" spans="2:18">
      <c r="C714" s="200" t="s">
        <v>402</v>
      </c>
      <c r="D714" s="200" t="s">
        <v>647</v>
      </c>
      <c r="E714" s="201">
        <v>43</v>
      </c>
      <c r="F714" s="201">
        <f>30/5</f>
        <v>6</v>
      </c>
      <c r="G714" s="203">
        <v>44978</v>
      </c>
    </row>
    <row r="715" spans="2:18">
      <c r="C715" s="200" t="s">
        <v>402</v>
      </c>
      <c r="D715" s="200" t="s">
        <v>671</v>
      </c>
      <c r="E715" s="201">
        <v>25</v>
      </c>
      <c r="F715" s="201">
        <f>18/7</f>
        <v>2.5714285714285716</v>
      </c>
      <c r="G715" s="203">
        <v>44636</v>
      </c>
    </row>
    <row r="716" spans="2:18">
      <c r="C716" s="200" t="s">
        <v>544</v>
      </c>
      <c r="D716" s="200" t="s">
        <v>671</v>
      </c>
      <c r="E716" s="201">
        <v>12.2</v>
      </c>
      <c r="F716" s="201">
        <v>4</v>
      </c>
      <c r="G716" s="203">
        <v>44179</v>
      </c>
    </row>
    <row r="717" spans="2:18">
      <c r="C717" s="200" t="s">
        <v>549</v>
      </c>
      <c r="D717" s="200" t="s">
        <v>671</v>
      </c>
      <c r="E717" s="201">
        <v>5.0999999999999996</v>
      </c>
      <c r="F717" s="201">
        <v>1</v>
      </c>
      <c r="G717" s="203">
        <v>44046</v>
      </c>
    </row>
    <row r="718" spans="2:18">
      <c r="C718" s="200" t="s">
        <v>549</v>
      </c>
      <c r="D718" s="200" t="s">
        <v>575</v>
      </c>
      <c r="E718" s="201">
        <v>4.5</v>
      </c>
      <c r="F718" s="201">
        <v>0.5</v>
      </c>
      <c r="G718" s="203">
        <v>45056</v>
      </c>
    </row>
    <row r="719" spans="2:18">
      <c r="C719" s="222" t="s">
        <v>544</v>
      </c>
      <c r="D719" s="222" t="s">
        <v>719</v>
      </c>
      <c r="E719" s="201">
        <v>11</v>
      </c>
      <c r="F719" s="201">
        <v>4</v>
      </c>
      <c r="G719" s="203">
        <v>44483</v>
      </c>
    </row>
    <row r="720" spans="2:18">
      <c r="C720" s="240" t="s">
        <v>402</v>
      </c>
      <c r="D720" s="240" t="s">
        <v>2777</v>
      </c>
      <c r="E720" s="201">
        <v>37</v>
      </c>
      <c r="F720" s="201">
        <v>4</v>
      </c>
      <c r="G720" s="203">
        <v>44860</v>
      </c>
    </row>
    <row r="721" spans="2:18">
      <c r="C721" s="240" t="s">
        <v>402</v>
      </c>
      <c r="D721" s="240" t="s">
        <v>2777</v>
      </c>
      <c r="E721" s="201">
        <v>80</v>
      </c>
      <c r="F721" s="201">
        <v>10</v>
      </c>
      <c r="G721" s="203">
        <v>44327</v>
      </c>
    </row>
    <row r="722" spans="2:18">
      <c r="C722" s="240" t="s">
        <v>544</v>
      </c>
      <c r="D722" s="240" t="s">
        <v>2777</v>
      </c>
      <c r="E722" s="201">
        <v>30</v>
      </c>
      <c r="F722" s="201">
        <v>6.666666666666667</v>
      </c>
      <c r="G722" s="203">
        <v>43963</v>
      </c>
    </row>
    <row r="723" spans="2:18">
      <c r="C723" s="282" t="s">
        <v>755</v>
      </c>
      <c r="D723" s="282" t="s">
        <v>4285</v>
      </c>
      <c r="E723" s="201">
        <v>200</v>
      </c>
      <c r="F723" s="201">
        <f>150/8</f>
        <v>18.75</v>
      </c>
      <c r="G723" s="203">
        <v>44055</v>
      </c>
      <c r="I723" s="199">
        <v>2000</v>
      </c>
      <c r="J723" s="199">
        <v>7000</v>
      </c>
    </row>
    <row r="724" spans="2:18">
      <c r="C724" s="282" t="s">
        <v>565</v>
      </c>
      <c r="D724" s="282" t="s">
        <v>4285</v>
      </c>
      <c r="E724" s="201">
        <v>65</v>
      </c>
      <c r="F724" s="201">
        <v>8</v>
      </c>
      <c r="G724" s="203">
        <v>43802</v>
      </c>
      <c r="I724" s="199">
        <v>685</v>
      </c>
      <c r="J724" s="199">
        <v>7000</v>
      </c>
    </row>
    <row r="725" spans="2:18">
      <c r="C725" s="282" t="s">
        <v>402</v>
      </c>
      <c r="D725" s="282" t="s">
        <v>4285</v>
      </c>
      <c r="E725" s="201">
        <v>40</v>
      </c>
      <c r="F725" s="201">
        <v>6.25</v>
      </c>
      <c r="G725" s="203">
        <v>43503</v>
      </c>
      <c r="J725" s="199">
        <v>7000</v>
      </c>
    </row>
    <row r="726" spans="2:18">
      <c r="C726" s="282" t="s">
        <v>544</v>
      </c>
      <c r="D726" s="282" t="s">
        <v>4285</v>
      </c>
      <c r="E726" s="201">
        <v>20</v>
      </c>
      <c r="F726" s="201">
        <v>5</v>
      </c>
      <c r="G726" s="203">
        <v>42898</v>
      </c>
    </row>
    <row r="727" spans="2:18">
      <c r="G727" s="203"/>
    </row>
    <row r="728" spans="2:18" s="64" customFormat="1">
      <c r="B728" s="64" t="s">
        <v>2574</v>
      </c>
      <c r="C728" s="191" t="s">
        <v>491</v>
      </c>
      <c r="D728" s="191" t="s">
        <v>759</v>
      </c>
      <c r="E728" s="188"/>
      <c r="F728" s="188">
        <f>SUM(F729:F735)</f>
        <v>89.190476190476204</v>
      </c>
      <c r="G728" s="202">
        <f>G729</f>
        <v>44776</v>
      </c>
    </row>
    <row r="729" spans="2:18">
      <c r="B729" s="227"/>
      <c r="C729" s="228" t="s">
        <v>755</v>
      </c>
      <c r="D729" s="228" t="s">
        <v>1254</v>
      </c>
      <c r="E729" s="201">
        <v>90</v>
      </c>
      <c r="F729" s="201">
        <v>20</v>
      </c>
      <c r="G729" s="203">
        <v>44776</v>
      </c>
      <c r="M729" s="199"/>
      <c r="N729" s="199"/>
      <c r="O729" s="199"/>
      <c r="P729" s="199"/>
      <c r="Q729" s="199"/>
      <c r="R729" s="199"/>
    </row>
    <row r="730" spans="2:18">
      <c r="B730" s="227"/>
      <c r="C730" s="272" t="s">
        <v>755</v>
      </c>
      <c r="D730" s="272" t="s">
        <v>1817</v>
      </c>
      <c r="E730" s="201">
        <v>700</v>
      </c>
      <c r="F730" s="201">
        <f>400/12</f>
        <v>33.333333333333336</v>
      </c>
      <c r="G730" s="203">
        <v>44218</v>
      </c>
      <c r="M730" s="199"/>
      <c r="N730" s="199"/>
      <c r="O730" s="199"/>
      <c r="P730" s="199"/>
      <c r="Q730" s="199"/>
      <c r="R730" s="199"/>
    </row>
    <row r="731" spans="2:18">
      <c r="B731" s="227"/>
      <c r="C731" s="282" t="s">
        <v>402</v>
      </c>
      <c r="D731" s="282" t="s">
        <v>1920</v>
      </c>
      <c r="E731" s="201">
        <v>37</v>
      </c>
      <c r="F731" s="201">
        <v>6.5</v>
      </c>
      <c r="G731" s="203">
        <v>43783</v>
      </c>
      <c r="M731" s="199"/>
      <c r="N731" s="199"/>
      <c r="O731" s="199"/>
      <c r="P731" s="199"/>
      <c r="Q731" s="199"/>
      <c r="R731" s="199"/>
    </row>
    <row r="732" spans="2:18">
      <c r="B732" s="227"/>
      <c r="C732" s="282" t="s">
        <v>544</v>
      </c>
      <c r="D732" s="282" t="s">
        <v>1920</v>
      </c>
      <c r="E732" s="201">
        <v>15</v>
      </c>
      <c r="F732" s="201">
        <f>E732/2</f>
        <v>7.5</v>
      </c>
      <c r="G732" s="203">
        <v>43262</v>
      </c>
      <c r="M732" s="199"/>
      <c r="N732" s="199"/>
      <c r="O732" s="199"/>
      <c r="P732" s="199"/>
      <c r="Q732" s="199"/>
      <c r="R732" s="199"/>
    </row>
    <row r="733" spans="2:18">
      <c r="B733" s="227"/>
      <c r="C733" s="282" t="s">
        <v>755</v>
      </c>
      <c r="D733" s="282" t="s">
        <v>1921</v>
      </c>
      <c r="E733" s="201">
        <v>30</v>
      </c>
      <c r="F733" s="201">
        <f>20/7</f>
        <v>2.8571428571428572</v>
      </c>
      <c r="G733" s="203">
        <v>43178</v>
      </c>
      <c r="M733" s="199"/>
      <c r="N733" s="199"/>
      <c r="O733" s="199"/>
      <c r="P733" s="199"/>
      <c r="Q733" s="199"/>
      <c r="R733" s="199"/>
    </row>
    <row r="734" spans="2:18">
      <c r="B734" s="227"/>
      <c r="C734" s="282" t="s">
        <v>755</v>
      </c>
      <c r="D734" s="282" t="s">
        <v>1921</v>
      </c>
      <c r="E734" s="201">
        <v>40</v>
      </c>
      <c r="F734" s="201">
        <v>7</v>
      </c>
      <c r="G734" s="203">
        <v>42493</v>
      </c>
      <c r="M734" s="199"/>
      <c r="N734" s="199"/>
      <c r="O734" s="199"/>
      <c r="P734" s="199"/>
      <c r="Q734" s="199"/>
      <c r="R734" s="199"/>
    </row>
    <row r="735" spans="2:18">
      <c r="B735" s="227"/>
      <c r="C735" s="282" t="s">
        <v>565</v>
      </c>
      <c r="D735" s="282" t="s">
        <v>1921</v>
      </c>
      <c r="E735" s="201">
        <v>24</v>
      </c>
      <c r="F735" s="201">
        <v>12</v>
      </c>
      <c r="G735" s="203">
        <v>41921</v>
      </c>
      <c r="M735" s="199"/>
      <c r="N735" s="199"/>
      <c r="O735" s="199"/>
      <c r="P735" s="199"/>
      <c r="Q735" s="199"/>
      <c r="R735" s="199"/>
    </row>
    <row r="736" spans="2:18">
      <c r="B736" s="227"/>
      <c r="C736" s="228"/>
      <c r="D736" s="228"/>
      <c r="G736" s="203"/>
      <c r="M736" s="199"/>
      <c r="N736" s="199"/>
      <c r="O736" s="199"/>
      <c r="P736" s="199"/>
      <c r="Q736" s="199"/>
      <c r="R736" s="199"/>
    </row>
    <row r="737" spans="2:11">
      <c r="B737" s="64" t="s">
        <v>743</v>
      </c>
      <c r="C737" s="191" t="s">
        <v>491</v>
      </c>
      <c r="D737" s="191" t="s">
        <v>759</v>
      </c>
      <c r="E737" s="188"/>
      <c r="F737" s="188">
        <f>SUM(F738:F739)</f>
        <v>80</v>
      </c>
      <c r="G737" s="202">
        <f>G739</f>
        <v>44679</v>
      </c>
      <c r="I737" s="199">
        <v>7000</v>
      </c>
      <c r="J737" s="232">
        <f>+F737/I737</f>
        <v>1.1428571428571429E-2</v>
      </c>
      <c r="K737" s="199">
        <v>2012</v>
      </c>
    </row>
    <row r="738" spans="2:11">
      <c r="C738" s="200" t="s">
        <v>738</v>
      </c>
      <c r="D738" s="200" t="s">
        <v>751</v>
      </c>
      <c r="E738" s="201">
        <v>325</v>
      </c>
      <c r="F738" s="201">
        <f>32.5*2</f>
        <v>65</v>
      </c>
      <c r="G738" s="203">
        <v>44299</v>
      </c>
    </row>
    <row r="739" spans="2:11">
      <c r="C739" s="200" t="s">
        <v>544</v>
      </c>
      <c r="D739" s="200" t="s">
        <v>462</v>
      </c>
      <c r="E739" s="201">
        <v>25</v>
      </c>
      <c r="F739" s="201">
        <v>15</v>
      </c>
      <c r="G739" s="203">
        <v>44679</v>
      </c>
    </row>
    <row r="740" spans="2:11">
      <c r="G740" s="203"/>
    </row>
    <row r="741" spans="2:11">
      <c r="B741" s="64" t="s">
        <v>799</v>
      </c>
      <c r="C741" s="191" t="s">
        <v>491</v>
      </c>
      <c r="D741" s="191" t="s">
        <v>759</v>
      </c>
      <c r="F741" s="188">
        <f>SUM(F742:F759)</f>
        <v>78.233333333333334</v>
      </c>
      <c r="G741" s="202">
        <f>G750</f>
        <v>45041</v>
      </c>
    </row>
    <row r="742" spans="2:11">
      <c r="B742" s="64"/>
      <c r="C742" s="200" t="s">
        <v>402</v>
      </c>
      <c r="D742" s="200" t="s">
        <v>431</v>
      </c>
      <c r="E742" s="201">
        <v>350</v>
      </c>
      <c r="F742" s="201">
        <v>20</v>
      </c>
      <c r="G742" s="203">
        <v>44999</v>
      </c>
    </row>
    <row r="743" spans="2:11">
      <c r="C743" s="200" t="s">
        <v>565</v>
      </c>
      <c r="D743" s="200" t="s">
        <v>797</v>
      </c>
      <c r="E743" s="201">
        <v>100</v>
      </c>
      <c r="F743" s="201">
        <v>9</v>
      </c>
      <c r="G743" s="203">
        <v>44690</v>
      </c>
    </row>
    <row r="744" spans="2:11">
      <c r="C744" s="200" t="s">
        <v>549</v>
      </c>
      <c r="D744" s="200" t="s">
        <v>797</v>
      </c>
      <c r="E744" s="201">
        <v>4</v>
      </c>
      <c r="F744" s="201">
        <v>1</v>
      </c>
      <c r="G744" s="203">
        <v>43243</v>
      </c>
    </row>
    <row r="745" spans="2:11">
      <c r="C745" s="200" t="s">
        <v>810</v>
      </c>
      <c r="D745" s="200" t="s">
        <v>797</v>
      </c>
      <c r="E745" s="201">
        <v>1.2</v>
      </c>
      <c r="F745" s="201">
        <v>0.2</v>
      </c>
      <c r="G745" s="203">
        <v>42799</v>
      </c>
    </row>
    <row r="746" spans="2:11">
      <c r="C746" s="200" t="s">
        <v>544</v>
      </c>
      <c r="D746" s="200" t="s">
        <v>601</v>
      </c>
      <c r="E746" s="201">
        <v>150</v>
      </c>
      <c r="F746" s="201">
        <v>10</v>
      </c>
      <c r="G746" s="203">
        <v>45008</v>
      </c>
    </row>
    <row r="747" spans="2:11">
      <c r="C747" s="200" t="s">
        <v>549</v>
      </c>
      <c r="D747" s="200" t="s">
        <v>611</v>
      </c>
      <c r="E747" s="201">
        <v>5</v>
      </c>
      <c r="F747" s="201">
        <v>1</v>
      </c>
      <c r="G747" s="203">
        <v>43438</v>
      </c>
    </row>
    <row r="748" spans="2:11">
      <c r="C748" s="200" t="s">
        <v>549</v>
      </c>
      <c r="D748" s="200" t="s">
        <v>454</v>
      </c>
      <c r="E748" s="201">
        <v>30</v>
      </c>
      <c r="F748" s="201">
        <v>5</v>
      </c>
      <c r="G748" s="203">
        <v>44742</v>
      </c>
    </row>
    <row r="749" spans="2:11">
      <c r="C749" s="200" t="s">
        <v>544</v>
      </c>
      <c r="D749" s="200" t="s">
        <v>1156</v>
      </c>
      <c r="E749" s="201">
        <v>21</v>
      </c>
      <c r="F749" s="201">
        <f>11/3</f>
        <v>3.6666666666666665</v>
      </c>
      <c r="G749" s="203">
        <v>45027</v>
      </c>
    </row>
    <row r="750" spans="2:11">
      <c r="C750" s="200" t="s">
        <v>402</v>
      </c>
      <c r="D750" s="200" t="s">
        <v>392</v>
      </c>
      <c r="E750" s="201">
        <v>97.4</v>
      </c>
      <c r="F750" s="201">
        <f>47/6</f>
        <v>7.833333333333333</v>
      </c>
      <c r="G750" s="203">
        <v>45041</v>
      </c>
    </row>
    <row r="751" spans="2:11">
      <c r="C751" s="211" t="s">
        <v>669</v>
      </c>
      <c r="D751" s="211" t="s">
        <v>701</v>
      </c>
      <c r="E751" s="201">
        <v>4.5</v>
      </c>
      <c r="F751" s="201">
        <v>1</v>
      </c>
      <c r="G751" s="203">
        <v>44691</v>
      </c>
    </row>
    <row r="752" spans="2:11">
      <c r="C752" s="218" t="s">
        <v>544</v>
      </c>
      <c r="D752" s="218" t="s">
        <v>706</v>
      </c>
      <c r="E752" s="201">
        <v>5.3</v>
      </c>
      <c r="F752" s="201">
        <v>2.5</v>
      </c>
      <c r="G752" s="203">
        <v>44978</v>
      </c>
    </row>
    <row r="753" spans="2:10">
      <c r="C753" s="225" t="s">
        <v>544</v>
      </c>
      <c r="D753" s="225" t="s">
        <v>445</v>
      </c>
      <c r="E753" s="201">
        <v>7</v>
      </c>
      <c r="F753" s="201">
        <v>1</v>
      </c>
      <c r="G753" s="203">
        <v>42885</v>
      </c>
    </row>
    <row r="754" spans="2:10">
      <c r="C754" s="225" t="s">
        <v>549</v>
      </c>
      <c r="D754" s="225" t="s">
        <v>445</v>
      </c>
      <c r="E754" s="201">
        <v>3</v>
      </c>
      <c r="F754" s="201">
        <v>0.5</v>
      </c>
      <c r="G754" s="203">
        <v>42606</v>
      </c>
    </row>
    <row r="755" spans="2:10">
      <c r="C755" s="225" t="s">
        <v>402</v>
      </c>
      <c r="D755" s="225" t="s">
        <v>2394</v>
      </c>
      <c r="E755" s="201">
        <v>18</v>
      </c>
      <c r="F755" s="201">
        <v>4.5</v>
      </c>
      <c r="G755" s="203">
        <v>44831</v>
      </c>
    </row>
    <row r="756" spans="2:10">
      <c r="C756" s="228" t="s">
        <v>544</v>
      </c>
      <c r="D756" s="225" t="s">
        <v>2394</v>
      </c>
      <c r="E756" s="201">
        <v>18.5</v>
      </c>
      <c r="F756" s="201">
        <v>5</v>
      </c>
      <c r="G756" s="203">
        <v>44658</v>
      </c>
    </row>
    <row r="757" spans="2:10">
      <c r="C757" s="228" t="s">
        <v>549</v>
      </c>
      <c r="D757" s="228" t="s">
        <v>1576</v>
      </c>
      <c r="E757" s="201">
        <v>7</v>
      </c>
      <c r="F757" s="201">
        <v>0.83333333333333337</v>
      </c>
      <c r="G757" s="203">
        <v>43046</v>
      </c>
    </row>
    <row r="758" spans="2:10">
      <c r="C758" s="252" t="s">
        <v>549</v>
      </c>
      <c r="D758" s="252" t="s">
        <v>1643</v>
      </c>
      <c r="E758" s="201">
        <v>1.8</v>
      </c>
      <c r="F758" s="201">
        <f>+E758/9</f>
        <v>0.2</v>
      </c>
      <c r="G758" s="253">
        <v>42690</v>
      </c>
    </row>
    <row r="759" spans="2:10">
      <c r="C759" s="282" t="s">
        <v>402</v>
      </c>
      <c r="D759" s="282" t="s">
        <v>1934</v>
      </c>
      <c r="E759" s="201">
        <v>25</v>
      </c>
      <c r="F759" s="201">
        <v>5</v>
      </c>
      <c r="G759" s="253">
        <v>42723</v>
      </c>
      <c r="I759" s="199">
        <v>245</v>
      </c>
      <c r="J759" s="199">
        <v>3800</v>
      </c>
    </row>
    <row r="760" spans="2:10">
      <c r="G760" s="203"/>
    </row>
    <row r="761" spans="2:10">
      <c r="B761" s="64" t="s">
        <v>744</v>
      </c>
      <c r="C761" s="191" t="s">
        <v>491</v>
      </c>
      <c r="D761" s="191" t="s">
        <v>759</v>
      </c>
      <c r="E761" s="188"/>
      <c r="F761" s="188">
        <f>SUM(F762:F767)</f>
        <v>77</v>
      </c>
      <c r="G761" s="202">
        <f>G762</f>
        <v>44299</v>
      </c>
    </row>
    <row r="762" spans="2:10">
      <c r="C762" s="200" t="s">
        <v>738</v>
      </c>
      <c r="D762" s="200" t="s">
        <v>751</v>
      </c>
      <c r="E762" s="201">
        <v>325</v>
      </c>
      <c r="F762" s="201">
        <v>18.5</v>
      </c>
      <c r="G762" s="203">
        <v>44299</v>
      </c>
    </row>
    <row r="763" spans="2:10">
      <c r="C763" s="200" t="s">
        <v>565</v>
      </c>
      <c r="D763" s="200" t="s">
        <v>751</v>
      </c>
      <c r="E763" s="201">
        <v>100</v>
      </c>
      <c r="F763" s="201">
        <v>35</v>
      </c>
      <c r="G763" s="203">
        <v>43682</v>
      </c>
    </row>
    <row r="764" spans="2:10">
      <c r="C764" s="200" t="s">
        <v>544</v>
      </c>
      <c r="D764" s="200" t="s">
        <v>1093</v>
      </c>
      <c r="E764" s="201">
        <v>50</v>
      </c>
      <c r="F764" s="201">
        <f>30/12</f>
        <v>2.5</v>
      </c>
      <c r="G764" s="203">
        <v>44796</v>
      </c>
    </row>
    <row r="765" spans="2:10">
      <c r="C765" s="200" t="s">
        <v>544</v>
      </c>
      <c r="D765" s="200" t="s">
        <v>462</v>
      </c>
      <c r="E765" s="201">
        <v>25</v>
      </c>
      <c r="F765" s="201">
        <v>10</v>
      </c>
      <c r="G765" s="203">
        <v>44679</v>
      </c>
    </row>
    <row r="766" spans="2:10">
      <c r="C766" s="200" t="s">
        <v>549</v>
      </c>
      <c r="D766" s="200" t="s">
        <v>462</v>
      </c>
      <c r="E766" s="201">
        <v>3</v>
      </c>
      <c r="F766" s="201">
        <v>1</v>
      </c>
      <c r="G766" s="203">
        <v>44197</v>
      </c>
    </row>
    <row r="767" spans="2:10">
      <c r="C767" s="211" t="s">
        <v>402</v>
      </c>
      <c r="D767" s="211" t="s">
        <v>547</v>
      </c>
      <c r="E767" s="201">
        <v>27</v>
      </c>
      <c r="F767" s="201">
        <v>10</v>
      </c>
      <c r="G767" s="203">
        <v>44882</v>
      </c>
    </row>
    <row r="768" spans="2:10">
      <c r="G768" s="203"/>
    </row>
    <row r="769" spans="2:18" s="64" customFormat="1">
      <c r="B769" s="64" t="s">
        <v>44</v>
      </c>
      <c r="C769" s="191" t="s">
        <v>491</v>
      </c>
      <c r="D769" s="191" t="s">
        <v>759</v>
      </c>
      <c r="E769" s="188"/>
      <c r="F769" s="188">
        <f>SUM(F770:F774)</f>
        <v>84.269841269841265</v>
      </c>
      <c r="G769" s="202">
        <f>G771</f>
        <v>45104</v>
      </c>
      <c r="I769" s="227" t="s">
        <v>496</v>
      </c>
      <c r="J769" s="227" t="s">
        <v>496</v>
      </c>
      <c r="K769" s="227" t="s">
        <v>496</v>
      </c>
      <c r="M769" s="191"/>
      <c r="N769" s="191"/>
      <c r="O769" s="191"/>
      <c r="P769" s="191"/>
      <c r="Q769" s="191"/>
      <c r="R769" s="191"/>
    </row>
    <row r="770" spans="2:18">
      <c r="C770" s="200" t="s">
        <v>565</v>
      </c>
      <c r="D770" s="200" t="s">
        <v>611</v>
      </c>
      <c r="E770" s="201">
        <v>100</v>
      </c>
      <c r="F770" s="201">
        <v>10</v>
      </c>
      <c r="G770" s="203">
        <v>44754</v>
      </c>
    </row>
    <row r="771" spans="2:18">
      <c r="C771" s="225" t="s">
        <v>544</v>
      </c>
      <c r="D771" s="225" t="s">
        <v>2292</v>
      </c>
      <c r="E771" s="201">
        <v>58</v>
      </c>
      <c r="F771" s="201">
        <v>8</v>
      </c>
      <c r="G771" s="203">
        <v>45104</v>
      </c>
    </row>
    <row r="772" spans="2:18">
      <c r="C772" s="228" t="s">
        <v>813</v>
      </c>
      <c r="D772" s="228" t="s">
        <v>2428</v>
      </c>
      <c r="E772" s="201">
        <v>50</v>
      </c>
      <c r="F772" s="201">
        <v>20</v>
      </c>
      <c r="G772" s="203">
        <v>44174</v>
      </c>
    </row>
    <row r="773" spans="2:18">
      <c r="C773" s="274" t="s">
        <v>738</v>
      </c>
      <c r="D773" s="274" t="s">
        <v>1824</v>
      </c>
      <c r="E773" s="201">
        <v>400</v>
      </c>
      <c r="F773" s="201">
        <v>35.555555555555557</v>
      </c>
      <c r="G773" s="203">
        <v>44413</v>
      </c>
    </row>
    <row r="774" spans="2:18">
      <c r="C774" s="282" t="s">
        <v>813</v>
      </c>
      <c r="D774" s="282" t="s">
        <v>1938</v>
      </c>
      <c r="E774" s="201">
        <v>100</v>
      </c>
      <c r="F774" s="201">
        <f>75/7</f>
        <v>10.714285714285714</v>
      </c>
      <c r="G774" s="203">
        <v>44515</v>
      </c>
      <c r="I774" s="199">
        <v>4100</v>
      </c>
      <c r="J774" s="199">
        <v>4100</v>
      </c>
    </row>
    <row r="775" spans="2:18">
      <c r="C775" s="282" t="s">
        <v>774</v>
      </c>
      <c r="D775" s="282" t="s">
        <v>1938</v>
      </c>
      <c r="E775" s="201">
        <v>20</v>
      </c>
      <c r="F775" s="201">
        <v>20</v>
      </c>
      <c r="G775" s="203">
        <v>44265</v>
      </c>
    </row>
    <row r="776" spans="2:18">
      <c r="G776" s="203"/>
    </row>
    <row r="777" spans="2:18" s="64" customFormat="1">
      <c r="B777" s="64" t="s">
        <v>852</v>
      </c>
      <c r="C777" s="191" t="s">
        <v>491</v>
      </c>
      <c r="D777" s="191" t="s">
        <v>759</v>
      </c>
      <c r="E777" s="188"/>
      <c r="F777" s="188">
        <f>SUM(F778:F782)</f>
        <v>74.5</v>
      </c>
      <c r="G777" s="202">
        <f>G780</f>
        <v>45077</v>
      </c>
      <c r="M777" s="191"/>
      <c r="N777" s="191"/>
      <c r="O777" s="191"/>
      <c r="P777" s="191"/>
      <c r="Q777" s="191"/>
      <c r="R777" s="191"/>
    </row>
    <row r="778" spans="2:18">
      <c r="C778" s="200" t="s">
        <v>565</v>
      </c>
      <c r="D778" s="200" t="s">
        <v>850</v>
      </c>
      <c r="E778" s="201">
        <v>135</v>
      </c>
      <c r="F778" s="201">
        <v>42.5</v>
      </c>
      <c r="G778" s="203">
        <v>44482</v>
      </c>
    </row>
    <row r="779" spans="2:18">
      <c r="C779" s="200" t="s">
        <v>565</v>
      </c>
      <c r="D779" s="200" t="s">
        <v>864</v>
      </c>
      <c r="E779" s="201">
        <v>50</v>
      </c>
      <c r="F779" s="201">
        <v>20</v>
      </c>
      <c r="G779" s="203">
        <v>44900</v>
      </c>
    </row>
    <row r="780" spans="2:18">
      <c r="C780" s="218" t="s">
        <v>544</v>
      </c>
      <c r="D780" s="218" t="s">
        <v>581</v>
      </c>
      <c r="E780" s="201">
        <v>28.5</v>
      </c>
      <c r="F780" s="201">
        <v>6</v>
      </c>
      <c r="G780" s="203">
        <v>45077</v>
      </c>
    </row>
    <row r="781" spans="2:18">
      <c r="C781" s="228" t="s">
        <v>402</v>
      </c>
      <c r="D781" s="228" t="s">
        <v>1527</v>
      </c>
      <c r="E781" s="201">
        <v>16</v>
      </c>
      <c r="F781" s="201">
        <v>4</v>
      </c>
      <c r="G781" s="229">
        <v>42995</v>
      </c>
    </row>
    <row r="782" spans="2:18">
      <c r="C782" s="228" t="s">
        <v>544</v>
      </c>
      <c r="D782" s="228" t="s">
        <v>1527</v>
      </c>
      <c r="E782" s="201">
        <v>8</v>
      </c>
      <c r="F782" s="201">
        <v>2</v>
      </c>
      <c r="G782" s="229">
        <v>42416</v>
      </c>
    </row>
    <row r="783" spans="2:18">
      <c r="G783" s="203"/>
    </row>
    <row r="784" spans="2:18">
      <c r="B784" s="64" t="s">
        <v>998</v>
      </c>
      <c r="C784" s="191" t="s">
        <v>491</v>
      </c>
      <c r="D784" s="191" t="s">
        <v>759</v>
      </c>
      <c r="F784" s="188">
        <f>SUM(F785:F788)</f>
        <v>75</v>
      </c>
      <c r="G784" s="202">
        <f>+G787</f>
        <v>44622</v>
      </c>
    </row>
    <row r="785" spans="2:18">
      <c r="C785" s="200" t="s">
        <v>565</v>
      </c>
      <c r="D785" s="200" t="s">
        <v>626</v>
      </c>
      <c r="E785" s="201">
        <v>50</v>
      </c>
      <c r="F785" s="201">
        <v>8</v>
      </c>
      <c r="G785" s="203">
        <v>44496</v>
      </c>
    </row>
    <row r="786" spans="2:18">
      <c r="C786" s="211" t="s">
        <v>565</v>
      </c>
      <c r="D786" s="211" t="s">
        <v>433</v>
      </c>
      <c r="E786" s="201">
        <v>200</v>
      </c>
      <c r="F786" s="201">
        <v>50</v>
      </c>
      <c r="G786" s="203">
        <v>44377</v>
      </c>
    </row>
    <row r="787" spans="2:18">
      <c r="C787" s="272" t="s">
        <v>755</v>
      </c>
      <c r="D787" s="272" t="s">
        <v>1798</v>
      </c>
      <c r="E787" s="201">
        <v>111</v>
      </c>
      <c r="F787" s="201">
        <v>7</v>
      </c>
      <c r="G787" s="203">
        <v>44622</v>
      </c>
    </row>
    <row r="788" spans="2:18">
      <c r="C788" s="272" t="s">
        <v>565</v>
      </c>
      <c r="D788" s="272" t="s">
        <v>1798</v>
      </c>
      <c r="E788" s="201">
        <v>55</v>
      </c>
      <c r="F788" s="201">
        <v>10</v>
      </c>
      <c r="G788" s="203">
        <v>44314</v>
      </c>
    </row>
    <row r="789" spans="2:18">
      <c r="C789" s="211"/>
      <c r="D789" s="211"/>
      <c r="G789" s="203"/>
    </row>
    <row r="790" spans="2:18">
      <c r="B790" s="64" t="s">
        <v>770</v>
      </c>
      <c r="C790" s="191" t="s">
        <v>491</v>
      </c>
      <c r="D790" s="191" t="s">
        <v>759</v>
      </c>
      <c r="E790" s="188"/>
      <c r="F790" s="188">
        <f>SUM(F791:F793)</f>
        <v>73.920454545454547</v>
      </c>
      <c r="G790" s="202">
        <f>G791</f>
        <v>45069</v>
      </c>
    </row>
    <row r="791" spans="2:18">
      <c r="C791" s="200" t="s">
        <v>565</v>
      </c>
      <c r="D791" s="200" t="s">
        <v>144</v>
      </c>
      <c r="E791" s="201">
        <v>450</v>
      </c>
      <c r="F791" s="201">
        <f>300/5</f>
        <v>60</v>
      </c>
      <c r="G791" s="203">
        <v>45069</v>
      </c>
    </row>
    <row r="792" spans="2:18">
      <c r="C792" s="225" t="s">
        <v>565</v>
      </c>
      <c r="D792" s="225" t="s">
        <v>2149</v>
      </c>
      <c r="E792" s="201">
        <v>125</v>
      </c>
      <c r="F792" s="201">
        <f>75/8</f>
        <v>9.375</v>
      </c>
      <c r="G792" s="203">
        <v>44663</v>
      </c>
    </row>
    <row r="793" spans="2:18">
      <c r="C793" s="228" t="s">
        <v>755</v>
      </c>
      <c r="D793" s="228" t="s">
        <v>1254</v>
      </c>
      <c r="E793" s="201">
        <v>90</v>
      </c>
      <c r="F793" s="201">
        <f>50/11</f>
        <v>4.5454545454545459</v>
      </c>
      <c r="G793" s="203">
        <v>44776</v>
      </c>
    </row>
    <row r="794" spans="2:18">
      <c r="G794" s="203"/>
    </row>
    <row r="795" spans="2:18" s="64" customFormat="1">
      <c r="B795" s="64" t="s">
        <v>1190</v>
      </c>
      <c r="C795" s="191" t="s">
        <v>491</v>
      </c>
      <c r="D795" s="191" t="s">
        <v>759</v>
      </c>
      <c r="E795" s="188"/>
      <c r="F795" s="188">
        <f>SUM(F796:F803)</f>
        <v>71.5</v>
      </c>
      <c r="G795" s="202">
        <f>G798</f>
        <v>44578</v>
      </c>
      <c r="M795" s="191"/>
      <c r="N795" s="191"/>
      <c r="O795" s="191"/>
      <c r="P795" s="191"/>
      <c r="Q795" s="191"/>
      <c r="R795" s="191"/>
    </row>
    <row r="796" spans="2:18">
      <c r="C796" s="200" t="s">
        <v>544</v>
      </c>
      <c r="D796" s="200" t="s">
        <v>659</v>
      </c>
      <c r="E796" s="201">
        <v>30</v>
      </c>
      <c r="F796" s="201">
        <v>4</v>
      </c>
      <c r="G796" s="203">
        <v>44522</v>
      </c>
    </row>
    <row r="797" spans="2:18">
      <c r="C797" s="200" t="s">
        <v>549</v>
      </c>
      <c r="D797" s="200" t="s">
        <v>659</v>
      </c>
      <c r="E797" s="201">
        <v>5.5</v>
      </c>
      <c r="F797" s="201">
        <v>3.5</v>
      </c>
      <c r="G797" s="203">
        <v>44096</v>
      </c>
    </row>
    <row r="798" spans="2:18">
      <c r="C798" s="200" t="s">
        <v>544</v>
      </c>
      <c r="D798" s="200" t="s">
        <v>1449</v>
      </c>
      <c r="E798" s="201">
        <v>20</v>
      </c>
      <c r="F798" s="201">
        <v>2</v>
      </c>
      <c r="G798" s="203">
        <v>44578</v>
      </c>
    </row>
    <row r="799" spans="2:18">
      <c r="C799" s="225" t="s">
        <v>738</v>
      </c>
      <c r="D799" s="225" t="s">
        <v>441</v>
      </c>
      <c r="E799" s="201">
        <v>132</v>
      </c>
      <c r="F799" s="201">
        <v>20</v>
      </c>
      <c r="G799" s="203">
        <v>44215</v>
      </c>
    </row>
    <row r="800" spans="2:18">
      <c r="C800" s="225" t="s">
        <v>565</v>
      </c>
      <c r="D800" s="225" t="s">
        <v>445</v>
      </c>
      <c r="E800" s="201">
        <v>60</v>
      </c>
      <c r="F800" s="201">
        <v>5</v>
      </c>
      <c r="G800" s="203">
        <v>43606</v>
      </c>
    </row>
    <row r="801" spans="2:18">
      <c r="C801" s="225" t="s">
        <v>402</v>
      </c>
      <c r="D801" s="225" t="s">
        <v>445</v>
      </c>
      <c r="E801" s="201">
        <v>30</v>
      </c>
      <c r="F801" s="201">
        <v>5</v>
      </c>
      <c r="G801" s="203">
        <v>43396</v>
      </c>
    </row>
    <row r="802" spans="2:18">
      <c r="C802" s="272" t="s">
        <v>402</v>
      </c>
      <c r="D802" s="272" t="s">
        <v>1820</v>
      </c>
      <c r="E802" s="201">
        <v>21</v>
      </c>
      <c r="F802" s="201">
        <v>21</v>
      </c>
      <c r="G802" s="203">
        <v>43140</v>
      </c>
    </row>
    <row r="803" spans="2:18">
      <c r="C803" s="272" t="s">
        <v>402</v>
      </c>
      <c r="D803" s="272" t="s">
        <v>1820</v>
      </c>
      <c r="E803" s="201">
        <v>11</v>
      </c>
      <c r="F803" s="201">
        <v>11</v>
      </c>
      <c r="G803" s="203">
        <v>43025</v>
      </c>
    </row>
    <row r="804" spans="2:18">
      <c r="G804" s="203"/>
    </row>
    <row r="805" spans="2:18" s="64" customFormat="1">
      <c r="B805" s="64" t="s">
        <v>788</v>
      </c>
      <c r="C805" s="191" t="s">
        <v>491</v>
      </c>
      <c r="D805" s="191" t="s">
        <v>759</v>
      </c>
      <c r="E805" s="188"/>
      <c r="F805" s="188">
        <f>SUM(F806:F810)</f>
        <v>69.833333333333329</v>
      </c>
      <c r="G805" s="202">
        <f>G806</f>
        <v>45048</v>
      </c>
      <c r="M805" s="191"/>
      <c r="N805" s="191"/>
      <c r="O805" s="191"/>
      <c r="P805" s="191"/>
      <c r="Q805" s="191"/>
      <c r="R805" s="191"/>
    </row>
    <row r="806" spans="2:18">
      <c r="C806" s="200" t="s">
        <v>565</v>
      </c>
      <c r="D806" s="200" t="s">
        <v>404</v>
      </c>
      <c r="E806" s="201">
        <v>270</v>
      </c>
      <c r="F806" s="201">
        <v>24</v>
      </c>
      <c r="G806" s="203">
        <v>45048</v>
      </c>
    </row>
    <row r="807" spans="2:18">
      <c r="C807" s="228" t="s">
        <v>402</v>
      </c>
      <c r="D807" s="228" t="s">
        <v>1518</v>
      </c>
      <c r="E807" s="201">
        <v>90</v>
      </c>
      <c r="F807" s="201">
        <v>6</v>
      </c>
      <c r="G807" s="203">
        <v>44398</v>
      </c>
    </row>
    <row r="808" spans="2:18">
      <c r="C808" s="272" t="s">
        <v>755</v>
      </c>
      <c r="D808" s="272" t="s">
        <v>1798</v>
      </c>
      <c r="E808" s="201">
        <v>111</v>
      </c>
      <c r="F808" s="201">
        <v>7</v>
      </c>
      <c r="G808" s="203">
        <v>44622</v>
      </c>
    </row>
    <row r="809" spans="2:18">
      <c r="C809" s="274" t="s">
        <v>755</v>
      </c>
      <c r="D809" s="274" t="s">
        <v>4072</v>
      </c>
      <c r="E809" s="201">
        <v>135</v>
      </c>
      <c r="F809" s="201">
        <v>8</v>
      </c>
      <c r="G809" s="203">
        <v>44880</v>
      </c>
    </row>
    <row r="810" spans="2:18">
      <c r="C810" s="282" t="s">
        <v>402</v>
      </c>
      <c r="D810" s="282" t="s">
        <v>1935</v>
      </c>
      <c r="E810" s="201">
        <f>1600/7</f>
        <v>228.57142857142858</v>
      </c>
      <c r="F810" s="201">
        <f>149/6</f>
        <v>24.833333333333332</v>
      </c>
      <c r="G810" s="203">
        <v>44550</v>
      </c>
    </row>
    <row r="811" spans="2:18">
      <c r="G811" s="203"/>
    </row>
    <row r="812" spans="2:18" s="64" customFormat="1">
      <c r="B812" s="64" t="s">
        <v>1505</v>
      </c>
      <c r="C812" s="191" t="s">
        <v>491</v>
      </c>
      <c r="D812" s="191" t="s">
        <v>759</v>
      </c>
      <c r="E812" s="188"/>
      <c r="F812" s="188">
        <f>SUM(F813:F817)</f>
        <v>68.900000000000006</v>
      </c>
      <c r="G812" s="202">
        <f>G813</f>
        <v>44679</v>
      </c>
    </row>
    <row r="813" spans="2:18">
      <c r="C813" s="200" t="s">
        <v>544</v>
      </c>
      <c r="D813" s="200" t="s">
        <v>692</v>
      </c>
      <c r="E813" s="201">
        <v>17</v>
      </c>
      <c r="F813" s="201">
        <v>1.5</v>
      </c>
      <c r="G813" s="203">
        <v>44679</v>
      </c>
      <c r="M813" s="199"/>
      <c r="N813" s="199"/>
      <c r="O813" s="199"/>
      <c r="P813" s="199"/>
      <c r="Q813" s="199"/>
      <c r="R813" s="199"/>
    </row>
    <row r="814" spans="2:18">
      <c r="C814" s="220" t="s">
        <v>544</v>
      </c>
      <c r="D814" s="220" t="s">
        <v>707</v>
      </c>
      <c r="E814" s="201">
        <v>12.6</v>
      </c>
      <c r="F814" s="201">
        <v>3</v>
      </c>
      <c r="G814" s="203">
        <v>44579</v>
      </c>
      <c r="M814" s="199"/>
      <c r="N814" s="199"/>
      <c r="O814" s="199"/>
      <c r="P814" s="199"/>
      <c r="Q814" s="199"/>
      <c r="R814" s="199"/>
    </row>
    <row r="815" spans="2:18">
      <c r="C815" s="225" t="s">
        <v>544</v>
      </c>
      <c r="D815" s="225" t="s">
        <v>502</v>
      </c>
      <c r="E815" s="201">
        <v>14.5</v>
      </c>
      <c r="F815" s="201">
        <v>3</v>
      </c>
      <c r="G815" s="203">
        <v>43389</v>
      </c>
      <c r="M815" s="199"/>
      <c r="N815" s="199"/>
      <c r="O815" s="199"/>
      <c r="P815" s="199"/>
      <c r="Q815" s="199"/>
      <c r="R815" s="199"/>
    </row>
    <row r="816" spans="2:18">
      <c r="C816" s="240" t="s">
        <v>755</v>
      </c>
      <c r="D816" s="240" t="s">
        <v>2797</v>
      </c>
      <c r="E816" s="201">
        <v>140</v>
      </c>
      <c r="F816" s="201">
        <v>60</v>
      </c>
      <c r="G816" s="203">
        <v>44286</v>
      </c>
      <c r="M816" s="199"/>
      <c r="N816" s="199"/>
      <c r="O816" s="199"/>
      <c r="P816" s="199"/>
      <c r="Q816" s="199"/>
      <c r="R816" s="199"/>
    </row>
    <row r="817" spans="2:18">
      <c r="C817" s="252" t="s">
        <v>544</v>
      </c>
      <c r="D817" s="252" t="s">
        <v>1643</v>
      </c>
      <c r="E817" s="201">
        <v>10</v>
      </c>
      <c r="F817" s="201">
        <v>1.4</v>
      </c>
      <c r="G817" s="203">
        <v>44637</v>
      </c>
      <c r="M817" s="199"/>
      <c r="N817" s="199"/>
      <c r="O817" s="199"/>
      <c r="P817" s="199"/>
      <c r="Q817" s="199"/>
      <c r="R817" s="199"/>
    </row>
    <row r="818" spans="2:18">
      <c r="G818" s="203"/>
      <c r="M818" s="199"/>
      <c r="N818" s="199"/>
      <c r="O818" s="199"/>
      <c r="P818" s="199"/>
      <c r="Q818" s="199"/>
      <c r="R818" s="199"/>
    </row>
    <row r="819" spans="2:18" s="64" customFormat="1">
      <c r="B819" s="64" t="s">
        <v>2805</v>
      </c>
      <c r="C819" s="191" t="s">
        <v>491</v>
      </c>
      <c r="D819" s="191" t="s">
        <v>759</v>
      </c>
      <c r="E819" s="188"/>
      <c r="F819" s="188">
        <f>SUM(F820:F825)</f>
        <v>72.904761904761898</v>
      </c>
      <c r="G819" s="202">
        <f>G823</f>
        <v>44565</v>
      </c>
    </row>
    <row r="820" spans="2:18">
      <c r="B820" s="239"/>
      <c r="C820" s="240" t="s">
        <v>755</v>
      </c>
      <c r="D820" s="240" t="s">
        <v>2797</v>
      </c>
      <c r="E820" s="201">
        <v>140</v>
      </c>
      <c r="F820" s="201">
        <v>10</v>
      </c>
      <c r="G820" s="203">
        <v>44286</v>
      </c>
      <c r="M820" s="199"/>
      <c r="N820" s="199"/>
      <c r="O820" s="199"/>
      <c r="P820" s="199"/>
      <c r="Q820" s="199"/>
      <c r="R820" s="199"/>
    </row>
    <row r="821" spans="2:18">
      <c r="B821" s="239"/>
      <c r="C821" s="252" t="s">
        <v>565</v>
      </c>
      <c r="D821" s="252" t="s">
        <v>3702</v>
      </c>
      <c r="E821" s="201">
        <v>38</v>
      </c>
      <c r="F821" s="201">
        <v>3</v>
      </c>
      <c r="G821" s="203">
        <v>43104</v>
      </c>
      <c r="M821" s="199"/>
      <c r="N821" s="199"/>
      <c r="O821" s="199"/>
      <c r="P821" s="199"/>
      <c r="Q821" s="199"/>
      <c r="R821" s="199"/>
    </row>
    <row r="822" spans="2:18">
      <c r="B822" s="239"/>
      <c r="C822" s="272" t="s">
        <v>565</v>
      </c>
      <c r="D822" s="272" t="s">
        <v>1817</v>
      </c>
      <c r="E822" s="201">
        <v>230</v>
      </c>
      <c r="F822" s="201">
        <f>E822/6</f>
        <v>38.333333333333336</v>
      </c>
      <c r="G822" s="203">
        <v>43923</v>
      </c>
      <c r="M822" s="199"/>
      <c r="N822" s="199"/>
      <c r="O822" s="199"/>
      <c r="P822" s="199"/>
      <c r="Q822" s="199"/>
      <c r="R822" s="199"/>
    </row>
    <row r="823" spans="2:18">
      <c r="B823" s="239"/>
      <c r="C823" s="274" t="s">
        <v>565</v>
      </c>
      <c r="D823" s="274" t="s">
        <v>4072</v>
      </c>
      <c r="E823" s="201">
        <v>73</v>
      </c>
      <c r="F823" s="201">
        <f>53/7</f>
        <v>7.5714285714285712</v>
      </c>
      <c r="G823" s="203">
        <v>44565</v>
      </c>
      <c r="J823" s="199">
        <v>615</v>
      </c>
      <c r="M823" s="199"/>
      <c r="N823" s="199"/>
      <c r="O823" s="199"/>
      <c r="P823" s="199"/>
      <c r="Q823" s="199"/>
      <c r="R823" s="199"/>
    </row>
    <row r="824" spans="2:18">
      <c r="B824" s="239"/>
      <c r="C824" s="282" t="s">
        <v>565</v>
      </c>
      <c r="D824" s="282" t="s">
        <v>4285</v>
      </c>
      <c r="E824" s="201">
        <v>65</v>
      </c>
      <c r="F824" s="201">
        <v>8</v>
      </c>
      <c r="G824" s="203">
        <v>43802</v>
      </c>
      <c r="I824" s="199">
        <v>685</v>
      </c>
      <c r="J824" s="199">
        <v>7000</v>
      </c>
      <c r="M824" s="199"/>
      <c r="N824" s="199"/>
      <c r="O824" s="199"/>
      <c r="P824" s="199"/>
      <c r="Q824" s="199"/>
      <c r="R824" s="199"/>
    </row>
    <row r="825" spans="2:18">
      <c r="B825" s="239"/>
      <c r="C825" s="282" t="s">
        <v>402</v>
      </c>
      <c r="D825" s="282" t="s">
        <v>4285</v>
      </c>
      <c r="E825" s="201">
        <v>40</v>
      </c>
      <c r="F825" s="201">
        <v>6</v>
      </c>
      <c r="G825" s="203">
        <v>43503</v>
      </c>
      <c r="J825" s="199">
        <v>7000</v>
      </c>
      <c r="M825" s="199"/>
      <c r="N825" s="199"/>
      <c r="O825" s="199"/>
      <c r="P825" s="199"/>
      <c r="Q825" s="199"/>
      <c r="R825" s="199"/>
    </row>
    <row r="826" spans="2:18">
      <c r="B826" s="239"/>
      <c r="C826" s="282" t="s">
        <v>544</v>
      </c>
      <c r="D826" s="282" t="s">
        <v>4285</v>
      </c>
      <c r="E826" s="201">
        <v>2</v>
      </c>
      <c r="F826" s="201">
        <v>2</v>
      </c>
      <c r="G826" s="203">
        <v>42928</v>
      </c>
      <c r="J826" s="199">
        <v>7000</v>
      </c>
      <c r="M826" s="199"/>
      <c r="N826" s="199"/>
      <c r="O826" s="199"/>
      <c r="P826" s="199"/>
      <c r="Q826" s="199"/>
      <c r="R826" s="199"/>
    </row>
    <row r="827" spans="2:18">
      <c r="G827" s="203"/>
    </row>
    <row r="828" spans="2:18">
      <c r="B828" s="64" t="s">
        <v>602</v>
      </c>
      <c r="C828" s="191" t="s">
        <v>491</v>
      </c>
      <c r="D828" s="191" t="s">
        <v>759</v>
      </c>
      <c r="E828" s="188"/>
      <c r="F828" s="188">
        <f>SUM(F829:F834)</f>
        <v>70.571428571428569</v>
      </c>
      <c r="G828" s="202">
        <f>G829</f>
        <v>45048</v>
      </c>
      <c r="I828" s="227" t="s">
        <v>496</v>
      </c>
      <c r="J828" s="227" t="s">
        <v>496</v>
      </c>
      <c r="K828" s="227" t="s">
        <v>496</v>
      </c>
    </row>
    <row r="829" spans="2:18">
      <c r="C829" s="200" t="s">
        <v>565</v>
      </c>
      <c r="D829" s="200" t="s">
        <v>404</v>
      </c>
      <c r="E829" s="201">
        <v>270</v>
      </c>
      <c r="F829" s="201">
        <v>24</v>
      </c>
      <c r="G829" s="203">
        <v>45048</v>
      </c>
    </row>
    <row r="830" spans="2:18">
      <c r="C830" s="200" t="s">
        <v>402</v>
      </c>
      <c r="D830" s="200" t="s">
        <v>431</v>
      </c>
      <c r="E830" s="201">
        <v>350</v>
      </c>
      <c r="F830" s="201">
        <v>20</v>
      </c>
      <c r="G830" s="203">
        <v>44999</v>
      </c>
    </row>
    <row r="831" spans="2:18">
      <c r="C831" s="228" t="s">
        <v>402</v>
      </c>
      <c r="D831" s="228" t="s">
        <v>1234</v>
      </c>
      <c r="E831" s="201">
        <v>26.8</v>
      </c>
      <c r="F831" s="201">
        <f>20/5</f>
        <v>4</v>
      </c>
      <c r="G831" s="203">
        <v>44600</v>
      </c>
    </row>
    <row r="832" spans="2:18">
      <c r="C832" s="274" t="s">
        <v>755</v>
      </c>
      <c r="D832" s="274" t="s">
        <v>4072</v>
      </c>
      <c r="E832" s="201">
        <v>135</v>
      </c>
      <c r="F832" s="201">
        <v>8</v>
      </c>
      <c r="G832" s="203">
        <v>44880</v>
      </c>
    </row>
    <row r="833" spans="2:18">
      <c r="C833" s="274" t="s">
        <v>565</v>
      </c>
      <c r="D833" s="274" t="s">
        <v>4072</v>
      </c>
      <c r="E833" s="201">
        <v>73</v>
      </c>
      <c r="F833" s="201">
        <f>53/7</f>
        <v>7.5714285714285712</v>
      </c>
      <c r="G833" s="203">
        <v>44565</v>
      </c>
    </row>
    <row r="834" spans="2:18">
      <c r="C834" s="274" t="s">
        <v>565</v>
      </c>
      <c r="D834" s="274" t="s">
        <v>4072</v>
      </c>
      <c r="E834" s="201">
        <v>31.7</v>
      </c>
      <c r="F834" s="201">
        <v>7</v>
      </c>
      <c r="G834" s="203">
        <v>43599</v>
      </c>
    </row>
    <row r="835" spans="2:18">
      <c r="C835" s="282" t="s">
        <v>738</v>
      </c>
      <c r="D835" s="282" t="s">
        <v>1940</v>
      </c>
      <c r="E835" s="201">
        <v>230</v>
      </c>
      <c r="F835" s="201">
        <v>24</v>
      </c>
      <c r="G835" s="203">
        <v>44984</v>
      </c>
      <c r="I835" s="199">
        <v>2000</v>
      </c>
      <c r="J835" s="199">
        <v>2000</v>
      </c>
    </row>
    <row r="836" spans="2:18">
      <c r="G836" s="203"/>
    </row>
    <row r="837" spans="2:18" s="64" customFormat="1">
      <c r="B837" s="64" t="s">
        <v>1589</v>
      </c>
      <c r="C837" s="191" t="s">
        <v>491</v>
      </c>
      <c r="D837" s="191" t="s">
        <v>759</v>
      </c>
      <c r="E837" s="188"/>
      <c r="F837" s="188">
        <f>SUM(F838:F849)</f>
        <v>84.75</v>
      </c>
      <c r="G837" s="202">
        <f>G839</f>
        <v>45005</v>
      </c>
      <c r="M837" s="191"/>
      <c r="N837" s="191"/>
      <c r="O837" s="191"/>
      <c r="P837" s="191"/>
      <c r="Q837" s="191"/>
      <c r="R837" s="191"/>
    </row>
    <row r="838" spans="2:18">
      <c r="B838" s="210"/>
      <c r="C838" s="211" t="s">
        <v>544</v>
      </c>
      <c r="D838" s="211" t="s">
        <v>697</v>
      </c>
      <c r="E838" s="201">
        <v>15</v>
      </c>
      <c r="F838" s="201">
        <v>5</v>
      </c>
      <c r="G838" s="203">
        <v>44838</v>
      </c>
    </row>
    <row r="839" spans="2:18">
      <c r="B839" s="210"/>
      <c r="C839" s="218" t="s">
        <v>544</v>
      </c>
      <c r="D839" s="218" t="s">
        <v>705</v>
      </c>
      <c r="E839" s="201">
        <v>13</v>
      </c>
      <c r="F839" s="201">
        <v>3</v>
      </c>
      <c r="G839" s="203">
        <v>45005</v>
      </c>
    </row>
    <row r="840" spans="2:18">
      <c r="B840" s="210"/>
      <c r="C840" s="222" t="s">
        <v>544</v>
      </c>
      <c r="D840" s="222" t="s">
        <v>1835</v>
      </c>
      <c r="E840" s="201">
        <v>11</v>
      </c>
      <c r="F840" s="201">
        <v>7</v>
      </c>
      <c r="G840" s="203">
        <v>44959</v>
      </c>
    </row>
    <row r="841" spans="2:18">
      <c r="B841" s="210"/>
      <c r="C841" s="228" t="s">
        <v>755</v>
      </c>
      <c r="D841" s="228" t="s">
        <v>2578</v>
      </c>
      <c r="E841" s="201">
        <v>90</v>
      </c>
      <c r="F841" s="201">
        <v>5</v>
      </c>
      <c r="G841" s="203">
        <v>44776</v>
      </c>
    </row>
    <row r="842" spans="2:18">
      <c r="B842" s="210"/>
      <c r="C842" s="228" t="s">
        <v>565</v>
      </c>
      <c r="D842" s="228" t="s">
        <v>2578</v>
      </c>
      <c r="E842" s="201">
        <v>40</v>
      </c>
      <c r="F842" s="201">
        <v>3.75</v>
      </c>
      <c r="G842" s="203">
        <v>44176</v>
      </c>
    </row>
    <row r="843" spans="2:18">
      <c r="B843" s="210"/>
      <c r="C843" s="228" t="s">
        <v>402</v>
      </c>
      <c r="D843" s="228" t="s">
        <v>2578</v>
      </c>
      <c r="E843" s="201">
        <v>20</v>
      </c>
      <c r="F843" s="201">
        <v>5</v>
      </c>
      <c r="G843" s="203">
        <v>43879</v>
      </c>
    </row>
    <row r="844" spans="2:18">
      <c r="B844" s="210"/>
      <c r="C844" s="274" t="s">
        <v>755</v>
      </c>
      <c r="D844" s="274" t="s">
        <v>4072</v>
      </c>
      <c r="E844" s="201">
        <v>135</v>
      </c>
      <c r="F844" s="201">
        <v>8</v>
      </c>
      <c r="G844" s="203">
        <v>44880</v>
      </c>
      <c r="I844" s="199">
        <v>615</v>
      </c>
    </row>
    <row r="845" spans="2:18">
      <c r="B845" s="210"/>
      <c r="C845" s="274" t="s">
        <v>402</v>
      </c>
      <c r="D845" s="274" t="s">
        <v>4072</v>
      </c>
      <c r="E845" s="201">
        <v>32</v>
      </c>
      <c r="F845" s="201">
        <f>20/4</f>
        <v>5</v>
      </c>
      <c r="G845" s="203">
        <v>42528</v>
      </c>
    </row>
    <row r="846" spans="2:18">
      <c r="B846" s="210"/>
      <c r="C846" s="282" t="s">
        <v>755</v>
      </c>
      <c r="D846" s="282" t="s">
        <v>4285</v>
      </c>
      <c r="E846" s="201">
        <v>200</v>
      </c>
      <c r="F846" s="201">
        <v>18.75</v>
      </c>
      <c r="G846" s="203">
        <v>44055</v>
      </c>
      <c r="I846" s="199">
        <v>2000</v>
      </c>
      <c r="J846" s="199">
        <v>7000</v>
      </c>
    </row>
    <row r="847" spans="2:18">
      <c r="B847" s="210"/>
      <c r="C847" s="282" t="s">
        <v>565</v>
      </c>
      <c r="D847" s="282" t="s">
        <v>4285</v>
      </c>
      <c r="E847" s="201">
        <v>65</v>
      </c>
      <c r="F847" s="201">
        <v>8</v>
      </c>
      <c r="G847" s="203">
        <v>43802</v>
      </c>
      <c r="I847" s="199">
        <v>685</v>
      </c>
      <c r="J847" s="199">
        <v>7000</v>
      </c>
    </row>
    <row r="848" spans="2:18">
      <c r="B848" s="210"/>
      <c r="C848" s="282" t="s">
        <v>402</v>
      </c>
      <c r="D848" s="282" t="s">
        <v>4285</v>
      </c>
      <c r="E848" s="201">
        <v>40</v>
      </c>
      <c r="F848" s="201">
        <v>6.25</v>
      </c>
      <c r="G848" s="203">
        <v>43503</v>
      </c>
      <c r="J848" s="199">
        <v>7000</v>
      </c>
    </row>
    <row r="849" spans="2:10">
      <c r="B849" s="210"/>
      <c r="C849" s="282" t="s">
        <v>544</v>
      </c>
      <c r="D849" s="282" t="s">
        <v>4285</v>
      </c>
      <c r="E849" s="201">
        <v>22</v>
      </c>
      <c r="F849" s="201">
        <v>10</v>
      </c>
      <c r="G849" s="203">
        <v>46550</v>
      </c>
      <c r="J849" s="199">
        <v>7000</v>
      </c>
    </row>
    <row r="850" spans="2:10">
      <c r="B850" s="210"/>
      <c r="C850" s="282" t="s">
        <v>549</v>
      </c>
      <c r="D850" s="282" t="s">
        <v>4285</v>
      </c>
      <c r="E850" s="201">
        <v>6</v>
      </c>
      <c r="F850" s="201">
        <v>6</v>
      </c>
      <c r="G850" s="203">
        <v>42542</v>
      </c>
      <c r="J850" s="199">
        <v>7000</v>
      </c>
    </row>
    <row r="851" spans="2:10">
      <c r="B851" s="210"/>
      <c r="C851" s="211"/>
      <c r="D851" s="211"/>
      <c r="G851" s="203"/>
    </row>
    <row r="852" spans="2:10">
      <c r="B852" s="64" t="s">
        <v>761</v>
      </c>
      <c r="C852" s="191" t="s">
        <v>491</v>
      </c>
      <c r="D852" s="191" t="s">
        <v>759</v>
      </c>
      <c r="F852" s="188">
        <f>SUM(F853:F856)</f>
        <v>68.75</v>
      </c>
      <c r="G852" s="202">
        <f>G854</f>
        <v>45050</v>
      </c>
    </row>
    <row r="853" spans="2:10">
      <c r="C853" s="200" t="s">
        <v>565</v>
      </c>
      <c r="D853" s="200" t="s">
        <v>751</v>
      </c>
      <c r="E853" s="201">
        <v>100</v>
      </c>
      <c r="F853" s="201">
        <v>13</v>
      </c>
      <c r="G853" s="203">
        <v>43682</v>
      </c>
    </row>
    <row r="854" spans="2:10">
      <c r="C854" s="200" t="s">
        <v>549</v>
      </c>
      <c r="D854" s="200" t="s">
        <v>514</v>
      </c>
      <c r="E854" s="201">
        <v>8</v>
      </c>
      <c r="F854" s="201">
        <v>7</v>
      </c>
      <c r="G854" s="203">
        <v>45050</v>
      </c>
    </row>
    <row r="855" spans="2:10">
      <c r="C855" s="282" t="s">
        <v>738</v>
      </c>
      <c r="D855" s="282" t="s">
        <v>4285</v>
      </c>
      <c r="E855" s="201">
        <v>250</v>
      </c>
      <c r="F855" s="201">
        <f>150/5</f>
        <v>30</v>
      </c>
      <c r="G855" s="203">
        <v>44350</v>
      </c>
      <c r="I855" s="199">
        <v>7000</v>
      </c>
      <c r="J855" s="199">
        <v>7000</v>
      </c>
    </row>
    <row r="856" spans="2:10">
      <c r="C856" s="282" t="s">
        <v>755</v>
      </c>
      <c r="D856" s="282" t="s">
        <v>4285</v>
      </c>
      <c r="E856" s="201">
        <v>200</v>
      </c>
      <c r="F856" s="201">
        <f>150/8</f>
        <v>18.75</v>
      </c>
      <c r="G856" s="203">
        <v>44055</v>
      </c>
      <c r="I856" s="199">
        <v>2000</v>
      </c>
      <c r="J856" s="199">
        <v>7000</v>
      </c>
    </row>
    <row r="857" spans="2:10">
      <c r="G857" s="203"/>
    </row>
    <row r="858" spans="2:10">
      <c r="B858" s="64" t="s">
        <v>791</v>
      </c>
      <c r="C858" s="191" t="s">
        <v>491</v>
      </c>
      <c r="D858" s="191" t="s">
        <v>759</v>
      </c>
      <c r="E858" s="188"/>
      <c r="F858" s="188">
        <f>SUM(F859:F867)</f>
        <v>67.571428571428555</v>
      </c>
      <c r="G858" s="202">
        <f>G861</f>
        <v>44796</v>
      </c>
    </row>
    <row r="859" spans="2:10">
      <c r="C859" s="200" t="s">
        <v>402</v>
      </c>
      <c r="D859" s="200" t="s">
        <v>404</v>
      </c>
      <c r="E859" s="201">
        <v>130</v>
      </c>
      <c r="F859" s="201">
        <f>70/3</f>
        <v>23.333333333333332</v>
      </c>
      <c r="G859" s="203">
        <v>44607</v>
      </c>
    </row>
    <row r="860" spans="2:10">
      <c r="C860" s="200" t="s">
        <v>544</v>
      </c>
      <c r="D860" s="200" t="s">
        <v>404</v>
      </c>
      <c r="E860" s="201">
        <v>40</v>
      </c>
      <c r="F860" s="201">
        <v>10</v>
      </c>
      <c r="G860" s="203">
        <v>44446</v>
      </c>
    </row>
    <row r="861" spans="2:10">
      <c r="C861" s="200" t="s">
        <v>544</v>
      </c>
      <c r="D861" s="200" t="s">
        <v>1093</v>
      </c>
      <c r="E861" s="201">
        <v>50</v>
      </c>
      <c r="F861" s="201">
        <v>10</v>
      </c>
      <c r="G861" s="203">
        <v>44796</v>
      </c>
    </row>
    <row r="862" spans="2:10">
      <c r="C862" s="200" t="s">
        <v>544</v>
      </c>
      <c r="D862" s="200" t="s">
        <v>674</v>
      </c>
      <c r="E862" s="201">
        <v>25</v>
      </c>
      <c r="F862" s="201">
        <f>18/7</f>
        <v>2.5714285714285716</v>
      </c>
      <c r="G862" s="203">
        <v>44757</v>
      </c>
    </row>
    <row r="863" spans="2:10">
      <c r="C863" s="200" t="s">
        <v>549</v>
      </c>
      <c r="D863" s="200" t="s">
        <v>674</v>
      </c>
      <c r="E863" s="201">
        <v>4</v>
      </c>
      <c r="F863" s="201">
        <v>0.5</v>
      </c>
      <c r="G863" s="203">
        <v>44340</v>
      </c>
    </row>
    <row r="864" spans="2:10">
      <c r="C864" s="200" t="s">
        <v>549</v>
      </c>
      <c r="D864" s="200" t="s">
        <v>674</v>
      </c>
      <c r="E864" s="201">
        <v>1.5</v>
      </c>
      <c r="F864" s="201">
        <v>0.5</v>
      </c>
      <c r="G864" s="203">
        <v>43979</v>
      </c>
    </row>
    <row r="865" spans="2:18">
      <c r="C865" s="252" t="s">
        <v>402</v>
      </c>
      <c r="D865" s="252" t="s">
        <v>1628</v>
      </c>
      <c r="E865" s="201">
        <v>40</v>
      </c>
      <c r="F865" s="201">
        <f>32/8</f>
        <v>4</v>
      </c>
      <c r="G865" s="203">
        <v>43419</v>
      </c>
    </row>
    <row r="866" spans="2:18">
      <c r="C866" s="272" t="s">
        <v>565</v>
      </c>
      <c r="D866" s="272" t="s">
        <v>1754</v>
      </c>
      <c r="E866" s="201">
        <v>40</v>
      </c>
      <c r="F866" s="201">
        <f>20/3</f>
        <v>6.666666666666667</v>
      </c>
      <c r="G866" s="203">
        <v>44599</v>
      </c>
    </row>
    <row r="867" spans="2:18">
      <c r="C867" s="272" t="s">
        <v>402</v>
      </c>
      <c r="D867" s="272" t="s">
        <v>1754</v>
      </c>
      <c r="E867" s="201">
        <v>28</v>
      </c>
      <c r="F867" s="201">
        <v>10</v>
      </c>
      <c r="G867" s="203">
        <v>44377</v>
      </c>
    </row>
    <row r="868" spans="2:18">
      <c r="G868" s="203"/>
    </row>
    <row r="869" spans="2:18" s="64" customFormat="1">
      <c r="B869" s="64" t="s">
        <v>2510</v>
      </c>
      <c r="C869" s="191" t="s">
        <v>491</v>
      </c>
      <c r="D869" s="191" t="s">
        <v>759</v>
      </c>
      <c r="E869" s="188"/>
      <c r="F869" s="188">
        <f>SUM(F870:F876)</f>
        <v>79.099999999999994</v>
      </c>
      <c r="G869" s="202">
        <f>G871</f>
        <v>44880</v>
      </c>
    </row>
    <row r="870" spans="2:18">
      <c r="B870" s="227"/>
      <c r="C870" s="228" t="s">
        <v>544</v>
      </c>
      <c r="D870" s="228" t="s">
        <v>1200</v>
      </c>
      <c r="E870" s="201">
        <v>15.5</v>
      </c>
      <c r="F870" s="201">
        <v>3</v>
      </c>
      <c r="G870" s="203">
        <v>44727</v>
      </c>
      <c r="M870" s="199"/>
      <c r="N870" s="199"/>
      <c r="O870" s="199"/>
      <c r="P870" s="199"/>
      <c r="Q870" s="199"/>
      <c r="R870" s="199"/>
    </row>
    <row r="871" spans="2:18">
      <c r="B871" s="227"/>
      <c r="C871" s="274" t="s">
        <v>755</v>
      </c>
      <c r="D871" s="274" t="s">
        <v>4072</v>
      </c>
      <c r="E871" s="201">
        <v>135</v>
      </c>
      <c r="F871" s="201">
        <v>8</v>
      </c>
      <c r="G871" s="203">
        <v>44880</v>
      </c>
      <c r="M871" s="199"/>
      <c r="N871" s="199"/>
      <c r="O871" s="199"/>
      <c r="P871" s="199"/>
      <c r="Q871" s="199"/>
      <c r="R871" s="199"/>
    </row>
    <row r="872" spans="2:18">
      <c r="B872" s="227"/>
      <c r="C872" s="274" t="s">
        <v>565</v>
      </c>
      <c r="D872" s="274" t="s">
        <v>4072</v>
      </c>
      <c r="E872" s="201">
        <v>31.7</v>
      </c>
      <c r="F872" s="201">
        <v>7</v>
      </c>
      <c r="G872" s="203">
        <v>43599</v>
      </c>
      <c r="M872" s="199"/>
      <c r="N872" s="199"/>
      <c r="O872" s="199"/>
      <c r="P872" s="199"/>
      <c r="Q872" s="199"/>
      <c r="R872" s="199"/>
    </row>
    <row r="873" spans="2:18">
      <c r="B873" s="227"/>
      <c r="C873" s="274" t="s">
        <v>402</v>
      </c>
      <c r="D873" s="274" t="s">
        <v>4072</v>
      </c>
      <c r="E873" s="201">
        <v>32</v>
      </c>
      <c r="F873" s="201">
        <f>20/4</f>
        <v>5</v>
      </c>
      <c r="G873" s="203">
        <v>42528</v>
      </c>
      <c r="M873" s="199"/>
      <c r="N873" s="199"/>
      <c r="O873" s="199"/>
      <c r="P873" s="199"/>
      <c r="Q873" s="199"/>
      <c r="R873" s="199"/>
    </row>
    <row r="874" spans="2:18">
      <c r="B874" s="227"/>
      <c r="C874" s="282" t="s">
        <v>565</v>
      </c>
      <c r="D874" s="282" t="s">
        <v>4313</v>
      </c>
      <c r="E874" s="201">
        <v>235</v>
      </c>
      <c r="F874" s="201">
        <f>85/2</f>
        <v>42.5</v>
      </c>
      <c r="G874" s="203">
        <v>44384</v>
      </c>
      <c r="M874" s="199"/>
      <c r="N874" s="199"/>
      <c r="O874" s="199"/>
      <c r="P874" s="199"/>
      <c r="Q874" s="199"/>
      <c r="R874" s="199"/>
    </row>
    <row r="875" spans="2:18">
      <c r="B875" s="227"/>
      <c r="C875" s="282" t="s">
        <v>402</v>
      </c>
      <c r="D875" s="282" t="s">
        <v>4313</v>
      </c>
      <c r="E875" s="201">
        <f>43</f>
        <v>43</v>
      </c>
      <c r="F875" s="201">
        <f>E875/5</f>
        <v>8.6</v>
      </c>
      <c r="G875" s="203">
        <v>44077</v>
      </c>
      <c r="M875" s="199"/>
      <c r="N875" s="199"/>
      <c r="O875" s="199"/>
      <c r="P875" s="199"/>
      <c r="Q875" s="199"/>
      <c r="R875" s="199"/>
    </row>
    <row r="876" spans="2:18">
      <c r="B876" s="227"/>
      <c r="C876" s="282" t="s">
        <v>544</v>
      </c>
      <c r="D876" s="282" t="s">
        <v>4313</v>
      </c>
      <c r="E876" s="201">
        <v>15</v>
      </c>
      <c r="F876" s="201">
        <v>5</v>
      </c>
      <c r="G876" s="203">
        <v>43479</v>
      </c>
      <c r="M876" s="199"/>
      <c r="N876" s="199"/>
      <c r="O876" s="199"/>
      <c r="P876" s="199"/>
      <c r="Q876" s="199"/>
      <c r="R876" s="199"/>
    </row>
    <row r="877" spans="2:18">
      <c r="B877" s="227"/>
      <c r="C877" s="228"/>
      <c r="D877" s="228"/>
      <c r="G877" s="203"/>
      <c r="M877" s="199"/>
      <c r="N877" s="199"/>
      <c r="O877" s="199"/>
      <c r="P877" s="199"/>
      <c r="Q877" s="199"/>
      <c r="R877" s="199"/>
    </row>
    <row r="878" spans="2:18">
      <c r="B878" s="64" t="s">
        <v>1032</v>
      </c>
      <c r="C878" s="191" t="s">
        <v>491</v>
      </c>
      <c r="D878" s="191" t="s">
        <v>759</v>
      </c>
      <c r="F878" s="188">
        <f>SUM(F879:F886)</f>
        <v>67.023809523809518</v>
      </c>
      <c r="G878" s="202">
        <f>+G885</f>
        <v>45055</v>
      </c>
      <c r="I878" s="227" t="s">
        <v>496</v>
      </c>
      <c r="J878" s="227" t="s">
        <v>496</v>
      </c>
      <c r="K878" s="227" t="s">
        <v>496</v>
      </c>
    </row>
    <row r="879" spans="2:18">
      <c r="B879" s="64"/>
      <c r="C879" s="200" t="s">
        <v>402</v>
      </c>
      <c r="D879" s="200" t="s">
        <v>431</v>
      </c>
      <c r="E879" s="201">
        <v>350</v>
      </c>
      <c r="F879" s="201">
        <v>20</v>
      </c>
      <c r="G879" s="203">
        <v>44999</v>
      </c>
    </row>
    <row r="880" spans="2:18">
      <c r="C880" s="200" t="s">
        <v>544</v>
      </c>
      <c r="D880" s="200" t="s">
        <v>424</v>
      </c>
      <c r="E880" s="201">
        <v>65</v>
      </c>
      <c r="F880" s="201">
        <v>10</v>
      </c>
      <c r="G880" s="203">
        <v>44984</v>
      </c>
    </row>
    <row r="881" spans="2:11">
      <c r="C881" s="200" t="s">
        <v>544</v>
      </c>
      <c r="D881" s="200" t="s">
        <v>632</v>
      </c>
      <c r="E881" s="201">
        <v>44</v>
      </c>
      <c r="F881" s="201">
        <v>10</v>
      </c>
      <c r="G881" s="203">
        <v>44671</v>
      </c>
    </row>
    <row r="882" spans="2:11">
      <c r="C882" s="200" t="s">
        <v>544</v>
      </c>
      <c r="D882" s="200" t="s">
        <v>1093</v>
      </c>
      <c r="E882" s="201">
        <v>50</v>
      </c>
      <c r="F882" s="201">
        <f>30/12</f>
        <v>2.5</v>
      </c>
      <c r="G882" s="203">
        <v>44796</v>
      </c>
    </row>
    <row r="883" spans="2:11">
      <c r="C883" s="200" t="s">
        <v>549</v>
      </c>
      <c r="D883" s="200" t="s">
        <v>1093</v>
      </c>
      <c r="E883" s="201">
        <v>12.5</v>
      </c>
      <c r="F883" s="201">
        <v>3</v>
      </c>
      <c r="G883" s="203">
        <v>44623</v>
      </c>
    </row>
    <row r="884" spans="2:11">
      <c r="C884" s="228" t="s">
        <v>402</v>
      </c>
      <c r="D884" s="228" t="s">
        <v>1234</v>
      </c>
      <c r="E884" s="201">
        <v>26.8</v>
      </c>
      <c r="F884" s="201">
        <v>4</v>
      </c>
      <c r="G884" s="203">
        <v>44600</v>
      </c>
    </row>
    <row r="885" spans="2:11">
      <c r="C885" s="249" t="s">
        <v>565</v>
      </c>
      <c r="D885" s="249" t="s">
        <v>1599</v>
      </c>
      <c r="E885" s="201">
        <v>8</v>
      </c>
      <c r="F885" s="201">
        <v>8</v>
      </c>
      <c r="G885" s="203">
        <v>45055</v>
      </c>
    </row>
    <row r="886" spans="2:11">
      <c r="C886" s="282" t="s">
        <v>738</v>
      </c>
      <c r="D886" s="282" t="s">
        <v>4370</v>
      </c>
      <c r="E886" s="201">
        <v>222</v>
      </c>
      <c r="F886" s="201">
        <f>200/21</f>
        <v>9.5238095238095237</v>
      </c>
      <c r="G886" s="203">
        <v>44194</v>
      </c>
      <c r="I886" s="199">
        <v>2500</v>
      </c>
      <c r="J886" s="199">
        <v>2500</v>
      </c>
    </row>
    <row r="887" spans="2:11">
      <c r="C887" s="282" t="s">
        <v>755</v>
      </c>
      <c r="D887" s="282" t="s">
        <v>4370</v>
      </c>
      <c r="E887" s="201">
        <v>200</v>
      </c>
      <c r="F887" s="201">
        <v>30</v>
      </c>
      <c r="G887" s="203">
        <v>43452</v>
      </c>
      <c r="I887" s="199">
        <v>1500</v>
      </c>
      <c r="J887" s="199">
        <v>2500</v>
      </c>
    </row>
    <row r="888" spans="2:11">
      <c r="G888" s="203"/>
    </row>
    <row r="889" spans="2:11">
      <c r="B889" s="64" t="s">
        <v>805</v>
      </c>
      <c r="C889" s="191" t="s">
        <v>491</v>
      </c>
      <c r="D889" s="191" t="s">
        <v>759</v>
      </c>
      <c r="F889" s="188">
        <f>SUM(F890:F899)</f>
        <v>65.214285714285708</v>
      </c>
      <c r="G889" s="202">
        <f>G892</f>
        <v>44690</v>
      </c>
      <c r="I889" s="199">
        <f>140+191</f>
        <v>331</v>
      </c>
      <c r="J889" s="232">
        <f>+F889/I889</f>
        <v>0.19702201122140697</v>
      </c>
      <c r="K889" s="199">
        <v>2014</v>
      </c>
    </row>
    <row r="890" spans="2:11">
      <c r="B890" s="64"/>
      <c r="C890" s="200" t="s">
        <v>544</v>
      </c>
      <c r="D890" s="200" t="s">
        <v>601</v>
      </c>
      <c r="E890" s="201">
        <v>150</v>
      </c>
      <c r="F890" s="201">
        <v>15</v>
      </c>
      <c r="G890" s="203">
        <v>45008</v>
      </c>
    </row>
    <row r="891" spans="2:11">
      <c r="B891" s="64"/>
      <c r="C891" s="200" t="s">
        <v>402</v>
      </c>
      <c r="D891" s="200" t="s">
        <v>431</v>
      </c>
      <c r="E891" s="201">
        <v>350</v>
      </c>
      <c r="F891" s="201">
        <v>10</v>
      </c>
      <c r="G891" s="203">
        <v>44999</v>
      </c>
    </row>
    <row r="892" spans="2:11">
      <c r="C892" s="200" t="s">
        <v>565</v>
      </c>
      <c r="D892" s="200" t="s">
        <v>797</v>
      </c>
      <c r="E892" s="201">
        <v>100</v>
      </c>
      <c r="F892" s="201">
        <v>9</v>
      </c>
      <c r="G892" s="203">
        <v>44690</v>
      </c>
    </row>
    <row r="893" spans="2:11">
      <c r="C893" s="200" t="s">
        <v>402</v>
      </c>
      <c r="D893" s="200" t="s">
        <v>797</v>
      </c>
      <c r="E893" s="201">
        <v>40</v>
      </c>
      <c r="F893" s="201">
        <v>7</v>
      </c>
      <c r="G893" s="203">
        <v>44327</v>
      </c>
    </row>
    <row r="894" spans="2:11">
      <c r="C894" s="200" t="s">
        <v>544</v>
      </c>
      <c r="D894" s="200" t="s">
        <v>797</v>
      </c>
      <c r="E894" s="201">
        <v>15</v>
      </c>
      <c r="F894" s="201">
        <v>3</v>
      </c>
      <c r="G894" s="203">
        <v>43816</v>
      </c>
    </row>
    <row r="895" spans="2:11">
      <c r="C895" s="200" t="s">
        <v>549</v>
      </c>
      <c r="D895" s="200" t="s">
        <v>797</v>
      </c>
      <c r="E895" s="201">
        <v>4</v>
      </c>
      <c r="F895" s="201">
        <v>1</v>
      </c>
      <c r="G895" s="203">
        <v>43243</v>
      </c>
    </row>
    <row r="896" spans="2:11">
      <c r="C896" s="200" t="s">
        <v>544</v>
      </c>
      <c r="D896" s="200" t="s">
        <v>392</v>
      </c>
      <c r="E896" s="201">
        <v>20</v>
      </c>
      <c r="F896" s="201">
        <v>10</v>
      </c>
      <c r="G896" s="203">
        <v>44245</v>
      </c>
    </row>
    <row r="897" spans="2:18">
      <c r="C897" s="225" t="s">
        <v>402</v>
      </c>
      <c r="D897" s="225" t="s">
        <v>577</v>
      </c>
      <c r="E897" s="201">
        <v>18</v>
      </c>
      <c r="F897" s="201">
        <v>4.5</v>
      </c>
      <c r="G897" s="203">
        <v>44831</v>
      </c>
    </row>
    <row r="898" spans="2:18">
      <c r="C898" s="228" t="s">
        <v>544</v>
      </c>
      <c r="D898" s="225" t="s">
        <v>577</v>
      </c>
      <c r="E898" s="201">
        <v>18.5</v>
      </c>
      <c r="F898" s="201">
        <v>5</v>
      </c>
      <c r="G898" s="203">
        <v>44658</v>
      </c>
    </row>
    <row r="899" spans="2:18">
      <c r="C899" s="228" t="s">
        <v>549</v>
      </c>
      <c r="D899" s="228" t="s">
        <v>1576</v>
      </c>
      <c r="E899" s="201">
        <v>7</v>
      </c>
      <c r="F899" s="201">
        <v>0.7142857142857143</v>
      </c>
      <c r="G899" s="203">
        <v>43046</v>
      </c>
    </row>
    <row r="900" spans="2:18">
      <c r="G900" s="203"/>
    </row>
    <row r="901" spans="2:18" s="64" customFormat="1">
      <c r="B901" s="64" t="s">
        <v>740</v>
      </c>
      <c r="C901" s="191" t="s">
        <v>491</v>
      </c>
      <c r="D901" s="191" t="s">
        <v>759</v>
      </c>
      <c r="E901" s="188"/>
      <c r="F901" s="188">
        <f>SUM(F902:F927)</f>
        <v>63.104761904761894</v>
      </c>
      <c r="G901" s="202">
        <f>+G906</f>
        <v>45041</v>
      </c>
      <c r="M901" s="191"/>
      <c r="N901" s="191"/>
      <c r="O901" s="191"/>
      <c r="P901" s="191"/>
      <c r="Q901" s="191"/>
      <c r="R901" s="191"/>
    </row>
    <row r="902" spans="2:18">
      <c r="C902" s="200" t="s">
        <v>738</v>
      </c>
      <c r="D902" s="200" t="s">
        <v>751</v>
      </c>
      <c r="E902" s="201">
        <v>325</v>
      </c>
      <c r="F902" s="201">
        <v>18.5</v>
      </c>
      <c r="G902" s="203">
        <v>44299</v>
      </c>
    </row>
    <row r="903" spans="2:18">
      <c r="C903" s="200" t="s">
        <v>402</v>
      </c>
      <c r="D903" s="200" t="s">
        <v>751</v>
      </c>
      <c r="E903" s="201">
        <v>18</v>
      </c>
      <c r="F903" s="201">
        <v>3</v>
      </c>
      <c r="G903" s="203">
        <v>43319</v>
      </c>
    </row>
    <row r="904" spans="2:18">
      <c r="C904" s="200" t="s">
        <v>544</v>
      </c>
      <c r="D904" s="200" t="s">
        <v>751</v>
      </c>
      <c r="E904" s="201">
        <v>4.5</v>
      </c>
      <c r="F904" s="201">
        <v>1.5</v>
      </c>
      <c r="G904" s="203">
        <v>42878</v>
      </c>
    </row>
    <row r="905" spans="2:18">
      <c r="C905" s="200" t="s">
        <v>549</v>
      </c>
      <c r="D905" s="200" t="s">
        <v>751</v>
      </c>
      <c r="E905" s="201">
        <v>0.12</v>
      </c>
      <c r="F905" s="201">
        <v>0.12</v>
      </c>
      <c r="G905" s="203">
        <v>42604</v>
      </c>
    </row>
    <row r="906" spans="2:18">
      <c r="C906" s="200" t="s">
        <v>402</v>
      </c>
      <c r="D906" s="200" t="s">
        <v>392</v>
      </c>
      <c r="E906" s="201">
        <v>97.4</v>
      </c>
      <c r="F906" s="201">
        <f>47/6</f>
        <v>7.833333333333333</v>
      </c>
      <c r="G906" s="203">
        <v>45041</v>
      </c>
    </row>
    <row r="907" spans="2:18">
      <c r="C907" s="200" t="s">
        <v>549</v>
      </c>
      <c r="D907" s="200" t="s">
        <v>688</v>
      </c>
      <c r="E907" s="201">
        <v>0.12</v>
      </c>
      <c r="F907" s="201">
        <v>0.12</v>
      </c>
      <c r="G907" s="203">
        <v>44068</v>
      </c>
    </row>
    <row r="908" spans="2:18">
      <c r="C908" s="200" t="s">
        <v>549</v>
      </c>
      <c r="D908" s="200" t="s">
        <v>1528</v>
      </c>
      <c r="E908" s="201">
        <v>5.5</v>
      </c>
      <c r="F908" s="201">
        <v>0.5</v>
      </c>
      <c r="G908" s="203">
        <v>45092</v>
      </c>
    </row>
    <row r="909" spans="2:18">
      <c r="C909" s="200" t="s">
        <v>669</v>
      </c>
      <c r="D909" s="200" t="s">
        <v>1528</v>
      </c>
      <c r="E909" s="201">
        <v>0.125</v>
      </c>
      <c r="F909" s="201">
        <v>0.125</v>
      </c>
      <c r="G909" s="203">
        <f>G908</f>
        <v>45092</v>
      </c>
    </row>
    <row r="910" spans="2:18">
      <c r="C910" s="211" t="s">
        <v>544</v>
      </c>
      <c r="D910" s="211" t="s">
        <v>699</v>
      </c>
      <c r="E910" s="201">
        <v>15</v>
      </c>
      <c r="F910" s="201">
        <v>3.3</v>
      </c>
      <c r="G910" s="203">
        <v>44482</v>
      </c>
    </row>
    <row r="911" spans="2:18">
      <c r="C911" s="211" t="s">
        <v>549</v>
      </c>
      <c r="D911" s="211" t="s">
        <v>699</v>
      </c>
      <c r="E911" s="201">
        <v>4.5</v>
      </c>
      <c r="F911" s="201">
        <v>0.5</v>
      </c>
      <c r="G911" s="203">
        <v>44362</v>
      </c>
    </row>
    <row r="912" spans="2:18">
      <c r="C912" s="211" t="s">
        <v>549</v>
      </c>
      <c r="D912" s="211" t="s">
        <v>699</v>
      </c>
      <c r="E912" s="201">
        <v>0.125</v>
      </c>
      <c r="F912" s="201">
        <v>0.125</v>
      </c>
      <c r="G912" s="203">
        <v>44246</v>
      </c>
    </row>
    <row r="913" spans="3:7">
      <c r="C913" s="218" t="s">
        <v>544</v>
      </c>
      <c r="D913" s="218" t="s">
        <v>706</v>
      </c>
      <c r="E913" s="201">
        <v>12.5</v>
      </c>
      <c r="F913" s="201">
        <v>3</v>
      </c>
      <c r="G913" s="203">
        <v>44978</v>
      </c>
    </row>
    <row r="914" spans="3:7">
      <c r="C914" s="222" t="s">
        <v>669</v>
      </c>
      <c r="D914" s="222" t="s">
        <v>1907</v>
      </c>
      <c r="E914" s="201">
        <v>0.5</v>
      </c>
      <c r="F914" s="201">
        <v>0.5</v>
      </c>
      <c r="G914" s="203">
        <v>45021</v>
      </c>
    </row>
    <row r="915" spans="3:7">
      <c r="C915" s="225" t="s">
        <v>544</v>
      </c>
      <c r="D915" s="225" t="s">
        <v>2149</v>
      </c>
      <c r="E915" s="201">
        <v>8</v>
      </c>
      <c r="F915" s="201">
        <v>1</v>
      </c>
      <c r="G915" s="203">
        <v>43249</v>
      </c>
    </row>
    <row r="916" spans="3:7">
      <c r="C916" s="225" t="s">
        <v>669</v>
      </c>
      <c r="D916" s="225" t="s">
        <v>2149</v>
      </c>
      <c r="E916" s="201">
        <v>0.12</v>
      </c>
      <c r="F916" s="201">
        <v>0.12</v>
      </c>
      <c r="G916" s="203">
        <v>43104</v>
      </c>
    </row>
    <row r="917" spans="3:7">
      <c r="C917" s="225" t="s">
        <v>669</v>
      </c>
      <c r="D917" s="225" t="s">
        <v>593</v>
      </c>
      <c r="E917" s="201">
        <v>0.12</v>
      </c>
      <c r="F917" s="201">
        <v>0.12</v>
      </c>
      <c r="G917" s="203">
        <v>44439</v>
      </c>
    </row>
    <row r="918" spans="3:7">
      <c r="C918" s="225" t="s">
        <v>565</v>
      </c>
      <c r="D918" s="225" t="s">
        <v>445</v>
      </c>
      <c r="E918" s="201">
        <v>60</v>
      </c>
      <c r="F918" s="201">
        <v>5</v>
      </c>
      <c r="G918" s="203">
        <v>43606</v>
      </c>
    </row>
    <row r="919" spans="3:7">
      <c r="C919" s="225" t="s">
        <v>402</v>
      </c>
      <c r="D919" s="225" t="s">
        <v>445</v>
      </c>
      <c r="E919" s="201">
        <v>30</v>
      </c>
      <c r="F919" s="201">
        <v>5</v>
      </c>
      <c r="G919" s="203">
        <v>43396</v>
      </c>
    </row>
    <row r="920" spans="3:7">
      <c r="C920" s="225" t="s">
        <v>549</v>
      </c>
      <c r="D920" s="225" t="s">
        <v>445</v>
      </c>
      <c r="E920" s="201">
        <v>3</v>
      </c>
      <c r="F920" s="201">
        <v>0.5</v>
      </c>
      <c r="G920" s="203">
        <v>42606</v>
      </c>
    </row>
    <row r="921" spans="3:7">
      <c r="C921" s="228" t="s">
        <v>402</v>
      </c>
      <c r="D921" s="228" t="s">
        <v>1524</v>
      </c>
      <c r="E921" s="201">
        <v>30</v>
      </c>
      <c r="F921" s="201">
        <v>5</v>
      </c>
      <c r="G921" s="203">
        <v>44756</v>
      </c>
    </row>
    <row r="922" spans="3:7">
      <c r="C922" s="228" t="s">
        <v>544</v>
      </c>
      <c r="D922" s="228" t="s">
        <v>1524</v>
      </c>
      <c r="E922" s="201">
        <v>28</v>
      </c>
      <c r="F922" s="201">
        <v>5</v>
      </c>
      <c r="G922" s="203">
        <v>44624</v>
      </c>
    </row>
    <row r="923" spans="3:7">
      <c r="C923" s="228" t="s">
        <v>549</v>
      </c>
      <c r="D923" s="228" t="s">
        <v>1524</v>
      </c>
      <c r="E923" s="201">
        <v>0.12</v>
      </c>
      <c r="F923" s="201">
        <v>0.12</v>
      </c>
      <c r="G923" s="203">
        <v>42970</v>
      </c>
    </row>
    <row r="924" spans="3:7">
      <c r="C924" s="272" t="s">
        <v>549</v>
      </c>
      <c r="D924" s="272" t="s">
        <v>1785</v>
      </c>
      <c r="E924" s="201">
        <v>0.125</v>
      </c>
      <c r="F924" s="201">
        <v>0.125</v>
      </c>
      <c r="G924" s="203">
        <v>44265</v>
      </c>
    </row>
    <row r="925" spans="3:7">
      <c r="C925" s="274" t="s">
        <v>549</v>
      </c>
      <c r="D925" s="274" t="s">
        <v>740</v>
      </c>
      <c r="E925" s="201">
        <v>1.6</v>
      </c>
      <c r="F925" s="201">
        <f>E925/2</f>
        <v>0.8</v>
      </c>
      <c r="G925" s="203">
        <v>43060</v>
      </c>
    </row>
    <row r="926" spans="3:7">
      <c r="C926" s="282" t="s">
        <v>549</v>
      </c>
      <c r="D926" s="282" t="s">
        <v>4200</v>
      </c>
      <c r="E926" s="201">
        <v>5.3</v>
      </c>
      <c r="F926" s="201">
        <f>4/7</f>
        <v>0.5714285714285714</v>
      </c>
      <c r="G926" s="203">
        <v>43398</v>
      </c>
    </row>
    <row r="927" spans="3:7">
      <c r="C927" s="282" t="s">
        <v>549</v>
      </c>
      <c r="D927" s="282" t="s">
        <v>4200</v>
      </c>
      <c r="E927" s="201">
        <v>4</v>
      </c>
      <c r="F927" s="201">
        <f>2.5/4</f>
        <v>0.625</v>
      </c>
      <c r="G927" s="203">
        <v>43122</v>
      </c>
    </row>
    <row r="928" spans="3:7">
      <c r="G928" s="203"/>
    </row>
    <row r="929" spans="2:18" s="64" customFormat="1">
      <c r="B929" s="64" t="s">
        <v>1068</v>
      </c>
      <c r="C929" s="191" t="s">
        <v>491</v>
      </c>
      <c r="D929" s="191" t="s">
        <v>759</v>
      </c>
      <c r="E929" s="188"/>
      <c r="F929" s="188">
        <f>SUM(F930:F937)</f>
        <v>65</v>
      </c>
      <c r="G929" s="202">
        <f>G931</f>
        <v>44860</v>
      </c>
      <c r="M929" s="191"/>
      <c r="N929" s="191"/>
      <c r="O929" s="191"/>
      <c r="P929" s="191"/>
      <c r="Q929" s="191"/>
      <c r="R929" s="191"/>
    </row>
    <row r="930" spans="2:18">
      <c r="C930" s="200" t="s">
        <v>402</v>
      </c>
      <c r="D930" s="200" t="s">
        <v>650</v>
      </c>
      <c r="E930" s="201">
        <v>40</v>
      </c>
      <c r="F930" s="201">
        <v>10</v>
      </c>
      <c r="G930" s="203">
        <v>44650</v>
      </c>
    </row>
    <row r="931" spans="2:18">
      <c r="C931" s="240" t="s">
        <v>402</v>
      </c>
      <c r="D931" s="240" t="s">
        <v>2780</v>
      </c>
      <c r="E931" s="201">
        <v>37</v>
      </c>
      <c r="F931" s="201">
        <v>4</v>
      </c>
      <c r="G931" s="203">
        <v>44860</v>
      </c>
    </row>
    <row r="932" spans="2:18">
      <c r="C932" s="240" t="s">
        <v>402</v>
      </c>
      <c r="D932" s="240" t="s">
        <v>2780</v>
      </c>
      <c r="E932" s="201">
        <v>80</v>
      </c>
      <c r="F932" s="201">
        <v>10</v>
      </c>
      <c r="G932" s="203">
        <v>44327</v>
      </c>
    </row>
    <row r="933" spans="2:18">
      <c r="C933" s="240" t="s">
        <v>544</v>
      </c>
      <c r="D933" s="240" t="s">
        <v>2780</v>
      </c>
      <c r="E933" s="201">
        <v>30</v>
      </c>
      <c r="F933" s="201">
        <v>10</v>
      </c>
      <c r="G933" s="203">
        <v>43963</v>
      </c>
    </row>
    <row r="934" spans="2:18">
      <c r="C934" s="282" t="s">
        <v>738</v>
      </c>
      <c r="D934" s="282" t="s">
        <v>4370</v>
      </c>
      <c r="E934" s="201">
        <v>222</v>
      </c>
      <c r="F934" s="201">
        <v>10</v>
      </c>
      <c r="G934" s="203">
        <v>44194</v>
      </c>
      <c r="I934" s="199">
        <v>2500</v>
      </c>
      <c r="J934" s="199">
        <v>2500</v>
      </c>
    </row>
    <row r="935" spans="2:18">
      <c r="C935" s="282" t="s">
        <v>755</v>
      </c>
      <c r="D935" s="282" t="s">
        <v>4370</v>
      </c>
      <c r="E935" s="201">
        <v>200</v>
      </c>
      <c r="F935" s="201">
        <v>13</v>
      </c>
      <c r="G935" s="203">
        <v>43452</v>
      </c>
      <c r="I935" s="199">
        <v>1500</v>
      </c>
      <c r="J935" s="199">
        <v>2500</v>
      </c>
    </row>
    <row r="936" spans="2:18">
      <c r="C936" s="282" t="s">
        <v>565</v>
      </c>
      <c r="D936" s="282" t="s">
        <v>4370</v>
      </c>
      <c r="E936" s="201">
        <v>50</v>
      </c>
      <c r="F936" s="201">
        <v>5</v>
      </c>
      <c r="G936" s="203">
        <v>43051</v>
      </c>
      <c r="J936" s="199">
        <v>2500</v>
      </c>
    </row>
    <row r="937" spans="2:18">
      <c r="C937" s="282" t="s">
        <v>402</v>
      </c>
      <c r="D937" s="282" t="s">
        <v>4370</v>
      </c>
      <c r="E937" s="201">
        <v>30</v>
      </c>
      <c r="F937" s="201">
        <v>3</v>
      </c>
      <c r="G937" s="203">
        <v>42936</v>
      </c>
      <c r="J937" s="199">
        <v>2500</v>
      </c>
    </row>
    <row r="938" spans="2:18">
      <c r="G938" s="203"/>
    </row>
    <row r="939" spans="2:18" s="64" customFormat="1">
      <c r="B939" s="64" t="s">
        <v>1133</v>
      </c>
      <c r="C939" s="191" t="s">
        <v>491</v>
      </c>
      <c r="D939" s="191" t="s">
        <v>759</v>
      </c>
      <c r="E939" s="188"/>
      <c r="F939" s="188">
        <f>SUM(F940:F950)</f>
        <v>66.469047619047615</v>
      </c>
      <c r="G939" s="202">
        <f>G940</f>
        <v>44893</v>
      </c>
      <c r="M939" s="191"/>
      <c r="N939" s="191"/>
      <c r="O939" s="191"/>
      <c r="P939" s="191"/>
      <c r="Q939" s="191"/>
      <c r="R939" s="191"/>
    </row>
    <row r="940" spans="2:18">
      <c r="C940" s="200" t="s">
        <v>544</v>
      </c>
      <c r="D940" s="200" t="s">
        <v>654</v>
      </c>
      <c r="E940" s="201">
        <v>33</v>
      </c>
      <c r="F940" s="201">
        <f>13/3</f>
        <v>4.333333333333333</v>
      </c>
      <c r="G940" s="203">
        <v>44893</v>
      </c>
    </row>
    <row r="941" spans="2:18">
      <c r="C941" s="200" t="s">
        <v>1135</v>
      </c>
      <c r="D941" s="200" t="s">
        <v>654</v>
      </c>
      <c r="E941" s="201">
        <v>3</v>
      </c>
      <c r="F941" s="201">
        <v>2</v>
      </c>
      <c r="G941" s="203">
        <v>44183</v>
      </c>
    </row>
    <row r="942" spans="2:18">
      <c r="C942" s="225" t="s">
        <v>402</v>
      </c>
      <c r="D942" s="225" t="s">
        <v>1522</v>
      </c>
      <c r="E942" s="201">
        <v>40</v>
      </c>
      <c r="F942" s="201">
        <f>25/4</f>
        <v>6.25</v>
      </c>
      <c r="G942" s="203">
        <v>44811</v>
      </c>
    </row>
    <row r="943" spans="2:18">
      <c r="C943" s="225" t="s">
        <v>544</v>
      </c>
      <c r="D943" s="225" t="s">
        <v>1522</v>
      </c>
      <c r="E943" s="201">
        <v>14</v>
      </c>
      <c r="F943" s="201">
        <f>8/5</f>
        <v>1.6</v>
      </c>
      <c r="G943" s="203">
        <v>44447</v>
      </c>
    </row>
    <row r="944" spans="2:18">
      <c r="C944" s="225" t="s">
        <v>544</v>
      </c>
      <c r="D944" s="225" t="s">
        <v>1522</v>
      </c>
      <c r="E944" s="201">
        <v>12</v>
      </c>
      <c r="F944" s="201">
        <v>2</v>
      </c>
      <c r="G944" s="203">
        <v>43532</v>
      </c>
    </row>
    <row r="945" spans="2:10">
      <c r="C945" s="282" t="s">
        <v>738</v>
      </c>
      <c r="D945" s="282" t="s">
        <v>4370</v>
      </c>
      <c r="E945" s="201">
        <v>222</v>
      </c>
      <c r="F945" s="201">
        <v>10</v>
      </c>
      <c r="G945" s="203">
        <v>44194</v>
      </c>
      <c r="I945" s="199">
        <v>2500</v>
      </c>
      <c r="J945" s="199">
        <v>2500</v>
      </c>
    </row>
    <row r="946" spans="2:10">
      <c r="C946" s="282" t="s">
        <v>755</v>
      </c>
      <c r="D946" s="282" t="s">
        <v>4370</v>
      </c>
      <c r="E946" s="201">
        <v>150</v>
      </c>
      <c r="F946" s="201">
        <v>14.285714285714286</v>
      </c>
      <c r="G946" s="290">
        <v>43885</v>
      </c>
      <c r="I946" s="199">
        <v>1800</v>
      </c>
      <c r="J946" s="199">
        <v>2500</v>
      </c>
    </row>
    <row r="947" spans="2:10">
      <c r="C947" s="282" t="s">
        <v>755</v>
      </c>
      <c r="D947" s="282" t="s">
        <v>4370</v>
      </c>
      <c r="E947" s="201">
        <v>200</v>
      </c>
      <c r="F947" s="201">
        <v>13</v>
      </c>
      <c r="G947" s="290">
        <v>43452</v>
      </c>
      <c r="I947" s="199">
        <v>1500</v>
      </c>
      <c r="J947" s="199">
        <v>2500</v>
      </c>
    </row>
    <row r="948" spans="2:10">
      <c r="C948" s="282" t="s">
        <v>565</v>
      </c>
      <c r="D948" s="282" t="s">
        <v>4370</v>
      </c>
      <c r="E948" s="201">
        <v>50</v>
      </c>
      <c r="F948" s="201">
        <v>5</v>
      </c>
      <c r="G948" s="290">
        <v>43051</v>
      </c>
      <c r="J948" s="199">
        <v>2500</v>
      </c>
    </row>
    <row r="949" spans="2:10">
      <c r="C949" s="282" t="s">
        <v>402</v>
      </c>
      <c r="D949" s="282" t="s">
        <v>4370</v>
      </c>
      <c r="E949" s="201">
        <v>30</v>
      </c>
      <c r="F949" s="201">
        <v>3</v>
      </c>
      <c r="G949" s="290">
        <v>42936</v>
      </c>
      <c r="J949" s="199">
        <v>2500</v>
      </c>
    </row>
    <row r="950" spans="2:10">
      <c r="C950" s="282" t="s">
        <v>544</v>
      </c>
      <c r="D950" s="282" t="s">
        <v>4370</v>
      </c>
      <c r="E950" s="201">
        <v>30</v>
      </c>
      <c r="F950" s="201">
        <v>5</v>
      </c>
      <c r="G950" s="290">
        <v>42674</v>
      </c>
      <c r="J950" s="199">
        <v>2500</v>
      </c>
    </row>
    <row r="951" spans="2:10">
      <c r="C951" s="282"/>
      <c r="D951" s="282"/>
      <c r="G951" s="290"/>
    </row>
    <row r="952" spans="2:10" s="64" customFormat="1">
      <c r="B952" s="64" t="s">
        <v>3193</v>
      </c>
      <c r="C952" s="191" t="s">
        <v>491</v>
      </c>
      <c r="D952" s="191" t="s">
        <v>759</v>
      </c>
      <c r="E952" s="188"/>
      <c r="F952" s="188">
        <f>SUM(F953:F963)</f>
        <v>58.585714285714282</v>
      </c>
      <c r="G952" s="202">
        <f>G955</f>
        <v>44727</v>
      </c>
    </row>
    <row r="953" spans="2:10">
      <c r="B953" s="248"/>
      <c r="C953" s="200" t="s">
        <v>544</v>
      </c>
      <c r="D953" s="200" t="s">
        <v>672</v>
      </c>
      <c r="E953" s="201">
        <v>25</v>
      </c>
      <c r="F953" s="201">
        <f>15/4</f>
        <v>3.75</v>
      </c>
      <c r="G953" s="203">
        <v>44615</v>
      </c>
    </row>
    <row r="954" spans="2:10">
      <c r="C954" s="200" t="s">
        <v>544</v>
      </c>
      <c r="D954" s="200" t="s">
        <v>673</v>
      </c>
      <c r="E954" s="201">
        <v>21</v>
      </c>
      <c r="F954" s="201">
        <f>14/5</f>
        <v>2.8</v>
      </c>
      <c r="G954" s="203">
        <v>44489</v>
      </c>
    </row>
    <row r="955" spans="2:10">
      <c r="C955" s="228" t="s">
        <v>544</v>
      </c>
      <c r="D955" s="228" t="s">
        <v>1200</v>
      </c>
      <c r="E955" s="201">
        <v>15.5</v>
      </c>
      <c r="F955" s="201">
        <v>3</v>
      </c>
      <c r="G955" s="203">
        <v>44727</v>
      </c>
    </row>
    <row r="956" spans="2:10">
      <c r="C956" s="228" t="s">
        <v>549</v>
      </c>
      <c r="D956" s="228" t="s">
        <v>1576</v>
      </c>
      <c r="E956" s="201">
        <v>7</v>
      </c>
      <c r="F956" s="201">
        <v>0.7142857142857143</v>
      </c>
      <c r="G956" s="203">
        <v>43046</v>
      </c>
    </row>
    <row r="957" spans="2:10">
      <c r="B957" s="246"/>
      <c r="C957" s="247" t="s">
        <v>402</v>
      </c>
      <c r="D957" s="247" t="s">
        <v>3009</v>
      </c>
      <c r="E957" s="201">
        <v>120</v>
      </c>
      <c r="F957" s="201">
        <f t="shared" ref="F957:F2418" si="4">90/8</f>
        <v>11.25</v>
      </c>
      <c r="G957" s="203">
        <v>44602</v>
      </c>
    </row>
    <row r="958" spans="2:10">
      <c r="B958" s="246"/>
      <c r="C958" s="249" t="s">
        <v>544</v>
      </c>
      <c r="D958" s="249" t="s">
        <v>1609</v>
      </c>
      <c r="E958" s="201">
        <v>57</v>
      </c>
      <c r="F958" s="201">
        <v>6</v>
      </c>
      <c r="G958" s="203">
        <v>44508</v>
      </c>
    </row>
    <row r="959" spans="2:10">
      <c r="B959" s="246"/>
      <c r="C959" s="252" t="s">
        <v>565</v>
      </c>
      <c r="D959" s="252" t="s">
        <v>3702</v>
      </c>
      <c r="E959" s="201">
        <v>38</v>
      </c>
      <c r="F959" s="201">
        <f>20/6</f>
        <v>3.3333333333333335</v>
      </c>
      <c r="G959" s="203">
        <v>43104</v>
      </c>
    </row>
    <row r="960" spans="2:10">
      <c r="B960" s="246"/>
      <c r="C960" s="274" t="s">
        <v>755</v>
      </c>
      <c r="D960" s="274" t="s">
        <v>4072</v>
      </c>
      <c r="E960" s="201">
        <v>135</v>
      </c>
      <c r="F960" s="201">
        <f>115/14</f>
        <v>8.2142857142857135</v>
      </c>
      <c r="G960" s="203">
        <v>44880</v>
      </c>
    </row>
    <row r="961" spans="2:18">
      <c r="B961" s="246"/>
      <c r="C961" s="282" t="s">
        <v>738</v>
      </c>
      <c r="D961" s="282" t="s">
        <v>4370</v>
      </c>
      <c r="E961" s="201">
        <v>222</v>
      </c>
      <c r="F961" s="201">
        <f>200/21</f>
        <v>9.5238095238095237</v>
      </c>
      <c r="G961" s="203">
        <v>44194</v>
      </c>
      <c r="I961" s="199">
        <v>2500</v>
      </c>
      <c r="J961" s="199">
        <v>2500</v>
      </c>
    </row>
    <row r="962" spans="2:18">
      <c r="B962" s="246"/>
      <c r="C962" s="282" t="s">
        <v>565</v>
      </c>
      <c r="D962" s="282" t="s">
        <v>4370</v>
      </c>
      <c r="E962" s="201">
        <v>50</v>
      </c>
      <c r="F962" s="201">
        <v>5</v>
      </c>
      <c r="G962" s="203">
        <v>43051</v>
      </c>
      <c r="J962" s="199">
        <v>2500</v>
      </c>
    </row>
    <row r="963" spans="2:18">
      <c r="B963" s="246"/>
      <c r="C963" s="282" t="s">
        <v>544</v>
      </c>
      <c r="D963" s="282" t="s">
        <v>4370</v>
      </c>
      <c r="E963" s="201">
        <v>30</v>
      </c>
      <c r="F963" s="201">
        <v>5</v>
      </c>
      <c r="G963" s="203">
        <v>42674</v>
      </c>
      <c r="J963" s="199">
        <v>2500</v>
      </c>
    </row>
    <row r="964" spans="2:18">
      <c r="G964" s="203"/>
    </row>
    <row r="965" spans="2:18" s="64" customFormat="1">
      <c r="B965" s="64" t="s">
        <v>1602</v>
      </c>
      <c r="C965" s="191" t="s">
        <v>491</v>
      </c>
      <c r="D965" s="191" t="s">
        <v>759</v>
      </c>
      <c r="E965" s="188"/>
      <c r="F965" s="188">
        <f>SUM(F966:F971)</f>
        <v>57.326190476190476</v>
      </c>
      <c r="G965" s="202">
        <f>G967</f>
        <v>44811</v>
      </c>
      <c r="M965" s="191"/>
      <c r="N965" s="191"/>
      <c r="O965" s="191"/>
      <c r="P965" s="191"/>
      <c r="Q965" s="191"/>
      <c r="R965" s="191"/>
    </row>
    <row r="966" spans="2:18">
      <c r="B966" s="210"/>
      <c r="C966" s="211" t="s">
        <v>549</v>
      </c>
      <c r="D966" s="211" t="s">
        <v>467</v>
      </c>
      <c r="E966" s="201">
        <v>15</v>
      </c>
      <c r="F966" s="201">
        <f t="shared" ref="F966:F1906" si="5">15/7</f>
        <v>2.1428571428571428</v>
      </c>
      <c r="G966" s="203">
        <v>44691</v>
      </c>
    </row>
    <row r="967" spans="2:18">
      <c r="B967" s="210"/>
      <c r="C967" s="225" t="s">
        <v>402</v>
      </c>
      <c r="D967" s="225" t="s">
        <v>1522</v>
      </c>
      <c r="E967" s="201">
        <v>40</v>
      </c>
      <c r="F967" s="201">
        <f>25/4</f>
        <v>6.25</v>
      </c>
      <c r="G967" s="203">
        <v>44811</v>
      </c>
    </row>
    <row r="968" spans="2:18">
      <c r="B968" s="210"/>
      <c r="C968" s="225" t="s">
        <v>544</v>
      </c>
      <c r="D968" s="225" t="s">
        <v>1522</v>
      </c>
      <c r="E968" s="201">
        <v>14</v>
      </c>
      <c r="F968" s="201">
        <f>8/5</f>
        <v>1.6</v>
      </c>
      <c r="G968" s="203">
        <v>44447</v>
      </c>
    </row>
    <row r="969" spans="2:18">
      <c r="B969" s="210"/>
      <c r="C969" s="225" t="s">
        <v>544</v>
      </c>
      <c r="D969" s="225" t="s">
        <v>1522</v>
      </c>
      <c r="E969" s="201">
        <v>12</v>
      </c>
      <c r="F969" s="201">
        <v>4</v>
      </c>
      <c r="G969" s="203">
        <v>43532</v>
      </c>
    </row>
    <row r="970" spans="2:18">
      <c r="B970" s="210"/>
      <c r="C970" s="282" t="s">
        <v>738</v>
      </c>
      <c r="D970" s="282" t="s">
        <v>1949</v>
      </c>
      <c r="E970" s="201">
        <v>90</v>
      </c>
      <c r="F970" s="201">
        <v>10</v>
      </c>
      <c r="G970" s="203">
        <v>44721</v>
      </c>
      <c r="I970" s="199">
        <v>2200</v>
      </c>
      <c r="J970" s="199">
        <v>2200</v>
      </c>
    </row>
    <row r="971" spans="2:18">
      <c r="B971" s="210"/>
      <c r="C971" s="282" t="s">
        <v>755</v>
      </c>
      <c r="D971" s="282" t="s">
        <v>1949</v>
      </c>
      <c r="E971" s="201">
        <v>210</v>
      </c>
      <c r="F971" s="201">
        <v>33.333333333333336</v>
      </c>
      <c r="G971" s="203">
        <v>44432</v>
      </c>
      <c r="I971" s="199">
        <v>1000</v>
      </c>
      <c r="J971" s="199">
        <v>2200</v>
      </c>
    </row>
    <row r="972" spans="2:18">
      <c r="B972" s="210"/>
      <c r="C972" s="282" t="s">
        <v>565</v>
      </c>
      <c r="D972" s="282" t="s">
        <v>1949</v>
      </c>
      <c r="E972" s="201">
        <v>70</v>
      </c>
      <c r="F972" s="201">
        <v>70</v>
      </c>
      <c r="G972" s="203">
        <v>44250</v>
      </c>
      <c r="J972" s="199">
        <v>2200</v>
      </c>
    </row>
    <row r="973" spans="2:18">
      <c r="G973" s="203"/>
    </row>
    <row r="974" spans="2:18">
      <c r="B974" s="64" t="s">
        <v>785</v>
      </c>
      <c r="C974" s="191" t="s">
        <v>491</v>
      </c>
      <c r="D974" s="191" t="s">
        <v>759</v>
      </c>
      <c r="F974" s="188">
        <f>SUM(F975:F979)</f>
        <v>56.133333333333333</v>
      </c>
      <c r="G974" s="202">
        <f>G976</f>
        <v>45070</v>
      </c>
    </row>
    <row r="975" spans="2:18">
      <c r="C975" s="200" t="s">
        <v>565</v>
      </c>
      <c r="D975" s="200" t="s">
        <v>404</v>
      </c>
      <c r="E975" s="201">
        <v>270</v>
      </c>
      <c r="F975" s="201">
        <v>50</v>
      </c>
      <c r="G975" s="203">
        <v>45048</v>
      </c>
    </row>
    <row r="976" spans="2:18">
      <c r="C976" s="200" t="s">
        <v>544</v>
      </c>
      <c r="D976" s="200" t="s">
        <v>568</v>
      </c>
      <c r="E976" s="201">
        <v>10.9</v>
      </c>
      <c r="F976" s="201">
        <f>8/6</f>
        <v>1.3333333333333333</v>
      </c>
      <c r="G976" s="203">
        <v>45070</v>
      </c>
    </row>
    <row r="977" spans="2:18">
      <c r="C977" s="211" t="s">
        <v>544</v>
      </c>
      <c r="D977" s="211" t="s">
        <v>1574</v>
      </c>
      <c r="E977" s="201">
        <v>6</v>
      </c>
      <c r="F977" s="201">
        <v>1</v>
      </c>
      <c r="G977" s="203">
        <v>44917</v>
      </c>
    </row>
    <row r="978" spans="2:18">
      <c r="C978" s="211" t="s">
        <v>549</v>
      </c>
      <c r="D978" s="211" t="s">
        <v>1574</v>
      </c>
      <c r="E978" s="201">
        <v>3.6</v>
      </c>
      <c r="F978" s="201">
        <v>1.8</v>
      </c>
      <c r="G978" s="203">
        <v>43361</v>
      </c>
    </row>
    <row r="979" spans="2:18">
      <c r="C979" s="252" t="s">
        <v>544</v>
      </c>
      <c r="D979" s="252" t="s">
        <v>1651</v>
      </c>
      <c r="E979" s="201">
        <v>15</v>
      </c>
      <c r="F979" s="201">
        <v>2</v>
      </c>
      <c r="G979" s="203">
        <v>44314</v>
      </c>
    </row>
    <row r="980" spans="2:18">
      <c r="C980" s="211"/>
      <c r="D980" s="211"/>
      <c r="G980" s="203"/>
    </row>
    <row r="981" spans="2:18" s="64" customFormat="1">
      <c r="B981" s="64" t="s">
        <v>970</v>
      </c>
      <c r="C981" s="191" t="s">
        <v>491</v>
      </c>
      <c r="D981" s="191" t="s">
        <v>759</v>
      </c>
      <c r="E981" s="188"/>
      <c r="F981" s="188">
        <f>SUM(F982:F987)</f>
        <v>54.3</v>
      </c>
      <c r="G981" s="202">
        <f>+G982</f>
        <v>44754</v>
      </c>
      <c r="M981" s="191"/>
      <c r="N981" s="191"/>
      <c r="O981" s="191"/>
      <c r="P981" s="191"/>
      <c r="Q981" s="191"/>
      <c r="R981" s="191"/>
    </row>
    <row r="982" spans="2:18">
      <c r="C982" s="200" t="s">
        <v>565</v>
      </c>
      <c r="D982" s="200" t="s">
        <v>611</v>
      </c>
      <c r="E982" s="201">
        <v>100</v>
      </c>
      <c r="F982" s="201">
        <v>10</v>
      </c>
      <c r="G982" s="203">
        <v>44754</v>
      </c>
    </row>
    <row r="983" spans="2:18">
      <c r="C983" s="200" t="s">
        <v>402</v>
      </c>
      <c r="D983" s="200" t="s">
        <v>649</v>
      </c>
      <c r="E983" s="201">
        <v>40</v>
      </c>
      <c r="F983" s="201">
        <v>5</v>
      </c>
      <c r="G983" s="203">
        <v>44728</v>
      </c>
    </row>
    <row r="984" spans="2:18">
      <c r="C984" s="200" t="s">
        <v>402</v>
      </c>
      <c r="D984" s="200" t="s">
        <v>649</v>
      </c>
      <c r="E984" s="201">
        <v>18.600000000000001</v>
      </c>
      <c r="F984" s="201">
        <f>8.6/2</f>
        <v>4.3</v>
      </c>
      <c r="G984" s="203">
        <v>44112</v>
      </c>
    </row>
    <row r="985" spans="2:18">
      <c r="C985" s="211" t="s">
        <v>565</v>
      </c>
      <c r="D985" s="211" t="s">
        <v>433</v>
      </c>
      <c r="E985" s="201">
        <v>200</v>
      </c>
      <c r="F985" s="201">
        <v>20</v>
      </c>
      <c r="G985" s="203">
        <v>44377</v>
      </c>
    </row>
    <row r="986" spans="2:18">
      <c r="C986" s="211" t="s">
        <v>402</v>
      </c>
      <c r="D986" s="211" t="s">
        <v>433</v>
      </c>
      <c r="E986" s="201">
        <v>75</v>
      </c>
      <c r="F986" s="201">
        <v>5</v>
      </c>
      <c r="G986" s="203">
        <v>43783</v>
      </c>
    </row>
    <row r="987" spans="2:18">
      <c r="C987" s="211" t="s">
        <v>544</v>
      </c>
      <c r="D987" s="211" t="s">
        <v>433</v>
      </c>
      <c r="E987" s="201">
        <v>30</v>
      </c>
      <c r="F987" s="201">
        <v>10</v>
      </c>
      <c r="G987" s="203">
        <v>43573</v>
      </c>
    </row>
    <row r="988" spans="2:18">
      <c r="G988" s="203"/>
    </row>
    <row r="989" spans="2:18" s="64" customFormat="1">
      <c r="B989" s="64" t="s">
        <v>2562</v>
      </c>
      <c r="C989" s="191" t="s">
        <v>491</v>
      </c>
      <c r="D989" s="191" t="s">
        <v>759</v>
      </c>
      <c r="E989" s="188"/>
      <c r="F989" s="188">
        <f>SUM(F990:F993)</f>
        <v>46.5</v>
      </c>
      <c r="G989" s="202">
        <f>G992</f>
        <v>44599</v>
      </c>
    </row>
    <row r="990" spans="2:18">
      <c r="B990" s="227"/>
      <c r="C990" s="228" t="s">
        <v>402</v>
      </c>
      <c r="D990" s="228" t="s">
        <v>1262</v>
      </c>
      <c r="E990" s="201">
        <v>25</v>
      </c>
      <c r="F990" s="201">
        <v>10</v>
      </c>
      <c r="G990" s="203">
        <v>43972</v>
      </c>
      <c r="M990" s="199"/>
      <c r="N990" s="199"/>
      <c r="O990" s="199"/>
      <c r="P990" s="199"/>
      <c r="Q990" s="199"/>
      <c r="R990" s="199"/>
    </row>
    <row r="991" spans="2:18">
      <c r="C991" s="228" t="s">
        <v>544</v>
      </c>
      <c r="D991" s="228" t="s">
        <v>1262</v>
      </c>
      <c r="E991" s="201">
        <v>11.5</v>
      </c>
      <c r="F991" s="201">
        <v>11.5</v>
      </c>
      <c r="G991" s="229">
        <v>43104</v>
      </c>
      <c r="M991" s="199"/>
      <c r="N991" s="199"/>
      <c r="O991" s="199"/>
      <c r="P991" s="199"/>
      <c r="Q991" s="199"/>
      <c r="R991" s="199"/>
    </row>
    <row r="992" spans="2:18">
      <c r="C992" s="272" t="s">
        <v>565</v>
      </c>
      <c r="D992" s="272" t="s">
        <v>1754</v>
      </c>
      <c r="E992" s="201">
        <v>40</v>
      </c>
      <c r="F992" s="201">
        <v>7</v>
      </c>
      <c r="G992" s="229">
        <v>44599</v>
      </c>
      <c r="M992" s="199"/>
      <c r="N992" s="199"/>
      <c r="O992" s="199"/>
      <c r="P992" s="199"/>
      <c r="Q992" s="199"/>
      <c r="R992" s="199"/>
    </row>
    <row r="993" spans="2:18">
      <c r="C993" s="272" t="s">
        <v>402</v>
      </c>
      <c r="D993" s="272" t="s">
        <v>1754</v>
      </c>
      <c r="E993" s="201">
        <v>28</v>
      </c>
      <c r="F993" s="201">
        <v>18</v>
      </c>
      <c r="G993" s="229">
        <v>44377</v>
      </c>
      <c r="M993" s="199"/>
      <c r="N993" s="199"/>
      <c r="O993" s="199"/>
      <c r="P993" s="199"/>
      <c r="Q993" s="199"/>
      <c r="R993" s="199"/>
    </row>
    <row r="994" spans="2:18">
      <c r="C994" s="228"/>
      <c r="D994" s="228"/>
      <c r="G994" s="229"/>
      <c r="M994" s="199"/>
      <c r="N994" s="199"/>
      <c r="O994" s="199"/>
      <c r="P994" s="199"/>
      <c r="Q994" s="199"/>
      <c r="R994" s="199"/>
    </row>
    <row r="995" spans="2:18">
      <c r="B995" s="64" t="s">
        <v>827</v>
      </c>
      <c r="C995" s="191" t="s">
        <v>491</v>
      </c>
      <c r="D995" s="191" t="s">
        <v>759</v>
      </c>
      <c r="F995" s="188">
        <f>SUM(F996:F1003)</f>
        <v>44.785714285714285</v>
      </c>
      <c r="G995" s="202">
        <f>G996</f>
        <v>44852</v>
      </c>
    </row>
    <row r="996" spans="2:18">
      <c r="C996" s="200" t="s">
        <v>544</v>
      </c>
      <c r="D996" s="200" t="s">
        <v>420</v>
      </c>
      <c r="E996" s="201">
        <v>125</v>
      </c>
      <c r="F996" s="201">
        <v>15</v>
      </c>
      <c r="G996" s="203">
        <v>44852</v>
      </c>
    </row>
    <row r="997" spans="2:18">
      <c r="C997" s="200" t="s">
        <v>544</v>
      </c>
      <c r="D997" s="200" t="s">
        <v>1476</v>
      </c>
      <c r="E997" s="201">
        <v>12.5</v>
      </c>
      <c r="F997" s="201">
        <v>2</v>
      </c>
      <c r="G997" s="203">
        <v>44784</v>
      </c>
    </row>
    <row r="998" spans="2:18">
      <c r="C998" s="200" t="s">
        <v>544</v>
      </c>
      <c r="D998" s="200" t="s">
        <v>1476</v>
      </c>
      <c r="E998" s="201">
        <v>10</v>
      </c>
      <c r="F998" s="201">
        <v>2</v>
      </c>
      <c r="G998" s="203">
        <v>44110</v>
      </c>
    </row>
    <row r="999" spans="2:18">
      <c r="C999" s="225" t="s">
        <v>402</v>
      </c>
      <c r="D999" s="225" t="s">
        <v>441</v>
      </c>
      <c r="E999" s="201">
        <v>25</v>
      </c>
      <c r="F999" s="201">
        <v>2</v>
      </c>
      <c r="G999" s="203">
        <v>43440</v>
      </c>
    </row>
    <row r="1000" spans="2:18">
      <c r="C1000" s="245" t="s">
        <v>565</v>
      </c>
      <c r="D1000" s="245" t="s">
        <v>2853</v>
      </c>
      <c r="E1000" s="201">
        <v>130</v>
      </c>
      <c r="F1000" s="201">
        <v>14.285714285714286</v>
      </c>
      <c r="G1000" s="203">
        <v>44323</v>
      </c>
    </row>
    <row r="1001" spans="2:18">
      <c r="C1001" s="245" t="s">
        <v>402</v>
      </c>
      <c r="D1001" s="245" t="s">
        <v>2853</v>
      </c>
      <c r="E1001" s="201">
        <v>44</v>
      </c>
      <c r="F1001" s="201">
        <v>5</v>
      </c>
      <c r="G1001" s="203">
        <v>43909</v>
      </c>
    </row>
    <row r="1002" spans="2:18">
      <c r="C1002" s="245" t="s">
        <v>544</v>
      </c>
      <c r="D1002" s="245" t="s">
        <v>2853</v>
      </c>
      <c r="E1002" s="201">
        <v>15</v>
      </c>
      <c r="F1002" s="201">
        <v>3</v>
      </c>
      <c r="G1002" s="203">
        <v>43452</v>
      </c>
    </row>
    <row r="1003" spans="2:18">
      <c r="C1003" s="245" t="s">
        <v>549</v>
      </c>
      <c r="D1003" s="245" t="s">
        <v>2853</v>
      </c>
      <c r="E1003" s="201">
        <v>2.5</v>
      </c>
      <c r="F1003" s="201">
        <v>1.5</v>
      </c>
      <c r="G1003" s="203">
        <v>42936</v>
      </c>
    </row>
    <row r="1004" spans="2:18">
      <c r="C1004" s="282" t="s">
        <v>755</v>
      </c>
      <c r="D1004" s="282" t="s">
        <v>1945</v>
      </c>
      <c r="E1004" s="201">
        <v>220</v>
      </c>
      <c r="F1004" s="201">
        <v>30</v>
      </c>
      <c r="G1004" s="203">
        <v>44502</v>
      </c>
      <c r="I1004" s="199">
        <v>794</v>
      </c>
      <c r="J1004" s="199">
        <v>794</v>
      </c>
    </row>
    <row r="1005" spans="2:18">
      <c r="C1005" s="282" t="s">
        <v>755</v>
      </c>
      <c r="D1005" s="282" t="s">
        <v>1945</v>
      </c>
      <c r="E1005" s="201">
        <v>220</v>
      </c>
      <c r="F1005" s="201">
        <v>27</v>
      </c>
      <c r="G1005" s="203">
        <v>44322</v>
      </c>
      <c r="I1005" s="199">
        <v>780</v>
      </c>
      <c r="J1005" s="199">
        <v>780</v>
      </c>
    </row>
    <row r="1006" spans="2:18">
      <c r="C1006" s="282" t="s">
        <v>565</v>
      </c>
      <c r="D1006" s="282" t="s">
        <v>1945</v>
      </c>
      <c r="E1006" s="201">
        <v>60</v>
      </c>
      <c r="F1006" s="201">
        <v>30</v>
      </c>
      <c r="G1006" s="203">
        <v>43528</v>
      </c>
    </row>
    <row r="1007" spans="2:18">
      <c r="G1007" s="203"/>
    </row>
    <row r="1008" spans="2:18">
      <c r="B1008" s="64" t="s">
        <v>892</v>
      </c>
      <c r="C1008" s="191" t="s">
        <v>491</v>
      </c>
      <c r="D1008" s="191" t="s">
        <v>759</v>
      </c>
      <c r="E1008" s="188"/>
      <c r="F1008" s="188">
        <f>SUM(F1009:F1019)</f>
        <v>42.2</v>
      </c>
      <c r="G1008" s="202">
        <f>G1016</f>
        <v>45005</v>
      </c>
    </row>
    <row r="1009" spans="2:7">
      <c r="C1009" s="200" t="s">
        <v>565</v>
      </c>
      <c r="D1009" s="200" t="s">
        <v>864</v>
      </c>
      <c r="E1009" s="201">
        <v>50</v>
      </c>
      <c r="F1009" s="201">
        <f>30/5</f>
        <v>6</v>
      </c>
      <c r="G1009" s="203">
        <v>44900</v>
      </c>
    </row>
    <row r="1010" spans="2:7">
      <c r="C1010" s="200" t="s">
        <v>565</v>
      </c>
      <c r="D1010" s="200" t="s">
        <v>617</v>
      </c>
      <c r="E1010" s="201">
        <v>85</v>
      </c>
      <c r="F1010" s="201">
        <v>10</v>
      </c>
      <c r="G1010" s="203">
        <v>44501</v>
      </c>
    </row>
    <row r="1011" spans="2:7">
      <c r="C1011" s="200" t="s">
        <v>402</v>
      </c>
      <c r="D1011" s="200" t="s">
        <v>617</v>
      </c>
      <c r="E1011" s="201">
        <v>28</v>
      </c>
      <c r="F1011" s="201">
        <v>5</v>
      </c>
      <c r="G1011" s="203">
        <v>44272</v>
      </c>
    </row>
    <row r="1012" spans="2:7">
      <c r="C1012" s="200" t="s">
        <v>544</v>
      </c>
      <c r="D1012" s="200" t="s">
        <v>617</v>
      </c>
      <c r="E1012" s="201">
        <v>15</v>
      </c>
      <c r="F1012" s="201">
        <v>5</v>
      </c>
      <c r="G1012" s="203">
        <v>43924</v>
      </c>
    </row>
    <row r="1013" spans="2:7">
      <c r="C1013" s="200" t="s">
        <v>549</v>
      </c>
      <c r="D1013" s="200" t="s">
        <v>617</v>
      </c>
      <c r="E1013" s="201">
        <v>3.9</v>
      </c>
      <c r="F1013" s="201">
        <v>2.9</v>
      </c>
      <c r="G1013" s="203">
        <v>43761</v>
      </c>
    </row>
    <row r="1014" spans="2:7">
      <c r="C1014" s="200" t="s">
        <v>549</v>
      </c>
      <c r="D1014" s="200" t="s">
        <v>1219</v>
      </c>
      <c r="E1014" s="201">
        <v>2.8</v>
      </c>
      <c r="F1014" s="201">
        <v>0.8</v>
      </c>
      <c r="G1014" s="203">
        <v>44994</v>
      </c>
    </row>
    <row r="1015" spans="2:7">
      <c r="C1015" s="200" t="s">
        <v>549</v>
      </c>
      <c r="D1015" s="200" t="s">
        <v>1219</v>
      </c>
      <c r="E1015" s="201">
        <v>2.6</v>
      </c>
      <c r="F1015" s="201">
        <v>1</v>
      </c>
      <c r="G1015" s="203">
        <v>44147</v>
      </c>
    </row>
    <row r="1016" spans="2:7">
      <c r="C1016" s="218" t="s">
        <v>544</v>
      </c>
      <c r="D1016" s="218" t="s">
        <v>705</v>
      </c>
      <c r="E1016" s="201">
        <v>12.5</v>
      </c>
      <c r="F1016" s="201">
        <v>7</v>
      </c>
      <c r="G1016" s="203">
        <v>45005</v>
      </c>
    </row>
    <row r="1017" spans="2:7">
      <c r="C1017" s="220" t="s">
        <v>549</v>
      </c>
      <c r="D1017" s="220" t="s">
        <v>465</v>
      </c>
      <c r="E1017" s="201">
        <v>12</v>
      </c>
      <c r="F1017" s="201">
        <v>2</v>
      </c>
      <c r="G1017" s="203">
        <v>44971</v>
      </c>
    </row>
    <row r="1018" spans="2:7">
      <c r="C1018" s="225" t="s">
        <v>549</v>
      </c>
      <c r="D1018" s="225" t="s">
        <v>586</v>
      </c>
      <c r="E1018" s="201">
        <v>6</v>
      </c>
      <c r="F1018" s="201">
        <v>2</v>
      </c>
      <c r="G1018" s="203">
        <v>44781</v>
      </c>
    </row>
    <row r="1019" spans="2:7">
      <c r="C1019" s="225" t="s">
        <v>669</v>
      </c>
      <c r="D1019" s="225" t="s">
        <v>586</v>
      </c>
      <c r="E1019" s="201">
        <v>1</v>
      </c>
      <c r="F1019" s="201">
        <v>0.5</v>
      </c>
      <c r="G1019" s="203">
        <v>44476</v>
      </c>
    </row>
    <row r="1020" spans="2:7">
      <c r="G1020" s="203"/>
    </row>
    <row r="1021" spans="2:7">
      <c r="B1021" s="64" t="s">
        <v>855</v>
      </c>
      <c r="C1021" s="191" t="s">
        <v>491</v>
      </c>
      <c r="D1021" s="191" t="s">
        <v>759</v>
      </c>
      <c r="E1021" s="188"/>
      <c r="F1021" s="188">
        <f>SUM(F1022:F1034)</f>
        <v>42.916666666666664</v>
      </c>
      <c r="G1021" s="202">
        <f>G1025</f>
        <v>45041</v>
      </c>
    </row>
    <row r="1022" spans="2:7">
      <c r="C1022" s="200" t="s">
        <v>402</v>
      </c>
      <c r="D1022" s="200" t="s">
        <v>850</v>
      </c>
      <c r="E1022" s="201">
        <v>45</v>
      </c>
      <c r="F1022" s="201">
        <v>10</v>
      </c>
      <c r="G1022" s="203">
        <v>44228</v>
      </c>
    </row>
    <row r="1023" spans="2:7">
      <c r="C1023" s="200" t="s">
        <v>544</v>
      </c>
      <c r="D1023" s="200" t="s">
        <v>850</v>
      </c>
      <c r="E1023" s="201">
        <v>5</v>
      </c>
      <c r="F1023" s="201">
        <v>1</v>
      </c>
      <c r="G1023" s="203">
        <v>43251</v>
      </c>
    </row>
    <row r="1024" spans="2:7">
      <c r="C1024" s="200" t="s">
        <v>544</v>
      </c>
      <c r="D1024" s="200" t="s">
        <v>650</v>
      </c>
      <c r="E1024" s="201">
        <v>14</v>
      </c>
      <c r="F1024" s="201">
        <v>2</v>
      </c>
      <c r="G1024" s="203">
        <v>44131</v>
      </c>
    </row>
    <row r="1025" spans="2:18">
      <c r="C1025" s="200" t="s">
        <v>402</v>
      </c>
      <c r="D1025" s="200" t="s">
        <v>392</v>
      </c>
      <c r="E1025" s="201">
        <v>97.4</v>
      </c>
      <c r="F1025" s="201">
        <f>47/6</f>
        <v>7.833333333333333</v>
      </c>
      <c r="G1025" s="203">
        <v>45041</v>
      </c>
    </row>
    <row r="1026" spans="2:18">
      <c r="C1026" s="200" t="s">
        <v>544</v>
      </c>
      <c r="D1026" s="200" t="s">
        <v>392</v>
      </c>
      <c r="E1026" s="201">
        <v>80</v>
      </c>
      <c r="F1026" s="201">
        <f>40/6</f>
        <v>6.666666666666667</v>
      </c>
      <c r="G1026" s="203">
        <v>44539</v>
      </c>
    </row>
    <row r="1027" spans="2:18">
      <c r="C1027" s="220" t="s">
        <v>549</v>
      </c>
      <c r="D1027" s="220" t="s">
        <v>465</v>
      </c>
      <c r="E1027" s="201">
        <v>12</v>
      </c>
      <c r="F1027" s="201">
        <v>2</v>
      </c>
      <c r="G1027" s="203">
        <v>44971</v>
      </c>
    </row>
    <row r="1028" spans="2:18">
      <c r="C1028" s="220" t="s">
        <v>549</v>
      </c>
      <c r="D1028" s="220" t="s">
        <v>465</v>
      </c>
      <c r="E1028" s="201">
        <v>5</v>
      </c>
      <c r="F1028" s="201">
        <v>1</v>
      </c>
      <c r="G1028" s="203">
        <v>44769</v>
      </c>
    </row>
    <row r="1029" spans="2:18">
      <c r="C1029" s="238" t="s">
        <v>402</v>
      </c>
      <c r="D1029" s="238" t="s">
        <v>2741</v>
      </c>
      <c r="E1029" s="201">
        <v>32</v>
      </c>
      <c r="F1029" s="201">
        <v>3</v>
      </c>
      <c r="G1029" s="203">
        <v>44364</v>
      </c>
    </row>
    <row r="1030" spans="2:18">
      <c r="C1030" s="238" t="s">
        <v>544</v>
      </c>
      <c r="D1030" s="238" t="s">
        <v>2741</v>
      </c>
      <c r="E1030" s="201">
        <v>10.199999999999999</v>
      </c>
      <c r="F1030" s="201">
        <v>2</v>
      </c>
      <c r="G1030" s="203">
        <v>43732</v>
      </c>
    </row>
    <row r="1031" spans="2:18">
      <c r="C1031" s="238" t="s">
        <v>549</v>
      </c>
      <c r="D1031" s="238" t="s">
        <v>2741</v>
      </c>
      <c r="E1031" s="201">
        <v>3</v>
      </c>
      <c r="F1031" s="201">
        <v>0.75</v>
      </c>
      <c r="G1031" s="203">
        <v>43374</v>
      </c>
    </row>
    <row r="1032" spans="2:18">
      <c r="C1032" s="252" t="s">
        <v>402</v>
      </c>
      <c r="D1032" s="252" t="s">
        <v>1628</v>
      </c>
      <c r="E1032" s="201">
        <v>40</v>
      </c>
      <c r="F1032" s="201">
        <v>4</v>
      </c>
      <c r="G1032" s="203">
        <v>43419</v>
      </c>
    </row>
    <row r="1033" spans="2:18">
      <c r="C1033" s="282" t="s">
        <v>544</v>
      </c>
      <c r="D1033" s="282" t="s">
        <v>1949</v>
      </c>
      <c r="E1033" s="201">
        <v>10.5</v>
      </c>
      <c r="F1033" s="201">
        <v>2</v>
      </c>
      <c r="G1033" s="203">
        <v>42828</v>
      </c>
    </row>
    <row r="1034" spans="2:18">
      <c r="C1034" s="282" t="s">
        <v>549</v>
      </c>
      <c r="D1034" s="282" t="s">
        <v>1949</v>
      </c>
      <c r="E1034" s="201">
        <v>2</v>
      </c>
      <c r="F1034" s="201">
        <f>+E1034/3</f>
        <v>0.66666666666666663</v>
      </c>
      <c r="G1034" s="203">
        <v>42521</v>
      </c>
    </row>
    <row r="1035" spans="2:18">
      <c r="G1035" s="203"/>
    </row>
    <row r="1036" spans="2:18" s="64" customFormat="1">
      <c r="B1036" s="64" t="s">
        <v>877</v>
      </c>
      <c r="C1036" s="191" t="s">
        <v>491</v>
      </c>
      <c r="D1036" s="191" t="s">
        <v>759</v>
      </c>
      <c r="E1036" s="188"/>
      <c r="F1036" s="188">
        <f>SUM(F1037:F1039)</f>
        <v>39.625</v>
      </c>
      <c r="G1036" s="202">
        <f>G1037</f>
        <v>44999</v>
      </c>
      <c r="M1036" s="191"/>
      <c r="N1036" s="191"/>
      <c r="O1036" s="191"/>
      <c r="P1036" s="191"/>
      <c r="Q1036" s="191"/>
      <c r="R1036" s="191"/>
    </row>
    <row r="1037" spans="2:18">
      <c r="C1037" s="200" t="s">
        <v>402</v>
      </c>
      <c r="D1037" s="200" t="s">
        <v>431</v>
      </c>
      <c r="E1037" s="201">
        <v>350</v>
      </c>
      <c r="F1037" s="201">
        <v>20</v>
      </c>
      <c r="G1037" s="203">
        <v>44999</v>
      </c>
    </row>
    <row r="1038" spans="2:18">
      <c r="C1038" s="272" t="s">
        <v>755</v>
      </c>
      <c r="D1038" s="272" t="s">
        <v>1798</v>
      </c>
      <c r="E1038" s="201">
        <v>111</v>
      </c>
      <c r="F1038" s="201">
        <v>14</v>
      </c>
      <c r="G1038" s="203">
        <v>44622</v>
      </c>
    </row>
    <row r="1039" spans="2:18">
      <c r="C1039" s="272" t="s">
        <v>565</v>
      </c>
      <c r="D1039" s="272" t="s">
        <v>1798</v>
      </c>
      <c r="E1039" s="201">
        <v>55</v>
      </c>
      <c r="F1039" s="201">
        <v>5.625</v>
      </c>
      <c r="G1039" s="203">
        <v>44314</v>
      </c>
    </row>
    <row r="1040" spans="2:18">
      <c r="G1040" s="203"/>
    </row>
    <row r="1041" spans="2:18" s="64" customFormat="1">
      <c r="B1041" s="64" t="s">
        <v>4201</v>
      </c>
      <c r="C1041" s="191" t="s">
        <v>491</v>
      </c>
      <c r="D1041" s="191" t="s">
        <v>759</v>
      </c>
      <c r="E1041" s="188"/>
      <c r="F1041" s="188">
        <f>SUM(F1042:F1050)</f>
        <v>40.360606060606067</v>
      </c>
      <c r="G1041" s="202">
        <f>G1042</f>
        <v>44642</v>
      </c>
      <c r="M1041" s="191"/>
      <c r="N1041" s="191"/>
      <c r="O1041" s="191"/>
      <c r="P1041" s="191"/>
      <c r="Q1041" s="191"/>
      <c r="R1041" s="191"/>
    </row>
    <row r="1042" spans="2:18">
      <c r="B1042" s="281"/>
      <c r="C1042" s="282" t="s">
        <v>402</v>
      </c>
      <c r="D1042" s="282" t="s">
        <v>4200</v>
      </c>
      <c r="E1042" s="201">
        <v>25</v>
      </c>
      <c r="F1042" s="201">
        <f>15/6</f>
        <v>2.5</v>
      </c>
      <c r="G1042" s="203">
        <v>44642</v>
      </c>
    </row>
    <row r="1043" spans="2:18">
      <c r="B1043" s="281"/>
      <c r="C1043" s="282" t="s">
        <v>544</v>
      </c>
      <c r="D1043" s="282" t="s">
        <v>4200</v>
      </c>
      <c r="E1043" s="201">
        <v>13.5</v>
      </c>
      <c r="F1043" s="201">
        <f>10/6</f>
        <v>1.6666666666666667</v>
      </c>
      <c r="G1043" s="203">
        <v>43978</v>
      </c>
    </row>
    <row r="1044" spans="2:18">
      <c r="B1044" s="281"/>
      <c r="C1044" s="282" t="s">
        <v>549</v>
      </c>
      <c r="D1044" s="282" t="s">
        <v>4200</v>
      </c>
      <c r="E1044" s="201">
        <v>5.3</v>
      </c>
      <c r="F1044" s="201">
        <v>1.3</v>
      </c>
      <c r="G1044" s="203">
        <v>43398</v>
      </c>
    </row>
    <row r="1045" spans="2:18">
      <c r="B1045" s="281"/>
      <c r="C1045" s="282" t="s">
        <v>549</v>
      </c>
      <c r="D1045" s="282" t="s">
        <v>4200</v>
      </c>
      <c r="E1045" s="201">
        <v>4</v>
      </c>
      <c r="F1045" s="201">
        <v>1.5</v>
      </c>
      <c r="G1045" s="203">
        <v>43122</v>
      </c>
    </row>
    <row r="1046" spans="2:18">
      <c r="B1046" s="281"/>
      <c r="C1046" s="282" t="s">
        <v>738</v>
      </c>
      <c r="D1046" s="282" t="s">
        <v>4370</v>
      </c>
      <c r="E1046" s="201">
        <v>222</v>
      </c>
      <c r="F1046" s="201">
        <f>200/21</f>
        <v>9.5238095238095237</v>
      </c>
      <c r="G1046" s="203">
        <v>44194</v>
      </c>
      <c r="I1046" s="199">
        <v>2500</v>
      </c>
      <c r="J1046" s="199">
        <v>2500</v>
      </c>
    </row>
    <row r="1047" spans="2:18">
      <c r="B1047" s="281"/>
      <c r="C1047" s="282" t="s">
        <v>755</v>
      </c>
      <c r="D1047" s="282" t="s">
        <v>4370</v>
      </c>
      <c r="E1047" s="201">
        <v>200</v>
      </c>
      <c r="F1047" s="201">
        <v>12.727272727272727</v>
      </c>
      <c r="G1047" s="203">
        <v>43452</v>
      </c>
      <c r="I1047" s="199">
        <v>1500</v>
      </c>
      <c r="J1047" s="199">
        <v>2500</v>
      </c>
    </row>
    <row r="1048" spans="2:18">
      <c r="B1048" s="281"/>
      <c r="C1048" s="282" t="s">
        <v>565</v>
      </c>
      <c r="D1048" s="282" t="s">
        <v>4370</v>
      </c>
      <c r="E1048" s="201">
        <v>50</v>
      </c>
      <c r="F1048" s="201">
        <v>5</v>
      </c>
      <c r="G1048" s="203">
        <v>43051</v>
      </c>
      <c r="J1048" s="199">
        <v>2500</v>
      </c>
    </row>
    <row r="1049" spans="2:18">
      <c r="B1049" s="281"/>
      <c r="C1049" s="282" t="s">
        <v>402</v>
      </c>
      <c r="D1049" s="282" t="s">
        <v>4370</v>
      </c>
      <c r="E1049" s="201">
        <v>30</v>
      </c>
      <c r="F1049" s="201">
        <v>3.1428571428571428</v>
      </c>
      <c r="G1049" s="203">
        <v>42936</v>
      </c>
      <c r="J1049" s="199">
        <v>2500</v>
      </c>
    </row>
    <row r="1050" spans="2:18">
      <c r="B1050" s="281"/>
      <c r="C1050" s="282" t="s">
        <v>544</v>
      </c>
      <c r="D1050" s="282" t="s">
        <v>4370</v>
      </c>
      <c r="E1050" s="201">
        <v>30</v>
      </c>
      <c r="F1050" s="201">
        <v>3</v>
      </c>
      <c r="G1050" s="203">
        <v>42674</v>
      </c>
      <c r="J1050" s="199">
        <v>2500</v>
      </c>
    </row>
    <row r="1051" spans="2:18">
      <c r="B1051" s="281"/>
      <c r="C1051" s="282"/>
      <c r="D1051" s="282"/>
      <c r="G1051" s="203"/>
    </row>
    <row r="1052" spans="2:18" s="64" customFormat="1">
      <c r="B1052" s="64" t="s">
        <v>1737</v>
      </c>
      <c r="C1052" s="191" t="s">
        <v>491</v>
      </c>
      <c r="D1052" s="191" t="s">
        <v>759</v>
      </c>
      <c r="E1052" s="188"/>
      <c r="F1052" s="188">
        <f>SUM(F1053:F1057)</f>
        <v>38.4</v>
      </c>
      <c r="G1052" s="202">
        <f>G1053</f>
        <v>44698</v>
      </c>
      <c r="M1052" s="191"/>
      <c r="N1052" s="191"/>
      <c r="O1052" s="191"/>
      <c r="P1052" s="191"/>
      <c r="Q1052" s="191"/>
      <c r="R1052" s="191"/>
    </row>
    <row r="1053" spans="2:18">
      <c r="B1053" s="219"/>
      <c r="C1053" s="220" t="s">
        <v>544</v>
      </c>
      <c r="D1053" s="220" t="s">
        <v>711</v>
      </c>
      <c r="E1053" s="201">
        <v>12.8</v>
      </c>
      <c r="F1053" s="201">
        <v>6.8</v>
      </c>
      <c r="G1053" s="203">
        <v>44698</v>
      </c>
    </row>
    <row r="1054" spans="2:18">
      <c r="B1054" s="219"/>
      <c r="C1054" s="225" t="s">
        <v>544</v>
      </c>
      <c r="D1054" s="225" t="s">
        <v>1522</v>
      </c>
      <c r="E1054" s="201">
        <v>14</v>
      </c>
      <c r="F1054" s="201">
        <f>8/5</f>
        <v>1.6</v>
      </c>
      <c r="G1054" s="203">
        <v>44447</v>
      </c>
    </row>
    <row r="1055" spans="2:18">
      <c r="B1055" s="219"/>
      <c r="C1055" s="225" t="s">
        <v>544</v>
      </c>
      <c r="D1055" s="225" t="s">
        <v>1522</v>
      </c>
      <c r="E1055" s="201">
        <v>12</v>
      </c>
      <c r="F1055" s="201">
        <f>8/4</f>
        <v>2</v>
      </c>
      <c r="G1055" s="203">
        <v>43532</v>
      </c>
    </row>
    <row r="1056" spans="2:18">
      <c r="B1056" s="219"/>
      <c r="C1056" s="228" t="s">
        <v>738</v>
      </c>
      <c r="D1056" s="228" t="s">
        <v>2428</v>
      </c>
      <c r="E1056" s="201">
        <v>206</v>
      </c>
      <c r="F1056" s="201">
        <v>14</v>
      </c>
      <c r="G1056" s="203">
        <v>43725</v>
      </c>
    </row>
    <row r="1057" spans="2:18">
      <c r="B1057" s="219"/>
      <c r="C1057" s="252" t="s">
        <v>565</v>
      </c>
      <c r="D1057" s="252" t="s">
        <v>1628</v>
      </c>
      <c r="E1057" s="201">
        <v>110</v>
      </c>
      <c r="F1057" s="201">
        <v>14</v>
      </c>
      <c r="G1057" s="203">
        <v>44369</v>
      </c>
    </row>
    <row r="1058" spans="2:18">
      <c r="B1058" s="219"/>
      <c r="C1058" s="220"/>
      <c r="D1058" s="220"/>
      <c r="G1058" s="203"/>
    </row>
    <row r="1059" spans="2:18" s="64" customFormat="1">
      <c r="B1059" s="64" t="s">
        <v>1122</v>
      </c>
      <c r="C1059" s="191" t="s">
        <v>491</v>
      </c>
      <c r="D1059" s="191" t="s">
        <v>759</v>
      </c>
      <c r="E1059" s="188"/>
      <c r="F1059" s="188">
        <f>SUM(F1060:F1061)</f>
        <v>38</v>
      </c>
      <c r="G1059" s="202">
        <f>G1060</f>
        <v>44812</v>
      </c>
      <c r="M1059" s="191"/>
      <c r="N1059" s="191"/>
      <c r="O1059" s="191"/>
      <c r="P1059" s="191"/>
      <c r="Q1059" s="191"/>
      <c r="R1059" s="191"/>
    </row>
    <row r="1060" spans="2:18">
      <c r="C1060" s="200" t="s">
        <v>402</v>
      </c>
      <c r="D1060" s="200" t="s">
        <v>652</v>
      </c>
      <c r="E1060" s="201">
        <v>38</v>
      </c>
      <c r="F1060" s="201">
        <v>18</v>
      </c>
      <c r="G1060" s="203">
        <v>44812</v>
      </c>
    </row>
    <row r="1061" spans="2:18">
      <c r="C1061" s="272" t="s">
        <v>565</v>
      </c>
      <c r="D1061" s="272" t="s">
        <v>1754</v>
      </c>
      <c r="E1061" s="201">
        <v>40</v>
      </c>
      <c r="F1061" s="201">
        <v>20</v>
      </c>
      <c r="G1061" s="203">
        <v>44599</v>
      </c>
    </row>
    <row r="1062" spans="2:18">
      <c r="G1062" s="203"/>
    </row>
    <row r="1063" spans="2:18" s="64" customFormat="1">
      <c r="B1063" s="64" t="s">
        <v>401</v>
      </c>
      <c r="C1063" s="191" t="s">
        <v>491</v>
      </c>
      <c r="D1063" s="191" t="s">
        <v>759</v>
      </c>
      <c r="E1063" s="188"/>
      <c r="F1063" s="188">
        <f>SUM(F1064:F1067)</f>
        <v>36.666666666666664</v>
      </c>
      <c r="G1063" s="202">
        <f>G1064</f>
        <v>45027</v>
      </c>
      <c r="M1063" s="191"/>
      <c r="N1063" s="191"/>
      <c r="O1063" s="191"/>
      <c r="P1063" s="191"/>
      <c r="Q1063" s="191"/>
      <c r="R1063" s="191"/>
    </row>
    <row r="1064" spans="2:18">
      <c r="C1064" s="200" t="s">
        <v>544</v>
      </c>
      <c r="D1064" s="200" t="s">
        <v>1156</v>
      </c>
      <c r="E1064" s="201">
        <v>21</v>
      </c>
      <c r="F1064" s="201">
        <f>11/3</f>
        <v>3.6666666666666665</v>
      </c>
      <c r="G1064" s="203">
        <v>45027</v>
      </c>
    </row>
    <row r="1065" spans="2:18">
      <c r="C1065" s="200" t="s">
        <v>549</v>
      </c>
      <c r="D1065" s="200" t="s">
        <v>1156</v>
      </c>
      <c r="E1065" s="201">
        <v>5</v>
      </c>
      <c r="F1065" s="201">
        <v>3</v>
      </c>
      <c r="G1065" s="203">
        <v>44888</v>
      </c>
    </row>
    <row r="1066" spans="2:18">
      <c r="C1066" s="200" t="s">
        <v>544</v>
      </c>
      <c r="D1066" s="200" t="s">
        <v>546</v>
      </c>
      <c r="E1066" s="201">
        <v>23.5</v>
      </c>
      <c r="F1066" s="201">
        <v>15</v>
      </c>
      <c r="G1066" s="203">
        <v>44875</v>
      </c>
    </row>
    <row r="1067" spans="2:18">
      <c r="C1067" s="211" t="s">
        <v>402</v>
      </c>
      <c r="D1067" s="211" t="s">
        <v>547</v>
      </c>
      <c r="E1067" s="201">
        <v>27</v>
      </c>
      <c r="F1067" s="201">
        <v>15</v>
      </c>
      <c r="G1067" s="203">
        <v>44882</v>
      </c>
    </row>
    <row r="1068" spans="2:18">
      <c r="G1068" s="203"/>
    </row>
    <row r="1069" spans="2:18" s="64" customFormat="1">
      <c r="B1069" s="64" t="s">
        <v>1724</v>
      </c>
      <c r="C1069" s="191" t="s">
        <v>491</v>
      </c>
      <c r="D1069" s="191" t="s">
        <v>759</v>
      </c>
      <c r="E1069" s="188"/>
      <c r="F1069" s="188">
        <f>SUM(F1070:F1078)</f>
        <v>37.314285714285717</v>
      </c>
      <c r="G1069" s="202">
        <f>G1073</f>
        <v>44860</v>
      </c>
    </row>
    <row r="1070" spans="2:18">
      <c r="B1070" s="219"/>
      <c r="C1070" s="220" t="s">
        <v>544</v>
      </c>
      <c r="D1070" s="220" t="s">
        <v>707</v>
      </c>
      <c r="E1070" s="201">
        <v>12.6</v>
      </c>
      <c r="F1070" s="201">
        <f>6.6/3</f>
        <v>2.1999999999999997</v>
      </c>
      <c r="G1070" s="203">
        <v>44579</v>
      </c>
      <c r="M1070" s="199"/>
      <c r="N1070" s="199"/>
      <c r="O1070" s="199"/>
      <c r="P1070" s="199"/>
      <c r="Q1070" s="199"/>
      <c r="R1070" s="199"/>
    </row>
    <row r="1071" spans="2:18">
      <c r="C1071" s="220" t="s">
        <v>549</v>
      </c>
      <c r="D1071" s="220" t="s">
        <v>707</v>
      </c>
      <c r="E1071" s="201">
        <v>3</v>
      </c>
      <c r="F1071" s="201">
        <v>1</v>
      </c>
      <c r="G1071" s="203">
        <v>43999</v>
      </c>
      <c r="M1071" s="199"/>
      <c r="N1071" s="199"/>
      <c r="O1071" s="199"/>
      <c r="P1071" s="199"/>
      <c r="Q1071" s="199"/>
      <c r="R1071" s="199"/>
    </row>
    <row r="1072" spans="2:18">
      <c r="C1072" s="220" t="s">
        <v>549</v>
      </c>
      <c r="D1072" s="220" t="s">
        <v>714</v>
      </c>
      <c r="E1072" s="201">
        <v>12.3</v>
      </c>
      <c r="F1072" s="201">
        <v>3</v>
      </c>
      <c r="G1072" s="203">
        <v>44622</v>
      </c>
      <c r="M1072" s="199"/>
      <c r="N1072" s="199"/>
      <c r="O1072" s="199"/>
      <c r="P1072" s="199"/>
      <c r="Q1072" s="199"/>
      <c r="R1072" s="199"/>
    </row>
    <row r="1073" spans="2:18">
      <c r="C1073" s="222" t="s">
        <v>544</v>
      </c>
      <c r="D1073" s="222" t="s">
        <v>716</v>
      </c>
      <c r="E1073" s="201">
        <v>12</v>
      </c>
      <c r="F1073" s="201">
        <v>2</v>
      </c>
      <c r="G1073" s="203">
        <v>44860</v>
      </c>
      <c r="M1073" s="199"/>
      <c r="N1073" s="199"/>
      <c r="O1073" s="199"/>
      <c r="P1073" s="199"/>
      <c r="Q1073" s="199"/>
      <c r="R1073" s="199"/>
    </row>
    <row r="1074" spans="2:18">
      <c r="C1074" s="222" t="s">
        <v>549</v>
      </c>
      <c r="D1074" s="222" t="s">
        <v>716</v>
      </c>
      <c r="E1074" s="201">
        <v>2.8</v>
      </c>
      <c r="F1074" s="201">
        <v>1.4</v>
      </c>
      <c r="G1074" s="203">
        <v>44215</v>
      </c>
      <c r="M1074" s="199"/>
      <c r="N1074" s="199"/>
      <c r="O1074" s="199"/>
      <c r="P1074" s="199"/>
      <c r="Q1074" s="199"/>
      <c r="R1074" s="199"/>
    </row>
    <row r="1075" spans="2:18">
      <c r="C1075" s="225" t="s">
        <v>669</v>
      </c>
      <c r="D1075" s="225" t="s">
        <v>594</v>
      </c>
      <c r="E1075" s="201">
        <v>2</v>
      </c>
      <c r="F1075" s="201">
        <v>1</v>
      </c>
      <c r="G1075" s="203">
        <v>44223</v>
      </c>
      <c r="M1075" s="199"/>
      <c r="N1075" s="199"/>
      <c r="O1075" s="199"/>
      <c r="P1075" s="199"/>
      <c r="Q1075" s="199"/>
      <c r="R1075" s="199"/>
    </row>
    <row r="1076" spans="2:18">
      <c r="C1076" s="282" t="s">
        <v>565</v>
      </c>
      <c r="D1076" s="282" t="s">
        <v>1941</v>
      </c>
      <c r="E1076" s="201">
        <v>230</v>
      </c>
      <c r="F1076" s="201">
        <f>110/7</f>
        <v>15.714285714285714</v>
      </c>
      <c r="G1076" s="203">
        <v>43634</v>
      </c>
      <c r="M1076" s="199"/>
      <c r="N1076" s="199"/>
      <c r="O1076" s="199"/>
      <c r="P1076" s="199"/>
      <c r="Q1076" s="199"/>
      <c r="R1076" s="199"/>
    </row>
    <row r="1077" spans="2:18">
      <c r="C1077" s="282" t="s">
        <v>402</v>
      </c>
      <c r="D1077" s="282" t="s">
        <v>1941</v>
      </c>
      <c r="E1077" s="201">
        <v>45</v>
      </c>
      <c r="F1077" s="201">
        <v>6</v>
      </c>
      <c r="G1077" s="203">
        <v>43293</v>
      </c>
      <c r="M1077" s="199"/>
      <c r="N1077" s="199"/>
      <c r="O1077" s="199"/>
      <c r="P1077" s="199"/>
      <c r="Q1077" s="199"/>
      <c r="R1077" s="199"/>
    </row>
    <row r="1078" spans="2:18">
      <c r="C1078" s="282" t="s">
        <v>544</v>
      </c>
      <c r="D1078" s="282" t="s">
        <v>1941</v>
      </c>
      <c r="E1078" s="201">
        <v>18</v>
      </c>
      <c r="F1078" s="201">
        <v>5</v>
      </c>
      <c r="G1078" s="203">
        <v>42983</v>
      </c>
      <c r="M1078" s="199"/>
      <c r="N1078" s="199"/>
      <c r="O1078" s="199"/>
      <c r="P1078" s="199"/>
      <c r="Q1078" s="199"/>
      <c r="R1078" s="199"/>
    </row>
    <row r="1079" spans="2:18">
      <c r="C1079" s="220"/>
      <c r="D1079" s="220"/>
      <c r="G1079" s="203"/>
      <c r="M1079" s="199"/>
      <c r="N1079" s="199"/>
      <c r="O1079" s="199"/>
      <c r="P1079" s="199"/>
      <c r="Q1079" s="199"/>
      <c r="R1079" s="199"/>
    </row>
    <row r="1080" spans="2:18" s="64" customFormat="1">
      <c r="B1080" s="64" t="s">
        <v>1319</v>
      </c>
      <c r="C1080" s="191" t="s">
        <v>491</v>
      </c>
      <c r="D1080" s="191" t="s">
        <v>759</v>
      </c>
      <c r="E1080" s="188"/>
      <c r="F1080" s="188">
        <f>SUM(F1081:F1084)</f>
        <v>33</v>
      </c>
      <c r="G1080" s="202">
        <f>G1081</f>
        <v>44636</v>
      </c>
      <c r="M1080" s="191"/>
      <c r="N1080" s="191"/>
      <c r="O1080" s="191"/>
      <c r="P1080" s="191"/>
      <c r="Q1080" s="191"/>
      <c r="R1080" s="191"/>
    </row>
    <row r="1081" spans="2:18">
      <c r="C1081" s="200" t="s">
        <v>402</v>
      </c>
      <c r="D1081" s="200" t="s">
        <v>671</v>
      </c>
      <c r="E1081" s="201">
        <v>25</v>
      </c>
      <c r="F1081" s="201">
        <v>3</v>
      </c>
      <c r="G1081" s="203">
        <v>44636</v>
      </c>
    </row>
    <row r="1082" spans="2:18">
      <c r="C1082" s="200" t="s">
        <v>544</v>
      </c>
      <c r="D1082" s="200" t="s">
        <v>671</v>
      </c>
      <c r="E1082" s="201">
        <v>12</v>
      </c>
      <c r="F1082" s="201">
        <v>2</v>
      </c>
      <c r="G1082" s="203">
        <v>44179</v>
      </c>
    </row>
    <row r="1083" spans="2:18">
      <c r="C1083" s="228" t="s">
        <v>813</v>
      </c>
      <c r="D1083" s="228" t="s">
        <v>2428</v>
      </c>
      <c r="E1083" s="201">
        <v>270</v>
      </c>
      <c r="F1083" s="201">
        <v>22</v>
      </c>
      <c r="G1083" s="203">
        <v>44152</v>
      </c>
    </row>
    <row r="1084" spans="2:18">
      <c r="C1084" s="252" t="s">
        <v>565</v>
      </c>
      <c r="D1084" s="252" t="s">
        <v>3702</v>
      </c>
      <c r="E1084" s="201">
        <v>38</v>
      </c>
      <c r="F1084" s="201">
        <v>6</v>
      </c>
      <c r="G1084" s="203">
        <v>43104</v>
      </c>
    </row>
    <row r="1085" spans="2:18">
      <c r="G1085" s="203"/>
    </row>
    <row r="1086" spans="2:18" s="64" customFormat="1">
      <c r="B1086" s="64" t="s">
        <v>2261</v>
      </c>
      <c r="C1086" s="191" t="s">
        <v>491</v>
      </c>
      <c r="D1086" s="191" t="s">
        <v>759</v>
      </c>
      <c r="E1086" s="188"/>
      <c r="F1086" s="188">
        <f>SUM(F1087:F1093)</f>
        <v>31.066666666666666</v>
      </c>
      <c r="G1086" s="202">
        <f>G1087</f>
        <v>45048</v>
      </c>
      <c r="M1086" s="191"/>
      <c r="N1086" s="191"/>
      <c r="O1086" s="191"/>
      <c r="P1086" s="191"/>
      <c r="Q1086" s="191"/>
      <c r="R1086" s="191"/>
    </row>
    <row r="1087" spans="2:18">
      <c r="B1087" s="224"/>
      <c r="C1087" s="225" t="s">
        <v>549</v>
      </c>
      <c r="D1087" s="225" t="s">
        <v>2255</v>
      </c>
      <c r="E1087" s="201">
        <v>5.6</v>
      </c>
      <c r="F1087" s="201">
        <f>E1087/3</f>
        <v>1.8666666666666665</v>
      </c>
      <c r="G1087" s="203">
        <v>45048</v>
      </c>
    </row>
    <row r="1088" spans="2:18">
      <c r="B1088" s="224"/>
      <c r="C1088" s="225" t="s">
        <v>549</v>
      </c>
      <c r="D1088" s="225" t="s">
        <v>502</v>
      </c>
      <c r="E1088" s="201">
        <v>4</v>
      </c>
      <c r="F1088" s="201">
        <f>4/3</f>
        <v>1.3333333333333333</v>
      </c>
      <c r="G1088" s="203">
        <v>42647</v>
      </c>
    </row>
    <row r="1089" spans="2:18">
      <c r="B1089" s="224"/>
      <c r="C1089" s="252" t="s">
        <v>565</v>
      </c>
      <c r="D1089" s="252" t="s">
        <v>1628</v>
      </c>
      <c r="E1089" s="201">
        <v>110</v>
      </c>
      <c r="F1089" s="201">
        <v>14</v>
      </c>
      <c r="G1089" s="203">
        <v>44369</v>
      </c>
    </row>
    <row r="1090" spans="2:18">
      <c r="B1090" s="224"/>
      <c r="C1090" s="252" t="s">
        <v>402</v>
      </c>
      <c r="D1090" s="252" t="s">
        <v>1628</v>
      </c>
      <c r="E1090" s="201">
        <v>40</v>
      </c>
      <c r="F1090" s="201">
        <v>4</v>
      </c>
      <c r="G1090" s="203">
        <v>43419</v>
      </c>
    </row>
    <row r="1091" spans="2:18">
      <c r="B1091" s="224"/>
      <c r="C1091" s="252" t="s">
        <v>544</v>
      </c>
      <c r="D1091" s="252" t="s">
        <v>1628</v>
      </c>
      <c r="E1091" s="201">
        <v>14.7</v>
      </c>
      <c r="F1091" s="201">
        <v>5.7</v>
      </c>
      <c r="G1091" s="203">
        <v>43032</v>
      </c>
    </row>
    <row r="1092" spans="2:18">
      <c r="B1092" s="224"/>
      <c r="C1092" s="282" t="s">
        <v>544</v>
      </c>
      <c r="D1092" s="282" t="s">
        <v>1922</v>
      </c>
      <c r="E1092" s="201">
        <v>10</v>
      </c>
      <c r="F1092" s="201">
        <v>2.5</v>
      </c>
      <c r="G1092" s="203">
        <v>42304</v>
      </c>
    </row>
    <row r="1093" spans="2:18">
      <c r="B1093" s="224"/>
      <c r="C1093" s="282" t="s">
        <v>549</v>
      </c>
      <c r="D1093" s="282" t="s">
        <v>1922</v>
      </c>
      <c r="E1093" s="201">
        <v>5</v>
      </c>
      <c r="F1093" s="201">
        <f>E1093/3</f>
        <v>1.6666666666666667</v>
      </c>
      <c r="G1093" s="203">
        <v>41940</v>
      </c>
    </row>
    <row r="1094" spans="2:18">
      <c r="B1094" s="224"/>
      <c r="C1094" s="225"/>
      <c r="D1094" s="225"/>
      <c r="G1094" s="203"/>
    </row>
    <row r="1095" spans="2:18" s="64" customFormat="1">
      <c r="B1095" s="64" t="s">
        <v>1663</v>
      </c>
      <c r="C1095" s="191" t="s">
        <v>491</v>
      </c>
      <c r="D1095" s="191" t="s">
        <v>759</v>
      </c>
      <c r="E1095" s="188"/>
      <c r="F1095" s="188">
        <f>SUM(F1096:F1103)</f>
        <v>30.549999999999997</v>
      </c>
      <c r="G1095" s="202">
        <f>G1096</f>
        <v>44952</v>
      </c>
    </row>
    <row r="1096" spans="2:18">
      <c r="B1096" s="210"/>
      <c r="C1096" s="211" t="s">
        <v>544</v>
      </c>
      <c r="D1096" s="211" t="s">
        <v>578</v>
      </c>
      <c r="E1096" s="201">
        <v>12.7</v>
      </c>
      <c r="F1096" s="201">
        <f>8/5</f>
        <v>1.6</v>
      </c>
      <c r="G1096" s="203">
        <v>44952</v>
      </c>
      <c r="M1096" s="199"/>
      <c r="N1096" s="199"/>
      <c r="O1096" s="199"/>
      <c r="P1096" s="199"/>
      <c r="Q1096" s="199"/>
      <c r="R1096" s="199"/>
    </row>
    <row r="1097" spans="2:18">
      <c r="B1097" s="210"/>
      <c r="C1097" s="225" t="s">
        <v>565</v>
      </c>
      <c r="D1097" s="225" t="s">
        <v>441</v>
      </c>
      <c r="E1097" s="201">
        <v>48</v>
      </c>
      <c r="F1097" s="201">
        <v>4</v>
      </c>
      <c r="G1097" s="203">
        <v>43888</v>
      </c>
      <c r="M1097" s="199"/>
      <c r="N1097" s="199"/>
      <c r="O1097" s="199"/>
      <c r="P1097" s="199"/>
      <c r="Q1097" s="199"/>
      <c r="R1097" s="199"/>
    </row>
    <row r="1098" spans="2:18">
      <c r="B1098" s="210"/>
      <c r="C1098" s="225" t="s">
        <v>402</v>
      </c>
      <c r="D1098" s="225" t="s">
        <v>441</v>
      </c>
      <c r="E1098" s="201">
        <v>25</v>
      </c>
      <c r="F1098" s="201">
        <v>5</v>
      </c>
      <c r="G1098" s="203">
        <v>43440</v>
      </c>
      <c r="M1098" s="199"/>
      <c r="N1098" s="199"/>
      <c r="O1098" s="199"/>
      <c r="P1098" s="199"/>
      <c r="Q1098" s="199"/>
      <c r="R1098" s="199"/>
    </row>
    <row r="1099" spans="2:18">
      <c r="C1099" s="225" t="s">
        <v>544</v>
      </c>
      <c r="D1099" s="225" t="s">
        <v>441</v>
      </c>
      <c r="E1099" s="201">
        <v>5.8</v>
      </c>
      <c r="F1099" s="201">
        <f>E1099/4</f>
        <v>1.45</v>
      </c>
      <c r="G1099" s="203">
        <v>43117</v>
      </c>
      <c r="M1099" s="199"/>
      <c r="N1099" s="199"/>
      <c r="O1099" s="199"/>
      <c r="P1099" s="199"/>
      <c r="Q1099" s="199"/>
      <c r="R1099" s="199"/>
    </row>
    <row r="1100" spans="2:18">
      <c r="C1100" s="225" t="s">
        <v>549</v>
      </c>
      <c r="D1100" s="225" t="s">
        <v>441</v>
      </c>
      <c r="E1100" s="201">
        <v>3.3</v>
      </c>
      <c r="F1100" s="201">
        <v>0.5</v>
      </c>
      <c r="G1100" s="203">
        <v>42678</v>
      </c>
      <c r="M1100" s="199"/>
      <c r="N1100" s="199"/>
      <c r="O1100" s="199"/>
      <c r="P1100" s="199"/>
      <c r="Q1100" s="199"/>
      <c r="R1100" s="199"/>
    </row>
    <row r="1101" spans="2:18">
      <c r="C1101" s="252" t="s">
        <v>544</v>
      </c>
      <c r="D1101" s="252" t="s">
        <v>1659</v>
      </c>
      <c r="E1101" s="201">
        <v>30</v>
      </c>
      <c r="F1101" s="201">
        <f>20/5</f>
        <v>4</v>
      </c>
      <c r="G1101" s="203">
        <v>44474</v>
      </c>
      <c r="M1101" s="199"/>
      <c r="N1101" s="199"/>
      <c r="O1101" s="199"/>
      <c r="P1101" s="199"/>
      <c r="Q1101" s="199"/>
      <c r="R1101" s="199"/>
    </row>
    <row r="1102" spans="2:18">
      <c r="C1102" s="252" t="s">
        <v>549</v>
      </c>
      <c r="D1102" s="252" t="s">
        <v>1659</v>
      </c>
      <c r="E1102" s="201">
        <v>15</v>
      </c>
      <c r="F1102" s="201">
        <v>5</v>
      </c>
      <c r="G1102" s="203">
        <v>43775</v>
      </c>
      <c r="M1102" s="199"/>
      <c r="N1102" s="199"/>
      <c r="O1102" s="199"/>
      <c r="P1102" s="199"/>
      <c r="Q1102" s="199"/>
      <c r="R1102" s="199"/>
    </row>
    <row r="1103" spans="2:18">
      <c r="C1103" s="272" t="s">
        <v>544</v>
      </c>
      <c r="D1103" s="272" t="s">
        <v>1823</v>
      </c>
      <c r="E1103" s="201">
        <v>112</v>
      </c>
      <c r="F1103" s="201">
        <v>9</v>
      </c>
      <c r="G1103" s="203">
        <v>43115</v>
      </c>
      <c r="M1103" s="199"/>
      <c r="N1103" s="199"/>
      <c r="O1103" s="199"/>
      <c r="P1103" s="199"/>
      <c r="Q1103" s="199"/>
      <c r="R1103" s="199"/>
    </row>
    <row r="1104" spans="2:18">
      <c r="B1104" s="210"/>
      <c r="C1104" s="225"/>
      <c r="D1104" s="225"/>
      <c r="G1104" s="203"/>
      <c r="M1104" s="199"/>
      <c r="N1104" s="199"/>
      <c r="O1104" s="199"/>
      <c r="P1104" s="199"/>
      <c r="Q1104" s="199"/>
      <c r="R1104" s="199"/>
    </row>
    <row r="1105" spans="2:18">
      <c r="B1105" s="64" t="s">
        <v>1324</v>
      </c>
      <c r="C1105" s="191" t="s">
        <v>491</v>
      </c>
      <c r="D1105" s="191" t="s">
        <v>759</v>
      </c>
      <c r="E1105" s="188"/>
      <c r="F1105" s="188">
        <f>SUM(F1106:F1114)</f>
        <v>28.683333333333334</v>
      </c>
      <c r="G1105" s="202">
        <f>G1109</f>
        <v>44861</v>
      </c>
    </row>
    <row r="1106" spans="2:18">
      <c r="C1106" s="200" t="s">
        <v>544</v>
      </c>
      <c r="D1106" s="200" t="s">
        <v>672</v>
      </c>
      <c r="E1106" s="201">
        <v>25</v>
      </c>
      <c r="F1106" s="201">
        <f>15/4</f>
        <v>3.75</v>
      </c>
      <c r="G1106" s="203">
        <v>44615</v>
      </c>
    </row>
    <row r="1107" spans="2:18">
      <c r="C1107" s="200" t="s">
        <v>549</v>
      </c>
      <c r="D1107" s="200" t="s">
        <v>672</v>
      </c>
      <c r="E1107" s="201">
        <v>5</v>
      </c>
      <c r="F1107" s="201">
        <v>2</v>
      </c>
      <c r="G1107" s="203">
        <v>44292</v>
      </c>
    </row>
    <row r="1108" spans="2:18">
      <c r="C1108" s="225" t="s">
        <v>549</v>
      </c>
      <c r="D1108" s="225" t="s">
        <v>597</v>
      </c>
      <c r="E1108" s="201">
        <v>9</v>
      </c>
      <c r="F1108" s="201">
        <v>2</v>
      </c>
      <c r="G1108" s="203">
        <v>44859</v>
      </c>
    </row>
    <row r="1109" spans="2:18">
      <c r="C1109" s="249" t="s">
        <v>402</v>
      </c>
      <c r="D1109" s="249" t="s">
        <v>1354</v>
      </c>
      <c r="E1109" s="201">
        <v>22</v>
      </c>
      <c r="F1109" s="201">
        <v>5</v>
      </c>
      <c r="G1109" s="203">
        <v>44861</v>
      </c>
    </row>
    <row r="1110" spans="2:18">
      <c r="C1110" s="249" t="s">
        <v>544</v>
      </c>
      <c r="D1110" s="249" t="s">
        <v>1354</v>
      </c>
      <c r="E1110" s="201">
        <v>15</v>
      </c>
      <c r="F1110" s="201">
        <v>9</v>
      </c>
      <c r="G1110" s="203">
        <v>44487</v>
      </c>
    </row>
    <row r="1111" spans="2:18">
      <c r="C1111" s="272" t="s">
        <v>544</v>
      </c>
      <c r="D1111" s="272" t="s">
        <v>1755</v>
      </c>
      <c r="E1111" s="201">
        <v>13</v>
      </c>
      <c r="F1111" s="201">
        <f>+E1111/3</f>
        <v>4.333333333333333</v>
      </c>
      <c r="G1111" s="203">
        <v>44453</v>
      </c>
    </row>
    <row r="1112" spans="2:18">
      <c r="C1112" s="272" t="s">
        <v>549</v>
      </c>
      <c r="D1112" s="272" t="s">
        <v>1755</v>
      </c>
      <c r="E1112" s="201">
        <v>6.2</v>
      </c>
      <c r="F1112" s="201">
        <v>2.6</v>
      </c>
      <c r="G1112" s="203">
        <v>44201</v>
      </c>
    </row>
    <row r="1113" spans="2:18">
      <c r="C1113" s="274" t="s">
        <v>738</v>
      </c>
      <c r="D1113" s="274" t="s">
        <v>1828</v>
      </c>
      <c r="E1113" s="201">
        <v>300</v>
      </c>
      <c r="F1113" s="280" t="s">
        <v>4052</v>
      </c>
      <c r="G1113" s="203">
        <v>44271</v>
      </c>
    </row>
    <row r="1114" spans="2:18">
      <c r="C1114" s="274" t="s">
        <v>544</v>
      </c>
      <c r="D1114" s="274" t="s">
        <v>1828</v>
      </c>
      <c r="E1114" s="201">
        <v>3</v>
      </c>
      <c r="F1114" s="280" t="s">
        <v>4054</v>
      </c>
      <c r="G1114" s="203">
        <v>41879</v>
      </c>
      <c r="I1114" s="199">
        <v>11</v>
      </c>
    </row>
    <row r="1115" spans="2:18">
      <c r="G1115" s="203"/>
    </row>
    <row r="1116" spans="2:18" s="64" customFormat="1">
      <c r="B1116" s="64" t="s">
        <v>1738</v>
      </c>
      <c r="C1116" s="191" t="s">
        <v>491</v>
      </c>
      <c r="D1116" s="191" t="s">
        <v>759</v>
      </c>
      <c r="E1116" s="188"/>
      <c r="F1116" s="188">
        <f>SUM(F1117:F1124)</f>
        <v>28.774999999999999</v>
      </c>
      <c r="G1116" s="202">
        <f>+G1117</f>
        <v>44698</v>
      </c>
      <c r="M1116" s="191"/>
      <c r="N1116" s="191"/>
      <c r="O1116" s="191"/>
      <c r="P1116" s="191"/>
      <c r="Q1116" s="191"/>
      <c r="R1116" s="191"/>
    </row>
    <row r="1117" spans="2:18">
      <c r="B1117" s="219"/>
      <c r="C1117" s="220" t="s">
        <v>544</v>
      </c>
      <c r="D1117" s="220" t="s">
        <v>711</v>
      </c>
      <c r="E1117" s="201">
        <v>12.8</v>
      </c>
      <c r="F1117" s="201">
        <v>3</v>
      </c>
      <c r="G1117" s="203">
        <v>44698</v>
      </c>
    </row>
    <row r="1118" spans="2:18">
      <c r="B1118" s="219"/>
      <c r="C1118" s="220" t="s">
        <v>549</v>
      </c>
      <c r="D1118" s="220" t="s">
        <v>711</v>
      </c>
      <c r="E1118" s="201">
        <v>5.5</v>
      </c>
      <c r="F1118" s="201">
        <v>1</v>
      </c>
      <c r="G1118" s="203">
        <v>44488</v>
      </c>
    </row>
    <row r="1119" spans="2:18">
      <c r="B1119" s="219"/>
      <c r="C1119" s="220" t="s">
        <v>549</v>
      </c>
      <c r="D1119" s="220" t="s">
        <v>715</v>
      </c>
      <c r="E1119" s="201">
        <v>8</v>
      </c>
      <c r="F1119" s="201">
        <v>1</v>
      </c>
      <c r="G1119" s="203">
        <v>44677</v>
      </c>
    </row>
    <row r="1120" spans="2:18">
      <c r="B1120" s="219"/>
      <c r="C1120" s="228" t="s">
        <v>402</v>
      </c>
      <c r="D1120" s="228" t="s">
        <v>1518</v>
      </c>
      <c r="E1120" s="201">
        <v>90</v>
      </c>
      <c r="F1120" s="201">
        <v>6</v>
      </c>
      <c r="G1120" s="229">
        <v>44398</v>
      </c>
    </row>
    <row r="1121" spans="2:18">
      <c r="B1121" s="219"/>
      <c r="C1121" s="228" t="s">
        <v>544</v>
      </c>
      <c r="D1121" s="228" t="s">
        <v>1518</v>
      </c>
      <c r="E1121" s="201">
        <v>22.8</v>
      </c>
      <c r="F1121" s="201">
        <v>6.4</v>
      </c>
      <c r="G1121" s="229">
        <v>43160</v>
      </c>
    </row>
    <row r="1122" spans="2:18">
      <c r="B1122" s="219"/>
      <c r="C1122" s="249" t="s">
        <v>544</v>
      </c>
      <c r="D1122" s="249" t="s">
        <v>1609</v>
      </c>
      <c r="E1122" s="201">
        <v>57</v>
      </c>
      <c r="F1122" s="201">
        <v>6</v>
      </c>
      <c r="G1122" s="229">
        <v>44508</v>
      </c>
    </row>
    <row r="1123" spans="2:18">
      <c r="B1123" s="219"/>
      <c r="C1123" s="274" t="s">
        <v>402</v>
      </c>
      <c r="D1123" s="274" t="s">
        <v>1858</v>
      </c>
      <c r="E1123" s="201">
        <v>23.5</v>
      </c>
      <c r="F1123" s="201">
        <f>13.5/4</f>
        <v>3.375</v>
      </c>
      <c r="G1123" s="229">
        <v>45008</v>
      </c>
    </row>
    <row r="1124" spans="2:18">
      <c r="B1124" s="219"/>
      <c r="C1124" s="274" t="s">
        <v>549</v>
      </c>
      <c r="D1124" s="274" t="s">
        <v>1858</v>
      </c>
      <c r="E1124" s="201">
        <v>5</v>
      </c>
      <c r="F1124" s="201">
        <v>2</v>
      </c>
      <c r="G1124" s="229">
        <v>44176</v>
      </c>
    </row>
    <row r="1125" spans="2:18">
      <c r="B1125" s="219"/>
      <c r="C1125" s="220"/>
      <c r="D1125" s="220"/>
      <c r="G1125" s="203"/>
    </row>
    <row r="1126" spans="2:18">
      <c r="B1126" s="64" t="s">
        <v>1597</v>
      </c>
      <c r="C1126" s="191" t="s">
        <v>491</v>
      </c>
      <c r="D1126" s="191" t="s">
        <v>759</v>
      </c>
      <c r="E1126" s="188"/>
      <c r="F1126" s="188">
        <f>SUM(F1127:F1133)</f>
        <v>28.566666666666666</v>
      </c>
      <c r="G1126" s="202">
        <f>G1127</f>
        <v>45069</v>
      </c>
    </row>
    <row r="1127" spans="2:18">
      <c r="B1127" s="210"/>
      <c r="C1127" s="211" t="s">
        <v>549</v>
      </c>
      <c r="D1127" s="211" t="s">
        <v>571</v>
      </c>
      <c r="E1127" s="201">
        <v>5.3</v>
      </c>
      <c r="F1127" s="201">
        <v>2</v>
      </c>
      <c r="G1127" s="203">
        <v>45069</v>
      </c>
    </row>
    <row r="1128" spans="2:18">
      <c r="B1128" s="210"/>
      <c r="C1128" s="225" t="s">
        <v>565</v>
      </c>
      <c r="D1128" s="225" t="s">
        <v>2149</v>
      </c>
      <c r="E1128" s="201">
        <v>125</v>
      </c>
      <c r="F1128" s="201">
        <v>9</v>
      </c>
      <c r="G1128" s="203">
        <v>44663</v>
      </c>
    </row>
    <row r="1129" spans="2:18">
      <c r="B1129" s="210"/>
      <c r="C1129" s="225" t="s">
        <v>402</v>
      </c>
      <c r="D1129" s="225" t="s">
        <v>2149</v>
      </c>
      <c r="E1129" s="201">
        <v>54</v>
      </c>
      <c r="F1129" s="201">
        <f>40/6</f>
        <v>6.666666666666667</v>
      </c>
      <c r="G1129" s="203">
        <v>44089</v>
      </c>
    </row>
    <row r="1130" spans="2:18">
      <c r="B1130" s="210"/>
      <c r="C1130" s="225" t="s">
        <v>544</v>
      </c>
      <c r="D1130" s="225" t="s">
        <v>2149</v>
      </c>
      <c r="E1130" s="201">
        <v>26</v>
      </c>
      <c r="F1130" s="201">
        <v>4</v>
      </c>
      <c r="G1130" s="203">
        <v>43809</v>
      </c>
    </row>
    <row r="1131" spans="2:18">
      <c r="B1131" s="210"/>
      <c r="C1131" s="225" t="s">
        <v>544</v>
      </c>
      <c r="D1131" s="225" t="s">
        <v>2149</v>
      </c>
      <c r="E1131" s="201">
        <v>8</v>
      </c>
      <c r="F1131" s="201">
        <v>1</v>
      </c>
      <c r="G1131" s="203">
        <v>43249</v>
      </c>
    </row>
    <row r="1132" spans="2:18">
      <c r="B1132" s="210"/>
      <c r="C1132" s="225" t="s">
        <v>544</v>
      </c>
      <c r="D1132" s="225" t="s">
        <v>2149</v>
      </c>
      <c r="E1132" s="201">
        <v>0.9</v>
      </c>
      <c r="F1132" s="201">
        <v>0.9</v>
      </c>
      <c r="G1132" s="203">
        <v>42951</v>
      </c>
    </row>
    <row r="1133" spans="2:18">
      <c r="B1133" s="210"/>
      <c r="C1133" s="225" t="s">
        <v>544</v>
      </c>
      <c r="D1133" s="225" t="s">
        <v>587</v>
      </c>
      <c r="E1133" s="201">
        <v>20</v>
      </c>
      <c r="F1133" s="201">
        <v>5</v>
      </c>
      <c r="G1133" s="203">
        <v>44671</v>
      </c>
    </row>
    <row r="1134" spans="2:18">
      <c r="B1134" s="210"/>
      <c r="C1134" s="211"/>
      <c r="D1134" s="211"/>
      <c r="G1134" s="203"/>
      <c r="I1134" s="227"/>
      <c r="J1134" s="227"/>
      <c r="K1134" s="227"/>
    </row>
    <row r="1135" spans="2:18" s="64" customFormat="1">
      <c r="B1135" s="64" t="s">
        <v>3938</v>
      </c>
      <c r="C1135" s="191" t="s">
        <v>491</v>
      </c>
      <c r="D1135" s="191" t="s">
        <v>759</v>
      </c>
      <c r="E1135" s="188"/>
      <c r="F1135" s="188">
        <f>SUM(F1136:F1139)</f>
        <v>28.222222222222221</v>
      </c>
      <c r="G1135" s="202">
        <f>G1136</f>
        <v>44274</v>
      </c>
      <c r="M1135" s="191"/>
      <c r="N1135" s="191"/>
      <c r="O1135" s="191"/>
      <c r="P1135" s="191"/>
      <c r="Q1135" s="191"/>
      <c r="R1135" s="191"/>
    </row>
    <row r="1136" spans="2:18">
      <c r="B1136" s="267"/>
      <c r="C1136" s="272" t="s">
        <v>565</v>
      </c>
      <c r="D1136" s="272" t="s">
        <v>1820</v>
      </c>
      <c r="E1136" s="201">
        <v>500</v>
      </c>
      <c r="F1136" s="201">
        <f>200/9</f>
        <v>22.222222222222221</v>
      </c>
      <c r="G1136" s="203">
        <v>44274</v>
      </c>
    </row>
    <row r="1137" spans="2:11">
      <c r="B1137" s="267"/>
      <c r="C1137" s="272" t="s">
        <v>402</v>
      </c>
      <c r="D1137" s="272" t="s">
        <v>1820</v>
      </c>
      <c r="E1137" s="201">
        <v>46</v>
      </c>
      <c r="F1137" s="201">
        <v>6</v>
      </c>
      <c r="G1137" s="203">
        <v>42941</v>
      </c>
    </row>
    <row r="1138" spans="2:11">
      <c r="B1138" s="267"/>
      <c r="C1138" s="274" t="s">
        <v>738</v>
      </c>
      <c r="D1138" s="274" t="s">
        <v>1828</v>
      </c>
      <c r="E1138" s="201">
        <v>300</v>
      </c>
      <c r="F1138" s="280" t="s">
        <v>4052</v>
      </c>
      <c r="G1138" s="203">
        <v>44271</v>
      </c>
    </row>
    <row r="1139" spans="2:11">
      <c r="B1139" s="267"/>
      <c r="C1139" s="274" t="s">
        <v>755</v>
      </c>
      <c r="D1139" s="274" t="s">
        <v>1828</v>
      </c>
      <c r="E1139" s="201">
        <v>38</v>
      </c>
      <c r="F1139" s="280" t="s">
        <v>4053</v>
      </c>
      <c r="G1139" s="203">
        <v>43266</v>
      </c>
    </row>
    <row r="1140" spans="2:11">
      <c r="B1140" s="267"/>
      <c r="C1140" s="272"/>
      <c r="D1140" s="272"/>
      <c r="G1140" s="203"/>
    </row>
    <row r="1141" spans="2:11">
      <c r="B1141" s="64" t="s">
        <v>829</v>
      </c>
      <c r="C1141" s="191" t="s">
        <v>491</v>
      </c>
      <c r="D1141" s="191" t="s">
        <v>759</v>
      </c>
      <c r="E1141" s="188"/>
      <c r="F1141" s="188">
        <f>SUM(F1142:F1149)</f>
        <v>23.5</v>
      </c>
      <c r="G1141" s="202">
        <f>+G1147</f>
        <v>44398</v>
      </c>
    </row>
    <row r="1142" spans="2:11">
      <c r="C1142" s="200" t="s">
        <v>669</v>
      </c>
      <c r="D1142" s="200" t="s">
        <v>420</v>
      </c>
      <c r="E1142" s="201">
        <v>1</v>
      </c>
      <c r="F1142" s="201">
        <v>0.5</v>
      </c>
      <c r="G1142" s="203">
        <v>44287</v>
      </c>
    </row>
    <row r="1143" spans="2:11">
      <c r="C1143" s="200" t="s">
        <v>544</v>
      </c>
      <c r="D1143" s="200" t="s">
        <v>864</v>
      </c>
      <c r="E1143" s="201">
        <v>8.5</v>
      </c>
      <c r="F1143" s="201">
        <v>1</v>
      </c>
      <c r="G1143" s="203">
        <v>44181</v>
      </c>
    </row>
    <row r="1144" spans="2:11">
      <c r="C1144" s="200" t="s">
        <v>544</v>
      </c>
      <c r="D1144" s="200" t="s">
        <v>684</v>
      </c>
      <c r="E1144" s="201">
        <v>20</v>
      </c>
      <c r="F1144" s="201">
        <f>10/4</f>
        <v>2.5</v>
      </c>
      <c r="G1144" s="203">
        <v>44392</v>
      </c>
    </row>
    <row r="1145" spans="2:11">
      <c r="C1145" s="200" t="s">
        <v>549</v>
      </c>
      <c r="D1145" s="200" t="s">
        <v>692</v>
      </c>
      <c r="E1145" s="201">
        <v>4.5</v>
      </c>
      <c r="F1145" s="201">
        <v>0.5</v>
      </c>
      <c r="G1145" s="203">
        <v>44293</v>
      </c>
    </row>
    <row r="1146" spans="2:11">
      <c r="C1146" s="225" t="s">
        <v>402</v>
      </c>
      <c r="D1146" s="225" t="s">
        <v>442</v>
      </c>
      <c r="E1146" s="201">
        <v>54</v>
      </c>
      <c r="F1146" s="201">
        <f>40/5</f>
        <v>8</v>
      </c>
      <c r="G1146" s="203">
        <v>44089</v>
      </c>
    </row>
    <row r="1147" spans="2:11">
      <c r="C1147" s="228" t="s">
        <v>402</v>
      </c>
      <c r="D1147" s="228" t="s">
        <v>1518</v>
      </c>
      <c r="E1147" s="201">
        <v>90</v>
      </c>
      <c r="F1147" s="201">
        <v>6</v>
      </c>
      <c r="G1147" s="203">
        <v>44398</v>
      </c>
    </row>
    <row r="1148" spans="2:11">
      <c r="C1148" s="238" t="s">
        <v>402</v>
      </c>
      <c r="D1148" s="238" t="s">
        <v>2741</v>
      </c>
      <c r="E1148" s="201">
        <v>32</v>
      </c>
      <c r="F1148" s="201">
        <v>3</v>
      </c>
      <c r="G1148" s="203">
        <v>44364</v>
      </c>
    </row>
    <row r="1149" spans="2:11">
      <c r="C1149" s="252" t="s">
        <v>544</v>
      </c>
      <c r="D1149" s="252" t="s">
        <v>1651</v>
      </c>
      <c r="E1149" s="201">
        <v>15</v>
      </c>
      <c r="F1149" s="201">
        <v>2</v>
      </c>
      <c r="G1149" s="203">
        <v>44314</v>
      </c>
    </row>
    <row r="1151" spans="2:11">
      <c r="B1151" s="64" t="s">
        <v>961</v>
      </c>
      <c r="C1151" s="191" t="s">
        <v>491</v>
      </c>
      <c r="D1151" s="191" t="s">
        <v>759</v>
      </c>
      <c r="F1151" s="188">
        <f>+F1152+F1153</f>
        <v>23.333333333333336</v>
      </c>
      <c r="G1151" s="202">
        <f>+G1152</f>
        <v>44699</v>
      </c>
      <c r="I1151" s="227" t="s">
        <v>496</v>
      </c>
      <c r="J1151" s="227" t="s">
        <v>496</v>
      </c>
      <c r="K1151" s="227" t="s">
        <v>496</v>
      </c>
    </row>
    <row r="1152" spans="2:11">
      <c r="C1152" s="200" t="s">
        <v>565</v>
      </c>
      <c r="D1152" s="200" t="s">
        <v>423</v>
      </c>
      <c r="E1152" s="201">
        <v>100</v>
      </c>
      <c r="F1152" s="201">
        <v>15</v>
      </c>
      <c r="G1152" s="203">
        <v>44699</v>
      </c>
    </row>
    <row r="1153" spans="2:7">
      <c r="C1153" s="200" t="s">
        <v>402</v>
      </c>
      <c r="D1153" s="200" t="s">
        <v>423</v>
      </c>
      <c r="E1153" s="201">
        <v>100</v>
      </c>
      <c r="F1153" s="201">
        <f>25/3</f>
        <v>8.3333333333333339</v>
      </c>
      <c r="G1153" s="203">
        <v>44286</v>
      </c>
    </row>
    <row r="1154" spans="2:7">
      <c r="G1154" s="203"/>
    </row>
    <row r="1155" spans="2:7">
      <c r="B1155" s="64" t="s">
        <v>802</v>
      </c>
      <c r="C1155" s="191" t="s">
        <v>491</v>
      </c>
      <c r="D1155" s="191" t="s">
        <v>759</v>
      </c>
      <c r="F1155" s="188">
        <f>SUM(F1156:F1163)</f>
        <v>23.366666666666667</v>
      </c>
      <c r="G1155" s="202">
        <f>G1156</f>
        <v>44690</v>
      </c>
    </row>
    <row r="1156" spans="2:7">
      <c r="C1156" s="200" t="s">
        <v>565</v>
      </c>
      <c r="D1156" s="200" t="s">
        <v>797</v>
      </c>
      <c r="E1156" s="201">
        <v>100</v>
      </c>
      <c r="F1156" s="201">
        <v>9</v>
      </c>
      <c r="G1156" s="203">
        <v>44690</v>
      </c>
    </row>
    <row r="1157" spans="2:7">
      <c r="C1157" s="200" t="s">
        <v>402</v>
      </c>
      <c r="D1157" s="200" t="s">
        <v>797</v>
      </c>
      <c r="E1157" s="201">
        <v>40</v>
      </c>
      <c r="F1157" s="201">
        <f>20/3</f>
        <v>6.666666666666667</v>
      </c>
      <c r="G1157" s="203">
        <v>44327</v>
      </c>
    </row>
    <row r="1158" spans="2:7">
      <c r="C1158" s="200" t="s">
        <v>544</v>
      </c>
      <c r="D1158" s="200" t="s">
        <v>797</v>
      </c>
      <c r="E1158" s="201">
        <v>15</v>
      </c>
      <c r="F1158" s="201">
        <v>3</v>
      </c>
      <c r="G1158" s="203">
        <v>43816</v>
      </c>
    </row>
    <row r="1159" spans="2:7">
      <c r="C1159" s="200" t="s">
        <v>549</v>
      </c>
      <c r="D1159" s="200" t="s">
        <v>797</v>
      </c>
      <c r="E1159" s="201">
        <v>4</v>
      </c>
      <c r="F1159" s="201">
        <v>1</v>
      </c>
      <c r="G1159" s="203">
        <v>43243</v>
      </c>
    </row>
    <row r="1160" spans="2:7">
      <c r="C1160" s="200" t="s">
        <v>810</v>
      </c>
      <c r="D1160" s="200" t="s">
        <v>797</v>
      </c>
      <c r="E1160" s="201">
        <v>1.2</v>
      </c>
      <c r="F1160" s="201">
        <v>0.2</v>
      </c>
      <c r="G1160" s="203">
        <v>42799</v>
      </c>
    </row>
    <row r="1161" spans="2:7">
      <c r="C1161" s="220" t="s">
        <v>544</v>
      </c>
      <c r="D1161" s="220" t="s">
        <v>712</v>
      </c>
      <c r="E1161" s="201">
        <v>13</v>
      </c>
      <c r="F1161" s="201">
        <v>2</v>
      </c>
      <c r="G1161" s="203">
        <v>44642</v>
      </c>
    </row>
    <row r="1162" spans="2:7">
      <c r="C1162" s="220" t="s">
        <v>549</v>
      </c>
      <c r="D1162" s="220" t="s">
        <v>712</v>
      </c>
      <c r="E1162" s="201">
        <v>3.5</v>
      </c>
      <c r="F1162" s="201">
        <v>1</v>
      </c>
      <c r="G1162" s="203">
        <v>44124</v>
      </c>
    </row>
    <row r="1163" spans="2:7">
      <c r="C1163" s="228" t="s">
        <v>549</v>
      </c>
      <c r="D1163" s="228" t="s">
        <v>2470</v>
      </c>
      <c r="E1163" s="201">
        <v>2</v>
      </c>
      <c r="F1163" s="201">
        <v>0.5</v>
      </c>
      <c r="G1163" s="203">
        <v>43876</v>
      </c>
    </row>
    <row r="1164" spans="2:7">
      <c r="G1164" s="203"/>
    </row>
    <row r="1165" spans="2:7">
      <c r="B1165" s="64" t="s">
        <v>981</v>
      </c>
      <c r="C1165" s="191" t="s">
        <v>491</v>
      </c>
      <c r="D1165" s="191" t="s">
        <v>759</v>
      </c>
      <c r="E1165" s="188"/>
      <c r="F1165" s="188">
        <f>SUM(F1166:F1167)</f>
        <v>23</v>
      </c>
      <c r="G1165" s="202">
        <f>G1166</f>
        <v>44796</v>
      </c>
    </row>
    <row r="1166" spans="2:7">
      <c r="C1166" s="200" t="s">
        <v>979</v>
      </c>
      <c r="D1166" s="200" t="s">
        <v>616</v>
      </c>
      <c r="E1166" s="201">
        <v>99</v>
      </c>
      <c r="F1166" s="201">
        <v>20</v>
      </c>
      <c r="G1166" s="203">
        <v>44796</v>
      </c>
    </row>
    <row r="1167" spans="2:7">
      <c r="C1167" s="218" t="s">
        <v>544</v>
      </c>
      <c r="D1167" s="218" t="s">
        <v>581</v>
      </c>
      <c r="E1167" s="201">
        <v>29</v>
      </c>
      <c r="F1167" s="201">
        <v>3</v>
      </c>
      <c r="G1167" s="203">
        <v>44783</v>
      </c>
    </row>
    <row r="1168" spans="2:7">
      <c r="C1168" s="218"/>
      <c r="D1168" s="218"/>
      <c r="G1168" s="203"/>
    </row>
    <row r="1169" spans="2:18" s="64" customFormat="1">
      <c r="B1169" s="64" t="s">
        <v>858</v>
      </c>
      <c r="C1169" s="191" t="s">
        <v>491</v>
      </c>
      <c r="D1169" s="191" t="s">
        <v>759</v>
      </c>
      <c r="E1169" s="188"/>
      <c r="F1169" s="188">
        <f>SUM(F1170:F1173)</f>
        <v>22.83</v>
      </c>
      <c r="G1169" s="202">
        <f>G1171</f>
        <v>44419</v>
      </c>
      <c r="M1169" s="191"/>
      <c r="N1169" s="191"/>
      <c r="O1169" s="191"/>
      <c r="P1169" s="191"/>
      <c r="Q1169" s="191"/>
      <c r="R1169" s="191"/>
    </row>
    <row r="1170" spans="2:18">
      <c r="C1170" s="200" t="s">
        <v>544</v>
      </c>
      <c r="D1170" s="200" t="s">
        <v>850</v>
      </c>
      <c r="E1170" s="201">
        <v>5</v>
      </c>
      <c r="F1170" s="201">
        <v>1</v>
      </c>
      <c r="G1170" s="203">
        <v>43251</v>
      </c>
    </row>
    <row r="1171" spans="2:18">
      <c r="C1171" s="225" t="s">
        <v>755</v>
      </c>
      <c r="D1171" s="225" t="s">
        <v>445</v>
      </c>
      <c r="E1171" s="201">
        <v>100</v>
      </c>
      <c r="F1171" s="201">
        <f>50/4</f>
        <v>12.5</v>
      </c>
      <c r="G1171" s="203">
        <v>44419</v>
      </c>
    </row>
    <row r="1172" spans="2:18">
      <c r="C1172" s="228" t="s">
        <v>402</v>
      </c>
      <c r="D1172" s="228" t="s">
        <v>1518</v>
      </c>
      <c r="E1172" s="201">
        <v>90</v>
      </c>
      <c r="F1172" s="201">
        <v>6</v>
      </c>
      <c r="G1172" s="203">
        <v>44398</v>
      </c>
    </row>
    <row r="1173" spans="2:18">
      <c r="C1173" s="228" t="s">
        <v>544</v>
      </c>
      <c r="D1173" s="228" t="s">
        <v>1518</v>
      </c>
      <c r="E1173" s="201">
        <v>22.8</v>
      </c>
      <c r="F1173" s="201">
        <v>3.33</v>
      </c>
      <c r="G1173" s="203">
        <v>43160</v>
      </c>
    </row>
    <row r="1174" spans="2:18">
      <c r="G1174" s="203"/>
    </row>
    <row r="1175" spans="2:18" s="64" customFormat="1">
      <c r="B1175" s="64" t="s">
        <v>1074</v>
      </c>
      <c r="C1175" s="191" t="s">
        <v>491</v>
      </c>
      <c r="D1175" s="191" t="s">
        <v>759</v>
      </c>
      <c r="E1175" s="188"/>
      <c r="F1175" s="188">
        <f>SUM(F1176:F1180)</f>
        <v>22.633333333333333</v>
      </c>
      <c r="G1175" s="202">
        <f>G1177</f>
        <v>44882</v>
      </c>
      <c r="M1175" s="191"/>
      <c r="N1175" s="191"/>
      <c r="O1175" s="191"/>
      <c r="P1175" s="191"/>
      <c r="Q1175" s="191"/>
      <c r="R1175" s="191"/>
    </row>
    <row r="1176" spans="2:18">
      <c r="C1176" s="200" t="s">
        <v>544</v>
      </c>
      <c r="D1176" s="200" t="s">
        <v>650</v>
      </c>
      <c r="E1176" s="201">
        <v>14</v>
      </c>
      <c r="F1176" s="201">
        <f t="shared" ref="F1176" si="6">9/5</f>
        <v>1.8</v>
      </c>
      <c r="G1176" s="203">
        <v>44131</v>
      </c>
    </row>
    <row r="1177" spans="2:18">
      <c r="C1177" s="200" t="s">
        <v>549</v>
      </c>
      <c r="D1177" s="200" t="s">
        <v>452</v>
      </c>
      <c r="E1177" s="201">
        <v>42</v>
      </c>
      <c r="F1177" s="201">
        <f>22/3</f>
        <v>7.333333333333333</v>
      </c>
      <c r="G1177" s="203">
        <v>44882</v>
      </c>
    </row>
    <row r="1178" spans="2:18">
      <c r="C1178" s="211" t="s">
        <v>544</v>
      </c>
      <c r="D1178" s="211" t="s">
        <v>700</v>
      </c>
      <c r="E1178" s="201">
        <v>14.5</v>
      </c>
      <c r="F1178" s="201">
        <v>2.5</v>
      </c>
      <c r="G1178" s="203">
        <v>44389</v>
      </c>
    </row>
    <row r="1179" spans="2:18">
      <c r="C1179" s="228" t="s">
        <v>565</v>
      </c>
      <c r="D1179" s="228" t="s">
        <v>2428</v>
      </c>
      <c r="E1179" s="201">
        <v>67.2</v>
      </c>
      <c r="F1179" s="201">
        <v>10</v>
      </c>
      <c r="G1179" s="203">
        <v>42943</v>
      </c>
    </row>
    <row r="1180" spans="2:18">
      <c r="C1180" s="274" t="s">
        <v>549</v>
      </c>
      <c r="D1180" s="274" t="s">
        <v>1858</v>
      </c>
      <c r="E1180" s="201">
        <v>5</v>
      </c>
      <c r="F1180" s="201">
        <v>1</v>
      </c>
      <c r="G1180" s="203">
        <v>44176</v>
      </c>
    </row>
    <row r="1181" spans="2:18">
      <c r="G1181" s="203"/>
    </row>
    <row r="1182" spans="2:18">
      <c r="B1182" s="64" t="s">
        <v>1083</v>
      </c>
      <c r="C1182" s="191" t="s">
        <v>491</v>
      </c>
      <c r="D1182" s="191" t="s">
        <v>759</v>
      </c>
      <c r="E1182" s="188"/>
      <c r="F1182" s="188">
        <f>SUM(F1183:F1187)</f>
        <v>21.333333333333336</v>
      </c>
      <c r="G1182" s="202">
        <f>G1187</f>
        <v>45007</v>
      </c>
    </row>
    <row r="1183" spans="2:18">
      <c r="C1183" s="200" t="s">
        <v>402</v>
      </c>
      <c r="D1183" s="200" t="s">
        <v>1082</v>
      </c>
      <c r="E1183" s="201">
        <v>50</v>
      </c>
      <c r="F1183" s="201">
        <f>25/3</f>
        <v>8.3333333333333339</v>
      </c>
      <c r="G1183" s="203">
        <v>44643</v>
      </c>
    </row>
    <row r="1184" spans="2:18">
      <c r="C1184" s="200" t="s">
        <v>544</v>
      </c>
      <c r="D1184" s="200" t="s">
        <v>1082</v>
      </c>
      <c r="E1184" s="201">
        <v>18.5</v>
      </c>
      <c r="F1184" s="201">
        <f>10/4</f>
        <v>2.5</v>
      </c>
      <c r="G1184" s="203">
        <v>44242</v>
      </c>
    </row>
    <row r="1185" spans="2:18">
      <c r="C1185" s="200" t="s">
        <v>549</v>
      </c>
      <c r="D1185" s="200" t="s">
        <v>1082</v>
      </c>
      <c r="E1185" s="201">
        <v>3.5</v>
      </c>
      <c r="F1185" s="201">
        <v>1.5</v>
      </c>
      <c r="G1185" s="203">
        <v>43631</v>
      </c>
    </row>
    <row r="1186" spans="2:18">
      <c r="C1186" s="200" t="s">
        <v>544</v>
      </c>
      <c r="D1186" s="200" t="s">
        <v>672</v>
      </c>
      <c r="E1186" s="201">
        <v>25</v>
      </c>
      <c r="F1186" s="201">
        <v>4</v>
      </c>
      <c r="G1186" s="203">
        <v>44615</v>
      </c>
    </row>
    <row r="1187" spans="2:18">
      <c r="C1187" s="222" t="s">
        <v>549</v>
      </c>
      <c r="D1187" s="222" t="s">
        <v>584</v>
      </c>
      <c r="E1187" s="201">
        <v>10.6</v>
      </c>
      <c r="F1187" s="201">
        <v>5</v>
      </c>
      <c r="G1187" s="203">
        <v>45007</v>
      </c>
    </row>
    <row r="1188" spans="2:18">
      <c r="G1188" s="203"/>
    </row>
    <row r="1189" spans="2:18">
      <c r="B1189" s="64" t="s">
        <v>1064</v>
      </c>
      <c r="C1189" s="191" t="s">
        <v>491</v>
      </c>
      <c r="D1189" s="191" t="s">
        <v>759</v>
      </c>
      <c r="E1189" s="188"/>
      <c r="F1189" s="188">
        <f>SUM(F1190:F1195)</f>
        <v>20.8</v>
      </c>
      <c r="G1189" s="202">
        <f>G1193</f>
        <v>45090</v>
      </c>
    </row>
    <row r="1190" spans="2:18">
      <c r="C1190" s="200" t="s">
        <v>402</v>
      </c>
      <c r="D1190" s="200" t="s">
        <v>649</v>
      </c>
      <c r="E1190" s="201">
        <v>40</v>
      </c>
      <c r="F1190" s="201">
        <v>5</v>
      </c>
      <c r="G1190" s="203">
        <v>44728</v>
      </c>
    </row>
    <row r="1191" spans="2:18">
      <c r="C1191" s="200" t="s">
        <v>544</v>
      </c>
      <c r="D1191" s="200" t="s">
        <v>649</v>
      </c>
      <c r="E1191" s="201">
        <v>18.600000000000001</v>
      </c>
      <c r="F1191" s="201">
        <f>8.6/2</f>
        <v>4.3</v>
      </c>
      <c r="G1191" s="203">
        <v>44112</v>
      </c>
    </row>
    <row r="1192" spans="2:18">
      <c r="C1192" s="200" t="s">
        <v>549</v>
      </c>
      <c r="D1192" s="200" t="s">
        <v>674</v>
      </c>
      <c r="E1192" s="201">
        <v>1.5</v>
      </c>
      <c r="F1192" s="201">
        <v>0.5</v>
      </c>
      <c r="G1192" s="203">
        <v>43979</v>
      </c>
    </row>
    <row r="1193" spans="2:18">
      <c r="C1193" s="211" t="s">
        <v>549</v>
      </c>
      <c r="D1193" s="211" t="s">
        <v>1149</v>
      </c>
      <c r="E1193" s="201">
        <v>113</v>
      </c>
      <c r="F1193" s="201">
        <v>8</v>
      </c>
      <c r="G1193" s="203">
        <v>45090</v>
      </c>
    </row>
    <row r="1194" spans="2:18">
      <c r="C1194" s="225" t="s">
        <v>544</v>
      </c>
      <c r="D1194" s="225" t="s">
        <v>593</v>
      </c>
      <c r="E1194" s="201">
        <v>20</v>
      </c>
      <c r="F1194" s="201">
        <f>15/6</f>
        <v>2.5</v>
      </c>
      <c r="G1194" s="203">
        <v>44801</v>
      </c>
    </row>
    <row r="1195" spans="2:18">
      <c r="C1195" s="228" t="s">
        <v>549</v>
      </c>
      <c r="D1195" s="228" t="s">
        <v>2471</v>
      </c>
      <c r="E1195" s="201">
        <v>2</v>
      </c>
      <c r="F1195" s="201">
        <v>0.5</v>
      </c>
      <c r="G1195" s="203">
        <v>43876</v>
      </c>
    </row>
    <row r="1196" spans="2:18">
      <c r="C1196" s="211"/>
      <c r="D1196" s="211"/>
      <c r="G1196" s="203"/>
    </row>
    <row r="1197" spans="2:18" s="64" customFormat="1">
      <c r="B1197" s="64" t="s">
        <v>2134</v>
      </c>
      <c r="C1197" s="191" t="s">
        <v>491</v>
      </c>
      <c r="D1197" s="191" t="s">
        <v>759</v>
      </c>
      <c r="E1197" s="188"/>
      <c r="F1197" s="188">
        <f>SUM(F1198:F1200)</f>
        <v>21.2</v>
      </c>
      <c r="G1197" s="202">
        <f>G1200</f>
        <v>44880</v>
      </c>
    </row>
    <row r="1198" spans="2:18">
      <c r="B1198" s="224"/>
      <c r="C1198" s="225" t="s">
        <v>738</v>
      </c>
      <c r="D1198" s="225" t="s">
        <v>441</v>
      </c>
      <c r="E1198" s="201">
        <v>132</v>
      </c>
      <c r="F1198" s="201">
        <f>72/10</f>
        <v>7.2</v>
      </c>
      <c r="G1198" s="203">
        <v>44215</v>
      </c>
      <c r="M1198" s="199"/>
      <c r="N1198" s="199"/>
      <c r="O1198" s="199"/>
      <c r="P1198" s="199"/>
      <c r="Q1198" s="199"/>
      <c r="R1198" s="199"/>
    </row>
    <row r="1199" spans="2:18">
      <c r="B1199" s="224"/>
      <c r="C1199" s="225" t="s">
        <v>755</v>
      </c>
      <c r="D1199" s="225" t="s">
        <v>441</v>
      </c>
      <c r="E1199" s="201">
        <v>42</v>
      </c>
      <c r="F1199" s="201">
        <f>30/5</f>
        <v>6</v>
      </c>
      <c r="G1199" s="203">
        <v>44153</v>
      </c>
      <c r="M1199" s="199"/>
      <c r="N1199" s="199"/>
      <c r="O1199" s="199"/>
      <c r="P1199" s="199"/>
      <c r="Q1199" s="199"/>
      <c r="R1199" s="199"/>
    </row>
    <row r="1200" spans="2:18">
      <c r="B1200" s="224"/>
      <c r="C1200" s="274" t="s">
        <v>755</v>
      </c>
      <c r="D1200" s="274" t="s">
        <v>4072</v>
      </c>
      <c r="E1200" s="201">
        <v>135</v>
      </c>
      <c r="F1200" s="201">
        <v>8</v>
      </c>
      <c r="G1200" s="203">
        <v>44880</v>
      </c>
      <c r="I1200" s="199">
        <v>615</v>
      </c>
      <c r="M1200" s="199"/>
      <c r="N1200" s="199"/>
      <c r="O1200" s="199"/>
      <c r="P1200" s="199"/>
      <c r="Q1200" s="199"/>
      <c r="R1200" s="199"/>
    </row>
    <row r="1201" spans="2:18">
      <c r="B1201" s="224"/>
      <c r="C1201" s="225"/>
      <c r="D1201" s="225"/>
      <c r="G1201" s="203"/>
      <c r="M1201" s="199"/>
      <c r="N1201" s="199"/>
      <c r="O1201" s="199"/>
      <c r="P1201" s="199"/>
      <c r="Q1201" s="199"/>
      <c r="R1201" s="199"/>
    </row>
    <row r="1202" spans="2:18" s="64" customFormat="1">
      <c r="B1202" s="64" t="s">
        <v>1295</v>
      </c>
      <c r="C1202" s="191" t="s">
        <v>491</v>
      </c>
      <c r="D1202" s="191" t="s">
        <v>759</v>
      </c>
      <c r="E1202" s="188"/>
      <c r="F1202" s="188">
        <f>SUM(F1203:F1206)</f>
        <v>22.933333333333334</v>
      </c>
      <c r="G1202" s="202">
        <f>G1204</f>
        <v>44851</v>
      </c>
      <c r="M1202" s="191"/>
      <c r="N1202" s="191"/>
      <c r="O1202" s="191"/>
      <c r="P1202" s="191"/>
      <c r="Q1202" s="191"/>
      <c r="R1202" s="191"/>
    </row>
    <row r="1203" spans="2:18">
      <c r="C1203" s="200" t="s">
        <v>544</v>
      </c>
      <c r="D1203" s="200" t="s">
        <v>668</v>
      </c>
      <c r="E1203" s="201">
        <v>25</v>
      </c>
      <c r="F1203" s="201">
        <v>5</v>
      </c>
      <c r="G1203" s="203">
        <v>44699</v>
      </c>
    </row>
    <row r="1204" spans="2:18">
      <c r="C1204" s="200" t="s">
        <v>544</v>
      </c>
      <c r="D1204" s="272" t="s">
        <v>1755</v>
      </c>
      <c r="E1204" s="201">
        <v>32</v>
      </c>
      <c r="F1204" s="201">
        <v>11</v>
      </c>
      <c r="G1204" s="203">
        <v>44851</v>
      </c>
    </row>
    <row r="1205" spans="2:18">
      <c r="C1205" s="200" t="s">
        <v>544</v>
      </c>
      <c r="D1205" s="272" t="s">
        <v>1755</v>
      </c>
      <c r="E1205" s="201">
        <v>26</v>
      </c>
      <c r="F1205" s="201">
        <v>4.333333333333333</v>
      </c>
      <c r="G1205" s="203">
        <v>44453</v>
      </c>
    </row>
    <row r="1206" spans="2:18">
      <c r="C1206" s="272" t="s">
        <v>549</v>
      </c>
      <c r="D1206" s="272" t="s">
        <v>1755</v>
      </c>
      <c r="E1206" s="201">
        <v>6.2</v>
      </c>
      <c r="F1206" s="201">
        <v>2.6</v>
      </c>
      <c r="G1206" s="203">
        <v>44201</v>
      </c>
    </row>
    <row r="1207" spans="2:18">
      <c r="G1207" s="203"/>
    </row>
    <row r="1208" spans="2:18">
      <c r="B1208" s="64" t="s">
        <v>1039</v>
      </c>
      <c r="C1208" s="191" t="s">
        <v>491</v>
      </c>
      <c r="D1208" s="191" t="s">
        <v>759</v>
      </c>
      <c r="F1208" s="188">
        <f>SUM(F1209:F1216)</f>
        <v>19.3</v>
      </c>
      <c r="G1208" s="202">
        <f>G1214</f>
        <v>45092</v>
      </c>
    </row>
    <row r="1209" spans="2:18">
      <c r="C1209" s="200" t="s">
        <v>402</v>
      </c>
      <c r="D1209" s="200" t="s">
        <v>623</v>
      </c>
      <c r="E1209" s="201">
        <v>50</v>
      </c>
      <c r="F1209" s="201">
        <v>6</v>
      </c>
      <c r="G1209" s="203">
        <v>45036</v>
      </c>
    </row>
    <row r="1210" spans="2:18">
      <c r="C1210" s="200" t="s">
        <v>544</v>
      </c>
      <c r="D1210" s="200" t="s">
        <v>623</v>
      </c>
      <c r="E1210" s="201">
        <v>16.5</v>
      </c>
      <c r="F1210" s="201">
        <v>1</v>
      </c>
      <c r="G1210" s="203">
        <v>44614</v>
      </c>
    </row>
    <row r="1211" spans="2:18">
      <c r="C1211" s="200" t="s">
        <v>549</v>
      </c>
      <c r="D1211" s="200" t="s">
        <v>623</v>
      </c>
      <c r="E1211" s="201">
        <v>1.2</v>
      </c>
      <c r="F1211" s="201">
        <v>0.5</v>
      </c>
      <c r="G1211" s="203">
        <v>44044</v>
      </c>
    </row>
    <row r="1212" spans="2:18">
      <c r="C1212" s="200" t="s">
        <v>402</v>
      </c>
      <c r="D1212" s="200" t="s">
        <v>650</v>
      </c>
      <c r="E1212" s="201">
        <v>40</v>
      </c>
      <c r="F1212" s="201">
        <f>30/6</f>
        <v>5</v>
      </c>
      <c r="G1212" s="203">
        <v>44650</v>
      </c>
    </row>
    <row r="1213" spans="2:18">
      <c r="C1213" s="200" t="s">
        <v>544</v>
      </c>
      <c r="D1213" s="200" t="s">
        <v>650</v>
      </c>
      <c r="E1213" s="201">
        <v>14</v>
      </c>
      <c r="F1213" s="201">
        <f t="shared" ref="F1213" si="7">9/5</f>
        <v>1.8</v>
      </c>
      <c r="G1213" s="203">
        <v>44131</v>
      </c>
    </row>
    <row r="1214" spans="2:18">
      <c r="C1214" s="200" t="s">
        <v>549</v>
      </c>
      <c r="D1214" s="200" t="s">
        <v>1528</v>
      </c>
      <c r="E1214" s="201">
        <v>5.5</v>
      </c>
      <c r="F1214" s="201">
        <v>1</v>
      </c>
      <c r="G1214" s="203">
        <v>45092</v>
      </c>
    </row>
    <row r="1215" spans="2:18">
      <c r="C1215" s="220" t="s">
        <v>549</v>
      </c>
      <c r="D1215" s="220" t="s">
        <v>465</v>
      </c>
      <c r="E1215" s="201">
        <v>12</v>
      </c>
      <c r="F1215" s="201">
        <v>2</v>
      </c>
      <c r="G1215" s="203">
        <v>44971</v>
      </c>
    </row>
    <row r="1216" spans="2:18">
      <c r="C1216" s="220" t="s">
        <v>549</v>
      </c>
      <c r="D1216" s="220" t="s">
        <v>465</v>
      </c>
      <c r="E1216" s="201">
        <v>5</v>
      </c>
      <c r="F1216" s="201">
        <v>2</v>
      </c>
      <c r="G1216" s="203">
        <v>44769</v>
      </c>
    </row>
    <row r="1217" spans="2:18">
      <c r="G1217" s="203"/>
    </row>
    <row r="1218" spans="2:18" s="64" customFormat="1">
      <c r="B1218" s="64" t="s">
        <v>1674</v>
      </c>
      <c r="C1218" s="191" t="s">
        <v>491</v>
      </c>
      <c r="D1218" s="191" t="s">
        <v>759</v>
      </c>
      <c r="E1218" s="188"/>
      <c r="F1218" s="188">
        <f>SUM(F1219:F1221)</f>
        <v>18.866666666666667</v>
      </c>
      <c r="G1218" s="202">
        <f>G1219</f>
        <v>45035</v>
      </c>
      <c r="M1218" s="191"/>
      <c r="N1218" s="191"/>
      <c r="O1218" s="191"/>
      <c r="P1218" s="191"/>
      <c r="Q1218" s="191"/>
      <c r="R1218" s="191"/>
    </row>
    <row r="1219" spans="2:18">
      <c r="B1219" s="210"/>
      <c r="C1219" s="211" t="s">
        <v>544</v>
      </c>
      <c r="D1219" s="211" t="s">
        <v>620</v>
      </c>
      <c r="E1219" s="201">
        <v>70</v>
      </c>
      <c r="F1219" s="201">
        <f>40/6</f>
        <v>6.666666666666667</v>
      </c>
      <c r="G1219" s="203">
        <v>45035</v>
      </c>
    </row>
    <row r="1220" spans="2:18">
      <c r="B1220" s="210"/>
      <c r="C1220" s="252" t="s">
        <v>549</v>
      </c>
      <c r="D1220" s="252" t="s">
        <v>1643</v>
      </c>
      <c r="E1220" s="201">
        <v>1.8</v>
      </c>
      <c r="F1220" s="201">
        <v>0.2</v>
      </c>
      <c r="G1220" s="203">
        <v>42690</v>
      </c>
    </row>
    <row r="1221" spans="2:18">
      <c r="B1221" s="210"/>
      <c r="C1221" s="272" t="s">
        <v>755</v>
      </c>
      <c r="D1221" s="272" t="s">
        <v>1822</v>
      </c>
      <c r="E1221" s="201">
        <v>130</v>
      </c>
      <c r="F1221" s="201">
        <v>12</v>
      </c>
      <c r="G1221" s="203">
        <v>42080</v>
      </c>
      <c r="I1221" s="199">
        <v>570</v>
      </c>
    </row>
    <row r="1222" spans="2:18">
      <c r="B1222" s="210"/>
      <c r="C1222" s="211"/>
      <c r="D1222" s="211"/>
      <c r="G1222" s="203"/>
    </row>
    <row r="1223" spans="2:18">
      <c r="B1223" s="64" t="s">
        <v>1000</v>
      </c>
      <c r="C1223" s="191" t="s">
        <v>491</v>
      </c>
      <c r="D1223" s="191" t="s">
        <v>759</v>
      </c>
      <c r="F1223" s="188">
        <f>SUM(F1224:F1228)</f>
        <v>19</v>
      </c>
      <c r="G1223" s="202">
        <f>+G1226</f>
        <v>44698</v>
      </c>
    </row>
    <row r="1224" spans="2:18">
      <c r="C1224" s="200" t="s">
        <v>402</v>
      </c>
      <c r="D1224" s="200" t="s">
        <v>626</v>
      </c>
      <c r="E1224" s="201">
        <v>22</v>
      </c>
      <c r="F1224" s="201">
        <v>5</v>
      </c>
      <c r="G1224" s="203">
        <v>44153</v>
      </c>
    </row>
    <row r="1225" spans="2:18">
      <c r="C1225" s="200" t="s">
        <v>544</v>
      </c>
      <c r="D1225" s="200" t="s">
        <v>626</v>
      </c>
      <c r="E1225" s="201">
        <v>13</v>
      </c>
      <c r="F1225" s="201">
        <v>3</v>
      </c>
      <c r="G1225" s="203">
        <v>44026</v>
      </c>
    </row>
    <row r="1226" spans="2:18">
      <c r="C1226" s="220" t="s">
        <v>544</v>
      </c>
      <c r="D1226" s="220" t="s">
        <v>711</v>
      </c>
      <c r="E1226" s="201">
        <v>12.8</v>
      </c>
      <c r="F1226" s="201">
        <v>3</v>
      </c>
      <c r="G1226" s="203">
        <v>44698</v>
      </c>
    </row>
    <row r="1227" spans="2:18">
      <c r="C1227" s="220" t="s">
        <v>549</v>
      </c>
      <c r="D1227" s="220" t="s">
        <v>711</v>
      </c>
      <c r="E1227" s="201">
        <v>5.5</v>
      </c>
      <c r="F1227" s="201">
        <v>3</v>
      </c>
      <c r="G1227" s="203">
        <v>44488</v>
      </c>
    </row>
    <row r="1228" spans="2:18">
      <c r="C1228" s="252" t="s">
        <v>544</v>
      </c>
      <c r="D1228" s="252" t="s">
        <v>1651</v>
      </c>
      <c r="E1228" s="201">
        <v>15</v>
      </c>
      <c r="F1228" s="201">
        <v>5</v>
      </c>
      <c r="G1228" s="203">
        <v>44314</v>
      </c>
    </row>
    <row r="1229" spans="2:18">
      <c r="G1229" s="203"/>
    </row>
    <row r="1230" spans="2:18" s="64" customFormat="1">
      <c r="B1230" s="64" t="s">
        <v>1095</v>
      </c>
      <c r="C1230" s="191" t="s">
        <v>491</v>
      </c>
      <c r="D1230" s="191" t="s">
        <v>759</v>
      </c>
      <c r="E1230" s="188"/>
      <c r="F1230" s="188">
        <f>SUM(F1231:F1233)</f>
        <v>18.071428571428569</v>
      </c>
      <c r="G1230" s="202">
        <f>G1232</f>
        <v>44880</v>
      </c>
      <c r="M1230" s="191"/>
      <c r="N1230" s="191"/>
      <c r="O1230" s="191"/>
      <c r="P1230" s="191"/>
      <c r="Q1230" s="191"/>
      <c r="R1230" s="191"/>
    </row>
    <row r="1231" spans="2:18">
      <c r="C1231" s="200" t="s">
        <v>544</v>
      </c>
      <c r="D1231" s="200" t="s">
        <v>1093</v>
      </c>
      <c r="E1231" s="201">
        <v>50</v>
      </c>
      <c r="F1231" s="201">
        <f>30/12</f>
        <v>2.5</v>
      </c>
      <c r="G1231" s="203">
        <v>44796</v>
      </c>
    </row>
    <row r="1232" spans="2:18">
      <c r="C1232" s="274" t="s">
        <v>755</v>
      </c>
      <c r="D1232" s="274" t="s">
        <v>4072</v>
      </c>
      <c r="E1232" s="201">
        <v>135</v>
      </c>
      <c r="F1232" s="201">
        <v>8</v>
      </c>
      <c r="G1232" s="203">
        <v>44880</v>
      </c>
    </row>
    <row r="1233" spans="2:18">
      <c r="C1233" s="274" t="s">
        <v>565</v>
      </c>
      <c r="D1233" s="274" t="s">
        <v>4072</v>
      </c>
      <c r="E1233" s="201">
        <v>73</v>
      </c>
      <c r="F1233" s="201">
        <f>53/7</f>
        <v>7.5714285714285712</v>
      </c>
      <c r="G1233" s="203">
        <v>44565</v>
      </c>
    </row>
    <row r="1234" spans="2:18">
      <c r="G1234" s="203"/>
    </row>
    <row r="1235" spans="2:18" s="64" customFormat="1">
      <c r="B1235" s="64" t="s">
        <v>1084</v>
      </c>
      <c r="C1235" s="191" t="s">
        <v>491</v>
      </c>
      <c r="D1235" s="191" t="s">
        <v>759</v>
      </c>
      <c r="E1235" s="188"/>
      <c r="F1235" s="188">
        <f>SUM(F1236:F1242)</f>
        <v>17.533333333333335</v>
      </c>
      <c r="G1235" s="202">
        <f>G1236</f>
        <v>44643</v>
      </c>
      <c r="M1235" s="191"/>
      <c r="N1235" s="191"/>
      <c r="O1235" s="191"/>
      <c r="P1235" s="191"/>
      <c r="Q1235" s="191"/>
      <c r="R1235" s="191"/>
    </row>
    <row r="1236" spans="2:18">
      <c r="C1236" s="200" t="s">
        <v>402</v>
      </c>
      <c r="D1236" s="200" t="s">
        <v>1082</v>
      </c>
      <c r="E1236" s="201">
        <v>50</v>
      </c>
      <c r="F1236" s="201">
        <f>25/3</f>
        <v>8.3333333333333339</v>
      </c>
      <c r="G1236" s="203">
        <v>44643</v>
      </c>
    </row>
    <row r="1237" spans="2:18">
      <c r="C1237" s="200" t="s">
        <v>544</v>
      </c>
      <c r="D1237" s="200" t="s">
        <v>1082</v>
      </c>
      <c r="E1237" s="201">
        <v>18.5</v>
      </c>
      <c r="F1237" s="201">
        <f>10/4</f>
        <v>2.5</v>
      </c>
      <c r="G1237" s="203">
        <v>44242</v>
      </c>
    </row>
    <row r="1238" spans="2:18">
      <c r="C1238" s="200" t="s">
        <v>549</v>
      </c>
      <c r="D1238" s="200" t="s">
        <v>1082</v>
      </c>
      <c r="E1238" s="201">
        <v>3.5</v>
      </c>
      <c r="F1238" s="201">
        <v>1.5</v>
      </c>
      <c r="G1238" s="203">
        <v>43631</v>
      </c>
    </row>
    <row r="1239" spans="2:18">
      <c r="C1239" s="220" t="s">
        <v>544</v>
      </c>
      <c r="D1239" s="220" t="s">
        <v>707</v>
      </c>
      <c r="E1239" s="201">
        <v>12.6</v>
      </c>
      <c r="F1239" s="201">
        <v>2.2000000000000002</v>
      </c>
      <c r="G1239" s="203">
        <v>44579</v>
      </c>
    </row>
    <row r="1240" spans="2:18">
      <c r="C1240" s="220" t="s">
        <v>549</v>
      </c>
      <c r="D1240" s="220" t="s">
        <v>707</v>
      </c>
      <c r="E1240" s="201">
        <v>3</v>
      </c>
      <c r="F1240" s="201">
        <v>1</v>
      </c>
      <c r="G1240" s="203">
        <v>43999</v>
      </c>
    </row>
    <row r="1241" spans="2:18">
      <c r="C1241" s="225" t="s">
        <v>544</v>
      </c>
      <c r="D1241" s="225" t="s">
        <v>1516</v>
      </c>
      <c r="E1241" s="201">
        <v>10.5</v>
      </c>
      <c r="F1241" s="201">
        <v>1</v>
      </c>
      <c r="G1241" s="203">
        <v>44341</v>
      </c>
    </row>
    <row r="1242" spans="2:18">
      <c r="C1242" s="225" t="s">
        <v>549</v>
      </c>
      <c r="D1242" s="225" t="s">
        <v>1516</v>
      </c>
      <c r="E1242" s="201">
        <v>4</v>
      </c>
      <c r="F1242" s="201">
        <v>1</v>
      </c>
      <c r="G1242" s="203">
        <v>43671</v>
      </c>
    </row>
    <row r="1243" spans="2:18">
      <c r="G1243" s="203"/>
    </row>
    <row r="1244" spans="2:18">
      <c r="B1244" s="64" t="s">
        <v>854</v>
      </c>
      <c r="C1244" s="191" t="s">
        <v>491</v>
      </c>
      <c r="D1244" s="191" t="s">
        <v>759</v>
      </c>
      <c r="E1244" s="188"/>
      <c r="F1244" s="188">
        <f>SUM(F1245:F1248)</f>
        <v>18</v>
      </c>
      <c r="G1244" s="202">
        <f>G1247</f>
        <v>44467</v>
      </c>
    </row>
    <row r="1245" spans="2:18">
      <c r="C1245" s="200" t="s">
        <v>402</v>
      </c>
      <c r="D1245" s="200" t="s">
        <v>850</v>
      </c>
      <c r="E1245" s="201">
        <v>45</v>
      </c>
      <c r="F1245" s="201">
        <v>10</v>
      </c>
      <c r="G1245" s="203">
        <v>44228</v>
      </c>
    </row>
    <row r="1246" spans="2:18">
      <c r="C1246" s="200" t="s">
        <v>544</v>
      </c>
      <c r="D1246" s="200" t="s">
        <v>850</v>
      </c>
      <c r="E1246" s="201">
        <v>5</v>
      </c>
      <c r="F1246" s="201">
        <v>2</v>
      </c>
      <c r="G1246" s="203">
        <v>43251</v>
      </c>
    </row>
    <row r="1247" spans="2:18">
      <c r="C1247" s="200" t="s">
        <v>544</v>
      </c>
      <c r="D1247" s="200" t="s">
        <v>652</v>
      </c>
      <c r="E1247" s="201">
        <v>19</v>
      </c>
      <c r="F1247" s="201">
        <v>4</v>
      </c>
      <c r="G1247" s="203">
        <v>44467</v>
      </c>
    </row>
    <row r="1248" spans="2:18">
      <c r="C1248" s="200" t="s">
        <v>549</v>
      </c>
      <c r="D1248" s="200" t="s">
        <v>652</v>
      </c>
      <c r="E1248" s="201">
        <v>4</v>
      </c>
      <c r="F1248" s="201">
        <v>2</v>
      </c>
      <c r="G1248" s="203">
        <v>43873</v>
      </c>
    </row>
    <row r="1249" spans="2:18">
      <c r="G1249" s="203"/>
    </row>
    <row r="1250" spans="2:18" s="64" customFormat="1">
      <c r="B1250" s="64" t="s">
        <v>1347</v>
      </c>
      <c r="C1250" s="191" t="s">
        <v>491</v>
      </c>
      <c r="D1250" s="191" t="s">
        <v>759</v>
      </c>
      <c r="E1250" s="188"/>
      <c r="F1250" s="188">
        <f>SUM(F1251:F1253)</f>
        <v>17.571428571428569</v>
      </c>
      <c r="G1250" s="202">
        <f>G1252</f>
        <v>44851</v>
      </c>
      <c r="M1250" s="191"/>
      <c r="N1250" s="191"/>
      <c r="O1250" s="191"/>
      <c r="P1250" s="191"/>
      <c r="Q1250" s="191"/>
      <c r="R1250" s="191"/>
    </row>
    <row r="1251" spans="2:18">
      <c r="C1251" s="200" t="s">
        <v>544</v>
      </c>
      <c r="D1251" s="200" t="s">
        <v>674</v>
      </c>
      <c r="E1251" s="201">
        <v>25</v>
      </c>
      <c r="F1251" s="201">
        <f>18/7</f>
        <v>2.5714285714285716</v>
      </c>
      <c r="G1251" s="203">
        <v>44757</v>
      </c>
    </row>
    <row r="1252" spans="2:18">
      <c r="C1252" s="272" t="s">
        <v>544</v>
      </c>
      <c r="D1252" s="272" t="s">
        <v>1755</v>
      </c>
      <c r="E1252" s="201">
        <v>32</v>
      </c>
      <c r="F1252" s="201">
        <v>5</v>
      </c>
      <c r="G1252" s="203">
        <v>44851</v>
      </c>
    </row>
    <row r="1253" spans="2:18">
      <c r="C1253" s="282" t="s">
        <v>738</v>
      </c>
      <c r="D1253" s="282" t="s">
        <v>4370</v>
      </c>
      <c r="E1253" s="201">
        <v>222</v>
      </c>
      <c r="F1253" s="201">
        <v>10</v>
      </c>
      <c r="G1253" s="203">
        <v>44194</v>
      </c>
      <c r="I1253" s="199">
        <v>2500</v>
      </c>
      <c r="J1253" s="199">
        <v>2500</v>
      </c>
    </row>
    <row r="1254" spans="2:18">
      <c r="C1254" s="282" t="s">
        <v>755</v>
      </c>
      <c r="D1254" s="282" t="s">
        <v>4370</v>
      </c>
      <c r="E1254" s="201">
        <v>150</v>
      </c>
      <c r="F1254" s="201">
        <v>16.666666666666668</v>
      </c>
      <c r="G1254" s="203">
        <v>43885</v>
      </c>
      <c r="I1254" s="199">
        <v>1800</v>
      </c>
      <c r="J1254" s="199">
        <v>2500</v>
      </c>
    </row>
    <row r="1255" spans="2:18">
      <c r="C1255" s="282" t="s">
        <v>755</v>
      </c>
      <c r="D1255" s="282" t="s">
        <v>4370</v>
      </c>
      <c r="E1255" s="201">
        <v>200</v>
      </c>
      <c r="F1255" s="201">
        <v>13</v>
      </c>
      <c r="G1255" s="203">
        <v>43452</v>
      </c>
      <c r="I1255" s="199">
        <v>1500</v>
      </c>
      <c r="J1255" s="199">
        <v>2500</v>
      </c>
    </row>
    <row r="1256" spans="2:18">
      <c r="G1256" s="203"/>
    </row>
    <row r="1257" spans="2:18">
      <c r="B1257" s="64" t="s">
        <v>1123</v>
      </c>
      <c r="C1257" s="191" t="s">
        <v>491</v>
      </c>
      <c r="D1257" s="191" t="s">
        <v>759</v>
      </c>
      <c r="F1257" s="188">
        <f>SUM(F1258:F1262)</f>
        <v>18.166666666666668</v>
      </c>
      <c r="G1257" s="202">
        <f>+G1258</f>
        <v>44812</v>
      </c>
    </row>
    <row r="1258" spans="2:18">
      <c r="C1258" s="200" t="s">
        <v>402</v>
      </c>
      <c r="D1258" s="200" t="s">
        <v>652</v>
      </c>
      <c r="E1258" s="201">
        <v>38</v>
      </c>
      <c r="F1258" s="201">
        <f>20/3</f>
        <v>6.666666666666667</v>
      </c>
      <c r="G1258" s="203">
        <v>44812</v>
      </c>
    </row>
    <row r="1259" spans="2:18">
      <c r="C1259" s="200" t="s">
        <v>544</v>
      </c>
      <c r="D1259" s="200" t="s">
        <v>652</v>
      </c>
      <c r="E1259" s="201">
        <v>19</v>
      </c>
      <c r="F1259" s="201">
        <v>4</v>
      </c>
      <c r="G1259" s="203">
        <v>44467</v>
      </c>
    </row>
    <row r="1260" spans="2:18">
      <c r="C1260" s="200" t="s">
        <v>544</v>
      </c>
      <c r="D1260" s="200" t="s">
        <v>668</v>
      </c>
      <c r="E1260" s="201">
        <v>25</v>
      </c>
      <c r="F1260" s="201">
        <v>5</v>
      </c>
      <c r="G1260" s="203">
        <v>44699</v>
      </c>
    </row>
    <row r="1261" spans="2:18">
      <c r="C1261" s="200" t="s">
        <v>544</v>
      </c>
      <c r="D1261" s="200" t="s">
        <v>1445</v>
      </c>
      <c r="E1261" s="201">
        <v>20</v>
      </c>
      <c r="F1261" s="201">
        <v>2</v>
      </c>
      <c r="G1261" s="203">
        <v>44602</v>
      </c>
    </row>
    <row r="1262" spans="2:18">
      <c r="C1262" s="200" t="s">
        <v>549</v>
      </c>
      <c r="D1262" s="200" t="s">
        <v>692</v>
      </c>
      <c r="E1262" s="201">
        <v>4.5</v>
      </c>
      <c r="F1262" s="201">
        <v>0.5</v>
      </c>
      <c r="G1262" s="203">
        <v>44293</v>
      </c>
    </row>
    <row r="1263" spans="2:18">
      <c r="G1263" s="203"/>
    </row>
    <row r="1264" spans="2:18">
      <c r="B1264" s="64" t="s">
        <v>1040</v>
      </c>
      <c r="C1264" s="191" t="s">
        <v>491</v>
      </c>
      <c r="D1264" s="191" t="s">
        <v>759</v>
      </c>
      <c r="F1264" s="188">
        <f>SUM(F1265:F1268)</f>
        <v>18</v>
      </c>
      <c r="G1264" s="202">
        <f>G1265</f>
        <v>45036</v>
      </c>
    </row>
    <row r="1265" spans="2:18">
      <c r="C1265" s="200" t="s">
        <v>402</v>
      </c>
      <c r="D1265" s="200" t="s">
        <v>623</v>
      </c>
      <c r="E1265" s="201">
        <v>50</v>
      </c>
      <c r="F1265" s="201">
        <v>6</v>
      </c>
      <c r="G1265" s="203">
        <v>45036</v>
      </c>
    </row>
    <row r="1266" spans="2:18">
      <c r="C1266" s="200" t="s">
        <v>544</v>
      </c>
      <c r="D1266" s="200" t="s">
        <v>623</v>
      </c>
      <c r="E1266" s="201">
        <v>16.5</v>
      </c>
      <c r="F1266" s="201">
        <v>6</v>
      </c>
      <c r="G1266" s="203">
        <v>44614</v>
      </c>
    </row>
    <row r="1267" spans="2:18">
      <c r="C1267" s="200" t="s">
        <v>549</v>
      </c>
      <c r="D1267" s="200" t="s">
        <v>1219</v>
      </c>
      <c r="E1267" s="201">
        <v>2.8</v>
      </c>
      <c r="F1267" s="201">
        <v>1</v>
      </c>
      <c r="G1267" s="203">
        <v>44994</v>
      </c>
    </row>
    <row r="1268" spans="2:18">
      <c r="C1268" s="200" t="s">
        <v>549</v>
      </c>
      <c r="D1268" s="200" t="s">
        <v>455</v>
      </c>
      <c r="E1268" s="201">
        <v>30</v>
      </c>
      <c r="F1268" s="201">
        <v>5</v>
      </c>
      <c r="G1268" s="203">
        <v>44601</v>
      </c>
    </row>
    <row r="1269" spans="2:18">
      <c r="G1269" s="203"/>
    </row>
    <row r="1270" spans="2:18" s="64" customFormat="1">
      <c r="B1270" s="64" t="s">
        <v>1375</v>
      </c>
      <c r="C1270" s="191" t="s">
        <v>491</v>
      </c>
      <c r="D1270" s="191" t="s">
        <v>759</v>
      </c>
      <c r="E1270" s="188"/>
      <c r="F1270" s="188">
        <f>SUM(F1271:F1274)</f>
        <v>17.166666666666664</v>
      </c>
      <c r="G1270" s="202">
        <f>G1272</f>
        <v>44903</v>
      </c>
      <c r="M1270" s="191"/>
      <c r="N1270" s="191"/>
      <c r="O1270" s="191"/>
      <c r="P1270" s="191"/>
      <c r="Q1270" s="191"/>
      <c r="R1270" s="191"/>
    </row>
    <row r="1271" spans="2:18">
      <c r="C1271" s="200" t="s">
        <v>544</v>
      </c>
      <c r="D1271" s="200" t="s">
        <v>1264</v>
      </c>
      <c r="E1271" s="201">
        <v>30</v>
      </c>
      <c r="F1271" s="201">
        <v>10</v>
      </c>
      <c r="G1271" s="203">
        <v>44656</v>
      </c>
    </row>
    <row r="1272" spans="2:18">
      <c r="C1272" s="200" t="s">
        <v>544</v>
      </c>
      <c r="D1272" s="200" t="s">
        <v>680</v>
      </c>
      <c r="E1272" s="201">
        <v>20</v>
      </c>
      <c r="F1272" s="201">
        <f>13/6</f>
        <v>2.1666666666666665</v>
      </c>
      <c r="G1272" s="203">
        <v>44903</v>
      </c>
    </row>
    <row r="1273" spans="2:18">
      <c r="C1273" s="200" t="s">
        <v>544</v>
      </c>
      <c r="D1273" s="200" t="s">
        <v>680</v>
      </c>
      <c r="E1273" s="201">
        <v>11</v>
      </c>
      <c r="F1273" s="201">
        <v>3</v>
      </c>
      <c r="G1273" s="203">
        <v>44313</v>
      </c>
    </row>
    <row r="1274" spans="2:18">
      <c r="C1274" s="200" t="s">
        <v>549</v>
      </c>
      <c r="D1274" s="200" t="s">
        <v>680</v>
      </c>
      <c r="E1274" s="201">
        <v>3</v>
      </c>
      <c r="F1274" s="201">
        <v>2</v>
      </c>
      <c r="G1274" s="203">
        <v>44011</v>
      </c>
    </row>
    <row r="1275" spans="2:18">
      <c r="G1275" s="203"/>
    </row>
    <row r="1276" spans="2:18">
      <c r="B1276" s="64" t="s">
        <v>1173</v>
      </c>
      <c r="C1276" s="191" t="s">
        <v>491</v>
      </c>
      <c r="D1276" s="191" t="s">
        <v>759</v>
      </c>
      <c r="F1276" s="188">
        <f>SUM(F1277:F1281)</f>
        <v>16.940000000000001</v>
      </c>
      <c r="G1276" s="202">
        <f>G1279</f>
        <v>44636</v>
      </c>
    </row>
    <row r="1277" spans="2:18">
      <c r="C1277" s="200" t="s">
        <v>402</v>
      </c>
      <c r="D1277" s="200" t="s">
        <v>655</v>
      </c>
      <c r="E1277" s="201">
        <v>30</v>
      </c>
      <c r="F1277" s="201">
        <v>6</v>
      </c>
      <c r="G1277" s="203">
        <v>44539</v>
      </c>
    </row>
    <row r="1278" spans="2:18">
      <c r="C1278" s="200" t="s">
        <v>544</v>
      </c>
      <c r="D1278" s="200" t="s">
        <v>655</v>
      </c>
      <c r="E1278" s="201">
        <v>11</v>
      </c>
      <c r="F1278" s="201">
        <v>3</v>
      </c>
      <c r="G1278" s="203">
        <v>43862</v>
      </c>
    </row>
    <row r="1279" spans="2:18">
      <c r="C1279" s="200" t="s">
        <v>402</v>
      </c>
      <c r="D1279" s="200" t="s">
        <v>671</v>
      </c>
      <c r="E1279" s="201">
        <v>25</v>
      </c>
      <c r="F1279" s="201">
        <v>3</v>
      </c>
      <c r="G1279" s="203">
        <v>44636</v>
      </c>
    </row>
    <row r="1280" spans="2:18">
      <c r="C1280" s="200" t="s">
        <v>544</v>
      </c>
      <c r="D1280" s="200" t="s">
        <v>671</v>
      </c>
      <c r="E1280" s="201">
        <v>12.2</v>
      </c>
      <c r="F1280" s="201">
        <f>8.2/5</f>
        <v>1.64</v>
      </c>
      <c r="G1280" s="203">
        <v>44179</v>
      </c>
    </row>
    <row r="1281" spans="2:18">
      <c r="C1281" s="211" t="s">
        <v>544</v>
      </c>
      <c r="D1281" s="211" t="s">
        <v>699</v>
      </c>
      <c r="E1281" s="201">
        <v>15</v>
      </c>
      <c r="F1281" s="201">
        <v>3.3</v>
      </c>
      <c r="G1281" s="203">
        <v>44482</v>
      </c>
    </row>
    <row r="1282" spans="2:18">
      <c r="G1282" s="203"/>
    </row>
    <row r="1283" spans="2:18" s="64" customFormat="1">
      <c r="B1283" s="64" t="s">
        <v>1086</v>
      </c>
      <c r="C1283" s="191" t="s">
        <v>491</v>
      </c>
      <c r="D1283" s="191" t="s">
        <v>759</v>
      </c>
      <c r="E1283" s="188"/>
      <c r="F1283" s="188">
        <f>SUM(F1284:F1285)</f>
        <v>16.833333333333336</v>
      </c>
      <c r="G1283" s="202">
        <f>G1284</f>
        <v>44643</v>
      </c>
      <c r="M1283" s="191"/>
      <c r="N1283" s="191"/>
      <c r="O1283" s="191"/>
      <c r="P1283" s="191"/>
      <c r="Q1283" s="191"/>
      <c r="R1283" s="191"/>
    </row>
    <row r="1284" spans="2:18">
      <c r="C1284" s="200" t="s">
        <v>402</v>
      </c>
      <c r="D1284" s="200" t="s">
        <v>1082</v>
      </c>
      <c r="E1284" s="201">
        <v>50</v>
      </c>
      <c r="F1284" s="201">
        <f>25/3</f>
        <v>8.3333333333333339</v>
      </c>
      <c r="G1284" s="203">
        <v>44643</v>
      </c>
    </row>
    <row r="1285" spans="2:18">
      <c r="C1285" s="200" t="s">
        <v>544</v>
      </c>
      <c r="D1285" s="200" t="s">
        <v>1082</v>
      </c>
      <c r="E1285" s="201">
        <v>18.5</v>
      </c>
      <c r="F1285" s="201">
        <v>8.5</v>
      </c>
      <c r="G1285" s="203">
        <v>44242</v>
      </c>
    </row>
    <row r="1286" spans="2:18">
      <c r="G1286" s="203"/>
    </row>
    <row r="1287" spans="2:18">
      <c r="B1287" s="64" t="s">
        <v>3940</v>
      </c>
      <c r="C1287" s="191" t="s">
        <v>491</v>
      </c>
      <c r="D1287" s="191" t="s">
        <v>759</v>
      </c>
      <c r="F1287" s="188">
        <f>SUM(F1288:F1290)</f>
        <v>17.142857142857142</v>
      </c>
      <c r="G1287" s="202">
        <f>G1289</f>
        <v>44650</v>
      </c>
    </row>
    <row r="1288" spans="2:18">
      <c r="C1288" s="200" t="s">
        <v>402</v>
      </c>
      <c r="D1288" s="200" t="s">
        <v>630</v>
      </c>
      <c r="E1288" s="201">
        <v>50</v>
      </c>
      <c r="F1288" s="201">
        <f>E1288/7</f>
        <v>7.1428571428571432</v>
      </c>
      <c r="G1288" s="203">
        <v>44628</v>
      </c>
    </row>
    <row r="1289" spans="2:18">
      <c r="C1289" s="200" t="s">
        <v>402</v>
      </c>
      <c r="D1289" s="200" t="s">
        <v>650</v>
      </c>
      <c r="E1289" s="201">
        <v>40</v>
      </c>
      <c r="F1289" s="201">
        <v>5</v>
      </c>
      <c r="G1289" s="203">
        <v>44650</v>
      </c>
    </row>
    <row r="1290" spans="2:18">
      <c r="C1290" s="200" t="s">
        <v>544</v>
      </c>
      <c r="D1290" s="200" t="s">
        <v>650</v>
      </c>
      <c r="E1290" s="201">
        <v>14</v>
      </c>
      <c r="F1290" s="201">
        <v>5</v>
      </c>
      <c r="G1290" s="203">
        <v>44131</v>
      </c>
    </row>
    <row r="1291" spans="2:18">
      <c r="C1291" s="252" t="s">
        <v>402</v>
      </c>
      <c r="D1291" s="252" t="s">
        <v>1692</v>
      </c>
      <c r="E1291" s="201">
        <v>35</v>
      </c>
      <c r="F1291" s="201">
        <v>10</v>
      </c>
      <c r="G1291" s="203">
        <v>44309</v>
      </c>
    </row>
    <row r="1292" spans="2:18">
      <c r="C1292" s="272" t="s">
        <v>402</v>
      </c>
      <c r="D1292" s="272" t="s">
        <v>1820</v>
      </c>
      <c r="E1292" s="201">
        <v>46</v>
      </c>
      <c r="F1292" s="201">
        <v>6</v>
      </c>
      <c r="G1292" s="203">
        <v>42941</v>
      </c>
    </row>
    <row r="1294" spans="2:18">
      <c r="B1294" s="64" t="s">
        <v>803</v>
      </c>
      <c r="C1294" s="191" t="s">
        <v>491</v>
      </c>
      <c r="D1294" s="191" t="s">
        <v>759</v>
      </c>
      <c r="E1294" s="188"/>
      <c r="F1294" s="188">
        <f>SUM(F1295:F1297)</f>
        <v>16.600000000000001</v>
      </c>
      <c r="G1294" s="202">
        <f>+G1297</f>
        <v>45020</v>
      </c>
    </row>
    <row r="1295" spans="2:18">
      <c r="C1295" s="200" t="s">
        <v>565</v>
      </c>
      <c r="D1295" s="200" t="s">
        <v>797</v>
      </c>
      <c r="E1295" s="201">
        <v>100</v>
      </c>
      <c r="F1295" s="201">
        <v>9</v>
      </c>
      <c r="G1295" s="203">
        <v>44690</v>
      </c>
    </row>
    <row r="1296" spans="2:18">
      <c r="C1296" s="220" t="s">
        <v>549</v>
      </c>
      <c r="D1296" s="220" t="s">
        <v>585</v>
      </c>
      <c r="E1296" s="201">
        <v>4.5999999999999996</v>
      </c>
      <c r="F1296" s="201">
        <v>0.6</v>
      </c>
      <c r="G1296" s="203">
        <v>44530</v>
      </c>
    </row>
    <row r="1297" spans="2:18">
      <c r="C1297" s="228" t="s">
        <v>565</v>
      </c>
      <c r="D1297" s="228" t="s">
        <v>1576</v>
      </c>
      <c r="E1297" s="201">
        <v>75</v>
      </c>
      <c r="F1297" s="201">
        <v>7</v>
      </c>
      <c r="G1297" s="203">
        <v>45020</v>
      </c>
    </row>
    <row r="1298" spans="2:18">
      <c r="G1298" s="203"/>
    </row>
    <row r="1299" spans="2:18" s="64" customFormat="1">
      <c r="B1299" s="64" t="s">
        <v>1087</v>
      </c>
      <c r="C1299" s="191" t="s">
        <v>491</v>
      </c>
      <c r="D1299" s="191" t="s">
        <v>759</v>
      </c>
      <c r="E1299" s="188"/>
      <c r="F1299" s="188">
        <f>SUM(F1300:F1301)</f>
        <v>15.5</v>
      </c>
      <c r="G1299" s="202">
        <f>G1301</f>
        <v>44510</v>
      </c>
      <c r="M1299" s="191"/>
      <c r="N1299" s="191"/>
      <c r="O1299" s="191"/>
      <c r="P1299" s="191"/>
      <c r="Q1299" s="191"/>
      <c r="R1299" s="191"/>
    </row>
    <row r="1300" spans="2:18">
      <c r="C1300" s="200" t="s">
        <v>544</v>
      </c>
      <c r="D1300" s="200" t="s">
        <v>1082</v>
      </c>
      <c r="E1300" s="201">
        <v>18.5</v>
      </c>
      <c r="F1300" s="201">
        <v>8.5</v>
      </c>
      <c r="G1300" s="203">
        <v>44242</v>
      </c>
    </row>
    <row r="1301" spans="2:18">
      <c r="C1301" s="200" t="s">
        <v>402</v>
      </c>
      <c r="D1301" s="200" t="s">
        <v>1161</v>
      </c>
      <c r="E1301" s="201">
        <v>30</v>
      </c>
      <c r="F1301" s="201">
        <v>7</v>
      </c>
      <c r="G1301" s="203">
        <v>44510</v>
      </c>
    </row>
    <row r="1302" spans="2:18">
      <c r="G1302" s="203"/>
    </row>
    <row r="1303" spans="2:18">
      <c r="B1303" s="64" t="s">
        <v>1056</v>
      </c>
      <c r="C1303" s="191" t="s">
        <v>491</v>
      </c>
      <c r="D1303" s="191" t="s">
        <v>759</v>
      </c>
      <c r="F1303" s="188">
        <f>SUM(F1304:F1308)</f>
        <v>13.666666666666666</v>
      </c>
      <c r="G1303" s="202">
        <f>G1307</f>
        <v>45062</v>
      </c>
    </row>
    <row r="1304" spans="2:18">
      <c r="C1304" s="200" t="s">
        <v>402</v>
      </c>
      <c r="D1304" s="200" t="s">
        <v>647</v>
      </c>
      <c r="E1304" s="201">
        <v>43</v>
      </c>
      <c r="F1304" s="201">
        <v>6</v>
      </c>
      <c r="G1304" s="203">
        <v>44978</v>
      </c>
    </row>
    <row r="1305" spans="2:18">
      <c r="C1305" s="220" t="s">
        <v>549</v>
      </c>
      <c r="D1305" s="220" t="s">
        <v>585</v>
      </c>
      <c r="E1305" s="201">
        <v>10</v>
      </c>
      <c r="F1305" s="201">
        <v>1</v>
      </c>
      <c r="G1305" s="203">
        <v>44858</v>
      </c>
    </row>
    <row r="1306" spans="2:18">
      <c r="C1306" s="220" t="s">
        <v>549</v>
      </c>
      <c r="D1306" s="220" t="s">
        <v>585</v>
      </c>
      <c r="E1306" s="201">
        <v>4.5999999999999996</v>
      </c>
      <c r="F1306" s="201">
        <v>2</v>
      </c>
      <c r="G1306" s="203">
        <v>44530</v>
      </c>
    </row>
    <row r="1307" spans="2:18">
      <c r="C1307" s="220" t="s">
        <v>549</v>
      </c>
      <c r="D1307" s="220" t="s">
        <v>579</v>
      </c>
      <c r="E1307" s="201">
        <v>5</v>
      </c>
      <c r="F1307" s="201">
        <f>5/3</f>
        <v>1.6666666666666667</v>
      </c>
      <c r="G1307" s="203">
        <v>45062</v>
      </c>
    </row>
    <row r="1308" spans="2:18">
      <c r="C1308" s="222" t="s">
        <v>544</v>
      </c>
      <c r="D1308" s="222" t="s">
        <v>1853</v>
      </c>
      <c r="E1308" s="201">
        <v>10.6</v>
      </c>
      <c r="F1308" s="201">
        <v>3</v>
      </c>
      <c r="G1308" s="203">
        <v>44819</v>
      </c>
    </row>
    <row r="1309" spans="2:18">
      <c r="G1309" s="203"/>
    </row>
    <row r="1310" spans="2:18">
      <c r="B1310" s="64" t="s">
        <v>928</v>
      </c>
      <c r="C1310" s="191" t="s">
        <v>491</v>
      </c>
      <c r="D1310" s="191" t="s">
        <v>759</v>
      </c>
      <c r="F1310" s="188">
        <f>SUM(F1311:F1315)</f>
        <v>13.916666666666668</v>
      </c>
      <c r="G1310" s="202">
        <f>G1311</f>
        <v>44293</v>
      </c>
    </row>
    <row r="1311" spans="2:18">
      <c r="C1311" s="200" t="s">
        <v>402</v>
      </c>
      <c r="D1311" s="200" t="s">
        <v>618</v>
      </c>
      <c r="E1311" s="201">
        <v>35</v>
      </c>
      <c r="F1311" s="201">
        <f>25/6</f>
        <v>4.166666666666667</v>
      </c>
      <c r="G1311" s="203">
        <v>44293</v>
      </c>
    </row>
    <row r="1312" spans="2:18">
      <c r="C1312" s="200" t="s">
        <v>544</v>
      </c>
      <c r="D1312" s="200" t="s">
        <v>618</v>
      </c>
      <c r="E1312" s="201">
        <v>12</v>
      </c>
      <c r="F1312" s="201">
        <v>3</v>
      </c>
      <c r="G1312" s="203">
        <v>44026</v>
      </c>
    </row>
    <row r="1313" spans="2:18">
      <c r="C1313" s="200" t="s">
        <v>549</v>
      </c>
      <c r="D1313" s="200" t="s">
        <v>618</v>
      </c>
      <c r="E1313" s="201">
        <v>3.3</v>
      </c>
      <c r="F1313" s="201">
        <v>0.5</v>
      </c>
      <c r="G1313" s="203">
        <v>44026</v>
      </c>
    </row>
    <row r="1314" spans="2:18">
      <c r="C1314" s="252" t="s">
        <v>402</v>
      </c>
      <c r="D1314" s="252" t="s">
        <v>1628</v>
      </c>
      <c r="E1314" s="201">
        <v>40</v>
      </c>
      <c r="F1314" s="201">
        <v>4</v>
      </c>
      <c r="G1314" s="203">
        <v>43419</v>
      </c>
    </row>
    <row r="1315" spans="2:18">
      <c r="C1315" s="252" t="s">
        <v>544</v>
      </c>
      <c r="D1315" s="252" t="s">
        <v>1628</v>
      </c>
      <c r="E1315" s="201">
        <v>14.7</v>
      </c>
      <c r="F1315" s="201">
        <v>2.25</v>
      </c>
      <c r="G1315" s="203">
        <v>43032</v>
      </c>
    </row>
    <row r="1316" spans="2:18">
      <c r="G1316" s="203"/>
    </row>
    <row r="1317" spans="2:18">
      <c r="B1317" s="64" t="s">
        <v>798</v>
      </c>
      <c r="C1317" s="191" t="s">
        <v>491</v>
      </c>
      <c r="D1317" s="191" t="s">
        <v>759</v>
      </c>
      <c r="F1317" s="188">
        <f>SUM(F1318:F1320)</f>
        <v>13</v>
      </c>
      <c r="G1317" s="202">
        <f>G1318</f>
        <v>44690</v>
      </c>
    </row>
    <row r="1318" spans="2:18">
      <c r="C1318" s="200" t="s">
        <v>565</v>
      </c>
      <c r="D1318" s="200" t="s">
        <v>797</v>
      </c>
      <c r="E1318" s="201">
        <v>100</v>
      </c>
      <c r="F1318" s="201">
        <v>9</v>
      </c>
      <c r="G1318" s="203">
        <v>44690</v>
      </c>
    </row>
    <row r="1319" spans="2:18">
      <c r="C1319" s="200" t="s">
        <v>544</v>
      </c>
      <c r="D1319" s="200" t="s">
        <v>797</v>
      </c>
      <c r="E1319" s="201">
        <v>15</v>
      </c>
      <c r="F1319" s="201">
        <v>3</v>
      </c>
      <c r="G1319" s="203">
        <v>43816</v>
      </c>
    </row>
    <row r="1320" spans="2:18">
      <c r="C1320" s="200" t="s">
        <v>549</v>
      </c>
      <c r="D1320" s="200" t="s">
        <v>797</v>
      </c>
      <c r="E1320" s="201">
        <v>4</v>
      </c>
      <c r="F1320" s="201">
        <v>1</v>
      </c>
      <c r="G1320" s="203">
        <v>43243</v>
      </c>
    </row>
    <row r="1321" spans="2:18">
      <c r="G1321" s="203"/>
    </row>
    <row r="1322" spans="2:18" s="64" customFormat="1">
      <c r="B1322" s="64" t="s">
        <v>1615</v>
      </c>
      <c r="C1322" s="191" t="s">
        <v>491</v>
      </c>
      <c r="D1322" s="191" t="s">
        <v>759</v>
      </c>
      <c r="E1322" s="188"/>
      <c r="F1322" s="188">
        <f>SUM(F1323:F1325)</f>
        <v>15.85</v>
      </c>
      <c r="G1322" s="202">
        <f>G1325</f>
        <v>44650</v>
      </c>
    </row>
    <row r="1323" spans="2:18">
      <c r="B1323" s="210"/>
      <c r="C1323" s="211" t="s">
        <v>549</v>
      </c>
      <c r="D1323" s="211" t="s">
        <v>699</v>
      </c>
      <c r="E1323" s="201">
        <v>4.5</v>
      </c>
      <c r="F1323" s="201">
        <v>0.5</v>
      </c>
      <c r="G1323" s="203">
        <v>44362</v>
      </c>
      <c r="M1323" s="199"/>
      <c r="N1323" s="199"/>
      <c r="O1323" s="199"/>
      <c r="P1323" s="199"/>
      <c r="Q1323" s="199"/>
      <c r="R1323" s="199"/>
    </row>
    <row r="1324" spans="2:18">
      <c r="B1324" s="210"/>
      <c r="C1324" s="249" t="s">
        <v>549</v>
      </c>
      <c r="D1324" s="249" t="s">
        <v>1413</v>
      </c>
      <c r="E1324" s="201">
        <v>3.5</v>
      </c>
      <c r="F1324" s="201">
        <f>E1324/10</f>
        <v>0.35</v>
      </c>
      <c r="G1324" s="203">
        <v>43046</v>
      </c>
      <c r="L1324" s="248">
        <v>0</v>
      </c>
      <c r="M1324" s="199"/>
      <c r="N1324" s="199"/>
      <c r="O1324" s="199"/>
      <c r="P1324" s="199"/>
      <c r="Q1324" s="199"/>
      <c r="R1324" s="199"/>
    </row>
    <row r="1325" spans="2:18">
      <c r="B1325" s="210"/>
      <c r="C1325" s="282" t="s">
        <v>565</v>
      </c>
      <c r="D1325" s="282" t="s">
        <v>1936</v>
      </c>
      <c r="E1325" s="201">
        <v>100</v>
      </c>
      <c r="F1325" s="201">
        <v>15</v>
      </c>
      <c r="G1325" s="203">
        <v>44650</v>
      </c>
      <c r="L1325" s="248"/>
      <c r="M1325" s="199"/>
      <c r="N1325" s="199"/>
      <c r="O1325" s="199"/>
      <c r="P1325" s="199"/>
      <c r="Q1325" s="199"/>
      <c r="R1325" s="199"/>
    </row>
    <row r="1326" spans="2:18">
      <c r="B1326" s="210"/>
      <c r="C1326" s="211"/>
      <c r="D1326" s="211"/>
      <c r="G1326" s="203"/>
      <c r="M1326" s="199"/>
      <c r="N1326" s="199"/>
      <c r="O1326" s="199"/>
      <c r="P1326" s="199"/>
      <c r="Q1326" s="199"/>
      <c r="R1326" s="199"/>
    </row>
    <row r="1327" spans="2:18" s="64" customFormat="1">
      <c r="B1327" s="64" t="s">
        <v>870</v>
      </c>
      <c r="C1327" s="191" t="s">
        <v>491</v>
      </c>
      <c r="D1327" s="191" t="s">
        <v>759</v>
      </c>
      <c r="E1327" s="188"/>
      <c r="F1327" s="188">
        <f>SUM(F1328:F1330)</f>
        <v>13</v>
      </c>
      <c r="G1327" s="202">
        <f>G1328</f>
        <v>45008</v>
      </c>
      <c r="M1327" s="191"/>
      <c r="N1327" s="191"/>
      <c r="O1327" s="191"/>
      <c r="P1327" s="191"/>
      <c r="Q1327" s="191"/>
      <c r="R1327" s="191"/>
    </row>
    <row r="1328" spans="2:18">
      <c r="B1328" s="64"/>
      <c r="C1328" s="200" t="s">
        <v>544</v>
      </c>
      <c r="D1328" s="200" t="s">
        <v>601</v>
      </c>
      <c r="E1328" s="201">
        <v>150</v>
      </c>
      <c r="F1328" s="201">
        <v>5</v>
      </c>
      <c r="G1328" s="203">
        <v>45008</v>
      </c>
    </row>
    <row r="1329" spans="2:18">
      <c r="B1329" s="64"/>
      <c r="C1329" s="228" t="s">
        <v>544</v>
      </c>
      <c r="D1329" s="228" t="s">
        <v>1524</v>
      </c>
      <c r="E1329" s="201">
        <v>28</v>
      </c>
      <c r="F1329" s="201">
        <v>5</v>
      </c>
      <c r="G1329" s="203">
        <v>44624</v>
      </c>
    </row>
    <row r="1330" spans="2:18">
      <c r="B1330" s="64"/>
      <c r="C1330" s="228" t="s">
        <v>549</v>
      </c>
      <c r="D1330" s="228" t="s">
        <v>1524</v>
      </c>
      <c r="E1330" s="201">
        <v>5</v>
      </c>
      <c r="F1330" s="201">
        <v>3</v>
      </c>
      <c r="G1330" s="203">
        <v>44136</v>
      </c>
    </row>
    <row r="1331" spans="2:18">
      <c r="B1331" s="64"/>
      <c r="G1331" s="203"/>
    </row>
    <row r="1332" spans="2:18" s="64" customFormat="1">
      <c r="B1332" s="64" t="s">
        <v>1493</v>
      </c>
      <c r="C1332" s="191" t="s">
        <v>491</v>
      </c>
      <c r="D1332" s="191" t="s">
        <v>759</v>
      </c>
      <c r="E1332" s="188"/>
      <c r="F1332" s="188">
        <f>SUM(F1333:F1337)</f>
        <v>12.5</v>
      </c>
      <c r="G1332" s="202">
        <f>G1333</f>
        <v>44784</v>
      </c>
      <c r="M1332" s="191"/>
      <c r="N1332" s="191"/>
      <c r="O1332" s="191"/>
      <c r="P1332" s="191"/>
      <c r="Q1332" s="191"/>
      <c r="R1332" s="191"/>
    </row>
    <row r="1333" spans="2:18" s="250" customFormat="1">
      <c r="C1333" s="252" t="s">
        <v>544</v>
      </c>
      <c r="D1333" s="252" t="s">
        <v>1476</v>
      </c>
      <c r="E1333" s="255">
        <v>12.5</v>
      </c>
      <c r="F1333" s="255">
        <v>2</v>
      </c>
      <c r="G1333" s="253">
        <v>44784</v>
      </c>
      <c r="M1333" s="252"/>
      <c r="N1333" s="252"/>
      <c r="O1333" s="252"/>
      <c r="P1333" s="252"/>
      <c r="Q1333" s="252"/>
      <c r="R1333" s="252"/>
    </row>
    <row r="1334" spans="2:18">
      <c r="C1334" s="200" t="s">
        <v>544</v>
      </c>
      <c r="D1334" s="200" t="s">
        <v>1476</v>
      </c>
      <c r="E1334" s="201">
        <v>10</v>
      </c>
      <c r="F1334" s="201">
        <v>2</v>
      </c>
      <c r="G1334" s="203">
        <v>44110</v>
      </c>
    </row>
    <row r="1335" spans="2:18">
      <c r="C1335" s="200" t="s">
        <v>549</v>
      </c>
      <c r="D1335" s="200" t="s">
        <v>1476</v>
      </c>
      <c r="E1335" s="201">
        <v>5</v>
      </c>
      <c r="F1335" s="201">
        <v>2</v>
      </c>
      <c r="G1335" s="203">
        <v>43392</v>
      </c>
    </row>
    <row r="1336" spans="2:18">
      <c r="C1336" s="252" t="s">
        <v>544</v>
      </c>
      <c r="D1336" s="252" t="s">
        <v>1659</v>
      </c>
      <c r="E1336" s="201">
        <v>30</v>
      </c>
      <c r="F1336" s="201">
        <f>20/5</f>
        <v>4</v>
      </c>
      <c r="G1336" s="203">
        <v>44474</v>
      </c>
    </row>
    <row r="1337" spans="2:18">
      <c r="C1337" s="252" t="s">
        <v>549</v>
      </c>
      <c r="D1337" s="252" t="s">
        <v>1659</v>
      </c>
      <c r="E1337" s="201">
        <v>15</v>
      </c>
      <c r="F1337" s="201">
        <f>10/4</f>
        <v>2.5</v>
      </c>
      <c r="G1337" s="203">
        <v>43775</v>
      </c>
    </row>
    <row r="1338" spans="2:18">
      <c r="G1338" s="203"/>
    </row>
    <row r="1339" spans="2:18" s="64" customFormat="1">
      <c r="B1339" s="64" t="s">
        <v>1057</v>
      </c>
      <c r="C1339" s="191" t="s">
        <v>491</v>
      </c>
      <c r="D1339" s="191" t="s">
        <v>759</v>
      </c>
      <c r="E1339" s="188"/>
      <c r="F1339" s="188">
        <f>SUM(F1340:F1341)</f>
        <v>12.5</v>
      </c>
      <c r="G1339" s="202">
        <f>G1340</f>
        <v>44978</v>
      </c>
      <c r="M1339" s="191"/>
      <c r="N1339" s="191"/>
      <c r="O1339" s="191"/>
      <c r="P1339" s="191"/>
      <c r="Q1339" s="191"/>
      <c r="R1339" s="191"/>
    </row>
    <row r="1340" spans="2:18">
      <c r="C1340" s="200" t="s">
        <v>402</v>
      </c>
      <c r="D1340" s="200" t="s">
        <v>647</v>
      </c>
      <c r="E1340" s="201">
        <v>43</v>
      </c>
      <c r="F1340" s="201">
        <v>6</v>
      </c>
      <c r="G1340" s="203">
        <v>44978</v>
      </c>
    </row>
    <row r="1341" spans="2:18">
      <c r="C1341" s="200" t="s">
        <v>544</v>
      </c>
      <c r="D1341" s="200" t="s">
        <v>647</v>
      </c>
      <c r="E1341" s="201">
        <v>26</v>
      </c>
      <c r="F1341" s="201">
        <f>13/2</f>
        <v>6.5</v>
      </c>
      <c r="G1341" s="203">
        <v>44453</v>
      </c>
    </row>
    <row r="1342" spans="2:18">
      <c r="G1342" s="203"/>
    </row>
    <row r="1343" spans="2:18" s="64" customFormat="1">
      <c r="B1343" s="64" t="s">
        <v>1167</v>
      </c>
      <c r="C1343" s="191" t="s">
        <v>491</v>
      </c>
      <c r="D1343" s="191" t="s">
        <v>759</v>
      </c>
      <c r="E1343" s="188"/>
      <c r="F1343" s="188">
        <f>SUM(F1344:F1348)</f>
        <v>13.3</v>
      </c>
      <c r="G1343" s="202">
        <f>G1345</f>
        <v>44705</v>
      </c>
      <c r="M1343" s="191"/>
      <c r="N1343" s="191"/>
      <c r="O1343" s="191"/>
      <c r="P1343" s="191"/>
      <c r="Q1343" s="191"/>
      <c r="R1343" s="191"/>
    </row>
    <row r="1344" spans="2:18">
      <c r="C1344" s="200" t="s">
        <v>544</v>
      </c>
      <c r="D1344" s="200" t="s">
        <v>1161</v>
      </c>
      <c r="E1344" s="201">
        <v>21.4</v>
      </c>
      <c r="F1344" s="201">
        <f>11.4/3</f>
        <v>3.8000000000000003</v>
      </c>
      <c r="G1344" s="203">
        <v>44232</v>
      </c>
    </row>
    <row r="1345" spans="2:18">
      <c r="C1345" s="211" t="s">
        <v>544</v>
      </c>
      <c r="D1345" s="211" t="s">
        <v>702</v>
      </c>
      <c r="E1345" s="201">
        <v>14</v>
      </c>
      <c r="F1345" s="201">
        <v>3</v>
      </c>
      <c r="G1345" s="203">
        <v>44705</v>
      </c>
    </row>
    <row r="1346" spans="2:18">
      <c r="C1346" s="211" t="s">
        <v>549</v>
      </c>
      <c r="D1346" s="211" t="s">
        <v>702</v>
      </c>
      <c r="E1346" s="201">
        <v>5</v>
      </c>
      <c r="F1346" s="201">
        <v>2</v>
      </c>
      <c r="G1346" s="203">
        <v>44578</v>
      </c>
    </row>
    <row r="1347" spans="2:18">
      <c r="C1347" s="282" t="s">
        <v>544</v>
      </c>
      <c r="D1347" s="282" t="s">
        <v>1913</v>
      </c>
      <c r="E1347" s="201">
        <v>25</v>
      </c>
      <c r="F1347" s="201">
        <v>3</v>
      </c>
      <c r="G1347" s="203">
        <v>44510</v>
      </c>
    </row>
    <row r="1348" spans="2:18">
      <c r="C1348" s="282" t="s">
        <v>549</v>
      </c>
      <c r="D1348" s="282" t="s">
        <v>1913</v>
      </c>
      <c r="E1348" s="201">
        <v>8</v>
      </c>
      <c r="F1348" s="201">
        <v>1.5</v>
      </c>
      <c r="G1348" s="203">
        <v>44063</v>
      </c>
    </row>
    <row r="1349" spans="2:18">
      <c r="C1349" s="211"/>
      <c r="D1349" s="211"/>
      <c r="G1349" s="203"/>
    </row>
    <row r="1350" spans="2:18" s="64" customFormat="1">
      <c r="B1350" s="64" t="s">
        <v>1174</v>
      </c>
      <c r="C1350" s="191" t="s">
        <v>491</v>
      </c>
      <c r="D1350" s="191" t="s">
        <v>759</v>
      </c>
      <c r="E1350" s="188"/>
      <c r="F1350" s="188">
        <f>SUM(F1351:F1355)</f>
        <v>13</v>
      </c>
      <c r="G1350" s="202">
        <f>G1354</f>
        <v>44964</v>
      </c>
      <c r="M1350" s="191"/>
      <c r="N1350" s="191"/>
      <c r="O1350" s="191"/>
      <c r="P1350" s="191"/>
      <c r="Q1350" s="191"/>
      <c r="R1350" s="191"/>
    </row>
    <row r="1351" spans="2:18">
      <c r="C1351" s="200" t="s">
        <v>402</v>
      </c>
      <c r="D1351" s="200" t="s">
        <v>655</v>
      </c>
      <c r="E1351" s="201">
        <v>30</v>
      </c>
      <c r="F1351" s="201">
        <v>6</v>
      </c>
      <c r="G1351" s="203">
        <v>44539</v>
      </c>
    </row>
    <row r="1352" spans="2:18">
      <c r="C1352" s="200" t="s">
        <v>544</v>
      </c>
      <c r="D1352" s="200" t="s">
        <v>655</v>
      </c>
      <c r="E1352" s="201">
        <v>11</v>
      </c>
      <c r="F1352" s="201">
        <v>3</v>
      </c>
      <c r="G1352" s="203">
        <v>43862</v>
      </c>
    </row>
    <row r="1353" spans="2:18">
      <c r="C1353" s="200" t="s">
        <v>549</v>
      </c>
      <c r="D1353" s="200" t="s">
        <v>655</v>
      </c>
      <c r="E1353" s="201">
        <v>3</v>
      </c>
      <c r="F1353" s="201">
        <v>1.5</v>
      </c>
      <c r="G1353" s="203">
        <v>43525</v>
      </c>
    </row>
    <row r="1354" spans="2:18">
      <c r="C1354" s="225" t="s">
        <v>549</v>
      </c>
      <c r="D1354" s="225" t="s">
        <v>591</v>
      </c>
      <c r="E1354" s="201">
        <v>6.8</v>
      </c>
      <c r="F1354" s="201">
        <v>1.5</v>
      </c>
      <c r="G1354" s="203">
        <v>44964</v>
      </c>
    </row>
    <row r="1355" spans="2:18">
      <c r="C1355" s="225" t="s">
        <v>549</v>
      </c>
      <c r="D1355" s="225" t="s">
        <v>591</v>
      </c>
      <c r="E1355" s="201">
        <v>1.6</v>
      </c>
      <c r="F1355" s="201">
        <v>1</v>
      </c>
      <c r="G1355" s="203">
        <v>44197</v>
      </c>
    </row>
    <row r="1356" spans="2:18">
      <c r="G1356" s="203"/>
    </row>
    <row r="1357" spans="2:18">
      <c r="B1357" s="64" t="s">
        <v>1038</v>
      </c>
      <c r="C1357" s="191" t="s">
        <v>491</v>
      </c>
      <c r="D1357" s="191" t="s">
        <v>759</v>
      </c>
      <c r="F1357" s="188">
        <f>SUM(F1358:F1361)</f>
        <v>12.5</v>
      </c>
      <c r="G1357" s="202">
        <f>G1358</f>
        <v>45036</v>
      </c>
    </row>
    <row r="1358" spans="2:18">
      <c r="C1358" s="200" t="s">
        <v>402</v>
      </c>
      <c r="D1358" s="200" t="s">
        <v>623</v>
      </c>
      <c r="E1358" s="201">
        <v>50</v>
      </c>
      <c r="F1358" s="201">
        <v>6</v>
      </c>
      <c r="G1358" s="203">
        <v>45036</v>
      </c>
    </row>
    <row r="1359" spans="2:18">
      <c r="C1359" s="200" t="s">
        <v>544</v>
      </c>
      <c r="D1359" s="200" t="s">
        <v>623</v>
      </c>
      <c r="E1359" s="201">
        <v>16.5</v>
      </c>
      <c r="F1359" s="201">
        <v>1</v>
      </c>
      <c r="G1359" s="203">
        <v>44614</v>
      </c>
    </row>
    <row r="1360" spans="2:18">
      <c r="C1360" s="200" t="s">
        <v>549</v>
      </c>
      <c r="D1360" s="200" t="s">
        <v>623</v>
      </c>
      <c r="E1360" s="201">
        <v>1.2</v>
      </c>
      <c r="F1360" s="201">
        <v>0.5</v>
      </c>
      <c r="G1360" s="203">
        <v>44044</v>
      </c>
    </row>
    <row r="1361" spans="2:18">
      <c r="C1361" s="282" t="s">
        <v>402</v>
      </c>
      <c r="D1361" s="282" t="s">
        <v>1920</v>
      </c>
      <c r="E1361" s="201">
        <v>5</v>
      </c>
      <c r="F1361" s="201">
        <v>5</v>
      </c>
      <c r="G1361" s="203">
        <v>43903</v>
      </c>
    </row>
    <row r="1362" spans="2:18">
      <c r="G1362" s="203"/>
    </row>
    <row r="1363" spans="2:18">
      <c r="B1363" s="64" t="s">
        <v>426</v>
      </c>
      <c r="C1363" s="191" t="s">
        <v>491</v>
      </c>
      <c r="D1363" s="191" t="s">
        <v>759</v>
      </c>
      <c r="F1363" s="188">
        <f>SUM(F1364:F1365)</f>
        <v>12</v>
      </c>
      <c r="G1363" s="202">
        <f>+G1365</f>
        <v>45013</v>
      </c>
    </row>
    <row r="1364" spans="2:18">
      <c r="C1364" s="200" t="s">
        <v>565</v>
      </c>
      <c r="D1364" s="200" t="s">
        <v>611</v>
      </c>
      <c r="E1364" s="201">
        <v>100</v>
      </c>
      <c r="F1364" s="201">
        <v>10</v>
      </c>
      <c r="G1364" s="203">
        <v>44754</v>
      </c>
    </row>
    <row r="1365" spans="2:18">
      <c r="C1365" s="200" t="s">
        <v>544</v>
      </c>
      <c r="D1365" s="200" t="s">
        <v>417</v>
      </c>
      <c r="E1365" s="201">
        <v>25.6</v>
      </c>
      <c r="F1365" s="201">
        <v>2</v>
      </c>
      <c r="G1365" s="203">
        <v>45013</v>
      </c>
    </row>
    <row r="1366" spans="2:18">
      <c r="G1366" s="203"/>
    </row>
    <row r="1367" spans="2:18">
      <c r="B1367" s="64" t="s">
        <v>893</v>
      </c>
      <c r="C1367" s="191" t="s">
        <v>491</v>
      </c>
      <c r="D1367" s="191" t="s">
        <v>759</v>
      </c>
      <c r="E1367" s="188"/>
      <c r="F1367" s="188">
        <f>SUM(F1368:F1370)</f>
        <v>12</v>
      </c>
      <c r="G1367" s="202">
        <f>+G1368</f>
        <v>44900</v>
      </c>
    </row>
    <row r="1368" spans="2:18">
      <c r="C1368" s="200" t="s">
        <v>565</v>
      </c>
      <c r="D1368" s="200" t="s">
        <v>864</v>
      </c>
      <c r="E1368" s="201">
        <v>50</v>
      </c>
      <c r="F1368" s="201">
        <v>6</v>
      </c>
      <c r="G1368" s="203">
        <v>44900</v>
      </c>
    </row>
    <row r="1369" spans="2:18">
      <c r="C1369" s="200" t="s">
        <v>402</v>
      </c>
      <c r="D1369" s="200" t="s">
        <v>864</v>
      </c>
      <c r="E1369" s="201">
        <v>35</v>
      </c>
      <c r="F1369" s="201">
        <v>5</v>
      </c>
      <c r="G1369" s="203">
        <v>44543</v>
      </c>
    </row>
    <row r="1370" spans="2:18">
      <c r="C1370" s="200" t="s">
        <v>544</v>
      </c>
      <c r="D1370" s="200" t="s">
        <v>864</v>
      </c>
      <c r="E1370" s="201">
        <v>8.5</v>
      </c>
      <c r="F1370" s="201">
        <v>1</v>
      </c>
      <c r="G1370" s="203">
        <v>44181</v>
      </c>
    </row>
    <row r="1371" spans="2:18">
      <c r="G1371" s="203"/>
    </row>
    <row r="1372" spans="2:18" s="64" customFormat="1">
      <c r="B1372" s="64" t="s">
        <v>1071</v>
      </c>
      <c r="C1372" s="191" t="s">
        <v>491</v>
      </c>
      <c r="D1372" s="191" t="s">
        <v>759</v>
      </c>
      <c r="E1372" s="188"/>
      <c r="F1372" s="188">
        <f>SUM(F1373:F1375)</f>
        <v>10.6</v>
      </c>
      <c r="G1372" s="202">
        <f>G1373</f>
        <v>44650</v>
      </c>
      <c r="M1372" s="191"/>
      <c r="N1372" s="191"/>
      <c r="O1372" s="191"/>
      <c r="P1372" s="191"/>
      <c r="Q1372" s="191"/>
      <c r="R1372" s="191"/>
    </row>
    <row r="1373" spans="2:18">
      <c r="C1373" s="200" t="s">
        <v>402</v>
      </c>
      <c r="D1373" s="200" t="s">
        <v>650</v>
      </c>
      <c r="E1373" s="201">
        <v>40</v>
      </c>
      <c r="F1373" s="201">
        <v>5</v>
      </c>
      <c r="G1373" s="203">
        <v>44650</v>
      </c>
    </row>
    <row r="1374" spans="2:18">
      <c r="C1374" s="200" t="s">
        <v>544</v>
      </c>
      <c r="D1374" s="200" t="s">
        <v>650</v>
      </c>
      <c r="E1374" s="201">
        <v>14</v>
      </c>
      <c r="F1374" s="201">
        <f>9/5</f>
        <v>1.8</v>
      </c>
      <c r="G1374" s="203">
        <v>44131</v>
      </c>
    </row>
    <row r="1375" spans="2:18">
      <c r="C1375" s="200" t="s">
        <v>544</v>
      </c>
      <c r="D1375" s="200" t="s">
        <v>1161</v>
      </c>
      <c r="E1375" s="201">
        <v>21.4</v>
      </c>
      <c r="F1375" s="201">
        <f>11.4/3</f>
        <v>3.8000000000000003</v>
      </c>
      <c r="G1375" s="203">
        <v>44232</v>
      </c>
    </row>
    <row r="1376" spans="2:18">
      <c r="G1376" s="203"/>
    </row>
    <row r="1377" spans="2:18">
      <c r="B1377" s="64" t="s">
        <v>1099</v>
      </c>
      <c r="C1377" s="191" t="s">
        <v>491</v>
      </c>
      <c r="D1377" s="191" t="s">
        <v>759</v>
      </c>
      <c r="F1377" s="188">
        <f>SUM(F1378:F1381)</f>
        <v>11.1</v>
      </c>
      <c r="G1377" s="202">
        <f>G1378</f>
        <v>44796</v>
      </c>
    </row>
    <row r="1378" spans="2:18">
      <c r="C1378" s="200" t="s">
        <v>544</v>
      </c>
      <c r="D1378" s="200" t="s">
        <v>1093</v>
      </c>
      <c r="E1378" s="201">
        <v>50</v>
      </c>
      <c r="F1378" s="201">
        <f t="shared" ref="F1378:F1870" si="8">30/12</f>
        <v>2.5</v>
      </c>
      <c r="G1378" s="203">
        <v>44796</v>
      </c>
    </row>
    <row r="1379" spans="2:18">
      <c r="C1379" s="200" t="s">
        <v>549</v>
      </c>
      <c r="D1379" s="200" t="s">
        <v>1093</v>
      </c>
      <c r="E1379" s="201">
        <v>12.5</v>
      </c>
      <c r="F1379" s="201">
        <f>8/5</f>
        <v>1.6</v>
      </c>
      <c r="G1379" s="203">
        <v>44623</v>
      </c>
    </row>
    <row r="1380" spans="2:18">
      <c r="C1380" s="200" t="s">
        <v>549</v>
      </c>
      <c r="D1380" s="200" t="s">
        <v>1093</v>
      </c>
      <c r="E1380" s="201">
        <v>7.2</v>
      </c>
      <c r="F1380" s="201">
        <v>2</v>
      </c>
      <c r="G1380" s="203">
        <v>44508</v>
      </c>
    </row>
    <row r="1381" spans="2:18">
      <c r="C1381" s="211" t="s">
        <v>544</v>
      </c>
      <c r="D1381" s="211" t="s">
        <v>699</v>
      </c>
      <c r="E1381" s="201">
        <v>15</v>
      </c>
      <c r="F1381" s="201">
        <v>5</v>
      </c>
      <c r="G1381" s="203">
        <v>44482</v>
      </c>
    </row>
    <row r="1382" spans="2:18">
      <c r="C1382" s="211" t="s">
        <v>549</v>
      </c>
      <c r="D1382" s="211" t="s">
        <v>699</v>
      </c>
      <c r="E1382" s="201">
        <v>4.5</v>
      </c>
      <c r="F1382" s="201">
        <v>1.5</v>
      </c>
      <c r="G1382" s="203">
        <v>44362</v>
      </c>
    </row>
    <row r="1383" spans="2:18">
      <c r="G1383" s="203"/>
    </row>
    <row r="1384" spans="2:18" s="64" customFormat="1">
      <c r="B1384" s="64" t="s">
        <v>1293</v>
      </c>
      <c r="C1384" s="191" t="s">
        <v>491</v>
      </c>
      <c r="D1384" s="191" t="s">
        <v>759</v>
      </c>
      <c r="E1384" s="188"/>
      <c r="F1384" s="188">
        <f>SUM(F1385:F1386)</f>
        <v>11</v>
      </c>
      <c r="G1384" s="202">
        <f>G1385</f>
        <v>44699</v>
      </c>
      <c r="M1384" s="191"/>
      <c r="N1384" s="191"/>
      <c r="O1384" s="191"/>
      <c r="P1384" s="191"/>
      <c r="Q1384" s="191"/>
      <c r="R1384" s="191"/>
    </row>
    <row r="1385" spans="2:18">
      <c r="C1385" s="200" t="s">
        <v>544</v>
      </c>
      <c r="D1385" s="200" t="s">
        <v>668</v>
      </c>
      <c r="E1385" s="201">
        <v>25</v>
      </c>
      <c r="F1385" s="201">
        <v>10</v>
      </c>
      <c r="G1385" s="203">
        <v>44699</v>
      </c>
    </row>
    <row r="1386" spans="2:18">
      <c r="C1386" s="200" t="s">
        <v>544</v>
      </c>
      <c r="D1386" s="200" t="s">
        <v>546</v>
      </c>
      <c r="E1386" s="201">
        <v>5.6</v>
      </c>
      <c r="F1386" s="201">
        <v>1</v>
      </c>
      <c r="G1386" s="203">
        <v>44292</v>
      </c>
    </row>
    <row r="1387" spans="2:18">
      <c r="G1387" s="203"/>
    </row>
    <row r="1388" spans="2:18" s="64" customFormat="1">
      <c r="B1388" s="64" t="s">
        <v>1088</v>
      </c>
      <c r="C1388" s="191" t="s">
        <v>491</v>
      </c>
      <c r="D1388" s="191" t="s">
        <v>759</v>
      </c>
      <c r="E1388" s="188"/>
      <c r="F1388" s="188">
        <f>SUM(F1389:F1390)</f>
        <v>10.5</v>
      </c>
      <c r="G1388" s="202">
        <f>G1390</f>
        <v>44602</v>
      </c>
      <c r="M1388" s="191"/>
      <c r="N1388" s="191"/>
      <c r="O1388" s="191"/>
      <c r="P1388" s="191"/>
      <c r="Q1388" s="191"/>
      <c r="R1388" s="191"/>
    </row>
    <row r="1389" spans="2:18">
      <c r="C1389" s="200" t="s">
        <v>544</v>
      </c>
      <c r="D1389" s="200" t="s">
        <v>1082</v>
      </c>
      <c r="E1389" s="201">
        <v>18.5</v>
      </c>
      <c r="F1389" s="201">
        <v>8.5</v>
      </c>
      <c r="G1389" s="203">
        <v>44242</v>
      </c>
    </row>
    <row r="1390" spans="2:18">
      <c r="C1390" s="200" t="s">
        <v>544</v>
      </c>
      <c r="D1390" s="200" t="s">
        <v>1445</v>
      </c>
      <c r="E1390" s="201">
        <v>25</v>
      </c>
      <c r="F1390" s="201">
        <v>2</v>
      </c>
      <c r="G1390" s="203">
        <v>44602</v>
      </c>
    </row>
    <row r="1391" spans="2:18">
      <c r="G1391" s="203"/>
    </row>
    <row r="1392" spans="2:18">
      <c r="B1392" s="64" t="s">
        <v>926</v>
      </c>
      <c r="C1392" s="191" t="s">
        <v>491</v>
      </c>
      <c r="D1392" s="191" t="s">
        <v>759</v>
      </c>
      <c r="E1392" s="188"/>
      <c r="F1392" s="188">
        <f>+F1393+F1394</f>
        <v>10.166666666666668</v>
      </c>
      <c r="G1392" s="202">
        <f>+G1393</f>
        <v>44417</v>
      </c>
    </row>
    <row r="1393" spans="2:18">
      <c r="C1393" s="200" t="s">
        <v>565</v>
      </c>
      <c r="D1393" s="200" t="s">
        <v>618</v>
      </c>
      <c r="E1393" s="201">
        <v>85</v>
      </c>
      <c r="F1393" s="201">
        <v>6</v>
      </c>
      <c r="G1393" s="203">
        <v>44417</v>
      </c>
    </row>
    <row r="1394" spans="2:18">
      <c r="C1394" s="200" t="s">
        <v>402</v>
      </c>
      <c r="D1394" s="200" t="s">
        <v>618</v>
      </c>
      <c r="E1394" s="201">
        <v>35</v>
      </c>
      <c r="F1394" s="201">
        <f>25/6</f>
        <v>4.166666666666667</v>
      </c>
      <c r="G1394" s="203">
        <v>44293</v>
      </c>
    </row>
    <row r="1395" spans="2:18">
      <c r="G1395" s="203"/>
    </row>
    <row r="1396" spans="2:18" s="64" customFormat="1">
      <c r="B1396" s="64" t="s">
        <v>1021</v>
      </c>
      <c r="C1396" s="191" t="s">
        <v>491</v>
      </c>
      <c r="D1396" s="191" t="s">
        <v>759</v>
      </c>
      <c r="E1396" s="188"/>
      <c r="F1396" s="188">
        <f>SUM(F1397:F1398)</f>
        <v>10.142857142857142</v>
      </c>
      <c r="G1396" s="202">
        <f>G1397</f>
        <v>44628</v>
      </c>
      <c r="M1396" s="191"/>
      <c r="N1396" s="191"/>
      <c r="O1396" s="191"/>
      <c r="P1396" s="191"/>
      <c r="Q1396" s="191"/>
      <c r="R1396" s="191"/>
    </row>
    <row r="1397" spans="2:18">
      <c r="C1397" s="200" t="s">
        <v>402</v>
      </c>
      <c r="D1397" s="200" t="s">
        <v>630</v>
      </c>
      <c r="E1397" s="201">
        <v>50</v>
      </c>
      <c r="F1397" s="201">
        <f>E1397/7</f>
        <v>7.1428571428571432</v>
      </c>
      <c r="G1397" s="203">
        <v>44628</v>
      </c>
    </row>
    <row r="1398" spans="2:18">
      <c r="C1398" s="200" t="s">
        <v>544</v>
      </c>
      <c r="D1398" s="200" t="s">
        <v>630</v>
      </c>
      <c r="E1398" s="201">
        <v>10</v>
      </c>
      <c r="F1398" s="201">
        <v>3</v>
      </c>
      <c r="G1398" s="203">
        <v>44378</v>
      </c>
    </row>
    <row r="1399" spans="2:18">
      <c r="G1399" s="203"/>
    </row>
    <row r="1400" spans="2:18" s="64" customFormat="1">
      <c r="B1400" s="64" t="s">
        <v>1139</v>
      </c>
      <c r="C1400" s="213" t="s">
        <v>491</v>
      </c>
      <c r="D1400" s="213" t="s">
        <v>759</v>
      </c>
      <c r="E1400" s="214"/>
      <c r="F1400" s="214">
        <f>SUM(F1401:F1403)</f>
        <v>10</v>
      </c>
      <c r="G1400" s="215">
        <f>G1401</f>
        <v>44963</v>
      </c>
      <c r="M1400" s="191"/>
      <c r="N1400" s="191"/>
      <c r="O1400" s="191"/>
      <c r="P1400" s="191"/>
      <c r="Q1400" s="191"/>
      <c r="R1400" s="191"/>
    </row>
    <row r="1401" spans="2:18">
      <c r="C1401" s="200" t="s">
        <v>544</v>
      </c>
      <c r="D1401" s="200" t="s">
        <v>460</v>
      </c>
      <c r="E1401" s="201">
        <v>23</v>
      </c>
      <c r="F1401" s="201">
        <v>5</v>
      </c>
      <c r="G1401" s="203">
        <v>44963</v>
      </c>
    </row>
    <row r="1402" spans="2:18">
      <c r="C1402" s="211" t="s">
        <v>544</v>
      </c>
      <c r="D1402" s="211" t="s">
        <v>702</v>
      </c>
      <c r="E1402" s="201">
        <v>14</v>
      </c>
      <c r="F1402" s="201">
        <v>3</v>
      </c>
      <c r="G1402" s="203">
        <v>44705</v>
      </c>
    </row>
    <row r="1403" spans="2:18">
      <c r="C1403" s="211" t="s">
        <v>549</v>
      </c>
      <c r="D1403" s="211" t="s">
        <v>702</v>
      </c>
      <c r="E1403" s="201">
        <v>5</v>
      </c>
      <c r="F1403" s="201">
        <v>2</v>
      </c>
      <c r="G1403" s="203">
        <v>44578</v>
      </c>
    </row>
    <row r="1404" spans="2:18">
      <c r="C1404" s="211"/>
      <c r="D1404" s="211"/>
      <c r="G1404" s="203"/>
    </row>
    <row r="1405" spans="2:18" s="64" customFormat="1">
      <c r="B1405" s="64" t="s">
        <v>1022</v>
      </c>
      <c r="C1405" s="191" t="s">
        <v>491</v>
      </c>
      <c r="D1405" s="191" t="s">
        <v>759</v>
      </c>
      <c r="E1405" s="188"/>
      <c r="F1405" s="188">
        <f>SUM(F1406:F1407)</f>
        <v>10.142857142857142</v>
      </c>
      <c r="G1405" s="202">
        <f>G1406</f>
        <v>44628</v>
      </c>
      <c r="M1405" s="191"/>
      <c r="N1405" s="191"/>
      <c r="O1405" s="191"/>
      <c r="P1405" s="191"/>
      <c r="Q1405" s="191"/>
      <c r="R1405" s="191"/>
    </row>
    <row r="1406" spans="2:18">
      <c r="C1406" s="200" t="s">
        <v>402</v>
      </c>
      <c r="D1406" s="200" t="s">
        <v>630</v>
      </c>
      <c r="E1406" s="201">
        <v>50</v>
      </c>
      <c r="F1406" s="201">
        <f>E1406/7</f>
        <v>7.1428571428571432</v>
      </c>
      <c r="G1406" s="203">
        <v>44628</v>
      </c>
    </row>
    <row r="1407" spans="2:18">
      <c r="C1407" s="200" t="s">
        <v>544</v>
      </c>
      <c r="D1407" s="200" t="s">
        <v>630</v>
      </c>
      <c r="E1407" s="201">
        <v>10</v>
      </c>
      <c r="F1407" s="201">
        <v>3</v>
      </c>
      <c r="G1407" s="203">
        <v>44378</v>
      </c>
    </row>
    <row r="1408" spans="2:18">
      <c r="G1408" s="203"/>
    </row>
    <row r="1409" spans="2:18" s="64" customFormat="1">
      <c r="B1409" s="64" t="s">
        <v>1185</v>
      </c>
      <c r="C1409" s="191" t="s">
        <v>491</v>
      </c>
      <c r="D1409" s="191" t="s">
        <v>759</v>
      </c>
      <c r="E1409" s="188"/>
      <c r="F1409" s="188">
        <f>SUM(F1410:F1413)</f>
        <v>10</v>
      </c>
      <c r="G1409" s="202">
        <f>G1413</f>
        <v>44578</v>
      </c>
      <c r="M1409" s="191"/>
      <c r="N1409" s="191"/>
      <c r="O1409" s="191"/>
      <c r="P1409" s="191"/>
      <c r="Q1409" s="191"/>
      <c r="R1409" s="191"/>
    </row>
    <row r="1410" spans="2:18">
      <c r="C1410" s="200" t="s">
        <v>544</v>
      </c>
      <c r="D1410" s="200" t="s">
        <v>659</v>
      </c>
      <c r="E1410" s="201">
        <v>30</v>
      </c>
      <c r="F1410" s="201">
        <v>4</v>
      </c>
      <c r="G1410" s="203">
        <v>44522</v>
      </c>
    </row>
    <row r="1411" spans="2:18">
      <c r="C1411" s="200" t="s">
        <v>549</v>
      </c>
      <c r="D1411" s="200" t="s">
        <v>659</v>
      </c>
      <c r="E1411" s="201">
        <v>5.5</v>
      </c>
      <c r="F1411" s="201">
        <v>1</v>
      </c>
      <c r="G1411" s="203">
        <v>44096</v>
      </c>
    </row>
    <row r="1412" spans="2:18">
      <c r="C1412" s="200" t="s">
        <v>549</v>
      </c>
      <c r="D1412" s="200" t="s">
        <v>659</v>
      </c>
      <c r="E1412" s="201">
        <v>2</v>
      </c>
      <c r="F1412" s="201">
        <v>2</v>
      </c>
      <c r="G1412" s="203">
        <v>43862</v>
      </c>
    </row>
    <row r="1413" spans="2:18">
      <c r="C1413" s="200" t="s">
        <v>544</v>
      </c>
      <c r="D1413" s="200" t="s">
        <v>1449</v>
      </c>
      <c r="E1413" s="201">
        <v>20</v>
      </c>
      <c r="F1413" s="201">
        <v>3</v>
      </c>
      <c r="G1413" s="203">
        <v>44578</v>
      </c>
    </row>
    <row r="1415" spans="2:18" s="64" customFormat="1">
      <c r="B1415" s="64" t="s">
        <v>2136</v>
      </c>
      <c r="C1415" s="191" t="s">
        <v>491</v>
      </c>
      <c r="D1415" s="191" t="s">
        <v>759</v>
      </c>
      <c r="E1415" s="188"/>
      <c r="F1415" s="188">
        <f>SUM(F1416:F1420)</f>
        <v>9.35</v>
      </c>
      <c r="G1415" s="202">
        <f>G1420</f>
        <v>44637</v>
      </c>
    </row>
    <row r="1416" spans="2:18">
      <c r="B1416" s="224"/>
      <c r="C1416" s="225" t="s">
        <v>565</v>
      </c>
      <c r="D1416" s="225" t="s">
        <v>441</v>
      </c>
      <c r="E1416" s="201">
        <v>48</v>
      </c>
      <c r="F1416" s="201">
        <v>4</v>
      </c>
      <c r="G1416" s="203">
        <v>43888</v>
      </c>
      <c r="M1416" s="199"/>
      <c r="N1416" s="199"/>
      <c r="O1416" s="199"/>
      <c r="P1416" s="199"/>
      <c r="Q1416" s="199"/>
      <c r="R1416" s="199"/>
    </row>
    <row r="1417" spans="2:18">
      <c r="B1417" s="224"/>
      <c r="C1417" s="225" t="s">
        <v>402</v>
      </c>
      <c r="D1417" s="225" t="s">
        <v>441</v>
      </c>
      <c r="E1417" s="201">
        <v>25</v>
      </c>
      <c r="F1417" s="201">
        <v>2</v>
      </c>
      <c r="G1417" s="203">
        <v>43440</v>
      </c>
      <c r="M1417" s="199"/>
      <c r="N1417" s="199"/>
      <c r="O1417" s="199"/>
      <c r="P1417" s="199"/>
      <c r="Q1417" s="199"/>
      <c r="R1417" s="199"/>
    </row>
    <row r="1418" spans="2:18">
      <c r="C1418" s="225" t="s">
        <v>544</v>
      </c>
      <c r="D1418" s="225" t="s">
        <v>441</v>
      </c>
      <c r="E1418" s="201">
        <v>5.8</v>
      </c>
      <c r="F1418" s="201">
        <f>E1418/4</f>
        <v>1.45</v>
      </c>
      <c r="G1418" s="203">
        <v>43117</v>
      </c>
      <c r="M1418" s="199"/>
      <c r="N1418" s="199"/>
      <c r="O1418" s="199"/>
      <c r="P1418" s="199"/>
      <c r="Q1418" s="199"/>
      <c r="R1418" s="199"/>
    </row>
    <row r="1419" spans="2:18">
      <c r="C1419" s="225" t="s">
        <v>549</v>
      </c>
      <c r="D1419" s="225" t="s">
        <v>441</v>
      </c>
      <c r="E1419" s="201">
        <v>3.3</v>
      </c>
      <c r="F1419" s="201">
        <v>0.5</v>
      </c>
      <c r="G1419" s="203">
        <v>42678</v>
      </c>
      <c r="M1419" s="199"/>
      <c r="N1419" s="199"/>
      <c r="O1419" s="199"/>
      <c r="P1419" s="199"/>
      <c r="Q1419" s="199"/>
      <c r="R1419" s="199"/>
    </row>
    <row r="1420" spans="2:18">
      <c r="C1420" s="252" t="s">
        <v>544</v>
      </c>
      <c r="D1420" s="252" t="s">
        <v>1643</v>
      </c>
      <c r="E1420" s="201">
        <v>10</v>
      </c>
      <c r="F1420" s="201">
        <v>1.4</v>
      </c>
      <c r="G1420" s="203">
        <v>44637</v>
      </c>
      <c r="M1420" s="199"/>
      <c r="N1420" s="199"/>
      <c r="O1420" s="199"/>
      <c r="P1420" s="199"/>
      <c r="Q1420" s="199"/>
      <c r="R1420" s="199"/>
    </row>
    <row r="1421" spans="2:18">
      <c r="C1421" s="252" t="s">
        <v>549</v>
      </c>
      <c r="D1421" s="252" t="s">
        <v>1643</v>
      </c>
      <c r="E1421" s="201">
        <v>1.8</v>
      </c>
      <c r="F1421" s="201">
        <v>0.2</v>
      </c>
      <c r="G1421" s="203">
        <v>42690</v>
      </c>
      <c r="M1421" s="199"/>
      <c r="N1421" s="199"/>
      <c r="O1421" s="199"/>
      <c r="P1421" s="199"/>
      <c r="Q1421" s="199"/>
      <c r="R1421" s="199"/>
    </row>
    <row r="1422" spans="2:18">
      <c r="C1422" s="225"/>
      <c r="D1422" s="225"/>
      <c r="G1422" s="203"/>
      <c r="M1422" s="199"/>
      <c r="N1422" s="199"/>
      <c r="O1422" s="199"/>
      <c r="P1422" s="199"/>
      <c r="Q1422" s="199"/>
      <c r="R1422" s="199"/>
    </row>
    <row r="1423" spans="2:18" s="64" customFormat="1">
      <c r="B1423" s="64" t="s">
        <v>1166</v>
      </c>
      <c r="C1423" s="191" t="s">
        <v>491</v>
      </c>
      <c r="D1423" s="191" t="s">
        <v>759</v>
      </c>
      <c r="E1423" s="188"/>
      <c r="F1423" s="188">
        <f>SUM(F1424:F1425)</f>
        <v>8.8000000000000007</v>
      </c>
      <c r="G1423" s="202">
        <f>G1425</f>
        <v>44455</v>
      </c>
      <c r="M1423" s="191"/>
      <c r="N1423" s="191"/>
      <c r="O1423" s="191"/>
      <c r="P1423" s="191"/>
      <c r="Q1423" s="191"/>
      <c r="R1423" s="191"/>
    </row>
    <row r="1424" spans="2:18">
      <c r="C1424" s="200" t="s">
        <v>544</v>
      </c>
      <c r="D1424" s="200" t="s">
        <v>1161</v>
      </c>
      <c r="E1424" s="201">
        <v>21.4</v>
      </c>
      <c r="F1424" s="201">
        <f>11.4/3</f>
        <v>3.8000000000000003</v>
      </c>
      <c r="G1424" s="203">
        <v>44232</v>
      </c>
    </row>
    <row r="1425" spans="2:18">
      <c r="C1425" s="200" t="s">
        <v>544</v>
      </c>
      <c r="D1425" s="200" t="s">
        <v>688</v>
      </c>
      <c r="E1425" s="201">
        <v>20</v>
      </c>
      <c r="F1425" s="201">
        <v>5</v>
      </c>
      <c r="G1425" s="203">
        <v>44455</v>
      </c>
    </row>
    <row r="1426" spans="2:18">
      <c r="G1426" s="203"/>
    </row>
    <row r="1427" spans="2:18" s="64" customFormat="1">
      <c r="B1427" s="64" t="s">
        <v>1100</v>
      </c>
      <c r="C1427" s="191" t="s">
        <v>491</v>
      </c>
      <c r="D1427" s="191" t="s">
        <v>759</v>
      </c>
      <c r="E1427" s="188"/>
      <c r="F1427" s="188">
        <f>SUM(F1428:F1429)</f>
        <v>7.5</v>
      </c>
      <c r="G1427" s="202">
        <f>G1428</f>
        <v>44796</v>
      </c>
      <c r="M1427" s="191"/>
      <c r="N1427" s="191"/>
      <c r="O1427" s="191"/>
      <c r="P1427" s="191"/>
      <c r="Q1427" s="191"/>
      <c r="R1427" s="191"/>
    </row>
    <row r="1428" spans="2:18">
      <c r="C1428" s="200" t="s">
        <v>544</v>
      </c>
      <c r="D1428" s="200" t="s">
        <v>1093</v>
      </c>
      <c r="E1428" s="201">
        <v>50</v>
      </c>
      <c r="F1428" s="201">
        <f>30/12</f>
        <v>2.5</v>
      </c>
      <c r="G1428" s="203">
        <v>44796</v>
      </c>
    </row>
    <row r="1429" spans="2:18">
      <c r="C1429" s="200" t="s">
        <v>549</v>
      </c>
      <c r="D1429" s="200" t="s">
        <v>1093</v>
      </c>
      <c r="E1429" s="201">
        <v>12.5</v>
      </c>
      <c r="F1429" s="201">
        <v>5</v>
      </c>
      <c r="G1429" s="203">
        <v>44623</v>
      </c>
    </row>
    <row r="1431" spans="2:18" s="64" customFormat="1">
      <c r="B1431" s="64" t="s">
        <v>1072</v>
      </c>
      <c r="C1431" s="191" t="s">
        <v>491</v>
      </c>
      <c r="D1431" s="191" t="s">
        <v>759</v>
      </c>
      <c r="E1431" s="188"/>
      <c r="F1431" s="188">
        <f>SUM(F1432:F1433)</f>
        <v>6.8</v>
      </c>
      <c r="G1431" s="202">
        <f>G1432</f>
        <v>44650</v>
      </c>
      <c r="M1431" s="191"/>
      <c r="N1431" s="191"/>
      <c r="O1431" s="191"/>
      <c r="P1431" s="191"/>
      <c r="Q1431" s="191"/>
      <c r="R1431" s="191"/>
    </row>
    <row r="1432" spans="2:18">
      <c r="C1432" s="200" t="s">
        <v>402</v>
      </c>
      <c r="D1432" s="200" t="s">
        <v>650</v>
      </c>
      <c r="E1432" s="201">
        <v>40</v>
      </c>
      <c r="F1432" s="201">
        <v>5</v>
      </c>
      <c r="G1432" s="203">
        <v>44650</v>
      </c>
    </row>
    <row r="1433" spans="2:18">
      <c r="C1433" s="200" t="s">
        <v>544</v>
      </c>
      <c r="D1433" s="200" t="s">
        <v>650</v>
      </c>
      <c r="E1433" s="201">
        <v>14</v>
      </c>
      <c r="F1433" s="201">
        <f>9/5</f>
        <v>1.8</v>
      </c>
      <c r="G1433" s="203">
        <v>44131</v>
      </c>
    </row>
    <row r="1434" spans="2:18">
      <c r="G1434" s="203"/>
    </row>
    <row r="1435" spans="2:18" s="64" customFormat="1">
      <c r="B1435" s="64" t="s">
        <v>1607</v>
      </c>
      <c r="C1435" s="191" t="s">
        <v>491</v>
      </c>
      <c r="D1435" s="191" t="s">
        <v>759</v>
      </c>
      <c r="E1435" s="188"/>
      <c r="F1435" s="188">
        <f>SUM(F1436:F1437)</f>
        <v>6.1428571428571423</v>
      </c>
      <c r="G1435" s="202">
        <f>G1436</f>
        <v>44691</v>
      </c>
      <c r="M1435" s="191"/>
      <c r="N1435" s="191"/>
      <c r="O1435" s="191"/>
      <c r="P1435" s="191"/>
      <c r="Q1435" s="191"/>
      <c r="R1435" s="191"/>
    </row>
    <row r="1436" spans="2:18">
      <c r="B1436" s="210"/>
      <c r="C1436" s="211" t="s">
        <v>549</v>
      </c>
      <c r="D1436" s="211" t="s">
        <v>467</v>
      </c>
      <c r="E1436" s="201">
        <v>15</v>
      </c>
      <c r="F1436" s="201">
        <f>15/7</f>
        <v>2.1428571428571428</v>
      </c>
      <c r="G1436" s="203">
        <v>44691</v>
      </c>
    </row>
    <row r="1437" spans="2:18">
      <c r="B1437" s="210"/>
      <c r="C1437" s="252" t="s">
        <v>402</v>
      </c>
      <c r="D1437" s="252" t="s">
        <v>1628</v>
      </c>
      <c r="E1437" s="201">
        <v>40</v>
      </c>
      <c r="F1437" s="201">
        <v>4</v>
      </c>
      <c r="G1437" s="203">
        <v>43419</v>
      </c>
    </row>
    <row r="1438" spans="2:18">
      <c r="B1438" s="210"/>
      <c r="C1438" s="211"/>
      <c r="D1438" s="211"/>
      <c r="G1438" s="203"/>
    </row>
    <row r="1439" spans="2:18" s="64" customFormat="1">
      <c r="B1439" s="64" t="s">
        <v>1325</v>
      </c>
      <c r="C1439" s="191" t="s">
        <v>491</v>
      </c>
      <c r="D1439" s="191" t="s">
        <v>759</v>
      </c>
      <c r="E1439" s="188"/>
      <c r="F1439" s="188">
        <f>SUM(F1440:F1441)</f>
        <v>5.75</v>
      </c>
      <c r="G1439" s="202">
        <f>G1440</f>
        <v>44615</v>
      </c>
      <c r="M1439" s="191"/>
      <c r="N1439" s="191"/>
      <c r="O1439" s="191"/>
      <c r="P1439" s="191"/>
      <c r="Q1439" s="191"/>
      <c r="R1439" s="191"/>
    </row>
    <row r="1440" spans="2:18">
      <c r="C1440" s="200" t="s">
        <v>544</v>
      </c>
      <c r="D1440" s="200" t="s">
        <v>672</v>
      </c>
      <c r="E1440" s="201">
        <v>25</v>
      </c>
      <c r="F1440" s="201">
        <f>15/4</f>
        <v>3.75</v>
      </c>
      <c r="G1440" s="203">
        <v>44615</v>
      </c>
    </row>
    <row r="1441" spans="2:18">
      <c r="C1441" s="200" t="s">
        <v>549</v>
      </c>
      <c r="D1441" s="200" t="s">
        <v>672</v>
      </c>
      <c r="E1441" s="201">
        <v>5</v>
      </c>
      <c r="F1441" s="201">
        <v>2</v>
      </c>
      <c r="G1441" s="203">
        <v>44292</v>
      </c>
    </row>
    <row r="1442" spans="2:18">
      <c r="G1442" s="203"/>
    </row>
    <row r="1443" spans="2:18">
      <c r="B1443" s="64" t="s">
        <v>992</v>
      </c>
      <c r="C1443" s="191" t="s">
        <v>491</v>
      </c>
      <c r="D1443" s="191" t="s">
        <v>759</v>
      </c>
      <c r="F1443" s="188">
        <f>SUM(F1444:F1446)</f>
        <v>10.333333333333332</v>
      </c>
      <c r="G1443" s="202">
        <f>G1445</f>
        <v>44467</v>
      </c>
    </row>
    <row r="1444" spans="2:18">
      <c r="C1444" s="200" t="s">
        <v>544</v>
      </c>
      <c r="D1444" s="200" t="s">
        <v>616</v>
      </c>
      <c r="E1444" s="201">
        <v>20</v>
      </c>
      <c r="F1444" s="201">
        <f>12/6</f>
        <v>2</v>
      </c>
      <c r="G1444" s="203">
        <v>43816</v>
      </c>
    </row>
    <row r="1445" spans="2:18">
      <c r="C1445" s="200" t="s">
        <v>544</v>
      </c>
      <c r="D1445" s="200" t="s">
        <v>652</v>
      </c>
      <c r="E1445" s="201">
        <v>19</v>
      </c>
      <c r="F1445" s="201">
        <v>4</v>
      </c>
      <c r="G1445" s="203">
        <v>44467</v>
      </c>
    </row>
    <row r="1446" spans="2:18">
      <c r="C1446" s="272" t="s">
        <v>544</v>
      </c>
      <c r="D1446" s="272" t="s">
        <v>1755</v>
      </c>
      <c r="E1446" s="201">
        <v>26</v>
      </c>
      <c r="F1446" s="201">
        <v>4.333333333333333</v>
      </c>
      <c r="G1446" s="203">
        <v>44453</v>
      </c>
    </row>
    <row r="1447" spans="2:18">
      <c r="C1447" s="272" t="s">
        <v>549</v>
      </c>
      <c r="D1447" s="272" t="s">
        <v>1755</v>
      </c>
      <c r="E1447" s="201">
        <v>6.2</v>
      </c>
      <c r="F1447" s="201">
        <v>1</v>
      </c>
      <c r="G1447" s="203">
        <v>44201</v>
      </c>
    </row>
    <row r="1448" spans="2:18">
      <c r="G1448" s="203"/>
    </row>
    <row r="1449" spans="2:18" s="64" customFormat="1">
      <c r="B1449" s="64" t="s">
        <v>1318</v>
      </c>
      <c r="C1449" s="191" t="s">
        <v>491</v>
      </c>
      <c r="D1449" s="191" t="s">
        <v>759</v>
      </c>
      <c r="E1449" s="188"/>
      <c r="F1449" s="188">
        <f>SUM(F1450:F1452)</f>
        <v>6</v>
      </c>
      <c r="G1449" s="202">
        <f>G1450</f>
        <v>44636</v>
      </c>
      <c r="M1449" s="191"/>
      <c r="N1449" s="191"/>
      <c r="O1449" s="191"/>
      <c r="P1449" s="191"/>
      <c r="Q1449" s="191"/>
      <c r="R1449" s="191"/>
    </row>
    <row r="1450" spans="2:18">
      <c r="C1450" s="200" t="s">
        <v>402</v>
      </c>
      <c r="D1450" s="200" t="s">
        <v>671</v>
      </c>
      <c r="E1450" s="201">
        <v>25</v>
      </c>
      <c r="F1450" s="201">
        <v>3</v>
      </c>
      <c r="G1450" s="203">
        <v>44636</v>
      </c>
    </row>
    <row r="1451" spans="2:18">
      <c r="C1451" s="200" t="s">
        <v>544</v>
      </c>
      <c r="D1451" s="200" t="s">
        <v>671</v>
      </c>
      <c r="E1451" s="201">
        <v>12</v>
      </c>
      <c r="F1451" s="201">
        <v>2</v>
      </c>
      <c r="G1451" s="203">
        <v>44179</v>
      </c>
    </row>
    <row r="1452" spans="2:18">
      <c r="C1452" s="200" t="s">
        <v>549</v>
      </c>
      <c r="D1452" s="200" t="s">
        <v>671</v>
      </c>
      <c r="E1452" s="201">
        <v>5.0999999999999996</v>
      </c>
      <c r="F1452" s="201">
        <v>1</v>
      </c>
      <c r="G1452" s="203">
        <v>44046</v>
      </c>
    </row>
    <row r="1453" spans="2:18">
      <c r="G1453" s="203"/>
    </row>
    <row r="1454" spans="2:18" s="64" customFormat="1">
      <c r="B1454" s="64" t="s">
        <v>1590</v>
      </c>
      <c r="C1454" s="191" t="s">
        <v>491</v>
      </c>
      <c r="D1454" s="191" t="s">
        <v>759</v>
      </c>
      <c r="E1454" s="188"/>
      <c r="F1454" s="188">
        <f>SUM(F1455:F1456)</f>
        <v>5</v>
      </c>
      <c r="G1454" s="202">
        <f>G1455</f>
        <v>44838</v>
      </c>
      <c r="M1454" s="191"/>
      <c r="N1454" s="191"/>
      <c r="O1454" s="191"/>
      <c r="P1454" s="191"/>
      <c r="Q1454" s="191"/>
      <c r="R1454" s="191"/>
    </row>
    <row r="1455" spans="2:18">
      <c r="B1455" s="210"/>
      <c r="C1455" s="211" t="s">
        <v>544</v>
      </c>
      <c r="D1455" s="211" t="s">
        <v>697</v>
      </c>
      <c r="E1455" s="201">
        <v>15</v>
      </c>
      <c r="F1455" s="201">
        <f>10/3</f>
        <v>3.3333333333333335</v>
      </c>
      <c r="G1455" s="203">
        <v>44838</v>
      </c>
    </row>
    <row r="1456" spans="2:18">
      <c r="B1456" s="210"/>
      <c r="C1456" s="282" t="s">
        <v>549</v>
      </c>
      <c r="D1456" s="282" t="s">
        <v>1922</v>
      </c>
      <c r="E1456" s="201">
        <v>5</v>
      </c>
      <c r="F1456" s="201">
        <f>E1456/3</f>
        <v>1.6666666666666667</v>
      </c>
      <c r="G1456" s="203">
        <v>41940</v>
      </c>
    </row>
    <row r="1457" spans="2:18">
      <c r="B1457" s="210"/>
      <c r="C1457" s="211"/>
      <c r="D1457" s="211"/>
      <c r="G1457" s="203"/>
    </row>
    <row r="1458" spans="2:18" s="64" customFormat="1">
      <c r="B1458" s="64" t="s">
        <v>1131</v>
      </c>
      <c r="C1458" s="191" t="s">
        <v>491</v>
      </c>
      <c r="D1458" s="191" t="s">
        <v>759</v>
      </c>
      <c r="E1458" s="188"/>
      <c r="F1458" s="188">
        <f>SUM(F1459:F1460)</f>
        <v>4.833333333333333</v>
      </c>
      <c r="G1458" s="202">
        <f>G1459</f>
        <v>44893</v>
      </c>
      <c r="M1458" s="191"/>
      <c r="N1458" s="191"/>
      <c r="O1458" s="191"/>
      <c r="P1458" s="191"/>
      <c r="Q1458" s="191"/>
      <c r="R1458" s="191"/>
    </row>
    <row r="1459" spans="2:18">
      <c r="C1459" s="200" t="s">
        <v>544</v>
      </c>
      <c r="D1459" s="200" t="s">
        <v>654</v>
      </c>
      <c r="E1459" s="201">
        <v>33</v>
      </c>
      <c r="F1459" s="201">
        <f>13/3</f>
        <v>4.333333333333333</v>
      </c>
      <c r="G1459" s="203">
        <v>44893</v>
      </c>
    </row>
    <row r="1460" spans="2:18">
      <c r="C1460" s="200" t="s">
        <v>1135</v>
      </c>
      <c r="D1460" s="200" t="s">
        <v>654</v>
      </c>
      <c r="E1460" s="201">
        <v>3</v>
      </c>
      <c r="F1460" s="201">
        <v>0.5</v>
      </c>
      <c r="G1460" s="203">
        <v>44183</v>
      </c>
    </row>
    <row r="1461" spans="2:18">
      <c r="G1461" s="203"/>
    </row>
    <row r="1462" spans="2:18" s="64" customFormat="1">
      <c r="B1462" s="64" t="s">
        <v>1188</v>
      </c>
      <c r="C1462" s="191" t="s">
        <v>491</v>
      </c>
      <c r="D1462" s="191" t="s">
        <v>759</v>
      </c>
      <c r="E1462" s="188"/>
      <c r="F1462" s="188">
        <f>SUM(F1463:F1464)</f>
        <v>5</v>
      </c>
      <c r="G1462" s="202">
        <f>G1463</f>
        <v>44522</v>
      </c>
      <c r="M1462" s="191"/>
      <c r="N1462" s="191"/>
      <c r="O1462" s="191"/>
      <c r="P1462" s="191"/>
      <c r="Q1462" s="191"/>
      <c r="R1462" s="191"/>
    </row>
    <row r="1463" spans="2:18">
      <c r="C1463" s="200" t="s">
        <v>544</v>
      </c>
      <c r="D1463" s="200" t="s">
        <v>659</v>
      </c>
      <c r="E1463" s="201">
        <v>30</v>
      </c>
      <c r="F1463" s="201">
        <v>4</v>
      </c>
      <c r="G1463" s="203">
        <v>44522</v>
      </c>
    </row>
    <row r="1464" spans="2:18">
      <c r="C1464" s="200" t="s">
        <v>549</v>
      </c>
      <c r="D1464" s="200" t="s">
        <v>659</v>
      </c>
      <c r="E1464" s="201">
        <v>5.5</v>
      </c>
      <c r="F1464" s="201">
        <v>1</v>
      </c>
      <c r="G1464" s="203">
        <v>44096</v>
      </c>
    </row>
    <row r="1466" spans="2:18" s="64" customFormat="1">
      <c r="B1466" s="64" t="s">
        <v>1132</v>
      </c>
      <c r="C1466" s="191" t="s">
        <v>491</v>
      </c>
      <c r="D1466" s="191" t="s">
        <v>759</v>
      </c>
      <c r="E1466" s="188"/>
      <c r="F1466" s="188">
        <f>SUM(F1467:F1468)</f>
        <v>4.833333333333333</v>
      </c>
      <c r="G1466" s="202">
        <f>G1467</f>
        <v>44893</v>
      </c>
      <c r="M1466" s="191"/>
      <c r="N1466" s="191"/>
      <c r="O1466" s="191"/>
      <c r="P1466" s="191"/>
      <c r="Q1466" s="191"/>
      <c r="R1466" s="191"/>
    </row>
    <row r="1467" spans="2:18">
      <c r="C1467" s="200" t="s">
        <v>544</v>
      </c>
      <c r="D1467" s="200" t="s">
        <v>654</v>
      </c>
      <c r="E1467" s="201">
        <v>33</v>
      </c>
      <c r="F1467" s="201">
        <f>13/3</f>
        <v>4.333333333333333</v>
      </c>
      <c r="G1467" s="203">
        <v>44893</v>
      </c>
    </row>
    <row r="1468" spans="2:18">
      <c r="C1468" s="200" t="s">
        <v>1135</v>
      </c>
      <c r="D1468" s="200" t="s">
        <v>654</v>
      </c>
      <c r="E1468" s="201">
        <v>3</v>
      </c>
      <c r="F1468" s="201">
        <v>0.5</v>
      </c>
      <c r="G1468" s="203">
        <v>44183</v>
      </c>
    </row>
    <row r="1469" spans="2:18">
      <c r="C1469" s="252" t="s">
        <v>549</v>
      </c>
      <c r="D1469" s="252" t="s">
        <v>1643</v>
      </c>
      <c r="E1469" s="201">
        <v>1.8</v>
      </c>
      <c r="F1469" s="201">
        <v>0.2</v>
      </c>
      <c r="G1469" s="203">
        <v>42690</v>
      </c>
    </row>
    <row r="1470" spans="2:18">
      <c r="G1470" s="203"/>
    </row>
    <row r="1471" spans="2:18" s="64" customFormat="1">
      <c r="B1471" s="64" t="s">
        <v>1317</v>
      </c>
      <c r="C1471" s="191" t="s">
        <v>491</v>
      </c>
      <c r="D1471" s="191" t="s">
        <v>759</v>
      </c>
      <c r="E1471" s="188"/>
      <c r="F1471" s="188">
        <f>SUM(F1472:F1473)</f>
        <v>5</v>
      </c>
      <c r="G1471" s="202">
        <f>G1472</f>
        <v>44636</v>
      </c>
      <c r="M1471" s="191"/>
      <c r="N1471" s="191"/>
      <c r="O1471" s="191"/>
      <c r="P1471" s="191"/>
      <c r="Q1471" s="191"/>
      <c r="R1471" s="191"/>
    </row>
    <row r="1472" spans="2:18">
      <c r="C1472" s="200" t="s">
        <v>402</v>
      </c>
      <c r="D1472" s="200" t="s">
        <v>671</v>
      </c>
      <c r="E1472" s="201">
        <v>25</v>
      </c>
      <c r="F1472" s="201">
        <v>3</v>
      </c>
      <c r="G1472" s="203">
        <v>44636</v>
      </c>
    </row>
    <row r="1473" spans="2:18">
      <c r="C1473" s="200" t="s">
        <v>544</v>
      </c>
      <c r="D1473" s="200" t="s">
        <v>671</v>
      </c>
      <c r="E1473" s="201">
        <v>12.2</v>
      </c>
      <c r="F1473" s="201">
        <v>2</v>
      </c>
      <c r="G1473" s="203">
        <v>44179</v>
      </c>
    </row>
    <row r="1474" spans="2:18">
      <c r="G1474" s="203"/>
    </row>
    <row r="1475" spans="2:18" s="64" customFormat="1">
      <c r="B1475" s="64" t="s">
        <v>2363</v>
      </c>
      <c r="C1475" s="191" t="s">
        <v>491</v>
      </c>
      <c r="D1475" s="191" t="s">
        <v>759</v>
      </c>
      <c r="E1475" s="188"/>
      <c r="F1475" s="188">
        <f>SUM(F1476:F1478)</f>
        <v>4.2333333333333325</v>
      </c>
      <c r="G1475" s="202">
        <f>G1478</f>
        <v>44637</v>
      </c>
    </row>
    <row r="1476" spans="2:18">
      <c r="B1476" s="224"/>
      <c r="C1476" s="225" t="s">
        <v>544</v>
      </c>
      <c r="D1476" s="225" t="s">
        <v>502</v>
      </c>
      <c r="E1476" s="201">
        <v>14.5</v>
      </c>
      <c r="F1476" s="201">
        <v>1.5</v>
      </c>
      <c r="G1476" s="203">
        <v>43389</v>
      </c>
      <c r="M1476" s="199"/>
      <c r="N1476" s="199"/>
      <c r="O1476" s="199"/>
      <c r="P1476" s="199"/>
      <c r="Q1476" s="199"/>
      <c r="R1476" s="199"/>
    </row>
    <row r="1477" spans="2:18">
      <c r="B1477" s="224"/>
      <c r="C1477" s="225" t="s">
        <v>549</v>
      </c>
      <c r="D1477" s="225" t="s">
        <v>502</v>
      </c>
      <c r="E1477" s="201">
        <v>4</v>
      </c>
      <c r="F1477" s="201">
        <f>4/3</f>
        <v>1.3333333333333333</v>
      </c>
      <c r="G1477" s="203">
        <v>42647</v>
      </c>
      <c r="M1477" s="199"/>
      <c r="N1477" s="199"/>
      <c r="O1477" s="199"/>
      <c r="P1477" s="199"/>
      <c r="Q1477" s="199"/>
      <c r="R1477" s="199"/>
    </row>
    <row r="1478" spans="2:18">
      <c r="B1478" s="224"/>
      <c r="C1478" s="252" t="s">
        <v>544</v>
      </c>
      <c r="D1478" s="252" t="s">
        <v>1643</v>
      </c>
      <c r="E1478" s="201">
        <v>10</v>
      </c>
      <c r="F1478" s="201">
        <v>1.4</v>
      </c>
      <c r="G1478" s="203">
        <v>44637</v>
      </c>
      <c r="M1478" s="199"/>
      <c r="N1478" s="199"/>
      <c r="O1478" s="199"/>
      <c r="P1478" s="199"/>
      <c r="Q1478" s="199"/>
      <c r="R1478" s="199"/>
    </row>
    <row r="1479" spans="2:18">
      <c r="B1479" s="224"/>
      <c r="C1479" s="252" t="s">
        <v>549</v>
      </c>
      <c r="D1479" s="252" t="s">
        <v>1643</v>
      </c>
      <c r="E1479" s="201">
        <v>4.5</v>
      </c>
      <c r="F1479" s="201">
        <v>2</v>
      </c>
      <c r="G1479" s="203">
        <v>44175</v>
      </c>
      <c r="M1479" s="199"/>
      <c r="N1479" s="199"/>
      <c r="O1479" s="199"/>
      <c r="P1479" s="199"/>
      <c r="Q1479" s="199"/>
      <c r="R1479" s="199"/>
    </row>
    <row r="1480" spans="2:18">
      <c r="B1480" s="224"/>
      <c r="C1480" s="225"/>
      <c r="D1480" s="225"/>
      <c r="G1480" s="203"/>
      <c r="M1480" s="199"/>
      <c r="N1480" s="199"/>
      <c r="O1480" s="199"/>
      <c r="P1480" s="199"/>
      <c r="Q1480" s="199"/>
      <c r="R1480" s="199"/>
    </row>
    <row r="1481" spans="2:18" s="64" customFormat="1">
      <c r="B1481" s="64" t="s">
        <v>1094</v>
      </c>
      <c r="C1481" s="191" t="s">
        <v>491</v>
      </c>
      <c r="D1481" s="191" t="s">
        <v>759</v>
      </c>
      <c r="E1481" s="188"/>
      <c r="F1481" s="188">
        <f>SUM(F1482:F1483)</f>
        <v>4.0999999999999996</v>
      </c>
      <c r="G1481" s="202">
        <f>G1482</f>
        <v>44796</v>
      </c>
      <c r="M1481" s="191"/>
      <c r="N1481" s="191"/>
      <c r="O1481" s="191"/>
      <c r="P1481" s="191"/>
      <c r="Q1481" s="191"/>
      <c r="R1481" s="191"/>
    </row>
    <row r="1482" spans="2:18">
      <c r="C1482" s="200" t="s">
        <v>544</v>
      </c>
      <c r="D1482" s="200" t="s">
        <v>1093</v>
      </c>
      <c r="E1482" s="201">
        <v>50</v>
      </c>
      <c r="F1482" s="201">
        <f>30/12</f>
        <v>2.5</v>
      </c>
      <c r="G1482" s="203">
        <v>44796</v>
      </c>
    </row>
    <row r="1483" spans="2:18">
      <c r="C1483" s="200" t="s">
        <v>549</v>
      </c>
      <c r="D1483" s="200" t="s">
        <v>1093</v>
      </c>
      <c r="E1483" s="201">
        <v>12.5</v>
      </c>
      <c r="F1483" s="201">
        <f>8/5</f>
        <v>1.6</v>
      </c>
      <c r="G1483" s="203">
        <v>44623</v>
      </c>
    </row>
    <row r="1485" spans="2:18">
      <c r="B1485" s="64" t="s">
        <v>857</v>
      </c>
      <c r="C1485" s="191" t="s">
        <v>491</v>
      </c>
      <c r="D1485" s="191" t="s">
        <v>759</v>
      </c>
      <c r="F1485" s="188">
        <f>F1486+F1487</f>
        <v>3.5</v>
      </c>
      <c r="G1485" s="202">
        <f>G1487</f>
        <v>44392</v>
      </c>
    </row>
    <row r="1486" spans="2:18">
      <c r="C1486" s="200" t="s">
        <v>544</v>
      </c>
      <c r="D1486" s="200" t="s">
        <v>850</v>
      </c>
      <c r="E1486" s="201">
        <v>5</v>
      </c>
      <c r="F1486" s="201">
        <v>1</v>
      </c>
      <c r="G1486" s="203">
        <v>43251</v>
      </c>
    </row>
    <row r="1487" spans="2:18">
      <c r="C1487" s="200" t="s">
        <v>544</v>
      </c>
      <c r="D1487" s="200" t="s">
        <v>684</v>
      </c>
      <c r="E1487" s="201">
        <v>20</v>
      </c>
      <c r="F1487" s="201">
        <v>2.5</v>
      </c>
      <c r="G1487" s="203">
        <v>44392</v>
      </c>
    </row>
    <row r="1488" spans="2:18">
      <c r="C1488" s="225" t="s">
        <v>544</v>
      </c>
      <c r="D1488" s="225" t="s">
        <v>2149</v>
      </c>
      <c r="E1488" s="201">
        <v>8</v>
      </c>
      <c r="F1488" s="201">
        <v>1</v>
      </c>
      <c r="G1488" s="203">
        <v>43249</v>
      </c>
    </row>
    <row r="1489" spans="2:18">
      <c r="G1489" s="203"/>
    </row>
    <row r="1490" spans="2:18" s="64" customFormat="1">
      <c r="B1490" s="64" t="s">
        <v>1209</v>
      </c>
      <c r="C1490" s="191" t="s">
        <v>491</v>
      </c>
      <c r="D1490" s="191" t="s">
        <v>759</v>
      </c>
      <c r="E1490" s="188"/>
      <c r="F1490" s="188">
        <f>SUM(F1491:F1492)</f>
        <v>4</v>
      </c>
      <c r="G1490" s="202">
        <f>G1491</f>
        <v>45070</v>
      </c>
      <c r="M1490" s="191"/>
      <c r="N1490" s="191"/>
      <c r="O1490" s="191"/>
      <c r="P1490" s="191"/>
      <c r="Q1490" s="191"/>
      <c r="R1490" s="191"/>
    </row>
    <row r="1491" spans="2:18">
      <c r="C1491" s="200" t="s">
        <v>544</v>
      </c>
      <c r="D1491" s="200" t="s">
        <v>568</v>
      </c>
      <c r="E1491" s="201">
        <v>10.9</v>
      </c>
      <c r="F1491" s="201">
        <f t="shared" ref="F1491" si="9">8/8</f>
        <v>1</v>
      </c>
      <c r="G1491" s="203">
        <v>45070</v>
      </c>
    </row>
    <row r="1492" spans="2:18">
      <c r="C1492" s="211" t="s">
        <v>544</v>
      </c>
      <c r="D1492" s="211" t="s">
        <v>1574</v>
      </c>
      <c r="E1492" s="201">
        <v>6</v>
      </c>
      <c r="F1492" s="201">
        <v>3</v>
      </c>
      <c r="G1492" s="203">
        <v>44917</v>
      </c>
    </row>
    <row r="1493" spans="2:18">
      <c r="C1493" s="211"/>
      <c r="D1493" s="211"/>
      <c r="G1493" s="203"/>
    </row>
    <row r="1494" spans="2:18" s="64" customFormat="1">
      <c r="B1494" s="64" t="s">
        <v>2284</v>
      </c>
      <c r="C1494" s="191" t="s">
        <v>491</v>
      </c>
      <c r="D1494" s="191" t="s">
        <v>759</v>
      </c>
      <c r="E1494" s="188"/>
      <c r="F1494" s="188">
        <f>SUM(F1495:F1499)</f>
        <v>3.6749999999999998</v>
      </c>
      <c r="G1494" s="202">
        <f>G1495</f>
        <v>44341</v>
      </c>
      <c r="M1494" s="191"/>
      <c r="N1494" s="191"/>
      <c r="O1494" s="191"/>
      <c r="P1494" s="191"/>
      <c r="Q1494" s="191"/>
      <c r="R1494" s="191"/>
    </row>
    <row r="1495" spans="2:18">
      <c r="B1495" s="224"/>
      <c r="C1495" s="225" t="s">
        <v>544</v>
      </c>
      <c r="D1495" s="225" t="s">
        <v>1516</v>
      </c>
      <c r="E1495" s="201">
        <v>10.5</v>
      </c>
      <c r="F1495" s="201">
        <f>5/5</f>
        <v>1</v>
      </c>
      <c r="G1495" s="203">
        <v>44341</v>
      </c>
    </row>
    <row r="1496" spans="2:18">
      <c r="C1496" s="225" t="s">
        <v>549</v>
      </c>
      <c r="D1496" s="225" t="s">
        <v>1516</v>
      </c>
      <c r="E1496" s="201">
        <v>4</v>
      </c>
      <c r="F1496" s="201">
        <v>1</v>
      </c>
      <c r="G1496" s="203">
        <v>43671</v>
      </c>
    </row>
    <row r="1497" spans="2:18">
      <c r="C1497" s="225" t="s">
        <v>669</v>
      </c>
      <c r="D1497" s="225" t="s">
        <v>1516</v>
      </c>
      <c r="E1497" s="201">
        <v>0.5</v>
      </c>
      <c r="F1497" s="201">
        <v>0.1</v>
      </c>
      <c r="G1497" s="203">
        <v>43262</v>
      </c>
    </row>
    <row r="1498" spans="2:18">
      <c r="C1498" s="249" t="s">
        <v>549</v>
      </c>
      <c r="D1498" s="249" t="s">
        <v>1545</v>
      </c>
      <c r="E1498" s="201">
        <v>3</v>
      </c>
      <c r="F1498" s="201">
        <f>1.5/4</f>
        <v>0.375</v>
      </c>
      <c r="G1498" s="203">
        <v>44327</v>
      </c>
    </row>
    <row r="1499" spans="2:18">
      <c r="C1499" s="249" t="s">
        <v>669</v>
      </c>
      <c r="D1499" s="249" t="s">
        <v>1545</v>
      </c>
      <c r="E1499" s="201">
        <v>1.2</v>
      </c>
      <c r="F1499" s="201">
        <v>1.2</v>
      </c>
      <c r="G1499" s="203">
        <v>42744</v>
      </c>
    </row>
    <row r="1500" spans="2:18">
      <c r="C1500" s="225"/>
      <c r="D1500" s="225"/>
      <c r="G1500" s="203"/>
    </row>
    <row r="1501" spans="2:18" s="64" customFormat="1">
      <c r="B1501" s="64" t="s">
        <v>991</v>
      </c>
      <c r="C1501" s="191" t="s">
        <v>491</v>
      </c>
      <c r="D1501" s="191" t="s">
        <v>759</v>
      </c>
      <c r="E1501" s="188"/>
      <c r="F1501" s="188">
        <f>SUM(F1502:F1503)</f>
        <v>2.7142857142857144</v>
      </c>
      <c r="G1501" s="202">
        <f>G1502</f>
        <v>43816</v>
      </c>
      <c r="M1501" s="191"/>
      <c r="N1501" s="191"/>
      <c r="O1501" s="191"/>
      <c r="P1501" s="191"/>
      <c r="Q1501" s="191"/>
      <c r="R1501" s="191"/>
    </row>
    <row r="1502" spans="2:18">
      <c r="C1502" s="200" t="s">
        <v>544</v>
      </c>
      <c r="D1502" s="200" t="s">
        <v>616</v>
      </c>
      <c r="E1502" s="201">
        <v>20</v>
      </c>
      <c r="F1502" s="201">
        <f>12/6</f>
        <v>2</v>
      </c>
      <c r="G1502" s="203">
        <v>43816</v>
      </c>
    </row>
    <row r="1503" spans="2:18">
      <c r="C1503" s="228" t="s">
        <v>549</v>
      </c>
      <c r="D1503" s="228" t="s">
        <v>1576</v>
      </c>
      <c r="E1503" s="201">
        <v>7</v>
      </c>
      <c r="F1503" s="201">
        <v>0.7142857142857143</v>
      </c>
      <c r="G1503" s="203">
        <v>43046</v>
      </c>
    </row>
    <row r="1504" spans="2:18">
      <c r="G1504" s="203"/>
    </row>
    <row r="1505" spans="2:18">
      <c r="B1505" s="64" t="s">
        <v>1044</v>
      </c>
      <c r="C1505" s="191" t="s">
        <v>491</v>
      </c>
      <c r="D1505" s="191" t="s">
        <v>759</v>
      </c>
      <c r="F1505" s="188">
        <f>SUM(F1506:F1507)</f>
        <v>2.666666666666667</v>
      </c>
      <c r="G1505" s="202">
        <f>G1507</f>
        <v>45062</v>
      </c>
    </row>
    <row r="1506" spans="2:18">
      <c r="C1506" s="200" t="s">
        <v>544</v>
      </c>
      <c r="D1506" s="200" t="s">
        <v>623</v>
      </c>
      <c r="E1506" s="201">
        <v>17.5</v>
      </c>
      <c r="F1506" s="201">
        <v>1</v>
      </c>
      <c r="G1506" s="203">
        <v>44614</v>
      </c>
    </row>
    <row r="1507" spans="2:18">
      <c r="C1507" s="220" t="s">
        <v>549</v>
      </c>
      <c r="D1507" s="220" t="s">
        <v>579</v>
      </c>
      <c r="E1507" s="201">
        <v>5</v>
      </c>
      <c r="F1507" s="201">
        <f>5/3</f>
        <v>1.6666666666666667</v>
      </c>
      <c r="G1507" s="203">
        <v>45062</v>
      </c>
    </row>
    <row r="1508" spans="2:18">
      <c r="C1508" s="225" t="s">
        <v>549</v>
      </c>
      <c r="D1508" s="225" t="s">
        <v>597</v>
      </c>
      <c r="E1508" s="201">
        <v>9</v>
      </c>
      <c r="F1508" s="201">
        <v>0.5</v>
      </c>
      <c r="G1508" s="203">
        <v>44859</v>
      </c>
    </row>
    <row r="1509" spans="2:18">
      <c r="G1509" s="203"/>
    </row>
    <row r="1510" spans="2:18" s="64" customFormat="1">
      <c r="B1510" s="64" t="s">
        <v>1220</v>
      </c>
      <c r="C1510" s="191" t="s">
        <v>491</v>
      </c>
      <c r="D1510" s="191" t="s">
        <v>759</v>
      </c>
      <c r="E1510" s="188"/>
      <c r="F1510" s="188">
        <f>SUM(F1511:F1512)</f>
        <v>1.4</v>
      </c>
      <c r="G1510" s="202">
        <f>G1511</f>
        <v>44994</v>
      </c>
      <c r="M1510" s="191"/>
      <c r="N1510" s="191"/>
      <c r="O1510" s="191"/>
      <c r="P1510" s="191"/>
      <c r="Q1510" s="191"/>
      <c r="R1510" s="191"/>
    </row>
    <row r="1511" spans="2:18">
      <c r="C1511" s="200" t="s">
        <v>549</v>
      </c>
      <c r="D1511" s="200" t="s">
        <v>551</v>
      </c>
      <c r="E1511" s="201">
        <v>2.8</v>
      </c>
      <c r="F1511" s="201">
        <v>1</v>
      </c>
      <c r="G1511" s="203">
        <v>44994</v>
      </c>
    </row>
    <row r="1512" spans="2:18">
      <c r="C1512" s="200" t="s">
        <v>549</v>
      </c>
      <c r="D1512" s="200" t="s">
        <v>551</v>
      </c>
      <c r="E1512" s="201">
        <v>2.6</v>
      </c>
      <c r="F1512" s="201">
        <f>1.6/4</f>
        <v>0.4</v>
      </c>
      <c r="G1512" s="203">
        <v>44147</v>
      </c>
    </row>
    <row r="1514" spans="2:18">
      <c r="B1514" s="199" t="s">
        <v>59</v>
      </c>
      <c r="C1514" s="200" t="s">
        <v>402</v>
      </c>
      <c r="D1514" s="200" t="s">
        <v>144</v>
      </c>
      <c r="E1514" s="201">
        <v>580</v>
      </c>
      <c r="F1514" s="201">
        <v>580</v>
      </c>
      <c r="G1514" s="203">
        <v>44680</v>
      </c>
    </row>
    <row r="1515" spans="2:18">
      <c r="B1515" s="199" t="s">
        <v>746</v>
      </c>
      <c r="C1515" s="200" t="s">
        <v>738</v>
      </c>
      <c r="D1515" s="200" t="s">
        <v>751</v>
      </c>
      <c r="E1515" s="201">
        <v>325</v>
      </c>
      <c r="F1515" s="201">
        <v>65</v>
      </c>
      <c r="G1515" s="203">
        <v>44299</v>
      </c>
    </row>
    <row r="1516" spans="2:18">
      <c r="B1516" s="199" t="s">
        <v>771</v>
      </c>
      <c r="C1516" s="200" t="s">
        <v>565</v>
      </c>
      <c r="D1516" s="200" t="s">
        <v>144</v>
      </c>
      <c r="E1516" s="201">
        <v>450</v>
      </c>
      <c r="F1516" s="201">
        <f>300/5</f>
        <v>60</v>
      </c>
      <c r="G1516" s="203">
        <v>45069</v>
      </c>
    </row>
    <row r="1517" spans="2:18">
      <c r="B1517" s="199" t="s">
        <v>851</v>
      </c>
      <c r="C1517" s="200" t="s">
        <v>565</v>
      </c>
      <c r="D1517" s="200" t="s">
        <v>850</v>
      </c>
      <c r="E1517" s="201">
        <v>135</v>
      </c>
      <c r="F1517" s="201">
        <v>42.5</v>
      </c>
      <c r="G1517" s="203">
        <v>44482</v>
      </c>
    </row>
    <row r="1518" spans="2:18">
      <c r="B1518" s="210" t="s">
        <v>1670</v>
      </c>
      <c r="C1518" s="211" t="s">
        <v>544</v>
      </c>
      <c r="D1518" s="211" t="s">
        <v>620</v>
      </c>
      <c r="E1518" s="201">
        <v>70</v>
      </c>
      <c r="F1518" s="201">
        <v>30</v>
      </c>
      <c r="G1518" s="203">
        <v>45035</v>
      </c>
    </row>
    <row r="1519" spans="2:18">
      <c r="B1519" s="237" t="s">
        <v>2738</v>
      </c>
      <c r="C1519" s="238" t="s">
        <v>402</v>
      </c>
      <c r="D1519" s="238" t="s">
        <v>2739</v>
      </c>
      <c r="E1519" s="201">
        <v>26</v>
      </c>
      <c r="F1519" s="201">
        <v>26</v>
      </c>
      <c r="G1519" s="203">
        <v>44594</v>
      </c>
    </row>
    <row r="1520" spans="2:18">
      <c r="B1520" s="199" t="s">
        <v>780</v>
      </c>
      <c r="C1520" s="200" t="s">
        <v>549</v>
      </c>
      <c r="D1520" s="200" t="s">
        <v>415</v>
      </c>
      <c r="E1520" s="201">
        <v>100</v>
      </c>
      <c r="F1520" s="201">
        <v>25</v>
      </c>
      <c r="G1520" s="203">
        <v>44846</v>
      </c>
    </row>
    <row r="1521" spans="2:10">
      <c r="B1521" s="199" t="s">
        <v>891</v>
      </c>
      <c r="C1521" s="200" t="s">
        <v>755</v>
      </c>
      <c r="D1521" s="200" t="s">
        <v>864</v>
      </c>
      <c r="E1521" s="201">
        <v>100</v>
      </c>
      <c r="F1521" s="201">
        <v>25</v>
      </c>
      <c r="G1521" s="203">
        <v>45051</v>
      </c>
    </row>
    <row r="1522" spans="2:10">
      <c r="B1522" s="199" t="s">
        <v>786</v>
      </c>
      <c r="C1522" s="200" t="s">
        <v>565</v>
      </c>
      <c r="D1522" s="200" t="s">
        <v>404</v>
      </c>
      <c r="E1522" s="201">
        <v>270</v>
      </c>
      <c r="F1522" s="201">
        <v>24</v>
      </c>
      <c r="G1522" s="203">
        <v>45048</v>
      </c>
    </row>
    <row r="1523" spans="2:10">
      <c r="G1523" s="203"/>
    </row>
    <row r="1524" spans="2:10">
      <c r="B1524" s="199" t="s">
        <v>787</v>
      </c>
      <c r="C1524" s="200" t="s">
        <v>565</v>
      </c>
      <c r="D1524" s="200" t="s">
        <v>404</v>
      </c>
      <c r="E1524" s="201">
        <v>270</v>
      </c>
      <c r="F1524" s="201">
        <v>24</v>
      </c>
      <c r="G1524" s="203">
        <v>45048</v>
      </c>
    </row>
    <row r="1525" spans="2:10">
      <c r="C1525" s="282" t="s">
        <v>738</v>
      </c>
      <c r="D1525" s="282" t="s">
        <v>4370</v>
      </c>
      <c r="E1525" s="201">
        <v>222</v>
      </c>
      <c r="F1525" s="201">
        <f>200/21</f>
        <v>9.5238095238095237</v>
      </c>
      <c r="G1525" s="203">
        <v>44194</v>
      </c>
      <c r="I1525" s="199">
        <v>2500</v>
      </c>
      <c r="J1525" s="199">
        <v>2500</v>
      </c>
    </row>
    <row r="1526" spans="2:10">
      <c r="G1526" s="203"/>
    </row>
    <row r="1527" spans="2:10">
      <c r="B1527" s="199" t="s">
        <v>23</v>
      </c>
      <c r="C1527" s="200" t="s">
        <v>565</v>
      </c>
      <c r="D1527" s="200" t="s">
        <v>404</v>
      </c>
      <c r="E1527" s="201">
        <v>270</v>
      </c>
      <c r="F1527" s="201">
        <v>24</v>
      </c>
      <c r="G1527" s="203">
        <v>45048</v>
      </c>
    </row>
    <row r="1528" spans="2:10">
      <c r="B1528" s="199" t="s">
        <v>789</v>
      </c>
      <c r="C1528" s="200" t="s">
        <v>565</v>
      </c>
      <c r="D1528" s="200" t="s">
        <v>404</v>
      </c>
      <c r="E1528" s="201">
        <v>270</v>
      </c>
      <c r="F1528" s="201">
        <v>24</v>
      </c>
      <c r="G1528" s="203">
        <v>45048</v>
      </c>
    </row>
    <row r="1529" spans="2:10">
      <c r="B1529" s="199" t="s">
        <v>50</v>
      </c>
      <c r="C1529" s="200" t="s">
        <v>402</v>
      </c>
      <c r="D1529" s="200" t="s">
        <v>431</v>
      </c>
      <c r="E1529" s="201">
        <v>350</v>
      </c>
      <c r="F1529" s="201">
        <v>20</v>
      </c>
      <c r="G1529" s="203">
        <v>44999</v>
      </c>
    </row>
    <row r="1530" spans="2:10">
      <c r="B1530" s="199" t="s">
        <v>878</v>
      </c>
      <c r="C1530" s="200" t="s">
        <v>402</v>
      </c>
      <c r="D1530" s="200" t="s">
        <v>431</v>
      </c>
      <c r="E1530" s="201">
        <v>350</v>
      </c>
      <c r="F1530" s="201">
        <v>20</v>
      </c>
      <c r="G1530" s="203">
        <v>44999</v>
      </c>
    </row>
    <row r="1531" spans="2:10">
      <c r="B1531" s="199" t="s">
        <v>40</v>
      </c>
      <c r="C1531" s="200" t="s">
        <v>402</v>
      </c>
      <c r="D1531" s="200" t="s">
        <v>431</v>
      </c>
      <c r="E1531" s="201">
        <v>350</v>
      </c>
      <c r="F1531" s="201">
        <v>20</v>
      </c>
      <c r="G1531" s="203">
        <v>44999</v>
      </c>
    </row>
    <row r="1532" spans="2:10">
      <c r="B1532" s="210" t="s">
        <v>1111</v>
      </c>
      <c r="C1532" s="200" t="s">
        <v>549</v>
      </c>
      <c r="D1532" s="200" t="s">
        <v>452</v>
      </c>
      <c r="E1532" s="201">
        <v>42</v>
      </c>
      <c r="F1532" s="201">
        <v>20</v>
      </c>
      <c r="G1532" s="203">
        <v>44882</v>
      </c>
    </row>
    <row r="1533" spans="2:10">
      <c r="B1533" s="199" t="s">
        <v>742</v>
      </c>
      <c r="C1533" s="200" t="s">
        <v>738</v>
      </c>
      <c r="D1533" s="200" t="s">
        <v>751</v>
      </c>
      <c r="E1533" s="201">
        <v>325</v>
      </c>
      <c r="F1533" s="201">
        <v>18.5</v>
      </c>
      <c r="G1533" s="203">
        <v>44299</v>
      </c>
    </row>
    <row r="1534" spans="2:10">
      <c r="B1534" s="199" t="s">
        <v>745</v>
      </c>
      <c r="C1534" s="200" t="s">
        <v>738</v>
      </c>
      <c r="D1534" s="200" t="s">
        <v>751</v>
      </c>
      <c r="E1534" s="201">
        <v>325</v>
      </c>
      <c r="F1534" s="201">
        <v>18.5</v>
      </c>
      <c r="G1534" s="203">
        <v>44299</v>
      </c>
    </row>
    <row r="1535" spans="2:10">
      <c r="G1535" s="203"/>
    </row>
    <row r="1536" spans="2:10">
      <c r="B1536" s="199" t="s">
        <v>824</v>
      </c>
      <c r="C1536" s="200" t="s">
        <v>544</v>
      </c>
      <c r="D1536" s="200" t="s">
        <v>420</v>
      </c>
      <c r="E1536" s="201">
        <v>125</v>
      </c>
      <c r="F1536" s="201">
        <v>15</v>
      </c>
      <c r="G1536" s="203">
        <v>44852</v>
      </c>
    </row>
    <row r="1537" spans="2:10">
      <c r="B1537" s="199" t="s">
        <v>825</v>
      </c>
      <c r="C1537" s="200" t="s">
        <v>544</v>
      </c>
      <c r="D1537" s="200" t="s">
        <v>420</v>
      </c>
      <c r="E1537" s="201">
        <v>125</v>
      </c>
      <c r="F1537" s="201">
        <v>15</v>
      </c>
      <c r="G1537" s="203">
        <v>44852</v>
      </c>
    </row>
    <row r="1538" spans="2:10">
      <c r="B1538" s="199" t="s">
        <v>1312</v>
      </c>
      <c r="C1538" s="200" t="s">
        <v>544</v>
      </c>
      <c r="D1538" s="200" t="s">
        <v>670</v>
      </c>
      <c r="E1538" s="201">
        <v>25</v>
      </c>
      <c r="F1538" s="201">
        <v>15</v>
      </c>
      <c r="G1538" s="203">
        <v>44944</v>
      </c>
    </row>
    <row r="1539" spans="2:10">
      <c r="B1539" s="199" t="s">
        <v>1187</v>
      </c>
      <c r="C1539" s="200" t="s">
        <v>544</v>
      </c>
      <c r="D1539" s="200" t="s">
        <v>659</v>
      </c>
      <c r="E1539" s="201">
        <v>30</v>
      </c>
      <c r="F1539" s="201">
        <v>14</v>
      </c>
      <c r="G1539" s="203">
        <v>44522</v>
      </c>
    </row>
    <row r="1540" spans="2:10">
      <c r="G1540" s="203"/>
    </row>
    <row r="1541" spans="2:10">
      <c r="B1541" s="199" t="s">
        <v>763</v>
      </c>
      <c r="C1541" s="200" t="s">
        <v>565</v>
      </c>
      <c r="D1541" s="200" t="s">
        <v>751</v>
      </c>
      <c r="E1541" s="201">
        <v>100</v>
      </c>
      <c r="F1541" s="201">
        <v>13</v>
      </c>
      <c r="G1541" s="203">
        <v>43682</v>
      </c>
    </row>
    <row r="1542" spans="2:10">
      <c r="C1542" s="282" t="s">
        <v>755</v>
      </c>
      <c r="D1542" s="282" t="s">
        <v>1938</v>
      </c>
      <c r="E1542" s="201">
        <v>145</v>
      </c>
      <c r="F1542" s="201">
        <f>85/6</f>
        <v>14.166666666666666</v>
      </c>
      <c r="G1542" s="203">
        <v>43228</v>
      </c>
      <c r="I1542" s="199">
        <v>855</v>
      </c>
      <c r="J1542" s="199">
        <v>4100</v>
      </c>
    </row>
    <row r="1543" spans="2:10">
      <c r="G1543" s="203"/>
    </row>
    <row r="1544" spans="2:10">
      <c r="B1544" s="237" t="s">
        <v>2740</v>
      </c>
      <c r="C1544" s="238" t="s">
        <v>402</v>
      </c>
      <c r="D1544" s="238" t="s">
        <v>2739</v>
      </c>
      <c r="E1544" s="201">
        <v>13</v>
      </c>
      <c r="F1544" s="201">
        <v>13</v>
      </c>
      <c r="G1544" s="203">
        <v>44056</v>
      </c>
    </row>
    <row r="1545" spans="2:10">
      <c r="B1545" s="237"/>
      <c r="C1545" s="282" t="s">
        <v>544</v>
      </c>
      <c r="D1545" s="282" t="s">
        <v>1933</v>
      </c>
      <c r="E1545" s="201">
        <v>43</v>
      </c>
      <c r="F1545" s="201">
        <f>+E1545/6</f>
        <v>7.166666666666667</v>
      </c>
      <c r="G1545" s="203">
        <v>43622</v>
      </c>
    </row>
    <row r="1546" spans="2:10">
      <c r="B1546" s="237"/>
      <c r="C1546" s="238"/>
      <c r="D1546" s="238"/>
      <c r="G1546" s="203"/>
    </row>
    <row r="1547" spans="2:10">
      <c r="B1547" s="237"/>
      <c r="C1547" s="238"/>
      <c r="D1547" s="238"/>
      <c r="G1547" s="203"/>
    </row>
    <row r="1548" spans="2:10">
      <c r="B1548" s="239" t="s">
        <v>2776</v>
      </c>
      <c r="C1548" s="240" t="s">
        <v>565</v>
      </c>
      <c r="D1548" s="240" t="s">
        <v>2777</v>
      </c>
      <c r="E1548" s="201">
        <v>13</v>
      </c>
      <c r="F1548" s="201">
        <v>13</v>
      </c>
      <c r="G1548" s="203">
        <v>45090</v>
      </c>
    </row>
    <row r="1549" spans="2:10">
      <c r="B1549" s="239"/>
      <c r="C1549" s="240"/>
      <c r="D1549" s="240"/>
      <c r="G1549" s="203"/>
    </row>
    <row r="1550" spans="2:10">
      <c r="B1550" s="239" t="s">
        <v>2778</v>
      </c>
      <c r="C1550" s="240" t="s">
        <v>402</v>
      </c>
      <c r="D1550" s="240" t="s">
        <v>2777</v>
      </c>
      <c r="E1550" s="201">
        <v>37</v>
      </c>
      <c r="F1550" s="201">
        <v>13</v>
      </c>
      <c r="G1550" s="203">
        <v>44860</v>
      </c>
    </row>
    <row r="1551" spans="2:10">
      <c r="B1551" s="239"/>
      <c r="C1551" s="272" t="s">
        <v>813</v>
      </c>
      <c r="D1551" s="272" t="s">
        <v>1822</v>
      </c>
      <c r="E1551" s="201">
        <v>475</v>
      </c>
      <c r="F1551" s="201">
        <f>E1551/12</f>
        <v>39.583333333333336</v>
      </c>
      <c r="G1551" s="203">
        <v>44278</v>
      </c>
    </row>
    <row r="1552" spans="2:10">
      <c r="B1552" s="239"/>
      <c r="C1552" s="240"/>
      <c r="D1552" s="240"/>
      <c r="G1552" s="203"/>
    </row>
    <row r="1553" spans="2:7">
      <c r="B1553" s="199" t="s">
        <v>782</v>
      </c>
      <c r="C1553" s="200" t="s">
        <v>549</v>
      </c>
      <c r="D1553" s="200" t="s">
        <v>415</v>
      </c>
      <c r="E1553" s="201">
        <v>100</v>
      </c>
      <c r="F1553" s="201">
        <v>12.5</v>
      </c>
      <c r="G1553" s="203">
        <v>44846</v>
      </c>
    </row>
    <row r="1554" spans="2:7">
      <c r="B1554" s="199" t="s">
        <v>783</v>
      </c>
      <c r="C1554" s="200" t="s">
        <v>549</v>
      </c>
      <c r="D1554" s="200" t="s">
        <v>415</v>
      </c>
      <c r="E1554" s="201">
        <v>100</v>
      </c>
      <c r="F1554" s="201">
        <v>12.5</v>
      </c>
      <c r="G1554" s="203">
        <v>44846</v>
      </c>
    </row>
    <row r="1555" spans="2:7">
      <c r="B1555" s="199" t="s">
        <v>869</v>
      </c>
      <c r="C1555" s="200" t="s">
        <v>544</v>
      </c>
      <c r="D1555" s="200" t="s">
        <v>601</v>
      </c>
      <c r="E1555" s="201">
        <v>150</v>
      </c>
      <c r="F1555" s="201">
        <v>10</v>
      </c>
      <c r="G1555" s="203">
        <v>45008</v>
      </c>
    </row>
    <row r="1556" spans="2:7">
      <c r="G1556" s="203"/>
    </row>
    <row r="1557" spans="2:7">
      <c r="B1557" s="199" t="s">
        <v>1047</v>
      </c>
      <c r="C1557" s="200" t="s">
        <v>544</v>
      </c>
      <c r="D1557" s="200" t="s">
        <v>632</v>
      </c>
      <c r="E1557" s="201">
        <v>44</v>
      </c>
      <c r="F1557" s="201">
        <v>10</v>
      </c>
      <c r="G1557" s="203">
        <v>44671</v>
      </c>
    </row>
    <row r="1558" spans="2:7">
      <c r="C1558" s="282" t="s">
        <v>565</v>
      </c>
      <c r="D1558" s="282" t="s">
        <v>1940</v>
      </c>
      <c r="E1558" s="201">
        <v>100</v>
      </c>
      <c r="F1558" s="201">
        <f>60/4</f>
        <v>15</v>
      </c>
      <c r="G1558" s="203">
        <v>44025</v>
      </c>
    </row>
    <row r="1559" spans="2:7">
      <c r="C1559" s="282" t="s">
        <v>402</v>
      </c>
      <c r="D1559" s="282" t="s">
        <v>1940</v>
      </c>
      <c r="E1559" s="201">
        <f>42</f>
        <v>42</v>
      </c>
      <c r="F1559" s="201">
        <v>10</v>
      </c>
      <c r="G1559" s="203">
        <v>43144</v>
      </c>
    </row>
    <row r="1561" spans="2:7">
      <c r="B1561" s="199" t="s">
        <v>1265</v>
      </c>
      <c r="C1561" s="200" t="s">
        <v>544</v>
      </c>
      <c r="D1561" s="200" t="s">
        <v>1264</v>
      </c>
      <c r="E1561" s="201">
        <v>30</v>
      </c>
      <c r="F1561" s="201">
        <v>10</v>
      </c>
      <c r="G1561" s="203">
        <v>44656</v>
      </c>
    </row>
    <row r="1562" spans="2:7">
      <c r="G1562" s="203"/>
    </row>
    <row r="1563" spans="2:7">
      <c r="B1563" s="199" t="s">
        <v>1459</v>
      </c>
      <c r="C1563" s="200" t="s">
        <v>544</v>
      </c>
      <c r="D1563" s="200" t="s">
        <v>684</v>
      </c>
      <c r="E1563" s="201">
        <v>20</v>
      </c>
      <c r="F1563" s="201">
        <v>10</v>
      </c>
      <c r="G1563" s="203">
        <v>44392</v>
      </c>
    </row>
    <row r="1564" spans="2:7">
      <c r="C1564" s="272" t="s">
        <v>755</v>
      </c>
      <c r="D1564" s="272" t="s">
        <v>1822</v>
      </c>
      <c r="E1564" s="201">
        <v>130</v>
      </c>
      <c r="F1564" s="201">
        <v>12</v>
      </c>
      <c r="G1564" s="203">
        <v>42080</v>
      </c>
    </row>
    <row r="1565" spans="2:7">
      <c r="C1565" s="282" t="s">
        <v>565</v>
      </c>
      <c r="D1565" s="282" t="s">
        <v>1921</v>
      </c>
      <c r="E1565" s="201">
        <v>24</v>
      </c>
      <c r="F1565" s="201">
        <v>12</v>
      </c>
      <c r="G1565" s="203">
        <v>41921</v>
      </c>
    </row>
    <row r="1566" spans="2:7">
      <c r="G1566" s="203"/>
    </row>
    <row r="1567" spans="2:7">
      <c r="B1567" s="199" t="s">
        <v>1471</v>
      </c>
      <c r="C1567" s="200" t="s">
        <v>549</v>
      </c>
      <c r="D1567" s="200" t="s">
        <v>1472</v>
      </c>
      <c r="E1567" s="201">
        <v>20</v>
      </c>
      <c r="F1567" s="201">
        <v>10</v>
      </c>
      <c r="G1567" s="203">
        <v>44614</v>
      </c>
    </row>
    <row r="1568" spans="2:7">
      <c r="B1568" s="199" t="s">
        <v>1313</v>
      </c>
      <c r="C1568" s="200" t="s">
        <v>544</v>
      </c>
      <c r="D1568" s="200" t="s">
        <v>670</v>
      </c>
      <c r="E1568" s="201">
        <v>25</v>
      </c>
      <c r="F1568" s="201">
        <v>10</v>
      </c>
      <c r="G1568" s="203">
        <v>44944</v>
      </c>
    </row>
    <row r="1569" spans="2:10">
      <c r="B1569" s="199" t="s">
        <v>801</v>
      </c>
      <c r="C1569" s="200" t="s">
        <v>565</v>
      </c>
      <c r="D1569" s="200" t="s">
        <v>797</v>
      </c>
      <c r="E1569" s="201">
        <v>100</v>
      </c>
      <c r="F1569" s="201">
        <v>9</v>
      </c>
      <c r="G1569" s="203">
        <v>44690</v>
      </c>
    </row>
    <row r="1570" spans="2:10">
      <c r="B1570" s="210" t="s">
        <v>1569</v>
      </c>
      <c r="C1570" s="211" t="s">
        <v>549</v>
      </c>
      <c r="D1570" s="211" t="s">
        <v>1149</v>
      </c>
      <c r="E1570" s="201">
        <v>113</v>
      </c>
      <c r="F1570" s="201">
        <v>8</v>
      </c>
      <c r="G1570" s="203">
        <v>45090</v>
      </c>
    </row>
    <row r="1571" spans="2:10">
      <c r="B1571" s="210" t="s">
        <v>1570</v>
      </c>
      <c r="C1571" s="211" t="s">
        <v>549</v>
      </c>
      <c r="D1571" s="211" t="s">
        <v>1149</v>
      </c>
      <c r="E1571" s="201">
        <v>113</v>
      </c>
      <c r="F1571" s="201">
        <v>8</v>
      </c>
      <c r="G1571" s="203">
        <v>45090</v>
      </c>
    </row>
    <row r="1572" spans="2:10">
      <c r="B1572" s="210"/>
      <c r="C1572" s="211"/>
      <c r="D1572" s="211"/>
      <c r="G1572" s="203"/>
    </row>
    <row r="1573" spans="2:10">
      <c r="B1573" s="210" t="s">
        <v>1567</v>
      </c>
      <c r="C1573" s="211" t="s">
        <v>549</v>
      </c>
      <c r="D1573" s="211" t="s">
        <v>1149</v>
      </c>
      <c r="E1573" s="201">
        <v>113</v>
      </c>
      <c r="F1573" s="201">
        <v>8</v>
      </c>
      <c r="G1573" s="203">
        <v>45090</v>
      </c>
    </row>
    <row r="1574" spans="2:10">
      <c r="B1574" s="210"/>
      <c r="C1574" s="282" t="s">
        <v>738</v>
      </c>
      <c r="D1574" s="282" t="s">
        <v>4370</v>
      </c>
      <c r="E1574" s="201">
        <v>222</v>
      </c>
      <c r="F1574" s="201">
        <f>200/21</f>
        <v>9.5238095238095237</v>
      </c>
      <c r="G1574" s="203">
        <v>44194</v>
      </c>
      <c r="I1574" s="199">
        <v>2500</v>
      </c>
      <c r="J1574" s="199">
        <v>2500</v>
      </c>
    </row>
    <row r="1575" spans="2:10">
      <c r="B1575" s="210"/>
      <c r="C1575" s="282" t="s">
        <v>755</v>
      </c>
      <c r="D1575" s="282" t="s">
        <v>4370</v>
      </c>
      <c r="E1575" s="201">
        <v>150</v>
      </c>
      <c r="F1575" s="201">
        <f>100/6</f>
        <v>16.666666666666668</v>
      </c>
      <c r="G1575" s="203">
        <v>43885</v>
      </c>
      <c r="I1575" s="199">
        <v>1800</v>
      </c>
      <c r="J1575" s="199">
        <v>2500</v>
      </c>
    </row>
    <row r="1576" spans="2:10">
      <c r="B1576" s="210"/>
      <c r="C1576" s="282" t="s">
        <v>755</v>
      </c>
      <c r="D1576" s="282" t="s">
        <v>4370</v>
      </c>
      <c r="E1576" s="201">
        <v>200</v>
      </c>
      <c r="F1576" s="201">
        <v>12.727272727272727</v>
      </c>
      <c r="G1576" s="203">
        <v>43452</v>
      </c>
      <c r="I1576" s="199">
        <v>1500</v>
      </c>
      <c r="J1576" s="199">
        <v>2500</v>
      </c>
    </row>
    <row r="1577" spans="2:10">
      <c r="B1577" s="210"/>
      <c r="C1577" s="211"/>
      <c r="D1577" s="211"/>
      <c r="G1577" s="203"/>
    </row>
    <row r="1578" spans="2:10">
      <c r="B1578" s="210" t="s">
        <v>1568</v>
      </c>
      <c r="C1578" s="211" t="s">
        <v>549</v>
      </c>
      <c r="D1578" s="211" t="s">
        <v>1149</v>
      </c>
      <c r="E1578" s="201">
        <v>113</v>
      </c>
      <c r="F1578" s="201">
        <v>8</v>
      </c>
      <c r="G1578" s="203">
        <v>45090</v>
      </c>
    </row>
    <row r="1579" spans="2:10">
      <c r="B1579" s="210" t="s">
        <v>1572</v>
      </c>
      <c r="C1579" s="211" t="s">
        <v>549</v>
      </c>
      <c r="D1579" s="211" t="s">
        <v>1149</v>
      </c>
      <c r="E1579" s="201">
        <v>113</v>
      </c>
      <c r="F1579" s="201">
        <v>8</v>
      </c>
      <c r="G1579" s="203">
        <v>45090</v>
      </c>
    </row>
    <row r="1580" spans="2:10">
      <c r="B1580" s="210" t="s">
        <v>1573</v>
      </c>
      <c r="C1580" s="211" t="s">
        <v>549</v>
      </c>
      <c r="D1580" s="211" t="s">
        <v>1149</v>
      </c>
      <c r="E1580" s="201">
        <v>113</v>
      </c>
      <c r="F1580" s="201">
        <v>8</v>
      </c>
      <c r="G1580" s="203">
        <v>45090</v>
      </c>
    </row>
    <row r="1581" spans="2:10">
      <c r="B1581" s="199" t="s">
        <v>1238</v>
      </c>
      <c r="C1581" s="200" t="s">
        <v>402</v>
      </c>
      <c r="D1581" s="200" t="s">
        <v>392</v>
      </c>
      <c r="E1581" s="201">
        <v>97.4</v>
      </c>
      <c r="F1581" s="201">
        <f>47/6</f>
        <v>7.833333333333333</v>
      </c>
      <c r="G1581" s="203">
        <v>45041</v>
      </c>
    </row>
    <row r="1582" spans="2:10">
      <c r="B1582" s="199" t="s">
        <v>1465</v>
      </c>
      <c r="C1582" s="200" t="s">
        <v>544</v>
      </c>
      <c r="D1582" s="200" t="s">
        <v>686</v>
      </c>
      <c r="E1582" s="201">
        <v>20</v>
      </c>
      <c r="F1582" s="201">
        <v>7.5</v>
      </c>
      <c r="G1582" s="203">
        <v>45009</v>
      </c>
    </row>
    <row r="1583" spans="2:10">
      <c r="B1583" s="199" t="s">
        <v>1023</v>
      </c>
      <c r="C1583" s="200" t="s">
        <v>402</v>
      </c>
      <c r="D1583" s="200" t="s">
        <v>630</v>
      </c>
      <c r="E1583" s="201">
        <v>50</v>
      </c>
      <c r="F1583" s="201">
        <f>E1583/7</f>
        <v>7.1428571428571432</v>
      </c>
      <c r="G1583" s="203">
        <v>44628</v>
      </c>
    </row>
    <row r="1584" spans="2:10">
      <c r="B1584" s="199" t="s">
        <v>1020</v>
      </c>
      <c r="C1584" s="200" t="s">
        <v>402</v>
      </c>
      <c r="D1584" s="200" t="s">
        <v>630</v>
      </c>
      <c r="E1584" s="201">
        <v>50</v>
      </c>
      <c r="F1584" s="201">
        <f>E1584/7</f>
        <v>7.1428571428571432</v>
      </c>
      <c r="G1584" s="203">
        <v>44628</v>
      </c>
    </row>
    <row r="1585" spans="2:7">
      <c r="B1585" s="199" t="s">
        <v>1373</v>
      </c>
      <c r="C1585" s="200" t="s">
        <v>544</v>
      </c>
      <c r="D1585" s="200" t="s">
        <v>680</v>
      </c>
      <c r="E1585" s="201">
        <v>20</v>
      </c>
      <c r="F1585" s="201">
        <v>7</v>
      </c>
      <c r="G1585" s="203">
        <v>44903</v>
      </c>
    </row>
    <row r="1586" spans="2:7">
      <c r="B1586" s="199" t="s">
        <v>1112</v>
      </c>
      <c r="C1586" s="200" t="s">
        <v>549</v>
      </c>
      <c r="D1586" s="200" t="s">
        <v>452</v>
      </c>
      <c r="E1586" s="201">
        <v>42</v>
      </c>
      <c r="F1586" s="201">
        <v>7</v>
      </c>
      <c r="G1586" s="203">
        <v>44882</v>
      </c>
    </row>
    <row r="1587" spans="2:7">
      <c r="B1587" s="199" t="s">
        <v>1113</v>
      </c>
      <c r="C1587" s="200" t="s">
        <v>549</v>
      </c>
      <c r="D1587" s="200" t="s">
        <v>452</v>
      </c>
      <c r="E1587" s="201">
        <v>42</v>
      </c>
      <c r="F1587" s="201">
        <v>7</v>
      </c>
      <c r="G1587" s="203">
        <v>44882</v>
      </c>
    </row>
    <row r="1588" spans="2:7">
      <c r="B1588" s="199" t="s">
        <v>1241</v>
      </c>
      <c r="C1588" s="200" t="s">
        <v>544</v>
      </c>
      <c r="D1588" s="200" t="s">
        <v>392</v>
      </c>
      <c r="E1588" s="201">
        <v>80</v>
      </c>
      <c r="F1588" s="201">
        <f t="shared" ref="F1588:F1594" si="10">40/6</f>
        <v>6.666666666666667</v>
      </c>
      <c r="G1588" s="203">
        <v>44539</v>
      </c>
    </row>
    <row r="1589" spans="2:7">
      <c r="B1589" s="199" t="s">
        <v>1242</v>
      </c>
      <c r="C1589" s="200" t="s">
        <v>544</v>
      </c>
      <c r="D1589" s="200" t="s">
        <v>392</v>
      </c>
      <c r="E1589" s="201">
        <v>80</v>
      </c>
      <c r="F1589" s="201">
        <f t="shared" si="10"/>
        <v>6.666666666666667</v>
      </c>
      <c r="G1589" s="203">
        <v>44539</v>
      </c>
    </row>
    <row r="1590" spans="2:7">
      <c r="B1590" s="199" t="s">
        <v>1243</v>
      </c>
      <c r="C1590" s="200" t="s">
        <v>544</v>
      </c>
      <c r="D1590" s="200" t="s">
        <v>392</v>
      </c>
      <c r="E1590" s="201">
        <v>80</v>
      </c>
      <c r="F1590" s="201">
        <f t="shared" si="10"/>
        <v>6.666666666666667</v>
      </c>
      <c r="G1590" s="203">
        <v>44539</v>
      </c>
    </row>
    <row r="1591" spans="2:7">
      <c r="B1591" s="199" t="s">
        <v>1244</v>
      </c>
      <c r="C1591" s="200" t="s">
        <v>544</v>
      </c>
      <c r="D1591" s="200" t="s">
        <v>392</v>
      </c>
      <c r="E1591" s="201">
        <v>80</v>
      </c>
      <c r="F1591" s="201">
        <f t="shared" si="10"/>
        <v>6.666666666666667</v>
      </c>
      <c r="G1591" s="203">
        <v>44539</v>
      </c>
    </row>
    <row r="1592" spans="2:7">
      <c r="B1592" s="210" t="s">
        <v>1671</v>
      </c>
      <c r="C1592" s="211" t="s">
        <v>544</v>
      </c>
      <c r="D1592" s="211" t="s">
        <v>620</v>
      </c>
      <c r="E1592" s="201">
        <v>70</v>
      </c>
      <c r="F1592" s="201">
        <f t="shared" si="10"/>
        <v>6.666666666666667</v>
      </c>
      <c r="G1592" s="203">
        <v>45035</v>
      </c>
    </row>
    <row r="1593" spans="2:7">
      <c r="B1593" s="210" t="s">
        <v>1672</v>
      </c>
      <c r="C1593" s="211" t="s">
        <v>544</v>
      </c>
      <c r="D1593" s="211" t="s">
        <v>620</v>
      </c>
      <c r="E1593" s="201">
        <v>70</v>
      </c>
      <c r="F1593" s="201">
        <f t="shared" si="10"/>
        <v>6.666666666666667</v>
      </c>
      <c r="G1593" s="203">
        <v>45035</v>
      </c>
    </row>
    <row r="1594" spans="2:7">
      <c r="B1594" s="210" t="s">
        <v>1673</v>
      </c>
      <c r="C1594" s="211" t="s">
        <v>544</v>
      </c>
      <c r="D1594" s="211" t="s">
        <v>620</v>
      </c>
      <c r="E1594" s="201">
        <v>70</v>
      </c>
      <c r="F1594" s="201">
        <f t="shared" si="10"/>
        <v>6.666666666666667</v>
      </c>
      <c r="G1594" s="203">
        <v>45035</v>
      </c>
    </row>
    <row r="1595" spans="2:7">
      <c r="B1595" s="210" t="s">
        <v>1675</v>
      </c>
      <c r="C1595" s="211" t="s">
        <v>544</v>
      </c>
      <c r="D1595" s="211" t="s">
        <v>620</v>
      </c>
      <c r="E1595" s="201">
        <v>70</v>
      </c>
      <c r="F1595" s="201">
        <f>40/6</f>
        <v>6.666666666666667</v>
      </c>
      <c r="G1595" s="203">
        <v>45035</v>
      </c>
    </row>
    <row r="1596" spans="2:7">
      <c r="B1596" s="210" t="s">
        <v>1676</v>
      </c>
      <c r="C1596" s="211" t="s">
        <v>544</v>
      </c>
      <c r="D1596" s="211" t="s">
        <v>620</v>
      </c>
      <c r="E1596" s="201">
        <v>70</v>
      </c>
      <c r="F1596" s="201">
        <f>40/6</f>
        <v>6.666666666666667</v>
      </c>
      <c r="G1596" s="203">
        <v>45035</v>
      </c>
    </row>
    <row r="1597" spans="2:7">
      <c r="B1597" s="199" t="s">
        <v>925</v>
      </c>
      <c r="C1597" s="200" t="s">
        <v>565</v>
      </c>
      <c r="D1597" s="200" t="s">
        <v>618</v>
      </c>
      <c r="E1597" s="201">
        <v>85</v>
      </c>
      <c r="F1597" s="201">
        <v>6</v>
      </c>
      <c r="G1597" s="203">
        <v>44417</v>
      </c>
    </row>
    <row r="1598" spans="2:7">
      <c r="B1598" s="199" t="s">
        <v>1551</v>
      </c>
      <c r="C1598" s="200" t="s">
        <v>549</v>
      </c>
      <c r="D1598" s="200" t="s">
        <v>693</v>
      </c>
      <c r="E1598" s="201">
        <v>16</v>
      </c>
      <c r="F1598" s="201">
        <v>6</v>
      </c>
      <c r="G1598" s="203">
        <v>44298</v>
      </c>
    </row>
    <row r="1599" spans="2:7">
      <c r="B1599" s="217" t="s">
        <v>1695</v>
      </c>
      <c r="C1599" s="218" t="s">
        <v>549</v>
      </c>
      <c r="D1599" s="218" t="s">
        <v>704</v>
      </c>
      <c r="E1599" s="201">
        <v>13</v>
      </c>
      <c r="F1599" s="201">
        <v>6</v>
      </c>
      <c r="G1599" s="203">
        <v>44896</v>
      </c>
    </row>
    <row r="1600" spans="2:7">
      <c r="B1600" s="210" t="s">
        <v>1648</v>
      </c>
      <c r="C1600" s="211" t="s">
        <v>544</v>
      </c>
      <c r="D1600" s="211" t="s">
        <v>547</v>
      </c>
      <c r="E1600" s="201">
        <v>11</v>
      </c>
      <c r="F1600" s="201">
        <v>6</v>
      </c>
      <c r="G1600" s="203">
        <v>44044</v>
      </c>
    </row>
    <row r="1601" spans="2:7">
      <c r="B1601" s="210"/>
      <c r="C1601" s="211"/>
      <c r="D1601" s="211"/>
      <c r="G1601" s="203"/>
    </row>
    <row r="1602" spans="2:7">
      <c r="B1602" s="221" t="s">
        <v>1851</v>
      </c>
      <c r="C1602" s="222" t="s">
        <v>544</v>
      </c>
      <c r="D1602" s="222" t="s">
        <v>1852</v>
      </c>
      <c r="E1602" s="201">
        <v>10.6</v>
      </c>
      <c r="F1602" s="201">
        <v>5.6</v>
      </c>
      <c r="G1602" s="203">
        <v>44819</v>
      </c>
    </row>
    <row r="1603" spans="2:7">
      <c r="B1603" s="199" t="s">
        <v>1063</v>
      </c>
      <c r="C1603" s="200" t="s">
        <v>402</v>
      </c>
      <c r="D1603" s="200" t="s">
        <v>649</v>
      </c>
      <c r="E1603" s="201">
        <v>40</v>
      </c>
      <c r="F1603" s="201">
        <v>5</v>
      </c>
      <c r="G1603" s="203">
        <v>44728</v>
      </c>
    </row>
    <row r="1604" spans="2:7">
      <c r="B1604" s="199" t="s">
        <v>1069</v>
      </c>
      <c r="C1604" s="200" t="s">
        <v>402</v>
      </c>
      <c r="D1604" s="200" t="s">
        <v>650</v>
      </c>
      <c r="E1604" s="201">
        <v>40</v>
      </c>
      <c r="F1604" s="201">
        <v>5</v>
      </c>
      <c r="G1604" s="203">
        <v>44650</v>
      </c>
    </row>
    <row r="1605" spans="2:7">
      <c r="B1605" s="199" t="s">
        <v>1070</v>
      </c>
      <c r="C1605" s="200" t="s">
        <v>402</v>
      </c>
      <c r="D1605" s="200" t="s">
        <v>650</v>
      </c>
      <c r="E1605" s="201">
        <v>40</v>
      </c>
      <c r="F1605" s="201">
        <v>5</v>
      </c>
      <c r="G1605" s="203">
        <v>44650</v>
      </c>
    </row>
    <row r="1606" spans="2:7">
      <c r="B1606" s="199" t="s">
        <v>1448</v>
      </c>
      <c r="C1606" s="200" t="s">
        <v>544</v>
      </c>
      <c r="D1606" s="200" t="s">
        <v>1449</v>
      </c>
      <c r="E1606" s="201">
        <v>20</v>
      </c>
      <c r="F1606" s="201">
        <v>5</v>
      </c>
      <c r="G1606" s="203">
        <v>44578</v>
      </c>
    </row>
    <row r="1607" spans="2:7">
      <c r="B1607" s="199" t="s">
        <v>1466</v>
      </c>
      <c r="C1607" s="200" t="s">
        <v>544</v>
      </c>
      <c r="D1607" s="200" t="s">
        <v>686</v>
      </c>
      <c r="E1607" s="201">
        <v>20</v>
      </c>
      <c r="F1607" s="201">
        <v>5</v>
      </c>
      <c r="G1607" s="203">
        <v>45009</v>
      </c>
    </row>
    <row r="1608" spans="2:7">
      <c r="B1608" s="199" t="s">
        <v>307</v>
      </c>
      <c r="C1608" s="200" t="s">
        <v>549</v>
      </c>
      <c r="D1608" s="200" t="s">
        <v>1472</v>
      </c>
      <c r="E1608" s="201">
        <v>20</v>
      </c>
      <c r="F1608" s="201">
        <v>5</v>
      </c>
      <c r="G1608" s="203">
        <v>44614</v>
      </c>
    </row>
    <row r="1609" spans="2:7">
      <c r="B1609" s="199" t="s">
        <v>1490</v>
      </c>
      <c r="C1609" s="200" t="s">
        <v>544</v>
      </c>
      <c r="D1609" s="200" t="s">
        <v>1476</v>
      </c>
      <c r="E1609" s="201">
        <v>12.5</v>
      </c>
      <c r="F1609" s="201">
        <v>5</v>
      </c>
      <c r="G1609" s="203">
        <v>44784</v>
      </c>
    </row>
    <row r="1610" spans="2:7">
      <c r="B1610" s="199" t="s">
        <v>1251</v>
      </c>
      <c r="C1610" s="200" t="s">
        <v>549</v>
      </c>
      <c r="D1610" s="200" t="s">
        <v>455</v>
      </c>
      <c r="E1610" s="201">
        <v>30</v>
      </c>
      <c r="F1610" s="201">
        <v>5</v>
      </c>
      <c r="G1610" s="203">
        <v>44601</v>
      </c>
    </row>
    <row r="1611" spans="2:7">
      <c r="B1611" s="210" t="s">
        <v>1655</v>
      </c>
      <c r="C1611" s="211" t="s">
        <v>402</v>
      </c>
      <c r="D1611" s="211" t="s">
        <v>433</v>
      </c>
      <c r="E1611" s="201">
        <v>75</v>
      </c>
      <c r="F1611" s="201">
        <v>5</v>
      </c>
      <c r="G1611" s="203">
        <v>43783</v>
      </c>
    </row>
    <row r="1612" spans="2:7">
      <c r="B1612" s="199" t="s">
        <v>1048</v>
      </c>
      <c r="C1612" s="200" t="s">
        <v>544</v>
      </c>
      <c r="D1612" s="200" t="s">
        <v>632</v>
      </c>
      <c r="E1612" s="201">
        <v>44</v>
      </c>
      <c r="F1612" s="201">
        <f>14/3</f>
        <v>4.666666666666667</v>
      </c>
      <c r="G1612" s="203">
        <v>44671</v>
      </c>
    </row>
    <row r="1613" spans="2:7">
      <c r="B1613" s="199" t="s">
        <v>1049</v>
      </c>
      <c r="C1613" s="200" t="s">
        <v>544</v>
      </c>
      <c r="D1613" s="200" t="s">
        <v>632</v>
      </c>
      <c r="E1613" s="201">
        <v>44</v>
      </c>
      <c r="F1613" s="201">
        <f>14/3</f>
        <v>4.666666666666667</v>
      </c>
      <c r="G1613" s="203">
        <v>44671</v>
      </c>
    </row>
    <row r="1614" spans="2:7">
      <c r="B1614" s="199" t="s">
        <v>1050</v>
      </c>
      <c r="C1614" s="200" t="s">
        <v>544</v>
      </c>
      <c r="D1614" s="200" t="s">
        <v>632</v>
      </c>
      <c r="E1614" s="201">
        <v>44</v>
      </c>
      <c r="F1614" s="201">
        <f>14/3</f>
        <v>4.666666666666667</v>
      </c>
      <c r="G1614" s="203">
        <v>44671</v>
      </c>
    </row>
    <row r="1615" spans="2:7">
      <c r="B1615" s="210" t="s">
        <v>1619</v>
      </c>
      <c r="C1615" s="211" t="s">
        <v>544</v>
      </c>
      <c r="D1615" s="211" t="s">
        <v>700</v>
      </c>
      <c r="E1615" s="201">
        <v>14.5</v>
      </c>
      <c r="F1615" s="201">
        <v>4.5</v>
      </c>
      <c r="G1615" s="203">
        <v>44389</v>
      </c>
    </row>
    <row r="1616" spans="2:7">
      <c r="B1616" s="199" t="s">
        <v>929</v>
      </c>
      <c r="C1616" s="200" t="s">
        <v>402</v>
      </c>
      <c r="D1616" s="200" t="s">
        <v>618</v>
      </c>
      <c r="E1616" s="201">
        <v>35</v>
      </c>
      <c r="F1616" s="201">
        <f>25/6</f>
        <v>4.166666666666667</v>
      </c>
      <c r="G1616" s="203">
        <v>44293</v>
      </c>
    </row>
    <row r="1617" spans="2:7">
      <c r="B1617" s="219" t="s">
        <v>1788</v>
      </c>
      <c r="C1617" s="220" t="s">
        <v>544</v>
      </c>
      <c r="D1617" s="220" t="s">
        <v>713</v>
      </c>
      <c r="E1617" s="201">
        <v>12.5</v>
      </c>
      <c r="F1617" s="201">
        <f>E1617/3</f>
        <v>4.166666666666667</v>
      </c>
      <c r="G1617" s="203">
        <v>44825</v>
      </c>
    </row>
    <row r="1618" spans="2:7">
      <c r="B1618" s="219" t="s">
        <v>1786</v>
      </c>
      <c r="C1618" s="220" t="s">
        <v>544</v>
      </c>
      <c r="D1618" s="220" t="s">
        <v>713</v>
      </c>
      <c r="E1618" s="201">
        <v>12.5</v>
      </c>
      <c r="F1618" s="201">
        <f>E1618/3</f>
        <v>4.166666666666667</v>
      </c>
      <c r="G1618" s="203">
        <v>44825</v>
      </c>
    </row>
    <row r="1619" spans="2:7">
      <c r="B1619" s="199" t="s">
        <v>1189</v>
      </c>
      <c r="C1619" s="200" t="s">
        <v>544</v>
      </c>
      <c r="D1619" s="200" t="s">
        <v>659</v>
      </c>
      <c r="E1619" s="201">
        <v>30</v>
      </c>
      <c r="F1619" s="201">
        <v>4</v>
      </c>
      <c r="G1619" s="203">
        <v>44522</v>
      </c>
    </row>
    <row r="1620" spans="2:7">
      <c r="B1620" s="199" t="s">
        <v>1165</v>
      </c>
      <c r="C1620" s="200" t="s">
        <v>544</v>
      </c>
      <c r="D1620" s="200" t="s">
        <v>1161</v>
      </c>
      <c r="E1620" s="201">
        <v>21.4</v>
      </c>
      <c r="F1620" s="201">
        <f>11.4/3</f>
        <v>3.8000000000000003</v>
      </c>
      <c r="G1620" s="203">
        <v>44232</v>
      </c>
    </row>
    <row r="1621" spans="2:7">
      <c r="B1621" s="217" t="s">
        <v>1696</v>
      </c>
      <c r="C1621" s="218" t="s">
        <v>549</v>
      </c>
      <c r="D1621" s="218" t="s">
        <v>704</v>
      </c>
      <c r="E1621" s="201">
        <v>13</v>
      </c>
      <c r="F1621" s="201">
        <f>7/2</f>
        <v>3.5</v>
      </c>
      <c r="G1621" s="203">
        <v>44896</v>
      </c>
    </row>
    <row r="1622" spans="2:7">
      <c r="B1622" s="219" t="s">
        <v>1744</v>
      </c>
      <c r="C1622" s="220" t="s">
        <v>549</v>
      </c>
      <c r="D1622" s="220" t="s">
        <v>585</v>
      </c>
      <c r="E1622" s="201">
        <v>10</v>
      </c>
      <c r="F1622" s="201">
        <v>3.5</v>
      </c>
      <c r="G1622" s="203">
        <v>44858</v>
      </c>
    </row>
    <row r="1623" spans="2:7">
      <c r="B1623" s="219" t="s">
        <v>1745</v>
      </c>
      <c r="C1623" s="220" t="s">
        <v>549</v>
      </c>
      <c r="D1623" s="220" t="s">
        <v>585</v>
      </c>
      <c r="E1623" s="201">
        <v>10</v>
      </c>
      <c r="F1623" s="201">
        <v>3.5</v>
      </c>
      <c r="G1623" s="203">
        <v>44858</v>
      </c>
    </row>
    <row r="1624" spans="2:7">
      <c r="B1624" s="219"/>
      <c r="C1624" s="220"/>
      <c r="D1624" s="220"/>
      <c r="G1624" s="203"/>
    </row>
    <row r="1625" spans="2:7">
      <c r="B1625" s="199" t="s">
        <v>1026</v>
      </c>
      <c r="C1625" s="200" t="s">
        <v>544</v>
      </c>
      <c r="D1625" s="200" t="s">
        <v>630</v>
      </c>
      <c r="E1625" s="201">
        <v>10</v>
      </c>
      <c r="F1625" s="201">
        <v>3</v>
      </c>
      <c r="G1625" s="203">
        <v>44378</v>
      </c>
    </row>
    <row r="1626" spans="2:7">
      <c r="G1626" s="203"/>
    </row>
    <row r="1627" spans="2:7">
      <c r="B1627" s="199" t="s">
        <v>1027</v>
      </c>
      <c r="C1627" s="200" t="s">
        <v>544</v>
      </c>
      <c r="D1627" s="200" t="s">
        <v>630</v>
      </c>
      <c r="E1627" s="201">
        <v>10</v>
      </c>
      <c r="F1627" s="201">
        <v>3</v>
      </c>
      <c r="G1627" s="203">
        <v>44378</v>
      </c>
    </row>
    <row r="1628" spans="2:7">
      <c r="C1628" s="200" t="s">
        <v>544</v>
      </c>
      <c r="D1628" s="272" t="s">
        <v>1820</v>
      </c>
      <c r="E1628" s="201">
        <v>5</v>
      </c>
      <c r="F1628" s="201">
        <f>E1628/3</f>
        <v>1.6666666666666667</v>
      </c>
      <c r="G1628" s="203">
        <v>42688</v>
      </c>
    </row>
    <row r="1629" spans="2:7">
      <c r="C1629" s="282" t="s">
        <v>402</v>
      </c>
      <c r="D1629" s="282" t="s">
        <v>1933</v>
      </c>
      <c r="E1629" s="201">
        <v>100</v>
      </c>
      <c r="F1629" s="201">
        <v>20</v>
      </c>
      <c r="G1629" s="203">
        <v>43958</v>
      </c>
    </row>
    <row r="1630" spans="2:7">
      <c r="C1630" s="282" t="s">
        <v>549</v>
      </c>
      <c r="D1630" s="282" t="s">
        <v>1933</v>
      </c>
      <c r="E1630" s="201">
        <v>49</v>
      </c>
      <c r="F1630" s="201">
        <v>7.5</v>
      </c>
      <c r="G1630" s="203">
        <v>43319</v>
      </c>
    </row>
    <row r="1631" spans="2:7">
      <c r="C1631" s="282" t="s">
        <v>669</v>
      </c>
      <c r="D1631" s="282" t="s">
        <v>1933</v>
      </c>
      <c r="E1631" s="201">
        <f>9.5/7</f>
        <v>1.3571428571428572</v>
      </c>
      <c r="F1631" s="201">
        <f>+E1631</f>
        <v>1.3571428571428572</v>
      </c>
      <c r="G1631" s="203">
        <v>43185</v>
      </c>
    </row>
    <row r="1632" spans="2:7">
      <c r="C1632" s="282" t="s">
        <v>544</v>
      </c>
      <c r="D1632" s="282" t="s">
        <v>1935</v>
      </c>
      <c r="E1632" s="201">
        <v>50</v>
      </c>
      <c r="F1632" s="201">
        <f>20/4</f>
        <v>5</v>
      </c>
      <c r="G1632" s="203">
        <v>44165</v>
      </c>
    </row>
    <row r="1633" spans="2:7">
      <c r="G1633" s="203"/>
    </row>
    <row r="1634" spans="2:7">
      <c r="B1634" s="199" t="s">
        <v>1028</v>
      </c>
      <c r="C1634" s="200" t="s">
        <v>544</v>
      </c>
      <c r="D1634" s="200" t="s">
        <v>630</v>
      </c>
      <c r="E1634" s="201">
        <v>10</v>
      </c>
      <c r="F1634" s="201">
        <v>3</v>
      </c>
      <c r="G1634" s="203">
        <v>44378</v>
      </c>
    </row>
    <row r="1635" spans="2:7">
      <c r="B1635" s="199" t="s">
        <v>1334</v>
      </c>
      <c r="C1635" s="200" t="s">
        <v>402</v>
      </c>
      <c r="D1635" s="200" t="s">
        <v>673</v>
      </c>
      <c r="E1635" s="201">
        <v>25</v>
      </c>
      <c r="F1635" s="201">
        <f>15/5</f>
        <v>3</v>
      </c>
      <c r="G1635" s="203">
        <v>44755</v>
      </c>
    </row>
    <row r="1636" spans="2:7">
      <c r="B1636" s="199" t="s">
        <v>1203</v>
      </c>
      <c r="C1636" s="200" t="s">
        <v>544</v>
      </c>
      <c r="D1636" s="200" t="s">
        <v>568</v>
      </c>
      <c r="E1636" s="201">
        <v>10.9</v>
      </c>
      <c r="F1636" s="201">
        <v>3</v>
      </c>
      <c r="G1636" s="203">
        <v>45070</v>
      </c>
    </row>
    <row r="1637" spans="2:7">
      <c r="B1637" s="199" t="s">
        <v>1316</v>
      </c>
      <c r="C1637" s="200" t="s">
        <v>402</v>
      </c>
      <c r="D1637" s="200" t="s">
        <v>671</v>
      </c>
      <c r="E1637" s="201">
        <v>25</v>
      </c>
      <c r="F1637" s="201">
        <v>3</v>
      </c>
      <c r="G1637" s="203">
        <v>44636</v>
      </c>
    </row>
    <row r="1638" spans="2:7">
      <c r="B1638" s="219" t="s">
        <v>1804</v>
      </c>
      <c r="C1638" s="220" t="s">
        <v>544</v>
      </c>
      <c r="D1638" s="220" t="s">
        <v>716</v>
      </c>
      <c r="E1638" s="201">
        <v>12</v>
      </c>
      <c r="F1638" s="201">
        <v>3</v>
      </c>
      <c r="G1638" s="203">
        <v>44860</v>
      </c>
    </row>
    <row r="1639" spans="2:7">
      <c r="B1639" s="219"/>
      <c r="C1639" s="220"/>
      <c r="D1639" s="220"/>
      <c r="G1639" s="203"/>
    </row>
    <row r="1640" spans="2:7">
      <c r="B1640" s="219" t="s">
        <v>1805</v>
      </c>
      <c r="C1640" s="220" t="s">
        <v>544</v>
      </c>
      <c r="D1640" s="220" t="s">
        <v>716</v>
      </c>
      <c r="E1640" s="201">
        <v>12</v>
      </c>
      <c r="F1640" s="201">
        <v>3</v>
      </c>
      <c r="G1640" s="203">
        <v>44860</v>
      </c>
    </row>
    <row r="1641" spans="2:7">
      <c r="B1641" s="219"/>
      <c r="C1641" s="272" t="s">
        <v>402</v>
      </c>
      <c r="D1641" s="272" t="s">
        <v>1818</v>
      </c>
      <c r="E1641" s="201">
        <v>150</v>
      </c>
      <c r="F1641" s="201">
        <v>20</v>
      </c>
      <c r="G1641" s="203">
        <v>43556</v>
      </c>
    </row>
    <row r="1642" spans="2:7">
      <c r="B1642" s="219"/>
      <c r="C1642" s="272" t="s">
        <v>544</v>
      </c>
      <c r="D1642" s="272" t="s">
        <v>1818</v>
      </c>
      <c r="E1642" s="201">
        <v>56</v>
      </c>
      <c r="F1642" s="201">
        <v>13</v>
      </c>
      <c r="G1642" s="203">
        <v>43174</v>
      </c>
    </row>
    <row r="1643" spans="2:7">
      <c r="B1643" s="219"/>
      <c r="C1643" s="220"/>
      <c r="D1643" s="220"/>
      <c r="G1643" s="203"/>
    </row>
    <row r="1644" spans="2:7">
      <c r="B1644" s="237" t="s">
        <v>2747</v>
      </c>
      <c r="C1644" s="238" t="s">
        <v>402</v>
      </c>
      <c r="D1644" s="238" t="s">
        <v>2741</v>
      </c>
      <c r="E1644" s="201">
        <v>32</v>
      </c>
      <c r="F1644" s="201">
        <v>3</v>
      </c>
      <c r="G1644" s="203">
        <v>44364</v>
      </c>
    </row>
    <row r="1645" spans="2:7">
      <c r="B1645" s="237" t="s">
        <v>11</v>
      </c>
      <c r="C1645" s="238" t="s">
        <v>402</v>
      </c>
      <c r="D1645" s="238" t="s">
        <v>2741</v>
      </c>
      <c r="E1645" s="201">
        <v>32</v>
      </c>
      <c r="F1645" s="201">
        <v>3</v>
      </c>
      <c r="G1645" s="203">
        <v>44364</v>
      </c>
    </row>
    <row r="1646" spans="2:7">
      <c r="B1646" s="199" t="s">
        <v>1338</v>
      </c>
      <c r="C1646" s="200" t="s">
        <v>544</v>
      </c>
      <c r="D1646" s="200" t="s">
        <v>673</v>
      </c>
      <c r="E1646" s="201">
        <v>21</v>
      </c>
      <c r="F1646" s="201">
        <f>14/5</f>
        <v>2.8</v>
      </c>
      <c r="G1646" s="203">
        <v>44489</v>
      </c>
    </row>
    <row r="1647" spans="2:7">
      <c r="B1647" s="199" t="s">
        <v>1342</v>
      </c>
      <c r="C1647" s="200" t="s">
        <v>544</v>
      </c>
      <c r="D1647" s="200" t="s">
        <v>674</v>
      </c>
      <c r="E1647" s="201">
        <v>25</v>
      </c>
      <c r="F1647" s="201">
        <f>18/7</f>
        <v>2.5714285714285716</v>
      </c>
      <c r="G1647" s="203">
        <v>44757</v>
      </c>
    </row>
    <row r="1648" spans="2:7">
      <c r="B1648" s="199" t="s">
        <v>1344</v>
      </c>
      <c r="C1648" s="200" t="s">
        <v>544</v>
      </c>
      <c r="D1648" s="200" t="s">
        <v>674</v>
      </c>
      <c r="E1648" s="201">
        <v>25</v>
      </c>
      <c r="F1648" s="201">
        <f>18/7</f>
        <v>2.5714285714285716</v>
      </c>
      <c r="G1648" s="203">
        <v>44757</v>
      </c>
    </row>
    <row r="1649" spans="2:10">
      <c r="B1649" s="199" t="s">
        <v>1552</v>
      </c>
      <c r="C1649" s="200" t="s">
        <v>549</v>
      </c>
      <c r="D1649" s="200" t="s">
        <v>693</v>
      </c>
      <c r="E1649" s="201">
        <v>16</v>
      </c>
      <c r="F1649" s="201">
        <f>10/4</f>
        <v>2.5</v>
      </c>
      <c r="G1649" s="203">
        <v>44298</v>
      </c>
    </row>
    <row r="1650" spans="2:10">
      <c r="B1650" s="199" t="s">
        <v>1553</v>
      </c>
      <c r="C1650" s="200" t="s">
        <v>549</v>
      </c>
      <c r="D1650" s="200" t="s">
        <v>693</v>
      </c>
      <c r="E1650" s="201">
        <v>16</v>
      </c>
      <c r="F1650" s="201">
        <f>10/4</f>
        <v>2.5</v>
      </c>
      <c r="G1650" s="203">
        <v>44298</v>
      </c>
    </row>
    <row r="1651" spans="2:10">
      <c r="B1651" s="199" t="s">
        <v>1554</v>
      </c>
      <c r="C1651" s="200" t="s">
        <v>549</v>
      </c>
      <c r="D1651" s="200" t="s">
        <v>693</v>
      </c>
      <c r="E1651" s="201">
        <v>16</v>
      </c>
      <c r="F1651" s="201">
        <f>10/4</f>
        <v>2.5</v>
      </c>
      <c r="G1651" s="203">
        <v>44298</v>
      </c>
    </row>
    <row r="1652" spans="2:10">
      <c r="B1652" s="199" t="s">
        <v>1555</v>
      </c>
      <c r="C1652" s="200" t="s">
        <v>549</v>
      </c>
      <c r="D1652" s="200" t="s">
        <v>693</v>
      </c>
      <c r="E1652" s="201">
        <v>16</v>
      </c>
      <c r="F1652" s="201">
        <f>10/4</f>
        <v>2.5</v>
      </c>
      <c r="G1652" s="203">
        <v>44298</v>
      </c>
    </row>
    <row r="1653" spans="2:10">
      <c r="B1653" s="199" t="s">
        <v>1097</v>
      </c>
      <c r="C1653" s="200" t="s">
        <v>544</v>
      </c>
      <c r="D1653" s="200" t="s">
        <v>1093</v>
      </c>
      <c r="E1653" s="201">
        <v>50</v>
      </c>
      <c r="F1653" s="201">
        <f>30/12</f>
        <v>2.5</v>
      </c>
      <c r="G1653" s="203">
        <v>44796</v>
      </c>
    </row>
    <row r="1654" spans="2:10">
      <c r="B1654" s="199" t="s">
        <v>1098</v>
      </c>
      <c r="C1654" s="200" t="s">
        <v>544</v>
      </c>
      <c r="D1654" s="200" t="s">
        <v>1093</v>
      </c>
      <c r="E1654" s="201">
        <v>50</v>
      </c>
      <c r="F1654" s="201">
        <f>30/12</f>
        <v>2.5</v>
      </c>
      <c r="G1654" s="203">
        <v>44796</v>
      </c>
    </row>
    <row r="1655" spans="2:10">
      <c r="B1655" s="199" t="s">
        <v>1460</v>
      </c>
      <c r="C1655" s="200" t="s">
        <v>544</v>
      </c>
      <c r="D1655" s="200" t="s">
        <v>684</v>
      </c>
      <c r="E1655" s="201">
        <v>20</v>
      </c>
      <c r="F1655" s="201">
        <v>2.5</v>
      </c>
      <c r="G1655" s="203">
        <v>44392</v>
      </c>
    </row>
    <row r="1656" spans="2:10">
      <c r="G1656" s="203"/>
    </row>
    <row r="1657" spans="2:10">
      <c r="B1657" s="267" t="s">
        <v>3878</v>
      </c>
      <c r="C1657" s="200" t="s">
        <v>544</v>
      </c>
      <c r="D1657" s="200" t="s">
        <v>1093</v>
      </c>
      <c r="E1657" s="201">
        <v>50</v>
      </c>
      <c r="F1657" s="201">
        <f>30/12</f>
        <v>2.5</v>
      </c>
      <c r="G1657" s="203">
        <v>44796</v>
      </c>
    </row>
    <row r="1658" spans="2:10">
      <c r="C1658" s="200" t="s">
        <v>544</v>
      </c>
      <c r="D1658" s="200" t="s">
        <v>632</v>
      </c>
      <c r="E1658" s="201">
        <v>44</v>
      </c>
      <c r="F1658" s="201">
        <v>10</v>
      </c>
      <c r="G1658" s="203">
        <v>44671</v>
      </c>
    </row>
    <row r="1659" spans="2:10">
      <c r="C1659" s="272" t="s">
        <v>565</v>
      </c>
      <c r="D1659" s="272" t="s">
        <v>1816</v>
      </c>
      <c r="E1659" s="201">
        <v>460</v>
      </c>
      <c r="F1659" s="201">
        <v>40</v>
      </c>
      <c r="G1659" s="203">
        <v>43040</v>
      </c>
    </row>
    <row r="1660" spans="2:10">
      <c r="G1660" s="203"/>
    </row>
    <row r="1661" spans="2:10">
      <c r="B1661" s="199" t="s">
        <v>1096</v>
      </c>
      <c r="C1661" s="200" t="s">
        <v>544</v>
      </c>
      <c r="D1661" s="200" t="s">
        <v>1093</v>
      </c>
      <c r="E1661" s="201">
        <v>50</v>
      </c>
      <c r="F1661" s="201">
        <f>30/12</f>
        <v>2.5</v>
      </c>
      <c r="G1661" s="203">
        <v>44796</v>
      </c>
    </row>
    <row r="1662" spans="2:10">
      <c r="C1662" s="282" t="s">
        <v>738</v>
      </c>
      <c r="D1662" s="282" t="s">
        <v>1940</v>
      </c>
      <c r="E1662" s="201">
        <v>230</v>
      </c>
      <c r="F1662" s="201">
        <v>24</v>
      </c>
      <c r="G1662" s="203">
        <v>44984</v>
      </c>
      <c r="I1662" s="199">
        <v>2000</v>
      </c>
      <c r="J1662" s="199">
        <v>2000</v>
      </c>
    </row>
    <row r="1663" spans="2:10">
      <c r="C1663" s="282" t="s">
        <v>565</v>
      </c>
      <c r="D1663" s="282" t="s">
        <v>1940</v>
      </c>
      <c r="E1663" s="201">
        <v>100</v>
      </c>
      <c r="F1663" s="201">
        <v>15</v>
      </c>
      <c r="G1663" s="203">
        <v>44025</v>
      </c>
      <c r="J1663" s="199">
        <v>2000</v>
      </c>
    </row>
    <row r="1664" spans="2:10">
      <c r="G1664" s="203"/>
    </row>
    <row r="1665" spans="2:7">
      <c r="B1665" s="199" t="s">
        <v>1378</v>
      </c>
      <c r="C1665" s="200" t="s">
        <v>544</v>
      </c>
      <c r="D1665" s="200" t="s">
        <v>680</v>
      </c>
      <c r="E1665" s="201">
        <v>20</v>
      </c>
      <c r="F1665" s="201">
        <f>13/6</f>
        <v>2.1666666666666665</v>
      </c>
      <c r="G1665" s="203">
        <v>44903</v>
      </c>
    </row>
    <row r="1666" spans="2:7">
      <c r="B1666" s="199" t="s">
        <v>1374</v>
      </c>
      <c r="C1666" s="200" t="s">
        <v>544</v>
      </c>
      <c r="D1666" s="200" t="s">
        <v>680</v>
      </c>
      <c r="E1666" s="201">
        <v>20</v>
      </c>
      <c r="F1666" s="201">
        <f>13/6</f>
        <v>2.1666666666666665</v>
      </c>
      <c r="G1666" s="203">
        <v>44903</v>
      </c>
    </row>
    <row r="1667" spans="2:7">
      <c r="B1667" s="199" t="s">
        <v>1376</v>
      </c>
      <c r="C1667" s="200" t="s">
        <v>544</v>
      </c>
      <c r="D1667" s="200" t="s">
        <v>680</v>
      </c>
      <c r="E1667" s="201">
        <v>20</v>
      </c>
      <c r="F1667" s="201">
        <f>13/6</f>
        <v>2.1666666666666665</v>
      </c>
      <c r="G1667" s="203">
        <v>44903</v>
      </c>
    </row>
    <row r="1668" spans="2:7">
      <c r="B1668" s="199" t="s">
        <v>1364</v>
      </c>
      <c r="C1668" s="200" t="s">
        <v>544</v>
      </c>
      <c r="D1668" s="200" t="s">
        <v>679</v>
      </c>
      <c r="E1668" s="201">
        <v>20</v>
      </c>
      <c r="F1668" s="201">
        <f>13/6</f>
        <v>2.1666666666666665</v>
      </c>
      <c r="G1668" s="203">
        <v>44676</v>
      </c>
    </row>
    <row r="1669" spans="2:7">
      <c r="B1669" s="199" t="s">
        <v>1365</v>
      </c>
      <c r="C1669" s="200" t="s">
        <v>544</v>
      </c>
      <c r="D1669" s="200" t="s">
        <v>679</v>
      </c>
      <c r="E1669" s="201">
        <v>20</v>
      </c>
      <c r="F1669" s="201">
        <f>13/6</f>
        <v>2.1666666666666665</v>
      </c>
      <c r="G1669" s="203">
        <v>44676</v>
      </c>
    </row>
    <row r="1670" spans="2:7">
      <c r="B1670" s="210" t="s">
        <v>1603</v>
      </c>
      <c r="C1670" s="211" t="s">
        <v>549</v>
      </c>
      <c r="D1670" s="211" t="s">
        <v>467</v>
      </c>
      <c r="E1670" s="201">
        <v>15</v>
      </c>
      <c r="F1670" s="201">
        <f>15/7</f>
        <v>2.1428571428571428</v>
      </c>
      <c r="G1670" s="203">
        <v>44691</v>
      </c>
    </row>
    <row r="1671" spans="2:7">
      <c r="B1671" s="210" t="s">
        <v>1604</v>
      </c>
      <c r="C1671" s="211" t="s">
        <v>549</v>
      </c>
      <c r="D1671" s="211" t="s">
        <v>467</v>
      </c>
      <c r="E1671" s="201">
        <v>15</v>
      </c>
      <c r="F1671" s="201">
        <f>15/7</f>
        <v>2.1428571428571428</v>
      </c>
      <c r="G1671" s="203">
        <v>44691</v>
      </c>
    </row>
    <row r="1672" spans="2:7">
      <c r="B1672" s="210" t="s">
        <v>1605</v>
      </c>
      <c r="C1672" s="211" t="s">
        <v>549</v>
      </c>
      <c r="D1672" s="211" t="s">
        <v>467</v>
      </c>
      <c r="E1672" s="201">
        <v>15</v>
      </c>
      <c r="F1672" s="201">
        <f>15/7</f>
        <v>2.1428571428571428</v>
      </c>
      <c r="G1672" s="203">
        <v>44691</v>
      </c>
    </row>
    <row r="1673" spans="2:7">
      <c r="B1673" s="210" t="s">
        <v>1606</v>
      </c>
      <c r="C1673" s="211" t="s">
        <v>549</v>
      </c>
      <c r="D1673" s="211" t="s">
        <v>467</v>
      </c>
      <c r="E1673" s="201">
        <v>15</v>
      </c>
      <c r="F1673" s="201">
        <f>15/7</f>
        <v>2.1428571428571428</v>
      </c>
      <c r="G1673" s="203">
        <v>44691</v>
      </c>
    </row>
    <row r="1674" spans="2:7">
      <c r="B1674" s="199" t="s">
        <v>990</v>
      </c>
      <c r="C1674" s="200" t="s">
        <v>544</v>
      </c>
      <c r="D1674" s="200" t="s">
        <v>616</v>
      </c>
      <c r="E1674" s="201">
        <v>20</v>
      </c>
      <c r="F1674" s="201">
        <f>12/6</f>
        <v>2</v>
      </c>
      <c r="G1674" s="203">
        <v>43816</v>
      </c>
    </row>
    <row r="1675" spans="2:7">
      <c r="B1675" s="199" t="s">
        <v>1492</v>
      </c>
      <c r="C1675" s="200" t="s">
        <v>544</v>
      </c>
      <c r="D1675" s="200" t="s">
        <v>1476</v>
      </c>
      <c r="E1675" s="201">
        <v>12.5</v>
      </c>
      <c r="F1675" s="201">
        <v>2</v>
      </c>
      <c r="G1675" s="203">
        <v>44784</v>
      </c>
    </row>
    <row r="1676" spans="2:7">
      <c r="B1676" s="199" t="s">
        <v>1533</v>
      </c>
      <c r="C1676" s="200" t="s">
        <v>549</v>
      </c>
      <c r="D1676" s="200" t="s">
        <v>575</v>
      </c>
      <c r="E1676" s="201">
        <v>4.5</v>
      </c>
      <c r="F1676" s="201">
        <v>2</v>
      </c>
      <c r="G1676" s="203">
        <v>45056</v>
      </c>
    </row>
    <row r="1677" spans="2:7">
      <c r="B1677" s="199" t="s">
        <v>1428</v>
      </c>
      <c r="C1677" s="200" t="s">
        <v>544</v>
      </c>
      <c r="D1677" s="200" t="s">
        <v>546</v>
      </c>
      <c r="E1677" s="201">
        <v>23.5</v>
      </c>
      <c r="F1677" s="201">
        <v>2</v>
      </c>
      <c r="G1677" s="203">
        <v>44875</v>
      </c>
    </row>
    <row r="1678" spans="2:7">
      <c r="B1678" s="199" t="s">
        <v>1446</v>
      </c>
      <c r="C1678" s="200" t="s">
        <v>544</v>
      </c>
      <c r="D1678" s="200" t="s">
        <v>1445</v>
      </c>
      <c r="E1678" s="201">
        <v>20</v>
      </c>
      <c r="F1678" s="201">
        <v>2</v>
      </c>
      <c r="G1678" s="203">
        <v>44602</v>
      </c>
    </row>
    <row r="1679" spans="2:7">
      <c r="B1679" s="199" t="s">
        <v>1447</v>
      </c>
      <c r="C1679" s="200" t="s">
        <v>544</v>
      </c>
      <c r="D1679" s="200" t="s">
        <v>1445</v>
      </c>
      <c r="E1679" s="201">
        <v>20</v>
      </c>
      <c r="F1679" s="201">
        <v>2</v>
      </c>
      <c r="G1679" s="203">
        <v>44602</v>
      </c>
    </row>
    <row r="1680" spans="2:7">
      <c r="G1680" s="203"/>
    </row>
    <row r="1681" spans="2:7">
      <c r="B1681" s="199" t="s">
        <v>1450</v>
      </c>
      <c r="C1681" s="200" t="s">
        <v>544</v>
      </c>
      <c r="D1681" s="200" t="s">
        <v>1449</v>
      </c>
      <c r="E1681" s="201">
        <v>20</v>
      </c>
      <c r="F1681" s="201">
        <v>2</v>
      </c>
      <c r="G1681" s="203">
        <v>44578</v>
      </c>
    </row>
    <row r="1682" spans="2:7">
      <c r="C1682" s="272" t="s">
        <v>755</v>
      </c>
      <c r="D1682" s="272" t="s">
        <v>1813</v>
      </c>
      <c r="E1682" s="201">
        <v>600</v>
      </c>
      <c r="F1682" s="201">
        <f>500/8</f>
        <v>62.5</v>
      </c>
      <c r="G1682" s="203">
        <v>44502</v>
      </c>
    </row>
    <row r="1683" spans="2:7">
      <c r="C1683" s="272" t="s">
        <v>544</v>
      </c>
      <c r="D1683" s="272" t="s">
        <v>1813</v>
      </c>
      <c r="E1683" s="201">
        <v>92</v>
      </c>
      <c r="F1683" s="201">
        <f>E1683/2</f>
        <v>46</v>
      </c>
      <c r="G1683" s="203">
        <v>43130</v>
      </c>
    </row>
    <row r="1684" spans="2:7">
      <c r="G1684" s="203"/>
    </row>
    <row r="1685" spans="2:7">
      <c r="B1685" s="199" t="s">
        <v>1451</v>
      </c>
      <c r="C1685" s="200" t="s">
        <v>544</v>
      </c>
      <c r="D1685" s="200" t="s">
        <v>1449</v>
      </c>
      <c r="E1685" s="201">
        <v>20</v>
      </c>
      <c r="F1685" s="201">
        <v>2</v>
      </c>
      <c r="G1685" s="203">
        <v>44578</v>
      </c>
    </row>
    <row r="1686" spans="2:7">
      <c r="B1686" s="199" t="s">
        <v>1452</v>
      </c>
      <c r="C1686" s="200" t="s">
        <v>544</v>
      </c>
      <c r="D1686" s="200" t="s">
        <v>1449</v>
      </c>
      <c r="E1686" s="201">
        <v>20</v>
      </c>
      <c r="F1686" s="201">
        <v>2</v>
      </c>
      <c r="G1686" s="203">
        <v>44578</v>
      </c>
    </row>
    <row r="1687" spans="2:7">
      <c r="B1687" s="199" t="s">
        <v>1453</v>
      </c>
      <c r="C1687" s="200" t="s">
        <v>544</v>
      </c>
      <c r="D1687" s="200" t="s">
        <v>1449</v>
      </c>
      <c r="E1687" s="201">
        <v>20</v>
      </c>
      <c r="F1687" s="201">
        <v>2</v>
      </c>
      <c r="G1687" s="203">
        <v>44578</v>
      </c>
    </row>
    <row r="1688" spans="2:7">
      <c r="B1688" s="199" t="s">
        <v>1454</v>
      </c>
      <c r="C1688" s="200" t="s">
        <v>544</v>
      </c>
      <c r="D1688" s="200" t="s">
        <v>1449</v>
      </c>
      <c r="E1688" s="201">
        <v>20</v>
      </c>
      <c r="F1688" s="201">
        <v>2</v>
      </c>
      <c r="G1688" s="203">
        <v>44578</v>
      </c>
    </row>
    <row r="1689" spans="2:7">
      <c r="B1689" s="224" t="s">
        <v>2170</v>
      </c>
      <c r="C1689" s="225" t="s">
        <v>549</v>
      </c>
      <c r="D1689" s="225" t="s">
        <v>586</v>
      </c>
      <c r="E1689" s="201">
        <v>6</v>
      </c>
      <c r="F1689" s="201">
        <v>2</v>
      </c>
      <c r="G1689" s="203">
        <v>44781</v>
      </c>
    </row>
    <row r="1690" spans="2:7">
      <c r="B1690" s="210" t="s">
        <v>1583</v>
      </c>
      <c r="C1690" s="211" t="s">
        <v>549</v>
      </c>
      <c r="D1690" s="211" t="s">
        <v>1574</v>
      </c>
      <c r="E1690" s="201">
        <v>6</v>
      </c>
      <c r="F1690" s="201">
        <v>2</v>
      </c>
      <c r="G1690" s="203">
        <v>44180</v>
      </c>
    </row>
    <row r="1691" spans="2:7">
      <c r="B1691" s="219" t="s">
        <v>1789</v>
      </c>
      <c r="C1691" s="220" t="s">
        <v>549</v>
      </c>
      <c r="D1691" s="220" t="s">
        <v>713</v>
      </c>
      <c r="E1691" s="201">
        <v>2</v>
      </c>
      <c r="F1691" s="201">
        <v>2</v>
      </c>
      <c r="G1691" s="203">
        <v>43685</v>
      </c>
    </row>
    <row r="1692" spans="2:7">
      <c r="B1692" s="219" t="s">
        <v>1806</v>
      </c>
      <c r="C1692" s="220" t="s">
        <v>544</v>
      </c>
      <c r="D1692" s="220" t="s">
        <v>716</v>
      </c>
      <c r="E1692" s="201">
        <v>12</v>
      </c>
      <c r="F1692" s="201">
        <f>6/3</f>
        <v>2</v>
      </c>
      <c r="G1692" s="203">
        <v>44860</v>
      </c>
    </row>
    <row r="1693" spans="2:7">
      <c r="B1693" s="219" t="s">
        <v>1780</v>
      </c>
      <c r="C1693" s="220" t="s">
        <v>544</v>
      </c>
      <c r="D1693" s="220" t="s">
        <v>712</v>
      </c>
      <c r="E1693" s="201">
        <v>13</v>
      </c>
      <c r="F1693" s="201">
        <f>8/4</f>
        <v>2</v>
      </c>
      <c r="G1693" s="203">
        <v>44642</v>
      </c>
    </row>
    <row r="1694" spans="2:7">
      <c r="B1694" s="219" t="s">
        <v>1781</v>
      </c>
      <c r="C1694" s="220" t="s">
        <v>544</v>
      </c>
      <c r="D1694" s="220" t="s">
        <v>712</v>
      </c>
      <c r="E1694" s="201">
        <v>13</v>
      </c>
      <c r="F1694" s="201">
        <f>8/4</f>
        <v>2</v>
      </c>
      <c r="G1694" s="203">
        <v>44642</v>
      </c>
    </row>
    <row r="1695" spans="2:7">
      <c r="B1695" s="219" t="s">
        <v>1734</v>
      </c>
      <c r="C1695" s="220" t="s">
        <v>549</v>
      </c>
      <c r="D1695" s="220" t="s">
        <v>710</v>
      </c>
      <c r="E1695" s="201">
        <v>12.8</v>
      </c>
      <c r="F1695" s="201">
        <v>2</v>
      </c>
      <c r="G1695" s="203">
        <v>44601</v>
      </c>
    </row>
    <row r="1696" spans="2:7">
      <c r="B1696" s="210" t="s">
        <v>1646</v>
      </c>
      <c r="C1696" s="211" t="s">
        <v>402</v>
      </c>
      <c r="D1696" s="211" t="s">
        <v>547</v>
      </c>
      <c r="E1696" s="201">
        <v>27</v>
      </c>
      <c r="F1696" s="201">
        <v>2</v>
      </c>
      <c r="G1696" s="203">
        <v>44882</v>
      </c>
    </row>
    <row r="1697" spans="2:18">
      <c r="B1697" s="219" t="s">
        <v>1757</v>
      </c>
      <c r="C1697" s="220" t="s">
        <v>549</v>
      </c>
      <c r="D1697" s="220" t="s">
        <v>580</v>
      </c>
      <c r="E1697" s="201">
        <v>4</v>
      </c>
      <c r="F1697" s="201">
        <v>2</v>
      </c>
      <c r="G1697" s="203">
        <v>45026</v>
      </c>
    </row>
    <row r="1698" spans="2:18">
      <c r="B1698" s="219" t="s">
        <v>1752</v>
      </c>
      <c r="C1698" s="220" t="s">
        <v>549</v>
      </c>
      <c r="D1698" s="220" t="s">
        <v>579</v>
      </c>
      <c r="E1698" s="201">
        <v>5</v>
      </c>
      <c r="F1698" s="201">
        <f>5/3</f>
        <v>1.6666666666666667</v>
      </c>
      <c r="G1698" s="203">
        <v>45062</v>
      </c>
    </row>
    <row r="1699" spans="2:18">
      <c r="B1699" s="219"/>
      <c r="C1699" s="220"/>
      <c r="D1699" s="220"/>
      <c r="G1699" s="203"/>
    </row>
    <row r="1700" spans="2:18">
      <c r="B1700" s="199" t="s">
        <v>1103</v>
      </c>
      <c r="C1700" s="200" t="s">
        <v>549</v>
      </c>
      <c r="D1700" s="200" t="s">
        <v>1093</v>
      </c>
      <c r="E1700" s="201">
        <v>12.5</v>
      </c>
      <c r="F1700" s="201">
        <f>8/5</f>
        <v>1.6</v>
      </c>
      <c r="G1700" s="203">
        <v>44623</v>
      </c>
    </row>
    <row r="1701" spans="2:18">
      <c r="C1701" s="282" t="s">
        <v>755</v>
      </c>
      <c r="D1701" s="282" t="s">
        <v>1940</v>
      </c>
      <c r="E1701" s="201">
        <v>170</v>
      </c>
      <c r="F1701" s="201">
        <f>110/5</f>
        <v>22</v>
      </c>
      <c r="G1701" s="203">
        <v>44255</v>
      </c>
      <c r="I1701" s="199">
        <v>830</v>
      </c>
      <c r="J1701" s="199">
        <v>2000</v>
      </c>
    </row>
    <row r="1702" spans="2:18">
      <c r="G1702" s="203"/>
    </row>
    <row r="1703" spans="2:18">
      <c r="B1703" s="210" t="s">
        <v>1661</v>
      </c>
      <c r="C1703" s="211" t="s">
        <v>544</v>
      </c>
      <c r="D1703" s="211" t="s">
        <v>578</v>
      </c>
      <c r="E1703" s="201">
        <v>12.7</v>
      </c>
      <c r="F1703" s="201">
        <f>8/5</f>
        <v>1.6</v>
      </c>
      <c r="G1703" s="203">
        <v>44952</v>
      </c>
    </row>
    <row r="1704" spans="2:18">
      <c r="B1704" s="199" t="s">
        <v>768</v>
      </c>
      <c r="C1704" s="200" t="s">
        <v>544</v>
      </c>
      <c r="D1704" s="200" t="s">
        <v>751</v>
      </c>
      <c r="E1704" s="201">
        <v>4.5</v>
      </c>
      <c r="F1704" s="201">
        <v>1.5</v>
      </c>
      <c r="G1704" s="203">
        <v>42858</v>
      </c>
      <c r="M1704" s="199"/>
      <c r="N1704" s="199"/>
      <c r="O1704" s="199"/>
      <c r="P1704" s="199"/>
      <c r="Q1704" s="199"/>
      <c r="R1704" s="199"/>
    </row>
    <row r="1705" spans="2:18">
      <c r="B1705" s="199" t="s">
        <v>1511</v>
      </c>
      <c r="C1705" s="200" t="s">
        <v>544</v>
      </c>
      <c r="D1705" s="200" t="s">
        <v>692</v>
      </c>
      <c r="E1705" s="201">
        <v>17</v>
      </c>
      <c r="F1705" s="201">
        <v>1.5</v>
      </c>
      <c r="G1705" s="203">
        <v>44679</v>
      </c>
      <c r="M1705" s="199"/>
      <c r="N1705" s="199"/>
      <c r="O1705" s="199"/>
      <c r="P1705" s="199"/>
      <c r="Q1705" s="199"/>
      <c r="R1705" s="199"/>
    </row>
    <row r="1706" spans="2:18">
      <c r="B1706" s="199" t="s">
        <v>830</v>
      </c>
      <c r="C1706" s="200" t="s">
        <v>549</v>
      </c>
      <c r="D1706" s="200" t="s">
        <v>420</v>
      </c>
      <c r="E1706" s="201">
        <v>6</v>
      </c>
      <c r="F1706" s="201">
        <v>1</v>
      </c>
      <c r="G1706" s="203">
        <v>44352</v>
      </c>
      <c r="M1706" s="199"/>
      <c r="N1706" s="199"/>
      <c r="O1706" s="199"/>
      <c r="P1706" s="199"/>
      <c r="Q1706" s="199"/>
      <c r="R1706" s="199"/>
    </row>
    <row r="1707" spans="2:18">
      <c r="B1707" s="199" t="s">
        <v>831</v>
      </c>
      <c r="C1707" s="200" t="s">
        <v>549</v>
      </c>
      <c r="D1707" s="200" t="s">
        <v>420</v>
      </c>
      <c r="E1707" s="201">
        <v>6</v>
      </c>
      <c r="F1707" s="201">
        <v>1</v>
      </c>
      <c r="G1707" s="203">
        <v>44352</v>
      </c>
      <c r="M1707" s="199"/>
      <c r="N1707" s="199"/>
      <c r="O1707" s="199"/>
      <c r="P1707" s="199"/>
      <c r="Q1707" s="199"/>
      <c r="R1707" s="199"/>
    </row>
    <row r="1708" spans="2:18">
      <c r="B1708" s="199" t="s">
        <v>1008</v>
      </c>
      <c r="C1708" s="200" t="s">
        <v>549</v>
      </c>
      <c r="D1708" s="200" t="s">
        <v>626</v>
      </c>
      <c r="E1708" s="201">
        <v>5.3</v>
      </c>
      <c r="F1708" s="201">
        <v>1</v>
      </c>
      <c r="G1708" s="203">
        <v>43628</v>
      </c>
      <c r="M1708" s="199"/>
      <c r="N1708" s="199"/>
      <c r="O1708" s="199"/>
      <c r="P1708" s="199"/>
      <c r="Q1708" s="199"/>
      <c r="R1708" s="199"/>
    </row>
    <row r="1709" spans="2:18">
      <c r="B1709" s="199" t="s">
        <v>1043</v>
      </c>
      <c r="C1709" s="200" t="s">
        <v>544</v>
      </c>
      <c r="D1709" s="200" t="s">
        <v>623</v>
      </c>
      <c r="E1709" s="201">
        <v>17.5</v>
      </c>
      <c r="F1709" s="201">
        <v>1</v>
      </c>
      <c r="G1709" s="203">
        <v>44614</v>
      </c>
      <c r="M1709" s="199"/>
      <c r="N1709" s="199"/>
      <c r="O1709" s="199"/>
      <c r="P1709" s="199"/>
      <c r="Q1709" s="199"/>
      <c r="R1709" s="199"/>
    </row>
    <row r="1710" spans="2:18">
      <c r="B1710" s="199" t="s">
        <v>1210</v>
      </c>
      <c r="C1710" s="200" t="s">
        <v>544</v>
      </c>
      <c r="D1710" s="200" t="s">
        <v>568</v>
      </c>
      <c r="E1710" s="201">
        <v>10.9</v>
      </c>
      <c r="F1710" s="201">
        <f>8/8</f>
        <v>1</v>
      </c>
      <c r="G1710" s="203">
        <v>45070</v>
      </c>
      <c r="M1710" s="199"/>
      <c r="N1710" s="199"/>
      <c r="O1710" s="199"/>
      <c r="P1710" s="199"/>
      <c r="Q1710" s="199"/>
      <c r="R1710" s="199"/>
    </row>
    <row r="1711" spans="2:18">
      <c r="B1711" s="199" t="s">
        <v>1537</v>
      </c>
      <c r="C1711" s="200" t="s">
        <v>549</v>
      </c>
      <c r="D1711" s="200" t="s">
        <v>1528</v>
      </c>
      <c r="E1711" s="201">
        <v>5.5</v>
      </c>
      <c r="F1711" s="201">
        <v>1</v>
      </c>
      <c r="G1711" s="203">
        <v>45092</v>
      </c>
      <c r="M1711" s="199"/>
      <c r="N1711" s="199"/>
      <c r="O1711" s="199"/>
      <c r="P1711" s="199"/>
      <c r="Q1711" s="199"/>
      <c r="R1711" s="199"/>
    </row>
    <row r="1712" spans="2:18">
      <c r="B1712" s="199" t="s">
        <v>1414</v>
      </c>
      <c r="C1712" s="200" t="s">
        <v>549</v>
      </c>
      <c r="D1712" s="200" t="s">
        <v>573</v>
      </c>
      <c r="E1712" s="201">
        <v>2.5</v>
      </c>
      <c r="F1712" s="201">
        <v>1</v>
      </c>
      <c r="G1712" s="203">
        <v>44469</v>
      </c>
      <c r="M1712" s="199"/>
      <c r="N1712" s="199"/>
      <c r="O1712" s="199"/>
      <c r="P1712" s="199"/>
      <c r="Q1712" s="199"/>
      <c r="R1712" s="199"/>
    </row>
    <row r="1713" spans="2:18">
      <c r="B1713" s="199" t="s">
        <v>1429</v>
      </c>
      <c r="C1713" s="200" t="s">
        <v>549</v>
      </c>
      <c r="D1713" s="200" t="s">
        <v>546</v>
      </c>
      <c r="E1713" s="201">
        <v>5.6</v>
      </c>
      <c r="F1713" s="201">
        <v>1</v>
      </c>
      <c r="G1713" s="203">
        <v>44292</v>
      </c>
      <c r="M1713" s="199"/>
      <c r="N1713" s="199"/>
      <c r="O1713" s="199"/>
      <c r="P1713" s="199"/>
      <c r="Q1713" s="199"/>
      <c r="R1713" s="199"/>
    </row>
    <row r="1714" spans="2:18">
      <c r="B1714" s="199" t="s">
        <v>1430</v>
      </c>
      <c r="C1714" s="200" t="s">
        <v>549</v>
      </c>
      <c r="D1714" s="200" t="s">
        <v>546</v>
      </c>
      <c r="E1714" s="201">
        <v>5.6</v>
      </c>
      <c r="F1714" s="201">
        <v>1</v>
      </c>
      <c r="G1714" s="203">
        <v>44292</v>
      </c>
      <c r="M1714" s="199"/>
      <c r="N1714" s="199"/>
      <c r="O1714" s="199"/>
      <c r="P1714" s="199"/>
      <c r="Q1714" s="199"/>
      <c r="R1714" s="199"/>
    </row>
    <row r="1715" spans="2:18">
      <c r="B1715" s="199" t="s">
        <v>1431</v>
      </c>
      <c r="C1715" s="200" t="s">
        <v>549</v>
      </c>
      <c r="D1715" s="200" t="s">
        <v>546</v>
      </c>
      <c r="E1715" s="201">
        <v>5.6</v>
      </c>
      <c r="F1715" s="201">
        <v>1</v>
      </c>
      <c r="G1715" s="203">
        <v>44292</v>
      </c>
      <c r="M1715" s="199"/>
      <c r="N1715" s="199"/>
      <c r="O1715" s="199"/>
      <c r="P1715" s="199"/>
      <c r="Q1715" s="199"/>
      <c r="R1715" s="199"/>
    </row>
    <row r="1716" spans="2:18">
      <c r="B1716" s="199" t="s">
        <v>1432</v>
      </c>
      <c r="C1716" s="200" t="s">
        <v>549</v>
      </c>
      <c r="D1716" s="200" t="s">
        <v>546</v>
      </c>
      <c r="E1716" s="201">
        <v>5.6</v>
      </c>
      <c r="F1716" s="201">
        <v>1</v>
      </c>
      <c r="G1716" s="203">
        <v>44292</v>
      </c>
      <c r="M1716" s="199"/>
      <c r="N1716" s="199"/>
      <c r="O1716" s="199"/>
      <c r="P1716" s="199"/>
      <c r="Q1716" s="199"/>
      <c r="R1716" s="199"/>
    </row>
    <row r="1717" spans="2:18">
      <c r="B1717" s="199" t="s">
        <v>1204</v>
      </c>
      <c r="C1717" s="200" t="s">
        <v>544</v>
      </c>
      <c r="D1717" s="200" t="s">
        <v>568</v>
      </c>
      <c r="E1717" s="201">
        <v>10.9</v>
      </c>
      <c r="F1717" s="201">
        <f>8/8</f>
        <v>1</v>
      </c>
      <c r="G1717" s="203">
        <v>45070</v>
      </c>
      <c r="M1717" s="199"/>
      <c r="N1717" s="199"/>
      <c r="O1717" s="199"/>
      <c r="P1717" s="199"/>
      <c r="Q1717" s="199"/>
      <c r="R1717" s="199"/>
    </row>
    <row r="1718" spans="2:18">
      <c r="B1718" s="199" t="s">
        <v>1205</v>
      </c>
      <c r="C1718" s="200" t="s">
        <v>544</v>
      </c>
      <c r="D1718" s="200" t="s">
        <v>568</v>
      </c>
      <c r="E1718" s="201">
        <v>10.9</v>
      </c>
      <c r="F1718" s="201">
        <f>8/8</f>
        <v>1</v>
      </c>
      <c r="G1718" s="203">
        <v>45070</v>
      </c>
      <c r="M1718" s="199"/>
      <c r="N1718" s="199"/>
      <c r="O1718" s="199"/>
      <c r="P1718" s="199"/>
      <c r="Q1718" s="199"/>
      <c r="R1718" s="199"/>
    </row>
    <row r="1719" spans="2:18">
      <c r="B1719" s="199" t="s">
        <v>1206</v>
      </c>
      <c r="C1719" s="200" t="s">
        <v>544</v>
      </c>
      <c r="D1719" s="200" t="s">
        <v>568</v>
      </c>
      <c r="E1719" s="201">
        <v>10.9</v>
      </c>
      <c r="F1719" s="201">
        <f>8/8</f>
        <v>1</v>
      </c>
      <c r="G1719" s="203">
        <v>45070</v>
      </c>
      <c r="M1719" s="199"/>
      <c r="N1719" s="199"/>
      <c r="O1719" s="199"/>
      <c r="P1719" s="199"/>
      <c r="Q1719" s="199"/>
      <c r="R1719" s="199"/>
    </row>
    <row r="1720" spans="2:18">
      <c r="B1720" s="199" t="s">
        <v>1207</v>
      </c>
      <c r="C1720" s="200" t="s">
        <v>544</v>
      </c>
      <c r="D1720" s="200" t="s">
        <v>568</v>
      </c>
      <c r="E1720" s="201">
        <v>10.9</v>
      </c>
      <c r="F1720" s="201">
        <f>8/8</f>
        <v>1</v>
      </c>
      <c r="G1720" s="203">
        <v>45070</v>
      </c>
      <c r="M1720" s="199"/>
      <c r="N1720" s="199"/>
      <c r="O1720" s="199"/>
      <c r="P1720" s="199"/>
      <c r="Q1720" s="199"/>
      <c r="R1720" s="199"/>
    </row>
    <row r="1721" spans="2:18">
      <c r="B1721" s="199" t="s">
        <v>1208</v>
      </c>
      <c r="C1721" s="200" t="s">
        <v>544</v>
      </c>
      <c r="D1721" s="200" t="s">
        <v>568</v>
      </c>
      <c r="E1721" s="201">
        <v>10.9</v>
      </c>
      <c r="F1721" s="201">
        <f>8/8</f>
        <v>1</v>
      </c>
      <c r="G1721" s="203">
        <v>45070</v>
      </c>
      <c r="M1721" s="199"/>
      <c r="N1721" s="199"/>
      <c r="O1721" s="199"/>
      <c r="P1721" s="199"/>
      <c r="Q1721" s="199"/>
      <c r="R1721" s="199"/>
    </row>
    <row r="1722" spans="2:18">
      <c r="B1722" s="199" t="s">
        <v>13</v>
      </c>
      <c r="C1722" s="200" t="s">
        <v>549</v>
      </c>
      <c r="D1722" s="200" t="s">
        <v>1093</v>
      </c>
      <c r="E1722" s="201">
        <v>7.2</v>
      </c>
      <c r="F1722" s="201">
        <v>1</v>
      </c>
      <c r="G1722" s="203">
        <v>44508</v>
      </c>
      <c r="M1722" s="199"/>
      <c r="N1722" s="199"/>
      <c r="O1722" s="199"/>
      <c r="P1722" s="199"/>
      <c r="Q1722" s="199"/>
      <c r="R1722" s="199"/>
    </row>
    <row r="1723" spans="2:18">
      <c r="B1723" s="199" t="s">
        <v>1105</v>
      </c>
      <c r="C1723" s="200" t="s">
        <v>549</v>
      </c>
      <c r="D1723" s="200" t="s">
        <v>1093</v>
      </c>
      <c r="E1723" s="201">
        <v>7.2</v>
      </c>
      <c r="F1723" s="201">
        <v>1</v>
      </c>
      <c r="G1723" s="203">
        <v>44508</v>
      </c>
      <c r="M1723" s="199"/>
      <c r="N1723" s="199"/>
      <c r="O1723" s="199"/>
      <c r="P1723" s="199"/>
      <c r="Q1723" s="199"/>
      <c r="R1723" s="199"/>
    </row>
    <row r="1724" spans="2:18">
      <c r="B1724" s="199" t="s">
        <v>1136</v>
      </c>
      <c r="C1724" s="206" t="s">
        <v>1135</v>
      </c>
      <c r="D1724" s="206" t="s">
        <v>654</v>
      </c>
      <c r="E1724" s="207">
        <v>3</v>
      </c>
      <c r="F1724" s="207">
        <v>1</v>
      </c>
      <c r="G1724" s="208">
        <v>44183</v>
      </c>
      <c r="M1724" s="199"/>
      <c r="N1724" s="199"/>
      <c r="O1724" s="199"/>
      <c r="P1724" s="199"/>
      <c r="Q1724" s="199"/>
      <c r="R1724" s="199"/>
    </row>
    <row r="1725" spans="2:18">
      <c r="B1725" s="210" t="s">
        <v>1630</v>
      </c>
      <c r="C1725" s="211" t="s">
        <v>1135</v>
      </c>
      <c r="D1725" s="211" t="s">
        <v>701</v>
      </c>
      <c r="E1725" s="201">
        <v>4.5</v>
      </c>
      <c r="F1725" s="201">
        <v>1</v>
      </c>
      <c r="G1725" s="203">
        <v>44691</v>
      </c>
      <c r="M1725" s="199"/>
      <c r="N1725" s="199"/>
      <c r="O1725" s="199"/>
      <c r="P1725" s="199"/>
      <c r="Q1725" s="199"/>
      <c r="R1725" s="199"/>
    </row>
    <row r="1726" spans="2:18">
      <c r="B1726" s="210" t="s">
        <v>1631</v>
      </c>
      <c r="C1726" s="211" t="s">
        <v>1135</v>
      </c>
      <c r="D1726" s="211" t="s">
        <v>701</v>
      </c>
      <c r="E1726" s="201">
        <v>4.5</v>
      </c>
      <c r="F1726" s="201">
        <v>1</v>
      </c>
      <c r="G1726" s="203">
        <v>44691</v>
      </c>
      <c r="M1726" s="199"/>
      <c r="N1726" s="199"/>
      <c r="O1726" s="199"/>
      <c r="P1726" s="199"/>
      <c r="Q1726" s="199"/>
      <c r="R1726" s="199"/>
    </row>
    <row r="1727" spans="2:18">
      <c r="B1727" s="219" t="s">
        <v>1771</v>
      </c>
      <c r="C1727" s="220" t="s">
        <v>549</v>
      </c>
      <c r="D1727" s="220" t="s">
        <v>715</v>
      </c>
      <c r="E1727" s="201">
        <v>8</v>
      </c>
      <c r="F1727" s="201">
        <v>1</v>
      </c>
      <c r="G1727" s="203">
        <v>44677</v>
      </c>
      <c r="M1727" s="199"/>
      <c r="N1727" s="199"/>
      <c r="O1727" s="199"/>
      <c r="P1727" s="199"/>
      <c r="Q1727" s="199"/>
      <c r="R1727" s="199"/>
    </row>
    <row r="1728" spans="2:18">
      <c r="B1728" s="219" t="s">
        <v>1740</v>
      </c>
      <c r="C1728" s="220" t="s">
        <v>549</v>
      </c>
      <c r="D1728" s="220" t="s">
        <v>711</v>
      </c>
      <c r="E1728" s="201">
        <v>5.5</v>
      </c>
      <c r="F1728" s="201">
        <v>1</v>
      </c>
      <c r="G1728" s="203">
        <v>44488</v>
      </c>
      <c r="M1728" s="199"/>
      <c r="N1728" s="199"/>
      <c r="O1728" s="199"/>
      <c r="P1728" s="199"/>
      <c r="Q1728" s="199"/>
      <c r="R1728" s="199"/>
    </row>
    <row r="1729" spans="2:18">
      <c r="B1729" s="219" t="s">
        <v>1746</v>
      </c>
      <c r="C1729" s="220" t="s">
        <v>549</v>
      </c>
      <c r="D1729" s="220" t="s">
        <v>585</v>
      </c>
      <c r="E1729" s="201">
        <v>10</v>
      </c>
      <c r="F1729" s="201">
        <v>1</v>
      </c>
      <c r="G1729" s="203">
        <v>44858</v>
      </c>
      <c r="M1729" s="199"/>
      <c r="N1729" s="199"/>
      <c r="O1729" s="199"/>
      <c r="P1729" s="199"/>
      <c r="Q1729" s="199"/>
      <c r="R1729" s="199"/>
    </row>
    <row r="1730" spans="2:18">
      <c r="B1730" s="199" t="s">
        <v>1402</v>
      </c>
      <c r="C1730" s="200" t="s">
        <v>549</v>
      </c>
      <c r="D1730" s="200" t="s">
        <v>680</v>
      </c>
      <c r="E1730" s="201">
        <v>3</v>
      </c>
      <c r="F1730" s="201">
        <v>0.75</v>
      </c>
      <c r="G1730" s="203">
        <v>44011</v>
      </c>
      <c r="M1730" s="199"/>
      <c r="N1730" s="199"/>
      <c r="O1730" s="199"/>
      <c r="P1730" s="199"/>
      <c r="Q1730" s="199"/>
      <c r="R1730" s="199"/>
    </row>
    <row r="1731" spans="2:18">
      <c r="B1731" s="199" t="s">
        <v>1403</v>
      </c>
      <c r="C1731" s="200" t="s">
        <v>549</v>
      </c>
      <c r="D1731" s="200" t="s">
        <v>680</v>
      </c>
      <c r="E1731" s="201">
        <v>3</v>
      </c>
      <c r="F1731" s="201">
        <v>0.75</v>
      </c>
      <c r="G1731" s="203">
        <v>44011</v>
      </c>
      <c r="M1731" s="199"/>
      <c r="N1731" s="199"/>
      <c r="O1731" s="199"/>
      <c r="P1731" s="199"/>
      <c r="Q1731" s="199"/>
      <c r="R1731" s="199"/>
    </row>
    <row r="1732" spans="2:18">
      <c r="B1732" s="219" t="s">
        <v>1758</v>
      </c>
      <c r="C1732" s="220" t="s">
        <v>549</v>
      </c>
      <c r="D1732" s="220" t="s">
        <v>580</v>
      </c>
      <c r="E1732" s="201">
        <v>4</v>
      </c>
      <c r="F1732" s="201">
        <f>2/3</f>
        <v>0.66666666666666663</v>
      </c>
      <c r="G1732" s="203">
        <v>45026</v>
      </c>
      <c r="M1732" s="199"/>
      <c r="N1732" s="199"/>
      <c r="O1732" s="199"/>
      <c r="P1732" s="199"/>
      <c r="Q1732" s="199"/>
      <c r="R1732" s="199"/>
    </row>
    <row r="1733" spans="2:18">
      <c r="B1733" s="219" t="s">
        <v>1759</v>
      </c>
      <c r="C1733" s="220" t="s">
        <v>549</v>
      </c>
      <c r="D1733" s="220" t="s">
        <v>580</v>
      </c>
      <c r="E1733" s="201">
        <v>4</v>
      </c>
      <c r="F1733" s="201">
        <f>2/3</f>
        <v>0.66666666666666663</v>
      </c>
      <c r="G1733" s="203">
        <v>45026</v>
      </c>
      <c r="M1733" s="199"/>
      <c r="N1733" s="199"/>
      <c r="O1733" s="199"/>
      <c r="P1733" s="199"/>
      <c r="Q1733" s="199"/>
      <c r="R1733" s="199"/>
    </row>
    <row r="1734" spans="2:18">
      <c r="B1734" s="219" t="s">
        <v>1760</v>
      </c>
      <c r="C1734" s="220" t="s">
        <v>549</v>
      </c>
      <c r="D1734" s="220" t="s">
        <v>580</v>
      </c>
      <c r="E1734" s="201">
        <v>4</v>
      </c>
      <c r="F1734" s="201">
        <f>2/3</f>
        <v>0.66666666666666663</v>
      </c>
      <c r="G1734" s="203">
        <v>45026</v>
      </c>
      <c r="M1734" s="199"/>
      <c r="N1734" s="199"/>
      <c r="O1734" s="199"/>
      <c r="P1734" s="199"/>
      <c r="Q1734" s="199"/>
      <c r="R1734" s="199"/>
    </row>
    <row r="1735" spans="2:18">
      <c r="B1735" s="219"/>
      <c r="C1735" s="220"/>
      <c r="D1735" s="220"/>
      <c r="G1735" s="203"/>
      <c r="M1735" s="199"/>
      <c r="N1735" s="199"/>
      <c r="O1735" s="199"/>
      <c r="P1735" s="199"/>
      <c r="Q1735" s="199"/>
      <c r="R1735" s="199"/>
    </row>
    <row r="1736" spans="2:18">
      <c r="B1736" s="199" t="s">
        <v>828</v>
      </c>
      <c r="C1736" s="200" t="s">
        <v>669</v>
      </c>
      <c r="D1736" s="200" t="s">
        <v>420</v>
      </c>
      <c r="E1736" s="201">
        <v>1</v>
      </c>
      <c r="F1736" s="201">
        <v>0.5</v>
      </c>
      <c r="G1736" s="203">
        <v>44287</v>
      </c>
      <c r="M1736" s="199"/>
      <c r="N1736" s="199"/>
      <c r="O1736" s="199"/>
      <c r="P1736" s="199"/>
      <c r="Q1736" s="199"/>
      <c r="R1736" s="199"/>
    </row>
    <row r="1737" spans="2:18">
      <c r="C1737" s="282" t="s">
        <v>544</v>
      </c>
      <c r="D1737" s="282" t="s">
        <v>1913</v>
      </c>
      <c r="E1737" s="201">
        <v>25</v>
      </c>
      <c r="F1737" s="201">
        <v>3</v>
      </c>
      <c r="G1737" s="203">
        <v>44510</v>
      </c>
      <c r="M1737" s="199"/>
      <c r="N1737" s="199"/>
      <c r="O1737" s="199"/>
      <c r="P1737" s="199"/>
      <c r="Q1737" s="199"/>
      <c r="R1737" s="199"/>
    </row>
    <row r="1738" spans="2:18">
      <c r="G1738" s="203"/>
      <c r="M1738" s="199"/>
      <c r="N1738" s="199"/>
      <c r="O1738" s="199"/>
      <c r="P1738" s="199"/>
      <c r="Q1738" s="199"/>
      <c r="R1738" s="199"/>
    </row>
    <row r="1739" spans="2:18">
      <c r="B1739" s="199" t="s">
        <v>1513</v>
      </c>
      <c r="C1739" s="200" t="s">
        <v>549</v>
      </c>
      <c r="D1739" s="200" t="s">
        <v>692</v>
      </c>
      <c r="E1739" s="201">
        <v>4.5</v>
      </c>
      <c r="F1739" s="201">
        <v>0.5</v>
      </c>
      <c r="G1739" s="203">
        <v>44415</v>
      </c>
      <c r="M1739" s="199"/>
      <c r="N1739" s="199"/>
      <c r="O1739" s="199"/>
      <c r="P1739" s="199"/>
      <c r="Q1739" s="199"/>
      <c r="R1739" s="199"/>
    </row>
    <row r="1740" spans="2:18">
      <c r="B1740" s="199" t="s">
        <v>1485</v>
      </c>
      <c r="C1740" s="200" t="s">
        <v>549</v>
      </c>
      <c r="D1740" s="200" t="s">
        <v>688</v>
      </c>
      <c r="E1740" s="201">
        <v>2.1</v>
      </c>
      <c r="F1740" s="201">
        <v>0.5</v>
      </c>
      <c r="G1740" s="203">
        <v>44455</v>
      </c>
      <c r="M1740" s="199"/>
      <c r="N1740" s="199"/>
      <c r="O1740" s="199"/>
      <c r="P1740" s="199"/>
      <c r="Q1740" s="199"/>
      <c r="R1740" s="199"/>
    </row>
    <row r="1741" spans="2:18">
      <c r="B1741" s="199" t="s">
        <v>1349</v>
      </c>
      <c r="C1741" s="200" t="s">
        <v>549</v>
      </c>
      <c r="D1741" s="200" t="s">
        <v>674</v>
      </c>
      <c r="E1741" s="201">
        <v>4</v>
      </c>
      <c r="F1741" s="201">
        <v>0.5</v>
      </c>
      <c r="G1741" s="203">
        <v>44340</v>
      </c>
      <c r="M1741" s="199"/>
      <c r="N1741" s="199"/>
      <c r="O1741" s="199"/>
      <c r="P1741" s="199"/>
      <c r="Q1741" s="199"/>
      <c r="R1741" s="199"/>
    </row>
    <row r="1742" spans="2:18">
      <c r="B1742" s="199" t="s">
        <v>1351</v>
      </c>
      <c r="C1742" s="200" t="s">
        <v>549</v>
      </c>
      <c r="D1742" s="200" t="s">
        <v>674</v>
      </c>
      <c r="E1742" s="201">
        <v>1.5</v>
      </c>
      <c r="F1742" s="201">
        <v>0.5</v>
      </c>
      <c r="G1742" s="203">
        <v>43979</v>
      </c>
      <c r="M1742" s="199"/>
      <c r="N1742" s="199"/>
      <c r="O1742" s="199"/>
      <c r="P1742" s="199"/>
      <c r="Q1742" s="199"/>
      <c r="R1742" s="199"/>
    </row>
    <row r="1743" spans="2:18">
      <c r="B1743" s="210" t="s">
        <v>1614</v>
      </c>
      <c r="C1743" s="211" t="s">
        <v>549</v>
      </c>
      <c r="D1743" s="211" t="s">
        <v>699</v>
      </c>
      <c r="E1743" s="201">
        <v>4.5</v>
      </c>
      <c r="F1743" s="201">
        <v>0.5</v>
      </c>
      <c r="G1743" s="203">
        <v>44362</v>
      </c>
      <c r="M1743" s="199"/>
      <c r="N1743" s="199"/>
      <c r="O1743" s="199"/>
      <c r="P1743" s="199"/>
      <c r="Q1743" s="199"/>
      <c r="R1743" s="199"/>
    </row>
    <row r="1744" spans="2:18">
      <c r="B1744" s="210" t="s">
        <v>1623</v>
      </c>
      <c r="C1744" s="211" t="s">
        <v>549</v>
      </c>
      <c r="D1744" s="211" t="s">
        <v>700</v>
      </c>
      <c r="E1744" s="201">
        <v>3</v>
      </c>
      <c r="F1744" s="201">
        <v>0.5</v>
      </c>
      <c r="G1744" s="203">
        <v>43993</v>
      </c>
      <c r="M1744" s="199"/>
      <c r="N1744" s="199"/>
      <c r="O1744" s="199"/>
      <c r="P1744" s="199"/>
      <c r="Q1744" s="199"/>
      <c r="R1744" s="199"/>
    </row>
    <row r="1745" spans="2:18">
      <c r="B1745" s="210" t="s">
        <v>1624</v>
      </c>
      <c r="C1745" s="211" t="s">
        <v>549</v>
      </c>
      <c r="D1745" s="211" t="s">
        <v>700</v>
      </c>
      <c r="E1745" s="201">
        <v>3</v>
      </c>
      <c r="F1745" s="201">
        <v>0.5</v>
      </c>
      <c r="G1745" s="203">
        <v>43993</v>
      </c>
      <c r="M1745" s="199"/>
      <c r="N1745" s="199"/>
      <c r="O1745" s="199"/>
      <c r="P1745" s="199"/>
      <c r="Q1745" s="199"/>
      <c r="R1745" s="199"/>
    </row>
    <row r="1746" spans="2:18">
      <c r="B1746" s="210"/>
      <c r="C1746" s="211"/>
      <c r="D1746" s="211"/>
      <c r="G1746" s="203"/>
      <c r="M1746" s="199"/>
      <c r="N1746" s="199"/>
      <c r="O1746" s="199"/>
      <c r="P1746" s="199"/>
      <c r="Q1746" s="199"/>
      <c r="R1746" s="199"/>
    </row>
    <row r="1747" spans="2:18">
      <c r="B1747" s="210" t="s">
        <v>1625</v>
      </c>
      <c r="C1747" s="211" t="s">
        <v>549</v>
      </c>
      <c r="D1747" s="211" t="s">
        <v>700</v>
      </c>
      <c r="E1747" s="201">
        <v>3</v>
      </c>
      <c r="F1747" s="201">
        <v>0.5</v>
      </c>
      <c r="G1747" s="203">
        <v>43993</v>
      </c>
      <c r="M1747" s="199"/>
      <c r="N1747" s="199"/>
      <c r="O1747" s="199"/>
      <c r="P1747" s="199"/>
      <c r="Q1747" s="199"/>
      <c r="R1747" s="199"/>
    </row>
    <row r="1748" spans="2:18">
      <c r="B1748" s="210"/>
      <c r="C1748" s="274" t="s">
        <v>549</v>
      </c>
      <c r="D1748" s="274" t="s">
        <v>1874</v>
      </c>
      <c r="E1748" s="201">
        <v>4.5</v>
      </c>
      <c r="F1748" s="201">
        <v>0.5</v>
      </c>
      <c r="G1748" s="203">
        <v>44434</v>
      </c>
      <c r="M1748" s="199"/>
      <c r="N1748" s="199"/>
      <c r="O1748" s="199"/>
      <c r="P1748" s="199"/>
      <c r="Q1748" s="199"/>
      <c r="R1748" s="199"/>
    </row>
    <row r="1749" spans="2:18">
      <c r="B1749" s="210"/>
      <c r="C1749" s="211"/>
      <c r="D1749" s="211"/>
      <c r="G1749" s="203"/>
      <c r="M1749" s="199"/>
      <c r="N1749" s="199"/>
      <c r="O1749" s="199"/>
      <c r="P1749" s="199"/>
      <c r="Q1749" s="199"/>
      <c r="R1749" s="199"/>
    </row>
    <row r="1750" spans="2:18">
      <c r="B1750" s="221" t="s">
        <v>1838</v>
      </c>
      <c r="C1750" s="222" t="s">
        <v>549</v>
      </c>
      <c r="D1750" s="222" t="s">
        <v>1835</v>
      </c>
      <c r="E1750" s="201">
        <v>2.2000000000000002</v>
      </c>
      <c r="F1750" s="201">
        <v>0.5</v>
      </c>
      <c r="G1750" s="203">
        <v>44959</v>
      </c>
      <c r="M1750" s="199"/>
      <c r="N1750" s="199"/>
      <c r="O1750" s="199"/>
      <c r="P1750" s="199"/>
      <c r="Q1750" s="199"/>
      <c r="R1750" s="199"/>
    </row>
    <row r="1751" spans="2:18">
      <c r="B1751" s="221" t="s">
        <v>1839</v>
      </c>
      <c r="C1751" s="222" t="s">
        <v>549</v>
      </c>
      <c r="D1751" s="222" t="s">
        <v>1835</v>
      </c>
      <c r="E1751" s="201">
        <v>2.2000000000000002</v>
      </c>
      <c r="F1751" s="201">
        <v>0.5</v>
      </c>
      <c r="G1751" s="203">
        <v>44959</v>
      </c>
      <c r="M1751" s="199"/>
      <c r="N1751" s="199"/>
      <c r="O1751" s="199"/>
      <c r="P1751" s="199"/>
      <c r="Q1751" s="199"/>
      <c r="R1751" s="199"/>
    </row>
    <row r="1752" spans="2:18">
      <c r="B1752" s="221" t="s">
        <v>1844</v>
      </c>
      <c r="C1752" s="222" t="s">
        <v>549</v>
      </c>
      <c r="D1752" s="222" t="s">
        <v>719</v>
      </c>
      <c r="E1752" s="201">
        <v>2.9</v>
      </c>
      <c r="F1752" s="201">
        <v>0.5</v>
      </c>
      <c r="G1752" s="203">
        <v>44272</v>
      </c>
      <c r="M1752" s="199"/>
      <c r="N1752" s="199"/>
      <c r="O1752" s="199"/>
      <c r="P1752" s="199"/>
      <c r="Q1752" s="199"/>
      <c r="R1752" s="199"/>
    </row>
    <row r="1753" spans="2:18">
      <c r="B1753" s="221" t="s">
        <v>1854</v>
      </c>
      <c r="C1753" s="222" t="s">
        <v>549</v>
      </c>
      <c r="D1753" s="222" t="s">
        <v>1852</v>
      </c>
      <c r="E1753" s="201">
        <v>1.5</v>
      </c>
      <c r="F1753" s="201">
        <v>0.5</v>
      </c>
      <c r="G1753" s="203">
        <v>44098</v>
      </c>
      <c r="M1753" s="199"/>
      <c r="N1753" s="199"/>
      <c r="O1753" s="199"/>
      <c r="P1753" s="199"/>
      <c r="Q1753" s="199"/>
      <c r="R1753" s="199"/>
    </row>
    <row r="1754" spans="2:18">
      <c r="B1754" s="237" t="s">
        <v>2732</v>
      </c>
      <c r="C1754" s="238" t="s">
        <v>549</v>
      </c>
      <c r="D1754" s="238" t="s">
        <v>1981</v>
      </c>
      <c r="E1754" s="201">
        <v>3.1</v>
      </c>
      <c r="F1754" s="201">
        <v>0.5</v>
      </c>
      <c r="G1754" s="203">
        <v>43580</v>
      </c>
      <c r="M1754" s="199"/>
      <c r="N1754" s="199"/>
      <c r="O1754" s="199"/>
      <c r="P1754" s="199"/>
      <c r="Q1754" s="199"/>
      <c r="R1754" s="199"/>
    </row>
    <row r="1755" spans="2:18">
      <c r="B1755" s="237" t="s">
        <v>2733</v>
      </c>
      <c r="C1755" s="238" t="s">
        <v>549</v>
      </c>
      <c r="D1755" s="238" t="s">
        <v>1981</v>
      </c>
      <c r="E1755" s="201">
        <v>3.1</v>
      </c>
      <c r="F1755" s="201">
        <v>0.5</v>
      </c>
      <c r="G1755" s="203">
        <v>43580</v>
      </c>
      <c r="M1755" s="199"/>
      <c r="N1755" s="199"/>
      <c r="O1755" s="199"/>
      <c r="P1755" s="199"/>
      <c r="Q1755" s="199"/>
      <c r="R1755" s="199"/>
    </row>
    <row r="1756" spans="2:18">
      <c r="B1756" s="199" t="s">
        <v>1222</v>
      </c>
      <c r="C1756" s="200" t="s">
        <v>549</v>
      </c>
      <c r="D1756" s="200" t="s">
        <v>551</v>
      </c>
      <c r="E1756" s="201">
        <v>2.6</v>
      </c>
      <c r="F1756" s="201">
        <f>1.6/4</f>
        <v>0.4</v>
      </c>
      <c r="G1756" s="203">
        <v>44147</v>
      </c>
      <c r="M1756" s="199"/>
      <c r="N1756" s="199"/>
      <c r="O1756" s="199"/>
      <c r="P1756" s="199"/>
      <c r="Q1756" s="199"/>
      <c r="R1756" s="199"/>
    </row>
    <row r="1757" spans="2:18">
      <c r="B1757" s="199" t="s">
        <v>1223</v>
      </c>
      <c r="C1757" s="200" t="s">
        <v>549</v>
      </c>
      <c r="D1757" s="200" t="s">
        <v>551</v>
      </c>
      <c r="E1757" s="201">
        <v>2.6</v>
      </c>
      <c r="F1757" s="201">
        <f>1.6/4</f>
        <v>0.4</v>
      </c>
      <c r="G1757" s="203">
        <v>44147</v>
      </c>
      <c r="M1757" s="199"/>
      <c r="N1757" s="199"/>
      <c r="O1757" s="199"/>
      <c r="P1757" s="199"/>
      <c r="Q1757" s="199"/>
      <c r="R1757" s="199"/>
    </row>
    <row r="1758" spans="2:18">
      <c r="B1758" s="199" t="s">
        <v>1224</v>
      </c>
      <c r="C1758" s="200" t="s">
        <v>549</v>
      </c>
      <c r="D1758" s="200" t="s">
        <v>551</v>
      </c>
      <c r="E1758" s="201">
        <v>2.6</v>
      </c>
      <c r="F1758" s="201">
        <f>1.6/4</f>
        <v>0.4</v>
      </c>
      <c r="G1758" s="203">
        <v>44147</v>
      </c>
      <c r="M1758" s="199"/>
      <c r="N1758" s="199"/>
      <c r="O1758" s="199"/>
      <c r="P1758" s="199"/>
      <c r="Q1758" s="199"/>
      <c r="R1758" s="199"/>
    </row>
    <row r="1759" spans="2:18">
      <c r="B1759" s="199" t="s">
        <v>1416</v>
      </c>
      <c r="C1759" s="200" t="s">
        <v>549</v>
      </c>
      <c r="D1759" s="200" t="s">
        <v>573</v>
      </c>
      <c r="E1759" s="201">
        <v>2.5</v>
      </c>
      <c r="F1759" s="201">
        <f>2/6</f>
        <v>0.33333333333333331</v>
      </c>
      <c r="G1759" s="203">
        <v>44469</v>
      </c>
      <c r="M1759" s="199"/>
      <c r="N1759" s="199"/>
      <c r="O1759" s="199"/>
      <c r="P1759" s="199"/>
      <c r="Q1759" s="199"/>
      <c r="R1759" s="199"/>
    </row>
    <row r="1760" spans="2:18">
      <c r="B1760" s="199" t="s">
        <v>1417</v>
      </c>
      <c r="C1760" s="200" t="s">
        <v>549</v>
      </c>
      <c r="D1760" s="200" t="s">
        <v>573</v>
      </c>
      <c r="E1760" s="201">
        <v>2.5</v>
      </c>
      <c r="F1760" s="201">
        <f>2/6</f>
        <v>0.33333333333333331</v>
      </c>
      <c r="G1760" s="203">
        <v>44469</v>
      </c>
      <c r="M1760" s="199"/>
      <c r="N1760" s="199"/>
      <c r="O1760" s="199"/>
      <c r="P1760" s="199"/>
      <c r="Q1760" s="199"/>
      <c r="R1760" s="199"/>
    </row>
    <row r="1761" spans="2:18">
      <c r="B1761" s="199" t="s">
        <v>1419</v>
      </c>
      <c r="C1761" s="200" t="s">
        <v>549</v>
      </c>
      <c r="D1761" s="200" t="s">
        <v>573</v>
      </c>
      <c r="E1761" s="201">
        <v>2.5</v>
      </c>
      <c r="F1761" s="201">
        <f>2/6</f>
        <v>0.33333333333333331</v>
      </c>
      <c r="G1761" s="203">
        <v>44469</v>
      </c>
      <c r="M1761" s="199"/>
      <c r="N1761" s="199"/>
      <c r="O1761" s="199"/>
      <c r="P1761" s="199"/>
      <c r="Q1761" s="199"/>
      <c r="R1761" s="199"/>
    </row>
    <row r="1762" spans="2:18">
      <c r="B1762" s="199" t="s">
        <v>1420</v>
      </c>
      <c r="C1762" s="200" t="s">
        <v>549</v>
      </c>
      <c r="D1762" s="200" t="s">
        <v>573</v>
      </c>
      <c r="E1762" s="201">
        <v>2.5</v>
      </c>
      <c r="F1762" s="201">
        <f>2/6</f>
        <v>0.33333333333333331</v>
      </c>
      <c r="G1762" s="203">
        <v>44469</v>
      </c>
      <c r="I1762" s="212"/>
      <c r="M1762" s="199"/>
      <c r="N1762" s="199"/>
      <c r="O1762" s="199"/>
      <c r="P1762" s="199"/>
      <c r="Q1762" s="199"/>
      <c r="R1762" s="199"/>
    </row>
    <row r="1763" spans="2:18">
      <c r="B1763" s="221"/>
      <c r="C1763" s="222"/>
      <c r="D1763" s="222"/>
      <c r="G1763" s="203"/>
      <c r="M1763" s="199"/>
      <c r="N1763" s="199"/>
      <c r="O1763" s="199"/>
      <c r="P1763" s="199"/>
      <c r="Q1763" s="199"/>
      <c r="R1763" s="199"/>
    </row>
    <row r="1764" spans="2:18">
      <c r="G1764" s="203"/>
      <c r="M1764" s="199"/>
      <c r="N1764" s="199"/>
      <c r="O1764" s="199"/>
      <c r="P1764" s="199"/>
      <c r="Q1764" s="199"/>
      <c r="R1764" s="199"/>
    </row>
    <row r="1765" spans="2:18">
      <c r="B1765" s="199" t="s">
        <v>1418</v>
      </c>
      <c r="C1765" s="200" t="s">
        <v>549</v>
      </c>
      <c r="D1765" s="200" t="s">
        <v>573</v>
      </c>
      <c r="E1765" s="201">
        <v>2.5</v>
      </c>
      <c r="F1765" s="201">
        <f>2/6</f>
        <v>0.33333333333333331</v>
      </c>
      <c r="G1765" s="203">
        <v>44469</v>
      </c>
      <c r="M1765" s="199"/>
      <c r="N1765" s="199"/>
      <c r="O1765" s="199"/>
      <c r="P1765" s="199"/>
      <c r="Q1765" s="199"/>
      <c r="R1765" s="199"/>
    </row>
    <row r="1766" spans="2:18">
      <c r="C1766" s="282" t="s">
        <v>755</v>
      </c>
      <c r="D1766" s="282" t="s">
        <v>1938</v>
      </c>
      <c r="E1766" s="201">
        <v>145</v>
      </c>
      <c r="F1766" s="201">
        <f>85/6</f>
        <v>14.166666666666666</v>
      </c>
      <c r="G1766" s="203">
        <v>43228</v>
      </c>
      <c r="M1766" s="199"/>
      <c r="N1766" s="199"/>
      <c r="O1766" s="199"/>
      <c r="P1766" s="199"/>
      <c r="Q1766" s="199"/>
      <c r="R1766" s="199"/>
    </row>
    <row r="1767" spans="2:18">
      <c r="G1767" s="203"/>
      <c r="M1767" s="199"/>
      <c r="N1767" s="199"/>
      <c r="O1767" s="199"/>
      <c r="P1767" s="199"/>
      <c r="Q1767" s="199"/>
      <c r="R1767" s="199"/>
    </row>
    <row r="1768" spans="2:18">
      <c r="B1768" s="199" t="s">
        <v>1332</v>
      </c>
      <c r="C1768" s="200" t="s">
        <v>402</v>
      </c>
      <c r="D1768" s="200" t="s">
        <v>673</v>
      </c>
      <c r="E1768" s="201">
        <v>25</v>
      </c>
      <c r="F1768" s="201">
        <f>15/5</f>
        <v>3</v>
      </c>
      <c r="G1768" s="203">
        <v>44755</v>
      </c>
    </row>
    <row r="1769" spans="2:18">
      <c r="C1769" s="200" t="s">
        <v>544</v>
      </c>
      <c r="D1769" s="200" t="s">
        <v>673</v>
      </c>
      <c r="E1769" s="201">
        <v>21</v>
      </c>
      <c r="F1769" s="201">
        <f>14/5</f>
        <v>2.8</v>
      </c>
      <c r="G1769" s="203">
        <v>44489</v>
      </c>
    </row>
    <row r="1770" spans="2:18">
      <c r="C1770" s="200" t="s">
        <v>549</v>
      </c>
      <c r="D1770" s="200" t="s">
        <v>673</v>
      </c>
      <c r="E1770" s="201">
        <v>9.1</v>
      </c>
      <c r="F1770" s="201">
        <v>4</v>
      </c>
      <c r="G1770" s="203">
        <v>44131</v>
      </c>
    </row>
    <row r="1771" spans="2:18">
      <c r="G1771" s="203"/>
    </row>
    <row r="1772" spans="2:18">
      <c r="B1772" s="199" t="s">
        <v>1333</v>
      </c>
      <c r="C1772" s="200" t="s">
        <v>402</v>
      </c>
      <c r="D1772" s="200" t="s">
        <v>673</v>
      </c>
      <c r="E1772" s="201">
        <v>25</v>
      </c>
      <c r="F1772" s="201">
        <f>15/5</f>
        <v>3</v>
      </c>
      <c r="G1772" s="203">
        <v>44755</v>
      </c>
    </row>
    <row r="1773" spans="2:18">
      <c r="C1773" s="200" t="s">
        <v>544</v>
      </c>
      <c r="D1773" s="200" t="s">
        <v>673</v>
      </c>
      <c r="E1773" s="201">
        <v>21</v>
      </c>
      <c r="F1773" s="201">
        <f>14/5</f>
        <v>2.8</v>
      </c>
      <c r="G1773" s="203">
        <v>44489</v>
      </c>
    </row>
    <row r="1774" spans="2:18">
      <c r="C1774" s="200" t="s">
        <v>549</v>
      </c>
      <c r="D1774" s="200" t="s">
        <v>673</v>
      </c>
      <c r="E1774" s="201">
        <v>9.1</v>
      </c>
      <c r="F1774" s="201">
        <v>4</v>
      </c>
      <c r="G1774" s="203">
        <v>44131</v>
      </c>
    </row>
    <row r="1775" spans="2:18">
      <c r="G1775" s="203"/>
    </row>
    <row r="1776" spans="2:18">
      <c r="B1776" s="199" t="s">
        <v>1335</v>
      </c>
      <c r="C1776" s="200" t="s">
        <v>402</v>
      </c>
      <c r="D1776" s="200" t="s">
        <v>673</v>
      </c>
      <c r="E1776" s="201">
        <v>25</v>
      </c>
      <c r="F1776" s="201">
        <f>15/5</f>
        <v>3</v>
      </c>
      <c r="G1776" s="203">
        <v>44755</v>
      </c>
    </row>
    <row r="1777" spans="2:7">
      <c r="C1777" s="200" t="s">
        <v>544</v>
      </c>
      <c r="D1777" s="200" t="s">
        <v>673</v>
      </c>
      <c r="E1777" s="201">
        <v>21</v>
      </c>
      <c r="F1777" s="201">
        <f>14/5</f>
        <v>2.8</v>
      </c>
      <c r="G1777" s="203">
        <v>44489</v>
      </c>
    </row>
    <row r="1778" spans="2:7">
      <c r="G1778" s="203"/>
    </row>
    <row r="1779" spans="2:7">
      <c r="B1779" s="199" t="s">
        <v>1336</v>
      </c>
      <c r="C1779" s="200" t="s">
        <v>402</v>
      </c>
      <c r="D1779" s="200" t="s">
        <v>673</v>
      </c>
      <c r="E1779" s="201">
        <v>25</v>
      </c>
      <c r="F1779" s="201">
        <f>15/5</f>
        <v>3</v>
      </c>
      <c r="G1779" s="203">
        <v>44755</v>
      </c>
    </row>
    <row r="1780" spans="2:7">
      <c r="C1780" s="228" t="s">
        <v>755</v>
      </c>
      <c r="D1780" s="228" t="s">
        <v>1254</v>
      </c>
      <c r="E1780" s="201">
        <v>90</v>
      </c>
      <c r="F1780" s="201">
        <v>5</v>
      </c>
      <c r="G1780" s="203">
        <v>44776</v>
      </c>
    </row>
    <row r="1781" spans="2:7">
      <c r="C1781" s="228" t="s">
        <v>565</v>
      </c>
      <c r="D1781" s="228" t="s">
        <v>1254</v>
      </c>
      <c r="E1781" s="201">
        <v>40</v>
      </c>
      <c r="F1781" s="201">
        <v>10</v>
      </c>
      <c r="G1781" s="203">
        <v>44176</v>
      </c>
    </row>
    <row r="1782" spans="2:7">
      <c r="C1782" s="228" t="s">
        <v>565</v>
      </c>
      <c r="D1782" s="228" t="s">
        <v>1527</v>
      </c>
      <c r="E1782" s="201">
        <v>23</v>
      </c>
      <c r="F1782" s="201">
        <v>3</v>
      </c>
      <c r="G1782" s="203">
        <v>44328</v>
      </c>
    </row>
    <row r="1783" spans="2:7">
      <c r="C1783" s="228" t="s">
        <v>402</v>
      </c>
      <c r="D1783" s="228" t="s">
        <v>1527</v>
      </c>
      <c r="E1783" s="201">
        <v>16</v>
      </c>
      <c r="F1783" s="201">
        <v>8</v>
      </c>
      <c r="G1783" s="203">
        <v>42995</v>
      </c>
    </row>
    <row r="1784" spans="2:7">
      <c r="G1784" s="203"/>
    </row>
    <row r="1785" spans="2:7">
      <c r="B1785" s="199" t="s">
        <v>1341</v>
      </c>
      <c r="C1785" s="200" t="s">
        <v>544</v>
      </c>
      <c r="D1785" s="200" t="s">
        <v>674</v>
      </c>
      <c r="E1785" s="201">
        <v>25</v>
      </c>
      <c r="F1785" s="201">
        <v>7</v>
      </c>
      <c r="G1785" s="203">
        <v>44757</v>
      </c>
    </row>
    <row r="1786" spans="2:7">
      <c r="C1786" s="200" t="s">
        <v>549</v>
      </c>
      <c r="D1786" s="200" t="s">
        <v>674</v>
      </c>
      <c r="E1786" s="201">
        <v>4</v>
      </c>
      <c r="F1786" s="201">
        <v>0.5</v>
      </c>
      <c r="G1786" s="203">
        <v>44340</v>
      </c>
    </row>
    <row r="1787" spans="2:7">
      <c r="G1787" s="203"/>
    </row>
    <row r="1788" spans="2:7">
      <c r="B1788" s="199" t="s">
        <v>1343</v>
      </c>
      <c r="C1788" s="200" t="s">
        <v>544</v>
      </c>
      <c r="D1788" s="200" t="s">
        <v>674</v>
      </c>
      <c r="E1788" s="201">
        <v>25</v>
      </c>
      <c r="F1788" s="201">
        <f>18/7</f>
        <v>2.5714285714285716</v>
      </c>
      <c r="G1788" s="203">
        <v>44757</v>
      </c>
    </row>
    <row r="1789" spans="2:7">
      <c r="C1789" s="200" t="s">
        <v>549</v>
      </c>
      <c r="D1789" s="200" t="s">
        <v>674</v>
      </c>
      <c r="E1789" s="201">
        <v>4</v>
      </c>
      <c r="F1789" s="201">
        <v>0.5</v>
      </c>
      <c r="G1789" s="203">
        <v>44340</v>
      </c>
    </row>
    <row r="1791" spans="2:7">
      <c r="B1791" s="199" t="s">
        <v>1345</v>
      </c>
      <c r="C1791" s="200" t="s">
        <v>544</v>
      </c>
      <c r="D1791" s="200" t="s">
        <v>674</v>
      </c>
      <c r="E1791" s="201">
        <v>25</v>
      </c>
      <c r="F1791" s="201">
        <f t="shared" ref="F1791:F1794" si="11">18/7</f>
        <v>2.5714285714285716</v>
      </c>
      <c r="G1791" s="203">
        <v>44757</v>
      </c>
    </row>
    <row r="1792" spans="2:7">
      <c r="C1792" s="200" t="s">
        <v>549</v>
      </c>
      <c r="D1792" s="200" t="s">
        <v>674</v>
      </c>
      <c r="E1792" s="201">
        <v>4</v>
      </c>
      <c r="F1792" s="201">
        <v>0.5</v>
      </c>
      <c r="G1792" s="203">
        <v>44340</v>
      </c>
    </row>
    <row r="1793" spans="2:7">
      <c r="G1793" s="203"/>
    </row>
    <row r="1794" spans="2:7">
      <c r="B1794" s="199" t="s">
        <v>1346</v>
      </c>
      <c r="C1794" s="200" t="s">
        <v>544</v>
      </c>
      <c r="D1794" s="200" t="s">
        <v>674</v>
      </c>
      <c r="E1794" s="201">
        <v>25</v>
      </c>
      <c r="F1794" s="201">
        <f t="shared" si="11"/>
        <v>2.5714285714285716</v>
      </c>
      <c r="G1794" s="203">
        <v>44757</v>
      </c>
    </row>
    <row r="1795" spans="2:7">
      <c r="C1795" s="200" t="s">
        <v>549</v>
      </c>
      <c r="D1795" s="200" t="s">
        <v>674</v>
      </c>
      <c r="E1795" s="201">
        <v>4</v>
      </c>
      <c r="F1795" s="201">
        <v>1</v>
      </c>
      <c r="G1795" s="203">
        <v>44340</v>
      </c>
    </row>
    <row r="1796" spans="2:7">
      <c r="C1796" s="200" t="s">
        <v>549</v>
      </c>
      <c r="D1796" s="200" t="s">
        <v>674</v>
      </c>
      <c r="E1796" s="201">
        <v>1.5</v>
      </c>
      <c r="F1796" s="201">
        <v>0.75</v>
      </c>
      <c r="G1796" s="203">
        <v>43979</v>
      </c>
    </row>
    <row r="1797" spans="2:7">
      <c r="G1797" s="203"/>
    </row>
    <row r="1798" spans="2:7">
      <c r="B1798" s="199" t="s">
        <v>1361</v>
      </c>
      <c r="C1798" s="200" t="s">
        <v>544</v>
      </c>
      <c r="D1798" s="200" t="s">
        <v>679</v>
      </c>
      <c r="E1798" s="201">
        <v>20</v>
      </c>
      <c r="F1798" s="201">
        <f>13/6</f>
        <v>2.1666666666666665</v>
      </c>
      <c r="G1798" s="203">
        <v>44676</v>
      </c>
    </row>
    <row r="1799" spans="2:7">
      <c r="C1799" s="200" t="s">
        <v>549</v>
      </c>
      <c r="D1799" s="200" t="s">
        <v>679</v>
      </c>
      <c r="E1799" s="201">
        <v>5</v>
      </c>
      <c r="F1799" s="201">
        <v>1.5</v>
      </c>
      <c r="G1799" s="203">
        <v>44060</v>
      </c>
    </row>
    <row r="1800" spans="2:7">
      <c r="G1800" s="203"/>
    </row>
    <row r="1801" spans="2:7">
      <c r="B1801" s="199" t="s">
        <v>1362</v>
      </c>
      <c r="C1801" s="200" t="s">
        <v>544</v>
      </c>
      <c r="D1801" s="200" t="s">
        <v>679</v>
      </c>
      <c r="E1801" s="201">
        <v>20</v>
      </c>
      <c r="F1801" s="201">
        <f t="shared" ref="F1801:F1807" si="12">13/6</f>
        <v>2.1666666666666665</v>
      </c>
      <c r="G1801" s="203">
        <v>44676</v>
      </c>
    </row>
    <row r="1802" spans="2:7">
      <c r="C1802" s="200" t="s">
        <v>549</v>
      </c>
      <c r="D1802" s="200" t="s">
        <v>679</v>
      </c>
      <c r="E1802" s="201">
        <v>5</v>
      </c>
      <c r="F1802" s="201">
        <v>1.5</v>
      </c>
      <c r="G1802" s="203">
        <v>44060</v>
      </c>
    </row>
    <row r="1803" spans="2:7">
      <c r="G1803" s="203"/>
    </row>
    <row r="1804" spans="2:7">
      <c r="B1804" s="199" t="s">
        <v>1363</v>
      </c>
      <c r="C1804" s="200" t="s">
        <v>544</v>
      </c>
      <c r="D1804" s="200" t="s">
        <v>679</v>
      </c>
      <c r="E1804" s="201">
        <v>20</v>
      </c>
      <c r="F1804" s="201">
        <f t="shared" si="12"/>
        <v>2.1666666666666665</v>
      </c>
      <c r="G1804" s="203">
        <v>44676</v>
      </c>
    </row>
    <row r="1805" spans="2:7">
      <c r="C1805" s="200" t="s">
        <v>549</v>
      </c>
      <c r="D1805" s="200" t="s">
        <v>679</v>
      </c>
      <c r="E1805" s="201">
        <v>5</v>
      </c>
      <c r="F1805" s="201">
        <v>1.5</v>
      </c>
      <c r="G1805" s="203">
        <v>44060</v>
      </c>
    </row>
    <row r="1807" spans="2:7">
      <c r="B1807" s="199" t="s">
        <v>1366</v>
      </c>
      <c r="C1807" s="200" t="s">
        <v>544</v>
      </c>
      <c r="D1807" s="200" t="s">
        <v>679</v>
      </c>
      <c r="E1807" s="201">
        <v>20</v>
      </c>
      <c r="F1807" s="201">
        <f t="shared" si="12"/>
        <v>2.1666666666666665</v>
      </c>
      <c r="G1807" s="203">
        <v>44676</v>
      </c>
    </row>
    <row r="1808" spans="2:7">
      <c r="C1808" s="200" t="s">
        <v>549</v>
      </c>
      <c r="D1808" s="200" t="s">
        <v>679</v>
      </c>
      <c r="E1808" s="201">
        <v>5</v>
      </c>
      <c r="F1808" s="201">
        <v>0.5</v>
      </c>
      <c r="G1808" s="203">
        <v>44060</v>
      </c>
    </row>
    <row r="1809" spans="2:10">
      <c r="G1809" s="203"/>
    </row>
    <row r="1810" spans="2:10">
      <c r="B1810" s="199" t="s">
        <v>1377</v>
      </c>
      <c r="C1810" s="200" t="s">
        <v>544</v>
      </c>
      <c r="D1810" s="200" t="s">
        <v>680</v>
      </c>
      <c r="E1810" s="201">
        <v>20</v>
      </c>
      <c r="F1810" s="201">
        <f>13/6</f>
        <v>2.1666666666666665</v>
      </c>
      <c r="G1810" s="203">
        <v>44903</v>
      </c>
    </row>
    <row r="1811" spans="2:10">
      <c r="C1811" s="200" t="s">
        <v>544</v>
      </c>
      <c r="D1811" s="200" t="s">
        <v>680</v>
      </c>
      <c r="E1811" s="201">
        <v>11</v>
      </c>
      <c r="F1811" s="201">
        <v>3</v>
      </c>
      <c r="G1811" s="203">
        <v>44313</v>
      </c>
    </row>
    <row r="1812" spans="2:10">
      <c r="C1812" s="220" t="s">
        <v>544</v>
      </c>
      <c r="D1812" s="220" t="s">
        <v>145</v>
      </c>
      <c r="E1812" s="201">
        <v>10</v>
      </c>
      <c r="F1812" s="201">
        <v>10</v>
      </c>
      <c r="G1812" s="203">
        <v>44854</v>
      </c>
    </row>
    <row r="1813" spans="2:10">
      <c r="G1813" s="203"/>
    </row>
    <row r="1814" spans="2:10">
      <c r="B1814" s="199" t="s">
        <v>1379</v>
      </c>
      <c r="C1814" s="200" t="s">
        <v>544</v>
      </c>
      <c r="D1814" s="200" t="s">
        <v>680</v>
      </c>
      <c r="E1814" s="201">
        <v>20</v>
      </c>
      <c r="F1814" s="201">
        <f>13/6</f>
        <v>2.1666666666666665</v>
      </c>
      <c r="G1814" s="203">
        <v>44903</v>
      </c>
    </row>
    <row r="1815" spans="2:10">
      <c r="C1815" s="200" t="s">
        <v>544</v>
      </c>
      <c r="D1815" s="200" t="s">
        <v>680</v>
      </c>
      <c r="E1815" s="201">
        <v>11</v>
      </c>
      <c r="F1815" s="201">
        <v>5</v>
      </c>
      <c r="G1815" s="203">
        <v>44313</v>
      </c>
    </row>
    <row r="1816" spans="2:10">
      <c r="C1816" s="282" t="s">
        <v>738</v>
      </c>
      <c r="D1816" s="282" t="s">
        <v>4370</v>
      </c>
      <c r="E1816" s="201">
        <v>222</v>
      </c>
      <c r="F1816" s="201">
        <v>10</v>
      </c>
      <c r="G1816" s="203">
        <v>44194</v>
      </c>
      <c r="I1816" s="199">
        <v>2500</v>
      </c>
      <c r="J1816" s="199">
        <v>2500</v>
      </c>
    </row>
    <row r="1817" spans="2:10">
      <c r="C1817" s="282" t="s">
        <v>755</v>
      </c>
      <c r="D1817" s="282" t="s">
        <v>4370</v>
      </c>
      <c r="E1817" s="201">
        <v>200</v>
      </c>
      <c r="F1817" s="201">
        <v>13</v>
      </c>
      <c r="G1817" s="203">
        <v>43452</v>
      </c>
      <c r="I1817" s="199">
        <v>1500</v>
      </c>
      <c r="J1817" s="199">
        <v>2500</v>
      </c>
    </row>
    <row r="1818" spans="2:10">
      <c r="C1818" s="282" t="s">
        <v>402</v>
      </c>
      <c r="D1818" s="282" t="s">
        <v>4370</v>
      </c>
      <c r="E1818" s="201">
        <v>30</v>
      </c>
      <c r="F1818" s="201">
        <v>8</v>
      </c>
      <c r="G1818" s="203">
        <v>42936</v>
      </c>
    </row>
    <row r="1819" spans="2:10">
      <c r="G1819" s="203"/>
    </row>
    <row r="1820" spans="2:10">
      <c r="B1820" s="199" t="s">
        <v>1483</v>
      </c>
      <c r="C1820" s="200" t="s">
        <v>544</v>
      </c>
      <c r="D1820" s="200" t="s">
        <v>688</v>
      </c>
      <c r="E1820" s="201">
        <v>20</v>
      </c>
      <c r="F1820" s="201">
        <v>7</v>
      </c>
      <c r="G1820" s="203">
        <v>44455</v>
      </c>
    </row>
    <row r="1821" spans="2:10">
      <c r="C1821" s="200" t="s">
        <v>549</v>
      </c>
      <c r="D1821" s="200" t="s">
        <v>688</v>
      </c>
      <c r="E1821" s="201">
        <v>2.1</v>
      </c>
      <c r="F1821" s="201">
        <v>1</v>
      </c>
      <c r="G1821" s="203">
        <v>44455</v>
      </c>
    </row>
    <row r="1822" spans="2:10">
      <c r="C1822" s="222" t="s">
        <v>544</v>
      </c>
      <c r="D1822" s="222" t="s">
        <v>719</v>
      </c>
      <c r="E1822" s="201">
        <v>11</v>
      </c>
      <c r="F1822" s="201">
        <f>7/3</f>
        <v>2.3333333333333335</v>
      </c>
      <c r="G1822" s="203">
        <v>44483</v>
      </c>
    </row>
    <row r="1823" spans="2:10">
      <c r="C1823" s="222" t="s">
        <v>549</v>
      </c>
      <c r="D1823" s="222" t="s">
        <v>719</v>
      </c>
      <c r="E1823" s="201">
        <v>2.9</v>
      </c>
      <c r="F1823" s="201">
        <v>1.9</v>
      </c>
      <c r="G1823" s="203">
        <v>44272</v>
      </c>
    </row>
    <row r="1824" spans="2:10">
      <c r="C1824" s="228" t="s">
        <v>549</v>
      </c>
      <c r="D1824" s="228" t="s">
        <v>2470</v>
      </c>
      <c r="E1824" s="201">
        <v>2</v>
      </c>
      <c r="F1824" s="201">
        <v>0.5</v>
      </c>
      <c r="G1824" s="203">
        <v>43876</v>
      </c>
    </row>
    <row r="1825" spans="2:7">
      <c r="G1825" s="203"/>
    </row>
    <row r="1826" spans="2:7">
      <c r="B1826" s="199" t="s">
        <v>1491</v>
      </c>
      <c r="C1826" s="200" t="s">
        <v>544</v>
      </c>
      <c r="D1826" s="200" t="s">
        <v>1476</v>
      </c>
      <c r="E1826" s="201">
        <v>12.5</v>
      </c>
      <c r="F1826" s="201">
        <v>2</v>
      </c>
      <c r="G1826" s="203">
        <v>44784</v>
      </c>
    </row>
    <row r="1827" spans="2:7">
      <c r="C1827" s="200" t="s">
        <v>544</v>
      </c>
      <c r="D1827" s="200" t="s">
        <v>1476</v>
      </c>
      <c r="E1827" s="201">
        <v>10</v>
      </c>
      <c r="F1827" s="201">
        <v>4</v>
      </c>
      <c r="G1827" s="203">
        <v>44110</v>
      </c>
    </row>
    <row r="1828" spans="2:7">
      <c r="C1828" s="211" t="s">
        <v>544</v>
      </c>
      <c r="D1828" s="211" t="s">
        <v>578</v>
      </c>
      <c r="E1828" s="201">
        <v>12.7</v>
      </c>
      <c r="F1828" s="201">
        <v>4.7</v>
      </c>
      <c r="G1828" s="203">
        <v>44952</v>
      </c>
    </row>
    <row r="1829" spans="2:7">
      <c r="G1829" s="203"/>
    </row>
    <row r="1830" spans="2:7">
      <c r="B1830" s="199" t="s">
        <v>1495</v>
      </c>
      <c r="C1830" s="200" t="s">
        <v>544</v>
      </c>
      <c r="D1830" s="200" t="s">
        <v>1476</v>
      </c>
      <c r="E1830" s="201">
        <v>10</v>
      </c>
      <c r="F1830" s="201">
        <v>2</v>
      </c>
      <c r="G1830" s="203">
        <v>44110</v>
      </c>
    </row>
    <row r="1831" spans="2:7">
      <c r="C1831" s="200" t="s">
        <v>549</v>
      </c>
      <c r="D1831" s="200" t="s">
        <v>1476</v>
      </c>
      <c r="E1831" s="201">
        <v>5</v>
      </c>
      <c r="F1831" s="201">
        <v>2</v>
      </c>
      <c r="G1831" s="203">
        <v>43423</v>
      </c>
    </row>
    <row r="1832" spans="2:7">
      <c r="G1832" s="203"/>
    </row>
    <row r="1833" spans="2:7">
      <c r="B1833" s="199" t="s">
        <v>1506</v>
      </c>
      <c r="C1833" s="200" t="s">
        <v>544</v>
      </c>
      <c r="D1833" s="200" t="s">
        <v>692</v>
      </c>
      <c r="E1833" s="201">
        <v>17</v>
      </c>
      <c r="F1833" s="201">
        <v>1.5</v>
      </c>
      <c r="G1833" s="203">
        <v>44679</v>
      </c>
    </row>
    <row r="1834" spans="2:7">
      <c r="C1834" s="200" t="s">
        <v>549</v>
      </c>
      <c r="D1834" s="200" t="s">
        <v>692</v>
      </c>
      <c r="E1834" s="201">
        <v>4.5</v>
      </c>
      <c r="F1834" s="201">
        <v>0.5</v>
      </c>
      <c r="G1834" s="203">
        <v>44415</v>
      </c>
    </row>
    <row r="1835" spans="2:7">
      <c r="G1835" s="203"/>
    </row>
    <row r="1836" spans="2:7">
      <c r="B1836" s="199" t="s">
        <v>1507</v>
      </c>
      <c r="C1836" s="200" t="s">
        <v>544</v>
      </c>
      <c r="D1836" s="200" t="s">
        <v>692</v>
      </c>
      <c r="E1836" s="201">
        <v>17</v>
      </c>
      <c r="F1836" s="201">
        <v>1.5</v>
      </c>
      <c r="G1836" s="203">
        <v>44679</v>
      </c>
    </row>
    <row r="1837" spans="2:7">
      <c r="C1837" s="200" t="s">
        <v>549</v>
      </c>
      <c r="D1837" s="200" t="s">
        <v>692</v>
      </c>
      <c r="E1837" s="201">
        <v>4.5</v>
      </c>
      <c r="F1837" s="201">
        <v>0.5</v>
      </c>
      <c r="G1837" s="203">
        <v>44415</v>
      </c>
    </row>
    <row r="1838" spans="2:7">
      <c r="G1838" s="203"/>
    </row>
    <row r="1839" spans="2:7">
      <c r="B1839" s="199" t="s">
        <v>1508</v>
      </c>
      <c r="C1839" s="200" t="s">
        <v>544</v>
      </c>
      <c r="D1839" s="200" t="s">
        <v>692</v>
      </c>
      <c r="E1839" s="201">
        <v>17</v>
      </c>
      <c r="F1839" s="201">
        <v>1.5</v>
      </c>
      <c r="G1839" s="203">
        <v>44679</v>
      </c>
    </row>
    <row r="1840" spans="2:7">
      <c r="C1840" s="200" t="s">
        <v>549</v>
      </c>
      <c r="D1840" s="200" t="s">
        <v>692</v>
      </c>
      <c r="E1840" s="201">
        <v>4.5</v>
      </c>
      <c r="F1840" s="201">
        <v>0.5</v>
      </c>
      <c r="G1840" s="203">
        <v>44415</v>
      </c>
    </row>
    <row r="1841" spans="2:12">
      <c r="G1841" s="203"/>
    </row>
    <row r="1842" spans="2:12">
      <c r="B1842" s="199" t="s">
        <v>1509</v>
      </c>
      <c r="C1842" s="200" t="s">
        <v>544</v>
      </c>
      <c r="D1842" s="200" t="s">
        <v>692</v>
      </c>
      <c r="E1842" s="201">
        <v>17</v>
      </c>
      <c r="F1842" s="201">
        <v>1.5</v>
      </c>
      <c r="G1842" s="203">
        <v>44679</v>
      </c>
    </row>
    <row r="1843" spans="2:12">
      <c r="C1843" s="200" t="s">
        <v>549</v>
      </c>
      <c r="D1843" s="200" t="s">
        <v>692</v>
      </c>
      <c r="E1843" s="201">
        <v>4.5</v>
      </c>
      <c r="F1843" s="201">
        <v>0.5</v>
      </c>
      <c r="G1843" s="203">
        <v>44415</v>
      </c>
    </row>
    <row r="1844" spans="2:12">
      <c r="G1844" s="203"/>
    </row>
    <row r="1845" spans="2:12">
      <c r="B1845" s="199" t="s">
        <v>1510</v>
      </c>
      <c r="C1845" s="200" t="s">
        <v>544</v>
      </c>
      <c r="D1845" s="200" t="s">
        <v>692</v>
      </c>
      <c r="E1845" s="201">
        <v>17</v>
      </c>
      <c r="F1845" s="201">
        <v>1.5</v>
      </c>
      <c r="G1845" s="203">
        <v>44679</v>
      </c>
    </row>
    <row r="1846" spans="2:12">
      <c r="C1846" s="200" t="s">
        <v>549</v>
      </c>
      <c r="D1846" s="200" t="s">
        <v>692</v>
      </c>
      <c r="E1846" s="201">
        <v>4.5</v>
      </c>
      <c r="F1846" s="201">
        <v>0.5</v>
      </c>
      <c r="G1846" s="203">
        <v>44415</v>
      </c>
    </row>
    <row r="1847" spans="2:12">
      <c r="G1847" s="203"/>
    </row>
    <row r="1848" spans="2:12">
      <c r="B1848" s="199" t="s">
        <v>1536</v>
      </c>
      <c r="C1848" s="200" t="s">
        <v>549</v>
      </c>
      <c r="D1848" s="200" t="s">
        <v>1528</v>
      </c>
      <c r="E1848" s="201">
        <v>5.5</v>
      </c>
      <c r="F1848" s="201">
        <v>3</v>
      </c>
      <c r="G1848" s="203">
        <v>45092</v>
      </c>
    </row>
    <row r="1849" spans="2:12">
      <c r="C1849" s="200" t="s">
        <v>549</v>
      </c>
      <c r="D1849" s="249" t="s">
        <v>1543</v>
      </c>
      <c r="E1849" s="201">
        <v>3.5</v>
      </c>
      <c r="F1849" s="201">
        <v>1.25</v>
      </c>
      <c r="G1849" s="203">
        <v>44636</v>
      </c>
    </row>
    <row r="1850" spans="2:12">
      <c r="C1850" s="249" t="s">
        <v>549</v>
      </c>
      <c r="D1850" s="249" t="s">
        <v>1545</v>
      </c>
      <c r="E1850" s="201">
        <v>3</v>
      </c>
      <c r="F1850" s="201">
        <f>1.5/4</f>
        <v>0.375</v>
      </c>
      <c r="G1850" s="203">
        <v>44327</v>
      </c>
    </row>
    <row r="1851" spans="2:12">
      <c r="C1851" s="249" t="s">
        <v>549</v>
      </c>
      <c r="D1851" s="249" t="s">
        <v>1547</v>
      </c>
      <c r="E1851" s="201">
        <v>5.0999999999999996</v>
      </c>
      <c r="F1851" s="201">
        <v>1</v>
      </c>
      <c r="G1851" s="203">
        <v>43990</v>
      </c>
    </row>
    <row r="1852" spans="2:12">
      <c r="C1852" s="249" t="s">
        <v>549</v>
      </c>
      <c r="D1852" s="249" t="s">
        <v>1548</v>
      </c>
      <c r="E1852" s="201">
        <v>5</v>
      </c>
      <c r="F1852" s="201">
        <v>1</v>
      </c>
      <c r="G1852" s="203">
        <v>43224</v>
      </c>
      <c r="L1852" s="248">
        <v>0</v>
      </c>
    </row>
    <row r="1853" spans="2:12">
      <c r="G1853" s="203"/>
    </row>
    <row r="1854" spans="2:12">
      <c r="B1854" s="281" t="s">
        <v>4379</v>
      </c>
      <c r="C1854" s="211" t="s">
        <v>549</v>
      </c>
      <c r="D1854" s="211" t="s">
        <v>1149</v>
      </c>
      <c r="E1854" s="201">
        <v>113</v>
      </c>
      <c r="F1854" s="201">
        <v>8</v>
      </c>
      <c r="G1854" s="203">
        <v>45090</v>
      </c>
    </row>
    <row r="1855" spans="2:12">
      <c r="B1855" s="210"/>
      <c r="C1855" s="243" t="s">
        <v>544</v>
      </c>
      <c r="D1855" s="243" t="s">
        <v>1461</v>
      </c>
      <c r="E1855" s="201">
        <v>86</v>
      </c>
      <c r="F1855" s="201">
        <v>10</v>
      </c>
      <c r="G1855" s="203">
        <v>44488</v>
      </c>
    </row>
    <row r="1856" spans="2:12">
      <c r="B1856" s="210"/>
      <c r="C1856" s="249" t="s">
        <v>549</v>
      </c>
      <c r="D1856" s="243" t="s">
        <v>1461</v>
      </c>
      <c r="E1856" s="201">
        <v>8.5</v>
      </c>
      <c r="F1856" s="201">
        <v>5.5</v>
      </c>
      <c r="G1856" s="203">
        <v>43796</v>
      </c>
    </row>
    <row r="1857" spans="2:10">
      <c r="B1857" s="210"/>
      <c r="C1857" s="282" t="s">
        <v>755</v>
      </c>
      <c r="D1857" s="282" t="s">
        <v>1944</v>
      </c>
      <c r="E1857" s="201">
        <v>150</v>
      </c>
      <c r="F1857" s="201">
        <f>100/6</f>
        <v>16.666666666666668</v>
      </c>
      <c r="G1857" s="203">
        <v>43885</v>
      </c>
      <c r="I1857" s="199">
        <v>1800</v>
      </c>
      <c r="J1857" s="199">
        <v>2500</v>
      </c>
    </row>
    <row r="1858" spans="2:10">
      <c r="B1858" s="210"/>
      <c r="C1858" s="249"/>
      <c r="D1858" s="243"/>
      <c r="G1858" s="203"/>
    </row>
    <row r="1859" spans="2:10">
      <c r="B1859" s="210"/>
      <c r="C1859" s="211"/>
      <c r="D1859" s="211"/>
      <c r="G1859" s="203"/>
    </row>
    <row r="1860" spans="2:10">
      <c r="B1860" s="210" t="s">
        <v>1571</v>
      </c>
      <c r="C1860" s="211" t="s">
        <v>549</v>
      </c>
      <c r="D1860" s="211" t="s">
        <v>1149</v>
      </c>
      <c r="E1860" s="201">
        <v>113</v>
      </c>
      <c r="F1860" s="201">
        <v>8</v>
      </c>
      <c r="G1860" s="203">
        <v>45090</v>
      </c>
    </row>
    <row r="1861" spans="2:10">
      <c r="B1861" s="210"/>
      <c r="C1861" s="228" t="s">
        <v>544</v>
      </c>
      <c r="D1861" s="228" t="s">
        <v>1200</v>
      </c>
      <c r="E1861" s="201">
        <v>15.5</v>
      </c>
      <c r="F1861" s="201">
        <v>1.625</v>
      </c>
      <c r="G1861" s="203">
        <v>44727</v>
      </c>
    </row>
    <row r="1862" spans="2:10">
      <c r="B1862" s="210"/>
      <c r="C1862" s="228" t="s">
        <v>544</v>
      </c>
      <c r="D1862" s="228" t="s">
        <v>1200</v>
      </c>
      <c r="E1862" s="201">
        <v>12</v>
      </c>
      <c r="F1862" s="201">
        <v>6</v>
      </c>
      <c r="G1862" s="203">
        <v>43948</v>
      </c>
    </row>
    <row r="1863" spans="2:10">
      <c r="B1863" s="210"/>
      <c r="C1863" s="211"/>
      <c r="D1863" s="211"/>
      <c r="G1863" s="203"/>
    </row>
    <row r="1864" spans="2:10">
      <c r="B1864" s="210" t="s">
        <v>1580</v>
      </c>
      <c r="C1864" s="211" t="s">
        <v>544</v>
      </c>
      <c r="D1864" s="211" t="s">
        <v>1574</v>
      </c>
      <c r="E1864" s="201">
        <v>6</v>
      </c>
      <c r="F1864" s="201">
        <v>1</v>
      </c>
      <c r="G1864" s="203">
        <v>44917</v>
      </c>
    </row>
    <row r="1865" spans="2:10">
      <c r="B1865" s="210"/>
      <c r="C1865" s="211" t="s">
        <v>549</v>
      </c>
      <c r="D1865" s="211" t="s">
        <v>1574</v>
      </c>
      <c r="E1865" s="201">
        <v>3.6</v>
      </c>
      <c r="F1865" s="201">
        <v>1.8</v>
      </c>
      <c r="G1865" s="203">
        <v>43361</v>
      </c>
    </row>
    <row r="1866" spans="2:10">
      <c r="B1866" s="210"/>
      <c r="C1866" s="211"/>
      <c r="D1866" s="211"/>
      <c r="G1866" s="203"/>
    </row>
    <row r="1867" spans="2:10">
      <c r="B1867" s="210" t="s">
        <v>1581</v>
      </c>
      <c r="C1867" s="211" t="s">
        <v>544</v>
      </c>
      <c r="D1867" s="211" t="s">
        <v>1574</v>
      </c>
      <c r="E1867" s="201">
        <v>6</v>
      </c>
      <c r="F1867" s="201">
        <v>1</v>
      </c>
      <c r="G1867" s="203">
        <v>44917</v>
      </c>
    </row>
    <row r="1868" spans="2:10">
      <c r="B1868" s="210"/>
      <c r="C1868" s="211" t="s">
        <v>549</v>
      </c>
      <c r="D1868" s="211" t="s">
        <v>1574</v>
      </c>
      <c r="E1868" s="201">
        <v>5.9</v>
      </c>
      <c r="F1868" s="201">
        <v>3</v>
      </c>
      <c r="G1868" s="203">
        <v>44180</v>
      </c>
    </row>
    <row r="1869" spans="2:10">
      <c r="G1869" s="203"/>
    </row>
    <row r="1870" spans="2:10">
      <c r="B1870" s="275" t="s">
        <v>4108</v>
      </c>
      <c r="C1870" s="200" t="s">
        <v>544</v>
      </c>
      <c r="D1870" s="200" t="s">
        <v>1093</v>
      </c>
      <c r="E1870" s="201">
        <v>50</v>
      </c>
      <c r="F1870" s="201">
        <f t="shared" si="8"/>
        <v>2.5</v>
      </c>
      <c r="G1870" s="203">
        <v>44796</v>
      </c>
    </row>
    <row r="1871" spans="2:10">
      <c r="C1871" s="211" t="s">
        <v>544</v>
      </c>
      <c r="D1871" s="211" t="s">
        <v>578</v>
      </c>
      <c r="E1871" s="201">
        <v>12.7</v>
      </c>
      <c r="F1871" s="201">
        <f>8/5</f>
        <v>1.6</v>
      </c>
      <c r="G1871" s="203">
        <v>44952</v>
      </c>
    </row>
    <row r="1872" spans="2:10">
      <c r="C1872" s="274" t="s">
        <v>549</v>
      </c>
      <c r="D1872" s="274" t="s">
        <v>1874</v>
      </c>
      <c r="E1872" s="201">
        <v>4.5</v>
      </c>
      <c r="F1872" s="201">
        <v>2</v>
      </c>
      <c r="G1872" s="203">
        <v>44434</v>
      </c>
    </row>
    <row r="1873" spans="2:12">
      <c r="G1873" s="203"/>
    </row>
    <row r="1874" spans="2:12">
      <c r="B1874" s="199" t="s">
        <v>1415</v>
      </c>
      <c r="C1874" s="200" t="s">
        <v>549</v>
      </c>
      <c r="D1874" s="200" t="s">
        <v>573</v>
      </c>
      <c r="E1874" s="201">
        <v>2.5</v>
      </c>
      <c r="F1874" s="201">
        <f t="shared" ref="F1874" si="13">2/6</f>
        <v>0.33333333333333331</v>
      </c>
      <c r="G1874" s="203">
        <v>44469</v>
      </c>
    </row>
    <row r="1875" spans="2:12">
      <c r="C1875" s="249" t="s">
        <v>549</v>
      </c>
      <c r="D1875" s="249" t="s">
        <v>1413</v>
      </c>
      <c r="E1875" s="201">
        <v>3.5</v>
      </c>
      <c r="F1875" s="201">
        <f>E1875/10</f>
        <v>0.35</v>
      </c>
      <c r="G1875" s="203">
        <v>43046</v>
      </c>
      <c r="L1875" s="248">
        <v>0</v>
      </c>
    </row>
    <row r="1876" spans="2:12">
      <c r="G1876" s="203"/>
    </row>
    <row r="1877" spans="2:12">
      <c r="B1877" s="217" t="s">
        <v>1703</v>
      </c>
      <c r="C1877" s="200" t="s">
        <v>544</v>
      </c>
      <c r="D1877" s="200" t="s">
        <v>546</v>
      </c>
      <c r="E1877" s="201">
        <v>23.5</v>
      </c>
      <c r="F1877" s="201">
        <v>2</v>
      </c>
      <c r="G1877" s="203">
        <v>44875</v>
      </c>
    </row>
    <row r="1878" spans="2:12">
      <c r="C1878" s="218" t="s">
        <v>549</v>
      </c>
      <c r="D1878" s="218" t="s">
        <v>705</v>
      </c>
      <c r="E1878" s="201">
        <v>5</v>
      </c>
      <c r="F1878" s="201">
        <v>5</v>
      </c>
      <c r="G1878" s="203">
        <v>44562</v>
      </c>
    </row>
    <row r="1879" spans="2:12">
      <c r="G1879" s="203"/>
    </row>
    <row r="1880" spans="2:12">
      <c r="B1880" s="199" t="s">
        <v>1458</v>
      </c>
      <c r="C1880" s="200" t="s">
        <v>544</v>
      </c>
      <c r="D1880" s="200" t="s">
        <v>684</v>
      </c>
      <c r="E1880" s="201">
        <v>20</v>
      </c>
      <c r="F1880" s="201">
        <v>2.5</v>
      </c>
      <c r="G1880" s="203">
        <v>44392</v>
      </c>
    </row>
    <row r="1881" spans="2:12">
      <c r="C1881" s="225" t="s">
        <v>565</v>
      </c>
      <c r="D1881" s="225" t="s">
        <v>442</v>
      </c>
      <c r="E1881" s="201">
        <v>125</v>
      </c>
      <c r="F1881" s="201">
        <f>75/8</f>
        <v>9.375</v>
      </c>
      <c r="G1881" s="203">
        <v>44663</v>
      </c>
    </row>
    <row r="1882" spans="2:12">
      <c r="C1882" s="225" t="s">
        <v>544</v>
      </c>
      <c r="D1882" s="225" t="s">
        <v>442</v>
      </c>
      <c r="E1882" s="201">
        <v>26</v>
      </c>
      <c r="F1882" s="201">
        <f>16/4</f>
        <v>4</v>
      </c>
      <c r="G1882" s="203">
        <v>43809</v>
      </c>
    </row>
    <row r="1883" spans="2:12">
      <c r="C1883" s="225" t="s">
        <v>544</v>
      </c>
      <c r="D1883" s="225" t="s">
        <v>442</v>
      </c>
      <c r="E1883" s="201">
        <v>8</v>
      </c>
      <c r="F1883" s="201">
        <v>2</v>
      </c>
      <c r="G1883" s="203">
        <v>43249</v>
      </c>
    </row>
    <row r="1884" spans="2:12">
      <c r="C1884" s="225"/>
      <c r="D1884" s="225"/>
      <c r="G1884" s="203"/>
    </row>
    <row r="1885" spans="2:12">
      <c r="B1885" s="199" t="s">
        <v>1081</v>
      </c>
      <c r="C1885" s="200" t="s">
        <v>402</v>
      </c>
      <c r="D1885" s="200" t="s">
        <v>1082</v>
      </c>
      <c r="E1885" s="201">
        <v>50</v>
      </c>
      <c r="F1885" s="201">
        <v>25</v>
      </c>
      <c r="G1885" s="203">
        <v>44643</v>
      </c>
    </row>
    <row r="1886" spans="2:12">
      <c r="C1886" s="225" t="s">
        <v>565</v>
      </c>
      <c r="D1886" s="225" t="s">
        <v>2149</v>
      </c>
      <c r="E1886" s="201">
        <v>125</v>
      </c>
      <c r="F1886" s="201">
        <f>75/8</f>
        <v>9.375</v>
      </c>
      <c r="G1886" s="203">
        <v>44663</v>
      </c>
    </row>
    <row r="1887" spans="2:12">
      <c r="C1887" s="225" t="s">
        <v>402</v>
      </c>
      <c r="D1887" s="225" t="s">
        <v>2149</v>
      </c>
      <c r="E1887" s="201">
        <v>54</v>
      </c>
      <c r="F1887" s="201">
        <f>40/5</f>
        <v>8</v>
      </c>
      <c r="G1887" s="203">
        <v>44089</v>
      </c>
    </row>
    <row r="1888" spans="2:12">
      <c r="C1888" s="225" t="s">
        <v>544</v>
      </c>
      <c r="D1888" s="225" t="s">
        <v>2149</v>
      </c>
      <c r="E1888" s="201">
        <v>26</v>
      </c>
      <c r="F1888" s="201">
        <v>10</v>
      </c>
      <c r="G1888" s="203">
        <v>43809</v>
      </c>
    </row>
    <row r="1889" spans="2:7">
      <c r="C1889" s="225"/>
      <c r="D1889" s="225"/>
      <c r="G1889" s="203"/>
    </row>
    <row r="1890" spans="2:7">
      <c r="B1890" s="199" t="s">
        <v>1151</v>
      </c>
      <c r="C1890" s="200" t="s">
        <v>549</v>
      </c>
      <c r="D1890" s="200" t="s">
        <v>454</v>
      </c>
      <c r="E1890" s="201">
        <v>30</v>
      </c>
      <c r="F1890" s="201">
        <v>5</v>
      </c>
      <c r="G1890" s="203">
        <v>44742</v>
      </c>
    </row>
    <row r="1891" spans="2:7">
      <c r="C1891" s="218" t="s">
        <v>544</v>
      </c>
      <c r="D1891" s="218" t="s">
        <v>581</v>
      </c>
      <c r="E1891" s="201">
        <v>29</v>
      </c>
      <c r="F1891" s="201">
        <v>3</v>
      </c>
      <c r="G1891" s="203">
        <v>44691</v>
      </c>
    </row>
    <row r="1892" spans="2:7">
      <c r="C1892" s="218" t="s">
        <v>544</v>
      </c>
      <c r="D1892" s="218" t="s">
        <v>705</v>
      </c>
      <c r="E1892" s="201">
        <v>13</v>
      </c>
      <c r="F1892" s="201">
        <v>3</v>
      </c>
      <c r="G1892" s="203">
        <v>45005</v>
      </c>
    </row>
    <row r="1893" spans="2:7">
      <c r="C1893" s="218"/>
      <c r="D1893" s="218"/>
      <c r="G1893" s="203"/>
    </row>
    <row r="1894" spans="2:7">
      <c r="G1894" s="203"/>
    </row>
    <row r="1895" spans="2:7">
      <c r="B1895" s="199" t="s">
        <v>1252</v>
      </c>
      <c r="C1895" s="200" t="s">
        <v>549</v>
      </c>
      <c r="D1895" s="200" t="s">
        <v>455</v>
      </c>
      <c r="E1895" s="201">
        <v>30</v>
      </c>
      <c r="F1895" s="201">
        <v>5</v>
      </c>
      <c r="G1895" s="203">
        <v>44601</v>
      </c>
    </row>
    <row r="1896" spans="2:7">
      <c r="C1896" s="220" t="s">
        <v>549</v>
      </c>
      <c r="D1896" s="220" t="s">
        <v>710</v>
      </c>
      <c r="E1896" s="201">
        <v>12.8</v>
      </c>
      <c r="F1896" s="201">
        <v>2</v>
      </c>
      <c r="G1896" s="203">
        <v>44601</v>
      </c>
    </row>
    <row r="1897" spans="2:7">
      <c r="G1897" s="203"/>
    </row>
    <row r="1898" spans="2:7">
      <c r="B1898" s="199" t="s">
        <v>1157</v>
      </c>
      <c r="C1898" s="200" t="s">
        <v>544</v>
      </c>
      <c r="D1898" s="200" t="s">
        <v>1156</v>
      </c>
      <c r="E1898" s="201">
        <v>21</v>
      </c>
      <c r="F1898" s="201">
        <f>11/3</f>
        <v>3.6666666666666665</v>
      </c>
      <c r="G1898" s="203">
        <v>45027</v>
      </c>
    </row>
    <row r="1899" spans="2:7">
      <c r="C1899" s="249" t="s">
        <v>549</v>
      </c>
      <c r="D1899" s="249" t="s">
        <v>1191</v>
      </c>
      <c r="E1899" s="201">
        <v>12</v>
      </c>
      <c r="F1899" s="201">
        <v>3</v>
      </c>
      <c r="G1899" s="203">
        <v>44271</v>
      </c>
    </row>
    <row r="1900" spans="2:7">
      <c r="G1900" s="203"/>
    </row>
    <row r="1901" spans="2:7">
      <c r="B1901" s="210" t="s">
        <v>1591</v>
      </c>
      <c r="C1901" s="211" t="s">
        <v>544</v>
      </c>
      <c r="D1901" s="211" t="s">
        <v>697</v>
      </c>
      <c r="E1901" s="201">
        <v>15</v>
      </c>
      <c r="F1901" s="201">
        <f>10/3</f>
        <v>3.3333333333333335</v>
      </c>
      <c r="G1901" s="203">
        <v>44838</v>
      </c>
    </row>
    <row r="1902" spans="2:7">
      <c r="B1902" s="210"/>
      <c r="C1902" s="225" t="s">
        <v>549</v>
      </c>
      <c r="D1902" s="225" t="s">
        <v>586</v>
      </c>
      <c r="E1902" s="201">
        <v>6</v>
      </c>
      <c r="F1902" s="201">
        <v>1</v>
      </c>
      <c r="G1902" s="203">
        <v>44781</v>
      </c>
    </row>
    <row r="1903" spans="2:7">
      <c r="B1903" s="210"/>
      <c r="C1903" s="211"/>
      <c r="D1903" s="211"/>
      <c r="G1903" s="203"/>
    </row>
    <row r="1904" spans="2:7">
      <c r="B1904" s="210" t="s">
        <v>1596</v>
      </c>
      <c r="C1904" s="211" t="s">
        <v>549</v>
      </c>
      <c r="D1904" s="211" t="s">
        <v>571</v>
      </c>
      <c r="E1904" s="201">
        <v>5.3</v>
      </c>
      <c r="F1904" s="201">
        <v>3.3</v>
      </c>
      <c r="G1904" s="203">
        <v>45069</v>
      </c>
    </row>
    <row r="1905" spans="2:18">
      <c r="B1905" s="210"/>
      <c r="C1905" s="211"/>
      <c r="D1905" s="211"/>
      <c r="G1905" s="203"/>
    </row>
    <row r="1906" spans="2:18">
      <c r="B1906" s="210" t="s">
        <v>1601</v>
      </c>
      <c r="C1906" s="211" t="s">
        <v>549</v>
      </c>
      <c r="D1906" s="211" t="s">
        <v>467</v>
      </c>
      <c r="E1906" s="201">
        <v>15</v>
      </c>
      <c r="F1906" s="201">
        <f t="shared" si="5"/>
        <v>2.1428571428571428</v>
      </c>
      <c r="G1906" s="203">
        <v>44691</v>
      </c>
    </row>
    <row r="1907" spans="2:18">
      <c r="B1907" s="210"/>
      <c r="C1907" s="211"/>
      <c r="D1907" s="211"/>
      <c r="G1907" s="203"/>
    </row>
    <row r="1908" spans="2:18">
      <c r="B1908" s="210" t="s">
        <v>1613</v>
      </c>
      <c r="C1908" s="211" t="s">
        <v>544</v>
      </c>
      <c r="D1908" s="211" t="s">
        <v>699</v>
      </c>
      <c r="E1908" s="201">
        <v>15</v>
      </c>
      <c r="F1908" s="201">
        <v>3</v>
      </c>
      <c r="G1908" s="203">
        <v>44482</v>
      </c>
    </row>
    <row r="1909" spans="2:18">
      <c r="C1909" s="211" t="s">
        <v>549</v>
      </c>
      <c r="D1909" s="211" t="s">
        <v>699</v>
      </c>
      <c r="E1909" s="201">
        <v>4.5</v>
      </c>
      <c r="F1909" s="201">
        <v>0.5</v>
      </c>
      <c r="G1909" s="203">
        <v>44362</v>
      </c>
      <c r="M1909" s="199"/>
      <c r="N1909" s="199"/>
      <c r="O1909" s="199"/>
      <c r="P1909" s="199"/>
      <c r="Q1909" s="199"/>
      <c r="R1909" s="199"/>
    </row>
    <row r="1910" spans="2:18">
      <c r="C1910" s="211"/>
      <c r="D1910" s="211"/>
      <c r="G1910" s="203"/>
      <c r="M1910" s="199"/>
      <c r="N1910" s="199"/>
      <c r="O1910" s="199"/>
      <c r="P1910" s="199"/>
      <c r="Q1910" s="199"/>
      <c r="R1910" s="199"/>
    </row>
    <row r="1911" spans="2:18">
      <c r="B1911" s="210" t="s">
        <v>1620</v>
      </c>
      <c r="C1911" s="211" t="s">
        <v>544</v>
      </c>
      <c r="D1911" s="211" t="s">
        <v>700</v>
      </c>
      <c r="E1911" s="201">
        <v>14.5</v>
      </c>
      <c r="F1911" s="201">
        <v>2.5</v>
      </c>
      <c r="G1911" s="203">
        <v>44389</v>
      </c>
      <c r="M1911" s="199"/>
      <c r="N1911" s="199"/>
      <c r="O1911" s="199"/>
      <c r="P1911" s="199"/>
      <c r="Q1911" s="199"/>
      <c r="R1911" s="199"/>
    </row>
    <row r="1912" spans="2:18">
      <c r="B1912" s="210"/>
      <c r="C1912" s="211" t="s">
        <v>549</v>
      </c>
      <c r="D1912" s="211" t="s">
        <v>700</v>
      </c>
      <c r="E1912" s="201">
        <v>3</v>
      </c>
      <c r="F1912" s="201">
        <v>0.5</v>
      </c>
      <c r="G1912" s="203">
        <v>43993</v>
      </c>
      <c r="M1912" s="199"/>
      <c r="N1912" s="199"/>
      <c r="O1912" s="199"/>
      <c r="P1912" s="199"/>
      <c r="Q1912" s="199"/>
      <c r="R1912" s="199"/>
    </row>
    <row r="1913" spans="2:18">
      <c r="B1913" s="210"/>
      <c r="C1913" s="211"/>
      <c r="D1913" s="211"/>
      <c r="G1913" s="203"/>
      <c r="M1913" s="199"/>
      <c r="N1913" s="199"/>
      <c r="O1913" s="199"/>
      <c r="P1913" s="199"/>
      <c r="Q1913" s="199"/>
      <c r="R1913" s="199"/>
    </row>
    <row r="1914" spans="2:18">
      <c r="B1914" s="210" t="s">
        <v>1621</v>
      </c>
      <c r="C1914" s="211" t="s">
        <v>544</v>
      </c>
      <c r="D1914" s="211" t="s">
        <v>700</v>
      </c>
      <c r="E1914" s="201">
        <v>14.5</v>
      </c>
      <c r="F1914" s="201">
        <v>2.5</v>
      </c>
      <c r="G1914" s="203">
        <v>44389</v>
      </c>
      <c r="M1914" s="199"/>
      <c r="N1914" s="199"/>
      <c r="O1914" s="199"/>
      <c r="P1914" s="199"/>
      <c r="Q1914" s="199"/>
      <c r="R1914" s="199"/>
    </row>
    <row r="1915" spans="2:18">
      <c r="B1915" s="210"/>
      <c r="C1915" s="211" t="s">
        <v>549</v>
      </c>
      <c r="D1915" s="211" t="s">
        <v>700</v>
      </c>
      <c r="E1915" s="201">
        <v>3</v>
      </c>
      <c r="F1915" s="201">
        <v>1</v>
      </c>
      <c r="G1915" s="203">
        <v>43993</v>
      </c>
      <c r="M1915" s="199"/>
      <c r="N1915" s="199"/>
      <c r="O1915" s="199"/>
      <c r="P1915" s="199"/>
      <c r="Q1915" s="199"/>
      <c r="R1915" s="199"/>
    </row>
    <row r="1916" spans="2:18">
      <c r="B1916" s="210"/>
      <c r="C1916" s="211"/>
      <c r="D1916" s="211"/>
      <c r="G1916" s="203"/>
      <c r="M1916" s="199"/>
      <c r="N1916" s="199"/>
      <c r="O1916" s="199"/>
      <c r="P1916" s="199"/>
      <c r="Q1916" s="199"/>
      <c r="R1916" s="199"/>
    </row>
    <row r="1917" spans="2:18">
      <c r="B1917" s="210" t="s">
        <v>1622</v>
      </c>
      <c r="C1917" s="211" t="s">
        <v>544</v>
      </c>
      <c r="D1917" s="211" t="s">
        <v>700</v>
      </c>
      <c r="E1917" s="201">
        <v>14.5</v>
      </c>
      <c r="F1917" s="201">
        <v>2.5</v>
      </c>
      <c r="G1917" s="203">
        <v>44389</v>
      </c>
      <c r="M1917" s="199"/>
      <c r="N1917" s="199"/>
      <c r="O1917" s="199"/>
      <c r="P1917" s="199"/>
      <c r="Q1917" s="199"/>
      <c r="R1917" s="199"/>
    </row>
    <row r="1918" spans="2:18">
      <c r="B1918" s="210"/>
      <c r="C1918" s="211" t="s">
        <v>549</v>
      </c>
      <c r="D1918" s="211" t="s">
        <v>700</v>
      </c>
      <c r="E1918" s="201">
        <v>3</v>
      </c>
      <c r="F1918" s="201">
        <v>0.5</v>
      </c>
      <c r="G1918" s="203">
        <v>43993</v>
      </c>
      <c r="M1918" s="199"/>
      <c r="N1918" s="199"/>
      <c r="O1918" s="199"/>
      <c r="P1918" s="199"/>
      <c r="Q1918" s="199"/>
      <c r="R1918" s="199"/>
    </row>
    <row r="1919" spans="2:18">
      <c r="B1919" s="210"/>
      <c r="C1919" s="211"/>
      <c r="D1919" s="211"/>
      <c r="G1919" s="203"/>
      <c r="M1919" s="199"/>
      <c r="N1919" s="199"/>
      <c r="O1919" s="199"/>
      <c r="P1919" s="199"/>
      <c r="Q1919" s="199"/>
      <c r="R1919" s="199"/>
    </row>
    <row r="1920" spans="2:18">
      <c r="B1920" s="210"/>
      <c r="C1920" s="211"/>
      <c r="D1920" s="211"/>
      <c r="G1920" s="203"/>
      <c r="M1920" s="199"/>
      <c r="N1920" s="199"/>
      <c r="O1920" s="199"/>
      <c r="P1920" s="199"/>
      <c r="Q1920" s="199"/>
      <c r="R1920" s="199"/>
    </row>
    <row r="1921" spans="2:18">
      <c r="B1921" s="210" t="s">
        <v>1636</v>
      </c>
      <c r="C1921" s="211" t="s">
        <v>544</v>
      </c>
      <c r="D1921" s="211" t="s">
        <v>702</v>
      </c>
      <c r="E1921" s="201">
        <v>14</v>
      </c>
      <c r="F1921" s="201">
        <v>3</v>
      </c>
      <c r="G1921" s="203">
        <v>44705</v>
      </c>
      <c r="M1921" s="199"/>
      <c r="N1921" s="199"/>
      <c r="O1921" s="199"/>
      <c r="P1921" s="199"/>
      <c r="Q1921" s="199"/>
      <c r="R1921" s="199"/>
    </row>
    <row r="1922" spans="2:18">
      <c r="C1922" s="211" t="s">
        <v>1135</v>
      </c>
      <c r="D1922" s="211" t="s">
        <v>702</v>
      </c>
      <c r="E1922" s="201">
        <v>0.62</v>
      </c>
      <c r="F1922" s="201">
        <v>0.62</v>
      </c>
      <c r="G1922" s="203">
        <v>44105</v>
      </c>
      <c r="M1922" s="199"/>
      <c r="N1922" s="199"/>
      <c r="O1922" s="199"/>
      <c r="P1922" s="199"/>
      <c r="Q1922" s="199"/>
      <c r="R1922" s="199"/>
    </row>
    <row r="1923" spans="2:18">
      <c r="C1923" s="211"/>
      <c r="D1923" s="211"/>
      <c r="G1923" s="203"/>
      <c r="M1923" s="199"/>
      <c r="N1923" s="199"/>
      <c r="O1923" s="199"/>
      <c r="P1923" s="199"/>
      <c r="Q1923" s="199"/>
      <c r="R1923" s="199"/>
    </row>
    <row r="1924" spans="2:18">
      <c r="B1924" s="210" t="s">
        <v>1662</v>
      </c>
      <c r="C1924" s="211" t="s">
        <v>544</v>
      </c>
      <c r="D1924" s="211" t="s">
        <v>578</v>
      </c>
      <c r="E1924" s="201">
        <v>12.7</v>
      </c>
      <c r="F1924" s="201">
        <f>8/5</f>
        <v>1.6</v>
      </c>
      <c r="G1924" s="203">
        <v>44952</v>
      </c>
      <c r="M1924" s="199"/>
      <c r="N1924" s="199"/>
      <c r="O1924" s="199"/>
      <c r="P1924" s="199"/>
      <c r="Q1924" s="199"/>
      <c r="R1924" s="199"/>
    </row>
    <row r="1925" spans="2:18">
      <c r="B1925" s="210"/>
      <c r="C1925" s="225" t="s">
        <v>549</v>
      </c>
      <c r="D1925" s="225" t="s">
        <v>447</v>
      </c>
      <c r="E1925" s="201">
        <v>100</v>
      </c>
      <c r="F1925" s="201">
        <v>50</v>
      </c>
      <c r="G1925" s="203">
        <v>44663</v>
      </c>
      <c r="M1925" s="199"/>
      <c r="N1925" s="199"/>
      <c r="O1925" s="199"/>
      <c r="P1925" s="199"/>
      <c r="Q1925" s="199"/>
      <c r="R1925" s="199"/>
    </row>
    <row r="1926" spans="2:18">
      <c r="B1926" s="210"/>
      <c r="C1926" s="211"/>
      <c r="D1926" s="211"/>
      <c r="G1926" s="203"/>
      <c r="M1926" s="199"/>
      <c r="N1926" s="199"/>
      <c r="O1926" s="199"/>
      <c r="P1926" s="199"/>
      <c r="Q1926" s="199"/>
      <c r="R1926" s="199"/>
    </row>
    <row r="1927" spans="2:18">
      <c r="B1927" s="210" t="s">
        <v>1664</v>
      </c>
      <c r="C1927" s="211" t="s">
        <v>549</v>
      </c>
      <c r="D1927" s="211" t="s">
        <v>578</v>
      </c>
      <c r="E1927" s="201">
        <v>5</v>
      </c>
      <c r="F1927" s="201">
        <v>2.5</v>
      </c>
      <c r="G1927" s="203">
        <v>44277</v>
      </c>
      <c r="M1927" s="199"/>
      <c r="N1927" s="199"/>
      <c r="O1927" s="199"/>
      <c r="P1927" s="199"/>
      <c r="Q1927" s="199"/>
      <c r="R1927" s="199"/>
    </row>
    <row r="1928" spans="2:18">
      <c r="B1928" s="210"/>
      <c r="C1928" s="225" t="s">
        <v>549</v>
      </c>
      <c r="D1928" s="225" t="s">
        <v>447</v>
      </c>
      <c r="E1928" s="201">
        <v>100</v>
      </c>
      <c r="F1928" s="201">
        <v>50</v>
      </c>
      <c r="G1928" s="203">
        <v>44663</v>
      </c>
      <c r="M1928" s="199"/>
      <c r="N1928" s="199"/>
      <c r="O1928" s="199"/>
      <c r="P1928" s="199"/>
      <c r="Q1928" s="199"/>
      <c r="R1928" s="199"/>
    </row>
    <row r="1929" spans="2:18">
      <c r="B1929" s="210"/>
      <c r="C1929" s="211"/>
      <c r="D1929" s="211"/>
      <c r="G1929" s="203"/>
      <c r="M1929" s="199"/>
      <c r="N1929" s="199"/>
      <c r="O1929" s="199"/>
      <c r="P1929" s="199"/>
      <c r="Q1929" s="199"/>
      <c r="R1929" s="199"/>
    </row>
    <row r="1930" spans="2:18">
      <c r="B1930" s="210"/>
      <c r="C1930" s="211"/>
      <c r="D1930" s="211"/>
      <c r="G1930" s="203"/>
      <c r="M1930" s="199"/>
      <c r="N1930" s="199"/>
      <c r="O1930" s="199"/>
      <c r="P1930" s="199"/>
      <c r="Q1930" s="199"/>
      <c r="R1930" s="199"/>
    </row>
    <row r="1931" spans="2:18">
      <c r="B1931" s="210"/>
      <c r="C1931" s="211"/>
      <c r="D1931" s="211"/>
      <c r="G1931" s="203"/>
      <c r="M1931" s="199"/>
      <c r="N1931" s="199"/>
      <c r="O1931" s="199"/>
      <c r="P1931" s="199"/>
      <c r="Q1931" s="199"/>
      <c r="R1931" s="199"/>
    </row>
    <row r="1932" spans="2:18">
      <c r="B1932" s="210"/>
      <c r="C1932" s="211"/>
      <c r="D1932" s="211"/>
      <c r="G1932" s="203"/>
      <c r="M1932" s="199"/>
      <c r="N1932" s="199"/>
      <c r="O1932" s="199"/>
      <c r="P1932" s="199"/>
      <c r="Q1932" s="199"/>
      <c r="R1932" s="199"/>
    </row>
    <row r="1933" spans="2:18">
      <c r="B1933" s="199" t="s">
        <v>1504</v>
      </c>
      <c r="C1933" s="200" t="s">
        <v>544</v>
      </c>
      <c r="D1933" s="200" t="s">
        <v>692</v>
      </c>
      <c r="E1933" s="201">
        <v>17</v>
      </c>
      <c r="F1933" s="201">
        <v>6</v>
      </c>
      <c r="G1933" s="203">
        <v>44679</v>
      </c>
      <c r="M1933" s="199"/>
      <c r="N1933" s="199"/>
      <c r="O1933" s="199"/>
      <c r="P1933" s="199"/>
      <c r="Q1933" s="199"/>
      <c r="R1933" s="199"/>
    </row>
    <row r="1934" spans="2:18">
      <c r="C1934" s="225" t="s">
        <v>549</v>
      </c>
      <c r="D1934" s="225" t="s">
        <v>596</v>
      </c>
      <c r="E1934" s="201">
        <v>10</v>
      </c>
      <c r="F1934" s="201">
        <v>3</v>
      </c>
      <c r="G1934" s="203">
        <v>44887</v>
      </c>
      <c r="M1934" s="199"/>
      <c r="N1934" s="199"/>
      <c r="O1934" s="199"/>
      <c r="P1934" s="199"/>
      <c r="Q1934" s="199"/>
      <c r="R1934" s="199"/>
    </row>
    <row r="1935" spans="2:18">
      <c r="G1935" s="203"/>
      <c r="M1935" s="199"/>
      <c r="N1935" s="199"/>
      <c r="O1935" s="199"/>
      <c r="P1935" s="199"/>
      <c r="Q1935" s="199"/>
      <c r="R1935" s="199"/>
    </row>
    <row r="1936" spans="2:18">
      <c r="B1936" s="224" t="s">
        <v>2139</v>
      </c>
      <c r="C1936" s="218" t="s">
        <v>549</v>
      </c>
      <c r="D1936" s="218" t="s">
        <v>704</v>
      </c>
      <c r="E1936" s="201">
        <v>13</v>
      </c>
      <c r="F1936" s="201">
        <f>7/2</f>
        <v>3.5</v>
      </c>
      <c r="G1936" s="203">
        <v>44896</v>
      </c>
      <c r="M1936" s="199"/>
      <c r="N1936" s="199"/>
      <c r="O1936" s="199"/>
      <c r="P1936" s="199"/>
      <c r="Q1936" s="199"/>
      <c r="R1936" s="199"/>
    </row>
    <row r="1937" spans="2:18">
      <c r="B1937" s="217"/>
      <c r="C1937" s="225" t="s">
        <v>565</v>
      </c>
      <c r="D1937" s="225" t="s">
        <v>441</v>
      </c>
      <c r="E1937" s="201">
        <v>48</v>
      </c>
      <c r="F1937" s="201">
        <v>10</v>
      </c>
      <c r="G1937" s="203">
        <v>43888</v>
      </c>
      <c r="M1937" s="199"/>
      <c r="N1937" s="199"/>
      <c r="O1937" s="199"/>
      <c r="P1937" s="199"/>
      <c r="Q1937" s="199"/>
      <c r="R1937" s="199"/>
    </row>
    <row r="1938" spans="2:18">
      <c r="B1938" s="217"/>
      <c r="C1938" s="225" t="s">
        <v>402</v>
      </c>
      <c r="D1938" s="225" t="s">
        <v>441</v>
      </c>
      <c r="E1938" s="201">
        <v>25</v>
      </c>
      <c r="F1938" s="201">
        <v>5</v>
      </c>
      <c r="G1938" s="203">
        <v>43440</v>
      </c>
      <c r="M1938" s="199"/>
      <c r="N1938" s="199"/>
      <c r="O1938" s="199"/>
      <c r="P1938" s="199"/>
      <c r="Q1938" s="199"/>
      <c r="R1938" s="199"/>
    </row>
    <row r="1939" spans="2:18">
      <c r="C1939" s="225" t="s">
        <v>544</v>
      </c>
      <c r="D1939" s="225" t="s">
        <v>441</v>
      </c>
      <c r="E1939" s="201">
        <v>5.8</v>
      </c>
      <c r="F1939" s="201">
        <f>E1939/4</f>
        <v>1.45</v>
      </c>
      <c r="G1939" s="203">
        <v>43117</v>
      </c>
      <c r="M1939" s="199"/>
      <c r="N1939" s="199"/>
      <c r="O1939" s="199"/>
      <c r="P1939" s="199"/>
      <c r="Q1939" s="199"/>
      <c r="R1939" s="199"/>
    </row>
    <row r="1940" spans="2:18">
      <c r="C1940" s="225" t="s">
        <v>549</v>
      </c>
      <c r="D1940" s="225" t="s">
        <v>441</v>
      </c>
      <c r="E1940" s="201">
        <v>3.2</v>
      </c>
      <c r="F1940" s="201">
        <v>3.2</v>
      </c>
      <c r="G1940" s="203">
        <v>42887</v>
      </c>
      <c r="M1940" s="199"/>
      <c r="N1940" s="199"/>
      <c r="O1940" s="199"/>
      <c r="P1940" s="199"/>
      <c r="Q1940" s="199"/>
      <c r="R1940" s="199"/>
    </row>
    <row r="1941" spans="2:18">
      <c r="C1941" s="225" t="s">
        <v>549</v>
      </c>
      <c r="D1941" s="225" t="s">
        <v>441</v>
      </c>
      <c r="E1941" s="201">
        <v>3.3</v>
      </c>
      <c r="F1941" s="201">
        <v>1</v>
      </c>
      <c r="G1941" s="203">
        <v>42678</v>
      </c>
      <c r="M1941" s="199"/>
      <c r="N1941" s="199"/>
      <c r="O1941" s="199"/>
      <c r="P1941" s="199"/>
      <c r="Q1941" s="199"/>
      <c r="R1941" s="199"/>
    </row>
    <row r="1942" spans="2:18">
      <c r="B1942" s="217"/>
      <c r="C1942" s="218"/>
      <c r="D1942" s="218"/>
      <c r="G1942" s="203"/>
      <c r="M1942" s="199"/>
      <c r="N1942" s="199"/>
      <c r="O1942" s="199"/>
      <c r="P1942" s="199"/>
      <c r="Q1942" s="199"/>
      <c r="R1942" s="199"/>
    </row>
    <row r="1943" spans="2:18">
      <c r="B1943" s="219" t="s">
        <v>1719</v>
      </c>
      <c r="C1943" s="220" t="s">
        <v>549</v>
      </c>
      <c r="D1943" s="220" t="s">
        <v>145</v>
      </c>
      <c r="E1943" s="201">
        <v>5</v>
      </c>
      <c r="F1943" s="201">
        <v>5</v>
      </c>
      <c r="G1943" s="203">
        <v>44873</v>
      </c>
      <c r="M1943" s="199"/>
      <c r="N1943" s="199"/>
      <c r="O1943" s="199"/>
      <c r="P1943" s="199"/>
      <c r="Q1943" s="199"/>
      <c r="R1943" s="199"/>
    </row>
    <row r="1944" spans="2:18">
      <c r="B1944" s="219"/>
      <c r="C1944" s="222" t="s">
        <v>544</v>
      </c>
      <c r="D1944" s="222" t="s">
        <v>724</v>
      </c>
      <c r="E1944" s="201">
        <v>10.5</v>
      </c>
      <c r="F1944" s="201">
        <v>6.5</v>
      </c>
      <c r="G1944" s="203">
        <v>44984</v>
      </c>
      <c r="M1944" s="199"/>
      <c r="N1944" s="199"/>
      <c r="O1944" s="199"/>
      <c r="P1944" s="199"/>
      <c r="Q1944" s="199"/>
      <c r="R1944" s="199"/>
    </row>
    <row r="1945" spans="2:18">
      <c r="B1945" s="219"/>
      <c r="C1945" s="220"/>
      <c r="D1945" s="220"/>
      <c r="G1945" s="203"/>
      <c r="M1945" s="199"/>
      <c r="N1945" s="199"/>
      <c r="O1945" s="199"/>
      <c r="P1945" s="199"/>
      <c r="Q1945" s="199"/>
      <c r="R1945" s="199"/>
    </row>
    <row r="1946" spans="2:18">
      <c r="B1946" s="219" t="s">
        <v>1723</v>
      </c>
      <c r="C1946" s="220" t="s">
        <v>544</v>
      </c>
      <c r="D1946" s="220" t="s">
        <v>707</v>
      </c>
      <c r="E1946" s="201">
        <v>12.6</v>
      </c>
      <c r="F1946" s="201">
        <v>3</v>
      </c>
      <c r="G1946" s="203">
        <v>44579</v>
      </c>
      <c r="M1946" s="199"/>
      <c r="N1946" s="199"/>
      <c r="O1946" s="199"/>
      <c r="P1946" s="199"/>
      <c r="Q1946" s="199"/>
      <c r="R1946" s="199"/>
    </row>
    <row r="1947" spans="2:18">
      <c r="B1947" s="219"/>
      <c r="C1947" s="220" t="s">
        <v>549</v>
      </c>
      <c r="D1947" s="220" t="s">
        <v>707</v>
      </c>
      <c r="E1947" s="201">
        <v>3</v>
      </c>
      <c r="F1947" s="201">
        <v>1</v>
      </c>
      <c r="G1947" s="203">
        <v>43999</v>
      </c>
      <c r="M1947" s="199"/>
      <c r="N1947" s="199"/>
      <c r="O1947" s="199"/>
      <c r="P1947" s="199"/>
      <c r="Q1947" s="199"/>
      <c r="R1947" s="199"/>
    </row>
    <row r="1948" spans="2:18">
      <c r="B1948" s="219"/>
      <c r="C1948" s="252" t="s">
        <v>402</v>
      </c>
      <c r="D1948" s="252" t="s">
        <v>1628</v>
      </c>
      <c r="E1948" s="201">
        <v>40</v>
      </c>
      <c r="F1948" s="201">
        <v>4</v>
      </c>
      <c r="G1948" s="203">
        <v>43419</v>
      </c>
      <c r="M1948" s="199"/>
      <c r="N1948" s="199"/>
      <c r="O1948" s="199"/>
      <c r="P1948" s="199"/>
      <c r="Q1948" s="199"/>
      <c r="R1948" s="199"/>
    </row>
    <row r="1949" spans="2:18">
      <c r="B1949" s="219"/>
      <c r="C1949" s="252" t="s">
        <v>544</v>
      </c>
      <c r="D1949" s="252" t="s">
        <v>1628</v>
      </c>
      <c r="E1949" s="201">
        <v>14.7</v>
      </c>
      <c r="F1949" s="201">
        <v>2.25</v>
      </c>
      <c r="G1949" s="203">
        <v>43032</v>
      </c>
      <c r="M1949" s="199"/>
      <c r="N1949" s="199"/>
      <c r="O1949" s="199"/>
      <c r="P1949" s="199"/>
      <c r="Q1949" s="199"/>
      <c r="R1949" s="199"/>
    </row>
    <row r="1950" spans="2:18">
      <c r="B1950" s="219"/>
      <c r="C1950" s="252" t="s">
        <v>549</v>
      </c>
      <c r="D1950" s="252" t="s">
        <v>1643</v>
      </c>
      <c r="E1950" s="201">
        <v>1.8</v>
      </c>
      <c r="F1950" s="201">
        <v>0.2</v>
      </c>
      <c r="G1950" s="203">
        <v>42690</v>
      </c>
      <c r="M1950" s="199"/>
      <c r="N1950" s="199"/>
      <c r="O1950" s="199"/>
      <c r="P1950" s="199"/>
      <c r="Q1950" s="199"/>
      <c r="R1950" s="199"/>
    </row>
    <row r="1951" spans="2:18">
      <c r="B1951" s="219"/>
      <c r="C1951" s="220"/>
      <c r="D1951" s="220"/>
      <c r="G1951" s="203"/>
      <c r="M1951" s="199"/>
      <c r="N1951" s="199"/>
      <c r="O1951" s="199"/>
      <c r="P1951" s="199"/>
      <c r="Q1951" s="199"/>
      <c r="R1951" s="199"/>
    </row>
    <row r="1952" spans="2:18">
      <c r="B1952" s="281" t="s">
        <v>4421</v>
      </c>
      <c r="C1952" s="220" t="s">
        <v>544</v>
      </c>
      <c r="D1952" s="220" t="s">
        <v>707</v>
      </c>
      <c r="E1952" s="201">
        <v>12.6</v>
      </c>
      <c r="F1952" s="201">
        <f>6.6/3</f>
        <v>2.1999999999999997</v>
      </c>
      <c r="G1952" s="203">
        <v>44579</v>
      </c>
      <c r="M1952" s="199"/>
      <c r="N1952" s="199"/>
      <c r="O1952" s="199"/>
      <c r="P1952" s="199"/>
      <c r="Q1952" s="199"/>
      <c r="R1952" s="199"/>
    </row>
    <row r="1953" spans="2:18">
      <c r="B1953" s="219"/>
      <c r="C1953" s="228" t="s">
        <v>755</v>
      </c>
      <c r="D1953" s="228" t="s">
        <v>1254</v>
      </c>
      <c r="E1953" s="201">
        <v>90</v>
      </c>
      <c r="F1953" s="201">
        <f>50/11</f>
        <v>4.5454545454545459</v>
      </c>
      <c r="G1953" s="203">
        <v>44776</v>
      </c>
      <c r="M1953" s="199"/>
      <c r="N1953" s="199"/>
      <c r="O1953" s="199"/>
      <c r="P1953" s="199"/>
      <c r="Q1953" s="199"/>
      <c r="R1953" s="199"/>
    </row>
    <row r="1954" spans="2:18">
      <c r="B1954" s="219"/>
      <c r="C1954" s="282" t="s">
        <v>738</v>
      </c>
      <c r="D1954" s="282" t="s">
        <v>1949</v>
      </c>
      <c r="E1954" s="201">
        <v>90</v>
      </c>
      <c r="F1954" s="201">
        <v>10</v>
      </c>
      <c r="G1954" s="203">
        <v>44721</v>
      </c>
      <c r="I1954" s="199">
        <v>2200</v>
      </c>
      <c r="J1954" s="199">
        <v>2200</v>
      </c>
      <c r="M1954" s="199"/>
      <c r="N1954" s="199"/>
      <c r="O1954" s="199"/>
      <c r="P1954" s="199"/>
      <c r="Q1954" s="199"/>
      <c r="R1954" s="199"/>
    </row>
    <row r="1955" spans="2:18">
      <c r="B1955" s="219"/>
      <c r="C1955" s="282" t="s">
        <v>402</v>
      </c>
      <c r="D1955" s="282" t="s">
        <v>1949</v>
      </c>
      <c r="E1955" s="201">
        <v>25</v>
      </c>
      <c r="F1955" s="201">
        <v>10</v>
      </c>
      <c r="G1955" s="203">
        <v>43697</v>
      </c>
      <c r="J1955" s="199">
        <v>2200</v>
      </c>
      <c r="M1955" s="199"/>
      <c r="N1955" s="199"/>
      <c r="O1955" s="199"/>
      <c r="P1955" s="199"/>
      <c r="Q1955" s="199"/>
      <c r="R1955" s="199"/>
    </row>
    <row r="1956" spans="2:18">
      <c r="B1956" s="219"/>
      <c r="C1956" s="220"/>
      <c r="D1956" s="220"/>
      <c r="G1956" s="203"/>
      <c r="M1956" s="199"/>
      <c r="N1956" s="199"/>
      <c r="O1956" s="199"/>
      <c r="P1956" s="199"/>
      <c r="Q1956" s="199"/>
      <c r="R1956" s="199"/>
    </row>
    <row r="1957" spans="2:18">
      <c r="B1957" s="219" t="s">
        <v>1733</v>
      </c>
      <c r="C1957" s="220" t="s">
        <v>549</v>
      </c>
      <c r="D1957" s="220" t="s">
        <v>710</v>
      </c>
      <c r="E1957" s="201">
        <v>12.8</v>
      </c>
      <c r="F1957" s="201">
        <v>2</v>
      </c>
      <c r="G1957" s="203">
        <v>44601</v>
      </c>
      <c r="M1957" s="199"/>
      <c r="N1957" s="199"/>
      <c r="O1957" s="199"/>
      <c r="P1957" s="199"/>
      <c r="Q1957" s="199"/>
      <c r="R1957" s="199"/>
    </row>
    <row r="1958" spans="2:18">
      <c r="B1958" s="219"/>
      <c r="C1958" s="228" t="s">
        <v>755</v>
      </c>
      <c r="D1958" s="228" t="s">
        <v>2428</v>
      </c>
      <c r="E1958" s="201">
        <v>100</v>
      </c>
      <c r="F1958" s="201">
        <v>15</v>
      </c>
      <c r="G1958" s="203">
        <v>43397</v>
      </c>
      <c r="M1958" s="199"/>
      <c r="N1958" s="199"/>
      <c r="O1958" s="199"/>
      <c r="P1958" s="199"/>
      <c r="Q1958" s="199"/>
      <c r="R1958" s="199"/>
    </row>
    <row r="1959" spans="2:18">
      <c r="B1959" s="219"/>
      <c r="C1959" s="220"/>
      <c r="D1959" s="220"/>
      <c r="G1959" s="203"/>
      <c r="M1959" s="199"/>
      <c r="N1959" s="199"/>
      <c r="O1959" s="199"/>
      <c r="P1959" s="199"/>
      <c r="Q1959" s="199"/>
      <c r="R1959" s="199"/>
    </row>
    <row r="1960" spans="2:18">
      <c r="B1960" s="219"/>
      <c r="C1960" s="220"/>
      <c r="D1960" s="220"/>
      <c r="G1960" s="203"/>
      <c r="M1960" s="199"/>
      <c r="N1960" s="199"/>
      <c r="O1960" s="199"/>
      <c r="P1960" s="199"/>
      <c r="Q1960" s="199"/>
      <c r="R1960" s="199"/>
    </row>
    <row r="1961" spans="2:18">
      <c r="B1961" s="219" t="s">
        <v>1764</v>
      </c>
      <c r="C1961" s="220" t="s">
        <v>549</v>
      </c>
      <c r="D1961" s="220" t="s">
        <v>465</v>
      </c>
      <c r="E1961" s="201">
        <v>12</v>
      </c>
      <c r="F1961" s="201">
        <v>2</v>
      </c>
      <c r="G1961" s="203">
        <v>44971</v>
      </c>
      <c r="M1961" s="199"/>
      <c r="N1961" s="199"/>
      <c r="O1961" s="199"/>
      <c r="P1961" s="199"/>
      <c r="Q1961" s="199"/>
      <c r="R1961" s="199"/>
    </row>
    <row r="1962" spans="2:18">
      <c r="C1962" s="220" t="s">
        <v>549</v>
      </c>
      <c r="D1962" s="220" t="s">
        <v>465</v>
      </c>
      <c r="E1962" s="201">
        <v>5</v>
      </c>
      <c r="F1962" s="201">
        <v>2</v>
      </c>
      <c r="G1962" s="203">
        <v>44769</v>
      </c>
      <c r="M1962" s="199"/>
      <c r="N1962" s="199"/>
      <c r="O1962" s="199"/>
      <c r="P1962" s="199"/>
      <c r="Q1962" s="199"/>
      <c r="R1962" s="199"/>
    </row>
    <row r="1963" spans="2:18">
      <c r="C1963" s="220" t="s">
        <v>549</v>
      </c>
      <c r="D1963" s="220" t="s">
        <v>714</v>
      </c>
      <c r="E1963" s="201">
        <v>12.3</v>
      </c>
      <c r="F1963" s="201">
        <v>6.3</v>
      </c>
      <c r="G1963" s="203">
        <v>44622</v>
      </c>
      <c r="M1963" s="199"/>
      <c r="N1963" s="199"/>
      <c r="O1963" s="199"/>
      <c r="P1963" s="199"/>
      <c r="Q1963" s="199"/>
      <c r="R1963" s="199"/>
    </row>
    <row r="1964" spans="2:18">
      <c r="C1964" s="252" t="s">
        <v>402</v>
      </c>
      <c r="D1964" s="252" t="s">
        <v>1692</v>
      </c>
      <c r="E1964" s="201">
        <v>35</v>
      </c>
      <c r="F1964" s="201">
        <v>10</v>
      </c>
      <c r="G1964" s="203">
        <v>44309</v>
      </c>
      <c r="M1964" s="199"/>
      <c r="N1964" s="199"/>
      <c r="O1964" s="199"/>
      <c r="P1964" s="199"/>
      <c r="Q1964" s="199"/>
      <c r="R1964" s="199"/>
    </row>
    <row r="1965" spans="2:18">
      <c r="C1965" s="220"/>
      <c r="D1965" s="220"/>
      <c r="G1965" s="203"/>
      <c r="M1965" s="199"/>
      <c r="N1965" s="199"/>
      <c r="O1965" s="199"/>
      <c r="P1965" s="199"/>
      <c r="Q1965" s="199"/>
      <c r="R1965" s="199"/>
    </row>
    <row r="1966" spans="2:18">
      <c r="B1966" s="219" t="s">
        <v>1770</v>
      </c>
      <c r="C1966" s="220" t="s">
        <v>549</v>
      </c>
      <c r="D1966" s="220" t="s">
        <v>715</v>
      </c>
      <c r="E1966" s="201">
        <v>8</v>
      </c>
      <c r="F1966" s="201">
        <v>3</v>
      </c>
      <c r="G1966" s="203">
        <v>44677</v>
      </c>
      <c r="M1966" s="199"/>
      <c r="N1966" s="199"/>
      <c r="O1966" s="199"/>
      <c r="P1966" s="199"/>
      <c r="Q1966" s="199"/>
      <c r="R1966" s="199"/>
    </row>
    <row r="1967" spans="2:18">
      <c r="B1967" s="219"/>
      <c r="C1967" s="228" t="s">
        <v>544</v>
      </c>
      <c r="D1967" s="228" t="s">
        <v>2459</v>
      </c>
      <c r="E1967" s="201">
        <v>13</v>
      </c>
      <c r="F1967" s="201">
        <v>1.4</v>
      </c>
      <c r="G1967" s="203">
        <v>44516</v>
      </c>
      <c r="M1967" s="199"/>
      <c r="N1967" s="199"/>
      <c r="O1967" s="199"/>
      <c r="P1967" s="199"/>
      <c r="Q1967" s="199"/>
      <c r="R1967" s="199"/>
    </row>
    <row r="1968" spans="2:18">
      <c r="B1968" s="219"/>
      <c r="C1968" s="249" t="s">
        <v>549</v>
      </c>
      <c r="D1968" s="249" t="s">
        <v>1413</v>
      </c>
      <c r="E1968" s="201">
        <v>3.5</v>
      </c>
      <c r="F1968" s="201">
        <f>E1968/10</f>
        <v>0.35</v>
      </c>
      <c r="G1968" s="203">
        <v>43046</v>
      </c>
      <c r="L1968" s="248">
        <v>0</v>
      </c>
      <c r="M1968" s="199"/>
      <c r="N1968" s="199"/>
      <c r="O1968" s="199"/>
      <c r="P1968" s="199"/>
      <c r="Q1968" s="199"/>
      <c r="R1968" s="199"/>
    </row>
    <row r="1969" spans="2:18">
      <c r="B1969" s="219"/>
      <c r="C1969" s="282" t="s">
        <v>402</v>
      </c>
      <c r="D1969" s="282" t="s">
        <v>4410</v>
      </c>
      <c r="E1969" s="201">
        <v>18</v>
      </c>
      <c r="F1969" s="201">
        <v>6</v>
      </c>
      <c r="G1969" s="203">
        <v>43207</v>
      </c>
      <c r="M1969" s="199"/>
      <c r="N1969" s="199"/>
      <c r="O1969" s="199"/>
      <c r="P1969" s="199"/>
      <c r="Q1969" s="199"/>
      <c r="R1969" s="199"/>
    </row>
    <row r="1970" spans="2:18">
      <c r="B1970" s="219"/>
      <c r="C1970" s="220"/>
      <c r="D1970" s="220"/>
      <c r="G1970" s="203"/>
      <c r="M1970" s="199"/>
      <c r="N1970" s="199"/>
      <c r="O1970" s="199"/>
      <c r="P1970" s="199"/>
      <c r="Q1970" s="199"/>
      <c r="R1970" s="199"/>
    </row>
    <row r="1971" spans="2:18">
      <c r="B1971" s="219" t="s">
        <v>1777</v>
      </c>
      <c r="C1971" s="220" t="s">
        <v>544</v>
      </c>
      <c r="D1971" s="220" t="s">
        <v>712</v>
      </c>
      <c r="E1971" s="201">
        <v>13</v>
      </c>
      <c r="F1971" s="201">
        <v>5</v>
      </c>
      <c r="G1971" s="203">
        <v>44642</v>
      </c>
      <c r="M1971" s="199"/>
      <c r="N1971" s="199"/>
      <c r="O1971" s="199"/>
      <c r="P1971" s="199"/>
      <c r="Q1971" s="199"/>
      <c r="R1971" s="199"/>
    </row>
    <row r="1972" spans="2:18">
      <c r="B1972" s="219"/>
      <c r="C1972" s="220" t="s">
        <v>549</v>
      </c>
      <c r="D1972" s="220" t="s">
        <v>712</v>
      </c>
      <c r="E1972" s="201">
        <v>3.5</v>
      </c>
      <c r="F1972" s="201">
        <v>1</v>
      </c>
      <c r="G1972" s="203">
        <v>44124</v>
      </c>
      <c r="M1972" s="199"/>
      <c r="N1972" s="199"/>
      <c r="O1972" s="199"/>
      <c r="P1972" s="199"/>
      <c r="Q1972" s="199"/>
      <c r="R1972" s="199"/>
    </row>
    <row r="1973" spans="2:18">
      <c r="B1973" s="219"/>
      <c r="C1973" s="220"/>
      <c r="D1973" s="220"/>
      <c r="G1973" s="203"/>
      <c r="M1973" s="199"/>
      <c r="N1973" s="199"/>
      <c r="O1973" s="199"/>
      <c r="P1973" s="199"/>
      <c r="Q1973" s="199"/>
      <c r="R1973" s="199"/>
    </row>
    <row r="1974" spans="2:18">
      <c r="B1974" s="219" t="s">
        <v>1779</v>
      </c>
      <c r="C1974" s="220" t="s">
        <v>544</v>
      </c>
      <c r="D1974" s="220" t="s">
        <v>712</v>
      </c>
      <c r="E1974" s="201">
        <v>13</v>
      </c>
      <c r="F1974" s="201">
        <f>8/4</f>
        <v>2</v>
      </c>
      <c r="G1974" s="203">
        <v>44642</v>
      </c>
      <c r="M1974" s="199"/>
      <c r="N1974" s="199"/>
      <c r="O1974" s="199"/>
      <c r="P1974" s="199"/>
      <c r="Q1974" s="199"/>
      <c r="R1974" s="199"/>
    </row>
    <row r="1975" spans="2:18">
      <c r="B1975" s="219"/>
      <c r="C1975" s="220" t="s">
        <v>549</v>
      </c>
      <c r="D1975" s="220" t="s">
        <v>712</v>
      </c>
      <c r="E1975" s="201">
        <v>3.5</v>
      </c>
      <c r="F1975" s="201">
        <v>1.5</v>
      </c>
      <c r="G1975" s="203">
        <v>44124</v>
      </c>
      <c r="M1975" s="199"/>
      <c r="N1975" s="199"/>
      <c r="O1975" s="199"/>
      <c r="P1975" s="199"/>
      <c r="Q1975" s="199"/>
      <c r="R1975" s="199"/>
    </row>
    <row r="1976" spans="2:18">
      <c r="B1976" s="219"/>
      <c r="C1976" s="220"/>
      <c r="D1976" s="220"/>
      <c r="G1976" s="203"/>
      <c r="M1976" s="199"/>
      <c r="N1976" s="199"/>
      <c r="O1976" s="199"/>
      <c r="P1976" s="199"/>
      <c r="Q1976" s="199"/>
      <c r="R1976" s="199"/>
    </row>
    <row r="1977" spans="2:18">
      <c r="B1977" s="219"/>
      <c r="C1977" s="220"/>
      <c r="D1977" s="220"/>
      <c r="G1977" s="203"/>
      <c r="M1977" s="199"/>
      <c r="N1977" s="199"/>
      <c r="O1977" s="199"/>
      <c r="P1977" s="199"/>
      <c r="Q1977" s="199"/>
      <c r="R1977" s="199"/>
    </row>
    <row r="1978" spans="2:18">
      <c r="B1978" s="219" t="s">
        <v>1787</v>
      </c>
      <c r="C1978" s="220" t="s">
        <v>544</v>
      </c>
      <c r="D1978" s="220" t="s">
        <v>713</v>
      </c>
      <c r="E1978" s="201">
        <v>12.5</v>
      </c>
      <c r="F1978" s="201">
        <f>E1978/3</f>
        <v>4.166666666666667</v>
      </c>
      <c r="G1978" s="203">
        <v>44825</v>
      </c>
      <c r="M1978" s="199"/>
      <c r="N1978" s="199"/>
      <c r="O1978" s="199"/>
      <c r="P1978" s="199"/>
      <c r="Q1978" s="199"/>
      <c r="R1978" s="199"/>
    </row>
    <row r="1979" spans="2:18">
      <c r="B1979" s="219"/>
      <c r="C1979" s="225" t="s">
        <v>544</v>
      </c>
      <c r="D1979" s="225" t="s">
        <v>445</v>
      </c>
      <c r="E1979" s="201">
        <v>7</v>
      </c>
      <c r="F1979" s="201">
        <v>1</v>
      </c>
      <c r="G1979" s="203">
        <v>42885</v>
      </c>
      <c r="M1979" s="199"/>
      <c r="N1979" s="199"/>
      <c r="O1979" s="199"/>
      <c r="P1979" s="199"/>
      <c r="Q1979" s="199"/>
      <c r="R1979" s="199"/>
    </row>
    <row r="1980" spans="2:18">
      <c r="B1980" s="219"/>
      <c r="C1980" s="220"/>
      <c r="D1980" s="220"/>
      <c r="G1980" s="203"/>
      <c r="M1980" s="199"/>
      <c r="N1980" s="199"/>
      <c r="O1980" s="199"/>
      <c r="P1980" s="199"/>
      <c r="Q1980" s="199"/>
      <c r="R1980" s="199"/>
    </row>
    <row r="1981" spans="2:18">
      <c r="B1981" s="219"/>
      <c r="C1981" s="220"/>
      <c r="D1981" s="220"/>
      <c r="G1981" s="203"/>
      <c r="M1981" s="199"/>
      <c r="N1981" s="199"/>
      <c r="O1981" s="199"/>
      <c r="P1981" s="199"/>
      <c r="Q1981" s="199"/>
      <c r="R1981" s="199"/>
    </row>
    <row r="1982" spans="2:18">
      <c r="B1982" s="221" t="s">
        <v>1829</v>
      </c>
      <c r="C1982" s="222" t="s">
        <v>544</v>
      </c>
      <c r="D1982" s="220" t="s">
        <v>716</v>
      </c>
      <c r="E1982" s="201">
        <v>12</v>
      </c>
      <c r="F1982" s="201">
        <f>6/3</f>
        <v>2</v>
      </c>
      <c r="G1982" s="203">
        <v>44860</v>
      </c>
      <c r="M1982" s="199"/>
      <c r="N1982" s="199"/>
      <c r="O1982" s="199"/>
      <c r="P1982" s="199"/>
      <c r="Q1982" s="199"/>
      <c r="R1982" s="199"/>
    </row>
    <row r="1983" spans="2:18">
      <c r="C1983" s="222" t="s">
        <v>549</v>
      </c>
      <c r="D1983" s="220" t="s">
        <v>716</v>
      </c>
      <c r="E1983" s="201">
        <v>2.8</v>
      </c>
      <c r="F1983" s="201">
        <v>1.4</v>
      </c>
      <c r="G1983" s="203">
        <v>44215</v>
      </c>
      <c r="M1983" s="199"/>
      <c r="N1983" s="199"/>
      <c r="O1983" s="199"/>
      <c r="P1983" s="199"/>
      <c r="Q1983" s="199"/>
      <c r="R1983" s="199"/>
    </row>
    <row r="1984" spans="2:18">
      <c r="B1984" s="221" t="s">
        <v>1836</v>
      </c>
      <c r="C1984" s="222" t="s">
        <v>544</v>
      </c>
      <c r="D1984" s="222" t="s">
        <v>1835</v>
      </c>
      <c r="E1984" s="201">
        <v>11</v>
      </c>
      <c r="F1984" s="201">
        <v>4</v>
      </c>
      <c r="G1984" s="203">
        <v>44959</v>
      </c>
      <c r="M1984" s="199"/>
      <c r="N1984" s="199"/>
      <c r="O1984" s="199"/>
      <c r="P1984" s="199"/>
      <c r="Q1984" s="199"/>
      <c r="R1984" s="199"/>
    </row>
    <row r="1985" spans="2:18">
      <c r="C1985" s="222" t="s">
        <v>549</v>
      </c>
      <c r="D1985" s="222" t="s">
        <v>1835</v>
      </c>
      <c r="E1985" s="201">
        <v>2.2000000000000002</v>
      </c>
      <c r="F1985" s="201">
        <v>1</v>
      </c>
      <c r="G1985" s="203">
        <v>44959</v>
      </c>
      <c r="M1985" s="199"/>
      <c r="N1985" s="199"/>
      <c r="O1985" s="199"/>
      <c r="P1985" s="199"/>
      <c r="Q1985" s="199"/>
      <c r="R1985" s="199"/>
    </row>
    <row r="1986" spans="2:18">
      <c r="B1986" s="221" t="s">
        <v>1855</v>
      </c>
      <c r="C1986" s="222" t="s">
        <v>669</v>
      </c>
      <c r="D1986" s="222" t="s">
        <v>1852</v>
      </c>
      <c r="E1986" s="201">
        <v>0.1</v>
      </c>
      <c r="F1986" s="201">
        <v>0.1</v>
      </c>
      <c r="G1986" s="203">
        <v>43499</v>
      </c>
      <c r="M1986" s="199"/>
      <c r="N1986" s="199"/>
      <c r="O1986" s="199"/>
      <c r="P1986" s="199"/>
      <c r="Q1986" s="199"/>
      <c r="R1986" s="199"/>
    </row>
    <row r="1987" spans="2:18">
      <c r="B1987" s="221"/>
      <c r="C1987" s="222" t="s">
        <v>669</v>
      </c>
      <c r="D1987" s="228" t="s">
        <v>1226</v>
      </c>
      <c r="E1987" s="201">
        <v>0.12</v>
      </c>
      <c r="F1987" s="201">
        <v>0.12</v>
      </c>
      <c r="G1987" s="203">
        <v>44082</v>
      </c>
      <c r="M1987" s="199"/>
      <c r="N1987" s="199"/>
      <c r="O1987" s="199"/>
      <c r="P1987" s="199"/>
      <c r="Q1987" s="199"/>
      <c r="R1987" s="199"/>
    </row>
    <row r="1988" spans="2:18">
      <c r="B1988" s="221"/>
      <c r="C1988" s="222" t="s">
        <v>669</v>
      </c>
      <c r="D1988" s="249" t="s">
        <v>1543</v>
      </c>
      <c r="G1988" s="203"/>
      <c r="M1988" s="199"/>
      <c r="N1988" s="199"/>
      <c r="O1988" s="199"/>
      <c r="P1988" s="199"/>
      <c r="Q1988" s="199"/>
      <c r="R1988" s="199"/>
    </row>
    <row r="1989" spans="2:18">
      <c r="B1989" s="221"/>
      <c r="C1989" s="222"/>
      <c r="D1989" s="222"/>
      <c r="G1989" s="203"/>
      <c r="M1989" s="199"/>
      <c r="N1989" s="199"/>
      <c r="O1989" s="199"/>
      <c r="P1989" s="199"/>
      <c r="Q1989" s="199"/>
      <c r="R1989" s="199"/>
    </row>
    <row r="1990" spans="2:18">
      <c r="B1990" s="221" t="s">
        <v>1860</v>
      </c>
      <c r="C1990" s="222" t="s">
        <v>549</v>
      </c>
      <c r="D1990" s="222" t="s">
        <v>584</v>
      </c>
      <c r="E1990" s="201">
        <v>10.6</v>
      </c>
      <c r="F1990" s="201">
        <v>5.6</v>
      </c>
      <c r="G1990" s="203">
        <v>45007</v>
      </c>
      <c r="M1990" s="199"/>
      <c r="N1990" s="199"/>
      <c r="O1990" s="199"/>
      <c r="P1990" s="199"/>
      <c r="Q1990" s="199"/>
      <c r="R1990" s="199"/>
    </row>
    <row r="1991" spans="2:18">
      <c r="B1991" s="221" t="s">
        <v>1863</v>
      </c>
      <c r="C1991" s="222" t="s">
        <v>544</v>
      </c>
      <c r="D1991" s="222" t="s">
        <v>724</v>
      </c>
      <c r="E1991" s="201">
        <v>10.5</v>
      </c>
      <c r="F1991" s="201">
        <v>4</v>
      </c>
      <c r="G1991" s="203">
        <v>44984</v>
      </c>
      <c r="M1991" s="199"/>
      <c r="N1991" s="199"/>
      <c r="O1991" s="199"/>
      <c r="P1991" s="199"/>
      <c r="Q1991" s="199"/>
      <c r="R1991" s="199"/>
    </row>
    <row r="1992" spans="2:18">
      <c r="B1992" s="221"/>
      <c r="C1992" s="222" t="s">
        <v>549</v>
      </c>
      <c r="D1992" s="222" t="s">
        <v>724</v>
      </c>
      <c r="E1992" s="201">
        <v>3</v>
      </c>
      <c r="F1992" s="201">
        <v>1</v>
      </c>
      <c r="G1992" s="203">
        <v>44539</v>
      </c>
      <c r="M1992" s="199"/>
      <c r="N1992" s="199"/>
      <c r="O1992" s="199"/>
      <c r="P1992" s="199"/>
      <c r="Q1992" s="199"/>
      <c r="R1992" s="199"/>
    </row>
    <row r="1993" spans="2:18">
      <c r="B1993" s="221"/>
      <c r="C1993" s="222" t="s">
        <v>549</v>
      </c>
      <c r="D1993" s="222" t="s">
        <v>724</v>
      </c>
      <c r="E1993" s="201">
        <v>2</v>
      </c>
      <c r="F1993" s="201">
        <v>1</v>
      </c>
      <c r="G1993" s="203">
        <v>44389</v>
      </c>
      <c r="M1993" s="199"/>
      <c r="N1993" s="199"/>
      <c r="O1993" s="199"/>
      <c r="P1993" s="199"/>
      <c r="Q1993" s="199"/>
      <c r="R1993" s="199"/>
    </row>
    <row r="1994" spans="2:18">
      <c r="B1994" s="221"/>
      <c r="C1994" s="228" t="s">
        <v>544</v>
      </c>
      <c r="D1994" s="228" t="s">
        <v>1225</v>
      </c>
      <c r="E1994" s="201">
        <v>5</v>
      </c>
      <c r="F1994" s="201">
        <v>1</v>
      </c>
      <c r="G1994" s="203">
        <v>44514</v>
      </c>
      <c r="M1994" s="199"/>
      <c r="N1994" s="199"/>
      <c r="O1994" s="199"/>
      <c r="P1994" s="199"/>
      <c r="Q1994" s="199"/>
      <c r="R1994" s="199"/>
    </row>
    <row r="1995" spans="2:18">
      <c r="B1995" s="221"/>
      <c r="C1995" s="222"/>
      <c r="D1995" s="222"/>
      <c r="G1995" s="203"/>
      <c r="M1995" s="199"/>
      <c r="N1995" s="199"/>
      <c r="O1995" s="199"/>
      <c r="P1995" s="199"/>
      <c r="Q1995" s="199"/>
      <c r="R1995" s="199"/>
    </row>
    <row r="1996" spans="2:18">
      <c r="B1996" s="221" t="s">
        <v>1865</v>
      </c>
      <c r="C1996" s="222" t="s">
        <v>549</v>
      </c>
      <c r="D1996" s="222" t="s">
        <v>724</v>
      </c>
      <c r="E1996" s="201">
        <v>3</v>
      </c>
      <c r="F1996" s="201">
        <v>1</v>
      </c>
      <c r="G1996" s="203">
        <v>44539</v>
      </c>
      <c r="M1996" s="199"/>
      <c r="N1996" s="199"/>
      <c r="O1996" s="199"/>
      <c r="P1996" s="199"/>
      <c r="Q1996" s="199"/>
      <c r="R1996" s="199"/>
    </row>
    <row r="1997" spans="2:18">
      <c r="B1997" s="221" t="s">
        <v>1869</v>
      </c>
      <c r="C1997" s="222" t="s">
        <v>544</v>
      </c>
      <c r="D1997" s="222" t="s">
        <v>726</v>
      </c>
      <c r="E1997" s="201">
        <v>10</v>
      </c>
      <c r="F1997" s="201">
        <v>10</v>
      </c>
      <c r="G1997" s="203">
        <v>44013</v>
      </c>
      <c r="M1997" s="199"/>
      <c r="N1997" s="199"/>
      <c r="O1997" s="199"/>
      <c r="P1997" s="199"/>
      <c r="Q1997" s="199"/>
      <c r="R1997" s="199"/>
    </row>
    <row r="1998" spans="2:18">
      <c r="M1998" s="199"/>
      <c r="N1998" s="199"/>
      <c r="O1998" s="199"/>
      <c r="P1998" s="199"/>
      <c r="Q1998" s="199"/>
      <c r="R1998" s="199"/>
    </row>
    <row r="1999" spans="2:18">
      <c r="B1999" s="221"/>
      <c r="C1999" s="222"/>
      <c r="D1999" s="222"/>
      <c r="G1999" s="203"/>
      <c r="M1999" s="199"/>
      <c r="N1999" s="199"/>
      <c r="O1999" s="199"/>
      <c r="P1999" s="199"/>
      <c r="Q1999" s="199"/>
      <c r="R1999" s="199"/>
    </row>
    <row r="2000" spans="2:18">
      <c r="B2000" s="221" t="s">
        <v>1879</v>
      </c>
      <c r="C2000" s="222" t="s">
        <v>544</v>
      </c>
      <c r="D2000" s="222" t="s">
        <v>1880</v>
      </c>
      <c r="E2000" s="201">
        <v>10</v>
      </c>
      <c r="F2000" s="201">
        <v>4</v>
      </c>
      <c r="G2000" s="203">
        <v>44825</v>
      </c>
      <c r="M2000" s="199"/>
      <c r="N2000" s="199"/>
      <c r="O2000" s="199"/>
      <c r="P2000" s="199"/>
      <c r="Q2000" s="199"/>
      <c r="R2000" s="199"/>
    </row>
    <row r="2001" spans="2:18">
      <c r="C2001" s="222" t="s">
        <v>549</v>
      </c>
      <c r="D2001" s="222" t="s">
        <v>1880</v>
      </c>
      <c r="E2001" s="201">
        <v>1.5</v>
      </c>
      <c r="F2001" s="201">
        <v>1.5</v>
      </c>
      <c r="G2001" s="203">
        <v>44406</v>
      </c>
      <c r="M2001" s="199"/>
      <c r="N2001" s="199"/>
      <c r="O2001" s="199"/>
      <c r="P2001" s="199"/>
      <c r="Q2001" s="199"/>
      <c r="R2001" s="199"/>
    </row>
    <row r="2002" spans="2:18">
      <c r="C2002" s="274" t="s">
        <v>549</v>
      </c>
      <c r="D2002" s="274" t="s">
        <v>1832</v>
      </c>
      <c r="E2002" s="201">
        <v>0.7</v>
      </c>
      <c r="F2002" s="201">
        <v>0.7</v>
      </c>
      <c r="G2002" s="203">
        <v>42553</v>
      </c>
      <c r="M2002" s="199"/>
      <c r="N2002" s="199"/>
      <c r="O2002" s="199"/>
      <c r="P2002" s="199"/>
      <c r="Q2002" s="199"/>
      <c r="R2002" s="199"/>
    </row>
    <row r="2003" spans="2:18">
      <c r="C2003" s="222"/>
      <c r="D2003" s="222"/>
      <c r="G2003" s="203"/>
      <c r="M2003" s="199"/>
      <c r="N2003" s="199"/>
      <c r="O2003" s="199"/>
      <c r="P2003" s="199"/>
      <c r="Q2003" s="199"/>
      <c r="R2003" s="199"/>
    </row>
    <row r="2004" spans="2:18">
      <c r="B2004" s="221" t="s">
        <v>1885</v>
      </c>
      <c r="C2004" s="222" t="s">
        <v>544</v>
      </c>
      <c r="D2004" s="222" t="s">
        <v>734</v>
      </c>
      <c r="E2004" s="201">
        <v>10</v>
      </c>
      <c r="F2004" s="201">
        <v>4</v>
      </c>
      <c r="G2004" s="203">
        <v>44930</v>
      </c>
      <c r="M2004" s="199"/>
      <c r="N2004" s="199"/>
      <c r="O2004" s="199"/>
      <c r="P2004" s="199"/>
      <c r="Q2004" s="199"/>
      <c r="R2004" s="199"/>
    </row>
    <row r="2005" spans="2:18">
      <c r="B2005" s="221" t="s">
        <v>1886</v>
      </c>
      <c r="C2005" s="222" t="s">
        <v>544</v>
      </c>
      <c r="D2005" s="222" t="s">
        <v>734</v>
      </c>
      <c r="E2005" s="201">
        <v>10</v>
      </c>
      <c r="F2005" s="201">
        <v>2</v>
      </c>
      <c r="G2005" s="203">
        <v>44930</v>
      </c>
      <c r="M2005" s="199"/>
      <c r="N2005" s="199"/>
      <c r="O2005" s="199"/>
      <c r="P2005" s="199"/>
      <c r="Q2005" s="199"/>
      <c r="R2005" s="199"/>
    </row>
    <row r="2006" spans="2:18">
      <c r="B2006" s="221" t="s">
        <v>1887</v>
      </c>
      <c r="C2006" s="222" t="s">
        <v>544</v>
      </c>
      <c r="D2006" s="222" t="s">
        <v>734</v>
      </c>
      <c r="E2006" s="201">
        <v>10</v>
      </c>
      <c r="F2006" s="201">
        <v>2</v>
      </c>
      <c r="G2006" s="203">
        <v>44930</v>
      </c>
      <c r="M2006" s="199"/>
      <c r="N2006" s="199"/>
      <c r="O2006" s="199"/>
      <c r="P2006" s="199"/>
      <c r="Q2006" s="199"/>
      <c r="R2006" s="199"/>
    </row>
    <row r="2007" spans="2:18">
      <c r="B2007" s="221" t="s">
        <v>1888</v>
      </c>
      <c r="C2007" s="222" t="s">
        <v>544</v>
      </c>
      <c r="D2007" s="222" t="s">
        <v>734</v>
      </c>
      <c r="E2007" s="201">
        <v>10</v>
      </c>
      <c r="F2007" s="201">
        <v>2</v>
      </c>
      <c r="G2007" s="203">
        <v>44930</v>
      </c>
      <c r="M2007" s="199"/>
      <c r="N2007" s="199"/>
      <c r="O2007" s="199"/>
      <c r="P2007" s="199"/>
      <c r="Q2007" s="199"/>
      <c r="R2007" s="199"/>
    </row>
    <row r="2008" spans="2:18">
      <c r="B2008" s="221"/>
      <c r="C2008" s="222"/>
      <c r="D2008" s="222"/>
      <c r="G2008" s="203"/>
      <c r="M2008" s="199"/>
      <c r="N2008" s="199"/>
      <c r="O2008" s="199"/>
      <c r="P2008" s="199"/>
      <c r="Q2008" s="199"/>
      <c r="R2008" s="199"/>
    </row>
    <row r="2009" spans="2:18">
      <c r="B2009" s="221" t="s">
        <v>1897</v>
      </c>
      <c r="C2009" s="222" t="s">
        <v>565</v>
      </c>
      <c r="D2009" s="222" t="s">
        <v>434</v>
      </c>
      <c r="E2009" s="201">
        <v>169</v>
      </c>
      <c r="F2009" s="201">
        <v>169</v>
      </c>
      <c r="G2009" s="203">
        <v>44727</v>
      </c>
      <c r="M2009" s="199"/>
      <c r="N2009" s="199"/>
      <c r="O2009" s="199"/>
      <c r="P2009" s="199"/>
      <c r="Q2009" s="199"/>
      <c r="R2009" s="199"/>
    </row>
    <row r="2010" spans="2:18">
      <c r="B2010" s="221"/>
      <c r="C2010" s="222" t="s">
        <v>565</v>
      </c>
      <c r="D2010" s="238" t="s">
        <v>1330</v>
      </c>
      <c r="E2010" s="201">
        <v>65</v>
      </c>
      <c r="F2010" s="201">
        <v>32.5</v>
      </c>
      <c r="G2010" s="203">
        <v>43789</v>
      </c>
      <c r="M2010" s="199"/>
      <c r="N2010" s="199"/>
      <c r="O2010" s="199"/>
      <c r="P2010" s="199"/>
      <c r="Q2010" s="199"/>
      <c r="R2010" s="199"/>
    </row>
    <row r="2011" spans="2:18">
      <c r="B2011" s="221"/>
      <c r="C2011" s="222"/>
      <c r="D2011" s="222"/>
      <c r="G2011" s="203"/>
      <c r="M2011" s="199"/>
      <c r="N2011" s="199"/>
      <c r="O2011" s="199"/>
      <c r="P2011" s="199"/>
      <c r="Q2011" s="199"/>
      <c r="R2011" s="199"/>
    </row>
    <row r="2012" spans="2:18">
      <c r="B2012" s="221" t="s">
        <v>1906</v>
      </c>
      <c r="C2012" s="222" t="s">
        <v>669</v>
      </c>
      <c r="D2012" s="222" t="s">
        <v>1907</v>
      </c>
      <c r="E2012" s="201">
        <v>0.5</v>
      </c>
      <c r="F2012" s="201">
        <v>0.5</v>
      </c>
      <c r="G2012" s="203">
        <v>45021</v>
      </c>
      <c r="M2012" s="199"/>
      <c r="N2012" s="199"/>
      <c r="O2012" s="199"/>
      <c r="P2012" s="199"/>
      <c r="Q2012" s="199"/>
      <c r="R2012" s="199"/>
    </row>
    <row r="2013" spans="2:18">
      <c r="B2013" s="221"/>
      <c r="C2013" s="222" t="s">
        <v>669</v>
      </c>
      <c r="D2013" s="249" t="s">
        <v>1543</v>
      </c>
      <c r="E2013" s="201">
        <v>0.75</v>
      </c>
      <c r="F2013" s="201">
        <f>E2013/3</f>
        <v>0.25</v>
      </c>
      <c r="G2013" s="203">
        <v>44043</v>
      </c>
      <c r="M2013" s="199"/>
      <c r="N2013" s="199"/>
      <c r="O2013" s="199"/>
      <c r="P2013" s="199"/>
      <c r="Q2013" s="199"/>
      <c r="R2013" s="199"/>
    </row>
    <row r="2014" spans="2:18">
      <c r="B2014" s="221"/>
      <c r="C2014" s="222"/>
      <c r="D2014" s="222"/>
      <c r="G2014" s="203"/>
      <c r="M2014" s="199"/>
      <c r="N2014" s="199"/>
      <c r="O2014" s="199"/>
      <c r="P2014" s="199"/>
      <c r="Q2014" s="199"/>
      <c r="R2014" s="199"/>
    </row>
    <row r="2015" spans="2:18">
      <c r="B2015" s="224" t="s">
        <v>2124</v>
      </c>
      <c r="C2015" s="225" t="s">
        <v>738</v>
      </c>
      <c r="D2015" s="225" t="s">
        <v>441</v>
      </c>
      <c r="E2015" s="201">
        <v>132</v>
      </c>
      <c r="F2015" s="201">
        <v>20</v>
      </c>
      <c r="G2015" s="203">
        <v>44215</v>
      </c>
      <c r="M2015" s="199"/>
      <c r="N2015" s="199"/>
      <c r="O2015" s="199"/>
      <c r="P2015" s="199"/>
      <c r="Q2015" s="199"/>
      <c r="R2015" s="199"/>
    </row>
    <row r="2016" spans="2:18">
      <c r="B2016" s="224"/>
      <c r="C2016" s="225" t="s">
        <v>755</v>
      </c>
      <c r="D2016" s="225" t="s">
        <v>441</v>
      </c>
      <c r="E2016" s="201">
        <v>42</v>
      </c>
      <c r="F2016" s="201">
        <v>12</v>
      </c>
      <c r="G2016" s="203">
        <v>44153</v>
      </c>
      <c r="M2016" s="199"/>
      <c r="N2016" s="199"/>
      <c r="O2016" s="199"/>
      <c r="P2016" s="199"/>
      <c r="Q2016" s="199"/>
      <c r="R2016" s="199"/>
    </row>
    <row r="2017" spans="2:18">
      <c r="B2017" s="224"/>
      <c r="C2017" s="249" t="s">
        <v>402</v>
      </c>
      <c r="D2017" s="249" t="s">
        <v>1599</v>
      </c>
      <c r="E2017" s="201">
        <v>55</v>
      </c>
      <c r="F2017" s="201">
        <f>30/6</f>
        <v>5</v>
      </c>
      <c r="G2017" s="203">
        <v>44200</v>
      </c>
      <c r="M2017" s="199"/>
      <c r="N2017" s="199"/>
      <c r="O2017" s="199"/>
      <c r="P2017" s="199"/>
      <c r="Q2017" s="199"/>
      <c r="R2017" s="199"/>
    </row>
    <row r="2018" spans="2:18">
      <c r="B2018" s="224"/>
      <c r="C2018" s="249" t="s">
        <v>565</v>
      </c>
      <c r="D2018" s="249" t="s">
        <v>1599</v>
      </c>
      <c r="E2018" s="201">
        <v>91</v>
      </c>
      <c r="F2018" s="201">
        <v>8.75</v>
      </c>
      <c r="G2018" s="203">
        <v>44867</v>
      </c>
      <c r="M2018" s="199"/>
      <c r="N2018" s="199"/>
      <c r="O2018" s="199"/>
      <c r="P2018" s="199"/>
      <c r="Q2018" s="199"/>
      <c r="R2018" s="199"/>
    </row>
    <row r="2019" spans="2:18">
      <c r="B2019" s="224"/>
      <c r="C2019" s="272" t="s">
        <v>813</v>
      </c>
      <c r="D2019" s="272" t="s">
        <v>1822</v>
      </c>
      <c r="E2019" s="201">
        <v>475</v>
      </c>
      <c r="F2019" s="201">
        <f>E2019/12</f>
        <v>39.583333333333336</v>
      </c>
      <c r="G2019" s="203">
        <v>44278</v>
      </c>
      <c r="M2019" s="199"/>
      <c r="N2019" s="199"/>
      <c r="O2019" s="199"/>
      <c r="P2019" s="199"/>
      <c r="Q2019" s="199"/>
      <c r="R2019" s="199"/>
    </row>
    <row r="2020" spans="2:18">
      <c r="B2020" s="224"/>
      <c r="C2020" s="225"/>
      <c r="D2020" s="225"/>
      <c r="G2020" s="203"/>
      <c r="M2020" s="199"/>
      <c r="N2020" s="199"/>
      <c r="O2020" s="199"/>
      <c r="P2020" s="199"/>
      <c r="Q2020" s="199"/>
      <c r="R2020" s="199"/>
    </row>
    <row r="2021" spans="2:18">
      <c r="B2021" s="224" t="s">
        <v>2125</v>
      </c>
      <c r="C2021" s="225" t="s">
        <v>738</v>
      </c>
      <c r="D2021" s="225" t="s">
        <v>441</v>
      </c>
      <c r="E2021" s="201">
        <v>132</v>
      </c>
      <c r="F2021" s="201">
        <v>20</v>
      </c>
      <c r="G2021" s="203">
        <v>44215</v>
      </c>
      <c r="M2021" s="199"/>
      <c r="N2021" s="199"/>
      <c r="O2021" s="199"/>
      <c r="P2021" s="199"/>
      <c r="Q2021" s="199"/>
      <c r="R2021" s="199"/>
    </row>
    <row r="2022" spans="2:18">
      <c r="B2022" s="224"/>
      <c r="C2022" s="225" t="s">
        <v>755</v>
      </c>
      <c r="D2022" s="225" t="s">
        <v>441</v>
      </c>
      <c r="E2022" s="201">
        <v>42</v>
      </c>
      <c r="F2022" s="201">
        <f>30/5</f>
        <v>6</v>
      </c>
      <c r="G2022" s="203">
        <v>44153</v>
      </c>
      <c r="M2022" s="199"/>
      <c r="N2022" s="199"/>
      <c r="O2022" s="199"/>
      <c r="P2022" s="199"/>
      <c r="Q2022" s="199"/>
      <c r="R2022" s="199"/>
    </row>
    <row r="2023" spans="2:18">
      <c r="B2023" s="224" t="s">
        <v>2126</v>
      </c>
      <c r="C2023" s="225" t="s">
        <v>738</v>
      </c>
      <c r="D2023" s="225" t="s">
        <v>441</v>
      </c>
      <c r="E2023" s="201">
        <v>132</v>
      </c>
      <c r="F2023" s="201">
        <f>72/10</f>
        <v>7.2</v>
      </c>
      <c r="G2023" s="203">
        <v>44215</v>
      </c>
      <c r="M2023" s="199"/>
      <c r="N2023" s="199"/>
      <c r="O2023" s="199"/>
      <c r="P2023" s="199"/>
      <c r="Q2023" s="199"/>
      <c r="R2023" s="199"/>
    </row>
    <row r="2024" spans="2:18">
      <c r="B2024" s="224"/>
      <c r="C2024" s="225" t="s">
        <v>565</v>
      </c>
      <c r="D2024" s="225" t="s">
        <v>441</v>
      </c>
      <c r="E2024" s="201">
        <v>48</v>
      </c>
      <c r="F2024" s="201">
        <f>28/7</f>
        <v>4</v>
      </c>
      <c r="G2024" s="203">
        <v>43888</v>
      </c>
      <c r="M2024" s="199"/>
      <c r="N2024" s="199"/>
      <c r="O2024" s="199"/>
      <c r="P2024" s="199"/>
      <c r="Q2024" s="199"/>
      <c r="R2024" s="199"/>
    </row>
    <row r="2025" spans="2:18">
      <c r="B2025" s="224"/>
      <c r="C2025" s="225" t="s">
        <v>402</v>
      </c>
      <c r="D2025" s="225" t="s">
        <v>441</v>
      </c>
      <c r="E2025" s="201">
        <v>25</v>
      </c>
      <c r="F2025" s="201">
        <f>10/5</f>
        <v>2</v>
      </c>
      <c r="G2025" s="203">
        <v>43440</v>
      </c>
      <c r="M2025" s="199"/>
      <c r="N2025" s="199"/>
      <c r="O2025" s="199"/>
      <c r="P2025" s="199"/>
      <c r="Q2025" s="199"/>
      <c r="R2025" s="199"/>
    </row>
    <row r="2026" spans="2:18">
      <c r="C2026" s="225" t="s">
        <v>544</v>
      </c>
      <c r="D2026" s="225" t="s">
        <v>441</v>
      </c>
      <c r="E2026" s="201">
        <v>5.8</v>
      </c>
      <c r="F2026" s="201">
        <f>E2026/4</f>
        <v>1.45</v>
      </c>
      <c r="G2026" s="203">
        <v>43117</v>
      </c>
      <c r="M2026" s="199"/>
      <c r="N2026" s="199"/>
      <c r="O2026" s="199"/>
      <c r="P2026" s="199"/>
      <c r="Q2026" s="199"/>
      <c r="R2026" s="199"/>
    </row>
    <row r="2027" spans="2:18">
      <c r="C2027" s="225" t="s">
        <v>549</v>
      </c>
      <c r="D2027" s="225" t="s">
        <v>441</v>
      </c>
      <c r="E2027" s="201">
        <v>3.3</v>
      </c>
      <c r="F2027" s="201">
        <v>0.5</v>
      </c>
      <c r="G2027" s="203">
        <v>42678</v>
      </c>
      <c r="M2027" s="199"/>
      <c r="N2027" s="199"/>
      <c r="O2027" s="199"/>
      <c r="P2027" s="199"/>
      <c r="Q2027" s="199"/>
      <c r="R2027" s="199"/>
    </row>
    <row r="2028" spans="2:18">
      <c r="B2028" s="224" t="s">
        <v>2127</v>
      </c>
      <c r="C2028" s="225" t="s">
        <v>738</v>
      </c>
      <c r="D2028" s="225" t="s">
        <v>441</v>
      </c>
      <c r="E2028" s="201">
        <v>132</v>
      </c>
      <c r="F2028" s="201">
        <f>72/10</f>
        <v>7.2</v>
      </c>
      <c r="G2028" s="203">
        <v>44215</v>
      </c>
      <c r="M2028" s="199"/>
      <c r="N2028" s="199"/>
      <c r="O2028" s="199"/>
      <c r="P2028" s="199"/>
      <c r="Q2028" s="199"/>
      <c r="R2028" s="199"/>
    </row>
    <row r="2029" spans="2:18">
      <c r="B2029" s="224"/>
      <c r="C2029" s="225" t="s">
        <v>755</v>
      </c>
      <c r="D2029" s="225" t="s">
        <v>441</v>
      </c>
      <c r="E2029" s="201">
        <v>42</v>
      </c>
      <c r="F2029" s="201">
        <f>30/5</f>
        <v>6</v>
      </c>
      <c r="G2029" s="203">
        <v>44153</v>
      </c>
      <c r="M2029" s="199"/>
      <c r="N2029" s="199"/>
      <c r="O2029" s="199"/>
      <c r="P2029" s="199"/>
      <c r="Q2029" s="199"/>
      <c r="R2029" s="199"/>
    </row>
    <row r="2030" spans="2:18">
      <c r="B2030" s="224"/>
      <c r="C2030" s="225" t="s">
        <v>565</v>
      </c>
      <c r="D2030" s="225" t="s">
        <v>441</v>
      </c>
      <c r="E2030" s="201">
        <v>48</v>
      </c>
      <c r="F2030" s="201">
        <f>28/7</f>
        <v>4</v>
      </c>
      <c r="G2030" s="203">
        <v>43888</v>
      </c>
      <c r="M2030" s="199"/>
      <c r="N2030" s="199"/>
      <c r="O2030" s="199"/>
      <c r="P2030" s="199"/>
      <c r="Q2030" s="199"/>
      <c r="R2030" s="199"/>
    </row>
    <row r="2031" spans="2:18">
      <c r="B2031" s="224"/>
      <c r="C2031" s="225" t="s">
        <v>402</v>
      </c>
      <c r="D2031" s="225" t="s">
        <v>441</v>
      </c>
      <c r="E2031" s="201">
        <v>25</v>
      </c>
      <c r="F2031" s="201">
        <f>10/5</f>
        <v>2</v>
      </c>
      <c r="G2031" s="203">
        <v>43440</v>
      </c>
      <c r="M2031" s="199"/>
      <c r="N2031" s="199"/>
      <c r="O2031" s="199"/>
      <c r="P2031" s="199"/>
      <c r="Q2031" s="199"/>
      <c r="R2031" s="199"/>
    </row>
    <row r="2032" spans="2:18">
      <c r="B2032" s="224" t="s">
        <v>2128</v>
      </c>
      <c r="C2032" s="225" t="s">
        <v>738</v>
      </c>
      <c r="D2032" s="225" t="s">
        <v>441</v>
      </c>
      <c r="E2032" s="201">
        <v>132</v>
      </c>
      <c r="F2032" s="201">
        <f>72/10</f>
        <v>7.2</v>
      </c>
      <c r="G2032" s="203">
        <v>44215</v>
      </c>
      <c r="M2032" s="199"/>
      <c r="N2032" s="199"/>
      <c r="O2032" s="199"/>
      <c r="P2032" s="199"/>
      <c r="Q2032" s="199"/>
      <c r="R2032" s="199"/>
    </row>
    <row r="2033" spans="2:18">
      <c r="B2033" s="224"/>
      <c r="C2033" s="225" t="s">
        <v>755</v>
      </c>
      <c r="D2033" s="225" t="s">
        <v>441</v>
      </c>
      <c r="E2033" s="201">
        <v>42</v>
      </c>
      <c r="F2033" s="201">
        <f>30/5</f>
        <v>6</v>
      </c>
      <c r="G2033" s="203">
        <v>44153</v>
      </c>
      <c r="M2033" s="199"/>
      <c r="N2033" s="199"/>
      <c r="O2033" s="199"/>
      <c r="P2033" s="199"/>
      <c r="Q2033" s="199"/>
      <c r="R2033" s="199"/>
    </row>
    <row r="2034" spans="2:18">
      <c r="B2034" s="224" t="s">
        <v>2129</v>
      </c>
      <c r="C2034" s="225" t="s">
        <v>738</v>
      </c>
      <c r="D2034" s="225" t="s">
        <v>441</v>
      </c>
      <c r="E2034" s="201">
        <v>132</v>
      </c>
      <c r="F2034" s="201">
        <f>72/10</f>
        <v>7.2</v>
      </c>
      <c r="G2034" s="203">
        <v>44215</v>
      </c>
      <c r="M2034" s="199"/>
      <c r="N2034" s="199"/>
      <c r="O2034" s="199"/>
      <c r="P2034" s="199"/>
      <c r="Q2034" s="199"/>
      <c r="R2034" s="199"/>
    </row>
    <row r="2035" spans="2:18">
      <c r="B2035" s="224" t="s">
        <v>2130</v>
      </c>
      <c r="C2035" s="225" t="s">
        <v>738</v>
      </c>
      <c r="D2035" s="225" t="s">
        <v>441</v>
      </c>
      <c r="E2035" s="201">
        <v>132</v>
      </c>
      <c r="F2035" s="201">
        <f>72/10</f>
        <v>7.2</v>
      </c>
      <c r="G2035" s="203">
        <v>44215</v>
      </c>
      <c r="M2035" s="199"/>
      <c r="N2035" s="199"/>
      <c r="O2035" s="199"/>
      <c r="P2035" s="199"/>
      <c r="Q2035" s="199"/>
      <c r="R2035" s="199"/>
    </row>
    <row r="2036" spans="2:18">
      <c r="B2036" s="224" t="s">
        <v>2131</v>
      </c>
      <c r="C2036" s="225" t="s">
        <v>738</v>
      </c>
      <c r="D2036" s="225" t="s">
        <v>441</v>
      </c>
      <c r="E2036" s="201">
        <v>132</v>
      </c>
      <c r="F2036" s="201">
        <f>72/10</f>
        <v>7.2</v>
      </c>
      <c r="G2036" s="203">
        <v>44215</v>
      </c>
      <c r="M2036" s="199"/>
      <c r="N2036" s="199"/>
      <c r="O2036" s="199"/>
      <c r="P2036" s="199"/>
      <c r="Q2036" s="199"/>
      <c r="R2036" s="199"/>
    </row>
    <row r="2037" spans="2:18">
      <c r="B2037" s="224"/>
      <c r="C2037" s="225"/>
      <c r="D2037" s="225"/>
      <c r="G2037" s="203"/>
      <c r="M2037" s="199"/>
      <c r="N2037" s="199"/>
      <c r="O2037" s="199"/>
      <c r="P2037" s="199"/>
      <c r="Q2037" s="199"/>
      <c r="R2037" s="199"/>
    </row>
    <row r="2038" spans="2:18">
      <c r="B2038" s="224" t="s">
        <v>2132</v>
      </c>
      <c r="C2038" s="225" t="s">
        <v>738</v>
      </c>
      <c r="D2038" s="225" t="s">
        <v>441</v>
      </c>
      <c r="E2038" s="201">
        <v>132</v>
      </c>
      <c r="F2038" s="201">
        <f>72/10</f>
        <v>7.2</v>
      </c>
      <c r="G2038" s="203">
        <v>44215</v>
      </c>
      <c r="M2038" s="199"/>
      <c r="N2038" s="199"/>
      <c r="O2038" s="199"/>
      <c r="P2038" s="199"/>
      <c r="Q2038" s="199"/>
      <c r="R2038" s="199"/>
    </row>
    <row r="2039" spans="2:18">
      <c r="B2039" s="224"/>
      <c r="C2039" s="225" t="s">
        <v>565</v>
      </c>
      <c r="D2039" s="225" t="s">
        <v>441</v>
      </c>
      <c r="E2039" s="201">
        <v>48</v>
      </c>
      <c r="F2039" s="201">
        <v>4</v>
      </c>
      <c r="G2039" s="203">
        <v>43888</v>
      </c>
      <c r="M2039" s="199"/>
      <c r="N2039" s="199"/>
      <c r="O2039" s="199"/>
      <c r="P2039" s="199"/>
      <c r="Q2039" s="199"/>
      <c r="R2039" s="199"/>
    </row>
    <row r="2040" spans="2:18">
      <c r="B2040" s="224"/>
      <c r="C2040" s="225" t="s">
        <v>402</v>
      </c>
      <c r="D2040" s="225" t="s">
        <v>441</v>
      </c>
      <c r="E2040" s="201">
        <v>25</v>
      </c>
      <c r="F2040" s="201">
        <v>5</v>
      </c>
      <c r="G2040" s="203">
        <v>43440</v>
      </c>
      <c r="M2040" s="199"/>
      <c r="N2040" s="199"/>
      <c r="O2040" s="199"/>
      <c r="P2040" s="199"/>
      <c r="Q2040" s="199"/>
      <c r="R2040" s="199"/>
    </row>
    <row r="2041" spans="2:18">
      <c r="B2041" s="224"/>
      <c r="C2041" s="272" t="s">
        <v>544</v>
      </c>
      <c r="D2041" s="272" t="s">
        <v>1798</v>
      </c>
      <c r="E2041" s="201">
        <v>3.5</v>
      </c>
      <c r="F2041" s="201">
        <f>+E2041/9</f>
        <v>0.3888888888888889</v>
      </c>
      <c r="G2041" s="203">
        <v>42979</v>
      </c>
      <c r="M2041" s="199"/>
      <c r="N2041" s="199"/>
      <c r="O2041" s="199"/>
      <c r="P2041" s="199"/>
      <c r="Q2041" s="199"/>
      <c r="R2041" s="199"/>
    </row>
    <row r="2042" spans="2:18">
      <c r="B2042" s="224"/>
      <c r="C2042" s="272" t="s">
        <v>755</v>
      </c>
      <c r="D2042" s="272" t="s">
        <v>1822</v>
      </c>
      <c r="E2042" s="201">
        <v>130</v>
      </c>
      <c r="F2042" s="201">
        <v>12</v>
      </c>
      <c r="G2042" s="203">
        <v>42080</v>
      </c>
      <c r="M2042" s="199"/>
      <c r="N2042" s="199"/>
      <c r="O2042" s="199"/>
      <c r="P2042" s="199"/>
      <c r="Q2042" s="199"/>
      <c r="R2042" s="199"/>
    </row>
    <row r="2043" spans="2:18">
      <c r="B2043" s="224"/>
      <c r="C2043" s="272" t="s">
        <v>544</v>
      </c>
      <c r="D2043" s="272" t="s">
        <v>1822</v>
      </c>
      <c r="E2043" s="201">
        <v>1.1000000000000001</v>
      </c>
      <c r="F2043" s="201">
        <v>1.1000000000000001</v>
      </c>
      <c r="G2043" s="203">
        <v>40750</v>
      </c>
      <c r="M2043" s="199"/>
      <c r="N2043" s="199"/>
      <c r="O2043" s="199"/>
      <c r="P2043" s="199"/>
      <c r="Q2043" s="199"/>
      <c r="R2043" s="199"/>
    </row>
    <row r="2044" spans="2:18">
      <c r="B2044" s="224"/>
      <c r="C2044" s="225"/>
      <c r="D2044" s="225"/>
      <c r="G2044" s="203"/>
      <c r="M2044" s="199"/>
      <c r="N2044" s="199"/>
      <c r="O2044" s="199"/>
      <c r="P2044" s="199"/>
      <c r="Q2044" s="199"/>
      <c r="R2044" s="199"/>
    </row>
    <row r="2045" spans="2:18">
      <c r="B2045" s="224" t="s">
        <v>2133</v>
      </c>
      <c r="C2045" s="225" t="s">
        <v>738</v>
      </c>
      <c r="D2045" s="225" t="s">
        <v>441</v>
      </c>
      <c r="E2045" s="201">
        <v>132</v>
      </c>
      <c r="F2045" s="201">
        <f>72/10</f>
        <v>7.2</v>
      </c>
      <c r="G2045" s="203">
        <v>44215</v>
      </c>
      <c r="M2045" s="199"/>
      <c r="N2045" s="199"/>
      <c r="O2045" s="199"/>
      <c r="P2045" s="199"/>
      <c r="Q2045" s="199"/>
      <c r="R2045" s="199"/>
    </row>
    <row r="2046" spans="2:18">
      <c r="B2046" s="224"/>
      <c r="C2046" s="225"/>
      <c r="D2046" s="225"/>
      <c r="G2046" s="203"/>
      <c r="M2046" s="199"/>
      <c r="N2046" s="199"/>
      <c r="O2046" s="199"/>
      <c r="P2046" s="199"/>
      <c r="Q2046" s="199"/>
      <c r="R2046" s="199"/>
    </row>
    <row r="2047" spans="2:18">
      <c r="B2047" s="224" t="s">
        <v>2135</v>
      </c>
      <c r="C2047" s="225" t="s">
        <v>738</v>
      </c>
      <c r="D2047" s="225" t="s">
        <v>441</v>
      </c>
      <c r="E2047" s="201">
        <v>132</v>
      </c>
      <c r="F2047" s="201">
        <f>72/10</f>
        <v>7.2</v>
      </c>
      <c r="G2047" s="203">
        <v>44215</v>
      </c>
      <c r="M2047" s="199"/>
      <c r="N2047" s="199"/>
      <c r="O2047" s="199"/>
      <c r="P2047" s="199"/>
      <c r="Q2047" s="199"/>
      <c r="R2047" s="199"/>
    </row>
    <row r="2048" spans="2:18">
      <c r="C2048" s="225" t="s">
        <v>755</v>
      </c>
      <c r="D2048" s="225" t="s">
        <v>441</v>
      </c>
      <c r="E2048" s="201">
        <v>42</v>
      </c>
      <c r="F2048" s="201">
        <f>30/5</f>
        <v>6</v>
      </c>
      <c r="G2048" s="203">
        <v>44153</v>
      </c>
      <c r="M2048" s="199"/>
      <c r="N2048" s="199"/>
      <c r="O2048" s="199"/>
      <c r="P2048" s="199"/>
      <c r="Q2048" s="199"/>
      <c r="R2048" s="199"/>
    </row>
    <row r="2049" spans="2:18">
      <c r="C2049" s="225" t="s">
        <v>565</v>
      </c>
      <c r="D2049" s="225" t="s">
        <v>441</v>
      </c>
      <c r="E2049" s="201">
        <v>48</v>
      </c>
      <c r="F2049" s="201">
        <v>10</v>
      </c>
      <c r="G2049" s="203">
        <v>43888</v>
      </c>
      <c r="M2049" s="199"/>
      <c r="N2049" s="199"/>
      <c r="O2049" s="199"/>
      <c r="P2049" s="199"/>
      <c r="Q2049" s="199"/>
      <c r="R2049" s="199"/>
    </row>
    <row r="2050" spans="2:18">
      <c r="C2050" s="225" t="s">
        <v>402</v>
      </c>
      <c r="D2050" s="225" t="s">
        <v>441</v>
      </c>
      <c r="E2050" s="201">
        <v>25</v>
      </c>
      <c r="F2050" s="201">
        <v>5</v>
      </c>
      <c r="G2050" s="203">
        <v>43440</v>
      </c>
      <c r="M2050" s="199"/>
      <c r="N2050" s="199"/>
      <c r="O2050" s="199"/>
      <c r="P2050" s="199"/>
      <c r="Q2050" s="199"/>
      <c r="R2050" s="199"/>
    </row>
    <row r="2051" spans="2:18">
      <c r="C2051" s="225"/>
      <c r="D2051" s="225"/>
      <c r="G2051" s="203"/>
      <c r="M2051" s="199"/>
      <c r="N2051" s="199"/>
      <c r="O2051" s="199"/>
      <c r="P2051" s="199"/>
      <c r="Q2051" s="199"/>
      <c r="R2051" s="199"/>
    </row>
    <row r="2052" spans="2:18">
      <c r="B2052" s="224" t="s">
        <v>2137</v>
      </c>
      <c r="C2052" s="225" t="s">
        <v>565</v>
      </c>
      <c r="D2052" s="225" t="s">
        <v>441</v>
      </c>
      <c r="E2052" s="201">
        <v>48</v>
      </c>
      <c r="F2052" s="201">
        <v>4</v>
      </c>
      <c r="G2052" s="203">
        <v>43888</v>
      </c>
      <c r="M2052" s="199"/>
      <c r="N2052" s="199"/>
      <c r="O2052" s="199"/>
      <c r="P2052" s="199"/>
      <c r="Q2052" s="199"/>
      <c r="R2052" s="199"/>
    </row>
    <row r="2053" spans="2:18">
      <c r="B2053" s="224"/>
      <c r="C2053" s="225" t="s">
        <v>565</v>
      </c>
      <c r="D2053" s="225" t="s">
        <v>441</v>
      </c>
      <c r="E2053" s="201">
        <v>12</v>
      </c>
      <c r="F2053" s="201">
        <v>12</v>
      </c>
      <c r="G2053" s="203">
        <v>43648</v>
      </c>
      <c r="M2053" s="199"/>
      <c r="N2053" s="199"/>
      <c r="O2053" s="199"/>
      <c r="P2053" s="199"/>
      <c r="Q2053" s="199"/>
      <c r="R2053" s="199"/>
    </row>
    <row r="2054" spans="2:18">
      <c r="B2054" s="224" t="s">
        <v>2138</v>
      </c>
      <c r="C2054" s="225" t="s">
        <v>565</v>
      </c>
      <c r="D2054" s="225" t="s">
        <v>441</v>
      </c>
      <c r="E2054" s="201">
        <v>48</v>
      </c>
      <c r="F2054" s="201">
        <v>4</v>
      </c>
      <c r="G2054" s="203">
        <v>43888</v>
      </c>
      <c r="M2054" s="199"/>
      <c r="N2054" s="199"/>
      <c r="O2054" s="199"/>
      <c r="P2054" s="199"/>
      <c r="Q2054" s="199"/>
      <c r="R2054" s="199"/>
    </row>
    <row r="2055" spans="2:18">
      <c r="B2055" s="224"/>
      <c r="C2055" s="225"/>
      <c r="D2055" s="225"/>
      <c r="G2055" s="203"/>
      <c r="M2055" s="199"/>
      <c r="N2055" s="199"/>
      <c r="O2055" s="199"/>
      <c r="P2055" s="199"/>
      <c r="Q2055" s="199"/>
      <c r="R2055" s="199"/>
    </row>
    <row r="2056" spans="2:18">
      <c r="B2056" s="224" t="s">
        <v>2150</v>
      </c>
      <c r="C2056" s="225" t="s">
        <v>565</v>
      </c>
      <c r="D2056" s="225" t="s">
        <v>442</v>
      </c>
      <c r="E2056" s="201">
        <v>125</v>
      </c>
      <c r="F2056" s="201">
        <f>75/8</f>
        <v>9.375</v>
      </c>
      <c r="G2056" s="203">
        <v>44663</v>
      </c>
      <c r="M2056" s="199"/>
      <c r="N2056" s="199"/>
      <c r="O2056" s="199"/>
      <c r="P2056" s="199"/>
      <c r="Q2056" s="199"/>
      <c r="R2056" s="199"/>
    </row>
    <row r="2057" spans="2:18">
      <c r="B2057" s="224"/>
      <c r="C2057" s="225" t="s">
        <v>544</v>
      </c>
      <c r="D2057" s="225" t="s">
        <v>442</v>
      </c>
      <c r="E2057" s="201">
        <v>26</v>
      </c>
      <c r="F2057" s="201">
        <f>16/4</f>
        <v>4</v>
      </c>
      <c r="G2057" s="203">
        <v>43809</v>
      </c>
      <c r="M2057" s="199"/>
      <c r="N2057" s="199"/>
      <c r="O2057" s="199"/>
      <c r="P2057" s="199"/>
      <c r="Q2057" s="199"/>
      <c r="R2057" s="199"/>
    </row>
    <row r="2058" spans="2:18">
      <c r="B2058" s="224"/>
      <c r="C2058" s="225"/>
      <c r="D2058" s="225"/>
      <c r="G2058" s="203"/>
      <c r="M2058" s="199"/>
      <c r="N2058" s="199"/>
      <c r="O2058" s="199"/>
      <c r="P2058" s="199"/>
      <c r="Q2058" s="199"/>
      <c r="R2058" s="199"/>
    </row>
    <row r="2059" spans="2:18">
      <c r="B2059" s="224" t="s">
        <v>2151</v>
      </c>
      <c r="C2059" s="225" t="s">
        <v>565</v>
      </c>
      <c r="D2059" s="225" t="s">
        <v>442</v>
      </c>
      <c r="E2059" s="201">
        <v>125</v>
      </c>
      <c r="F2059" s="201">
        <f>75/8</f>
        <v>9.375</v>
      </c>
      <c r="G2059" s="203">
        <v>44663</v>
      </c>
      <c r="M2059" s="199"/>
      <c r="N2059" s="199"/>
      <c r="O2059" s="199"/>
      <c r="P2059" s="199"/>
      <c r="Q2059" s="199"/>
      <c r="R2059" s="199"/>
    </row>
    <row r="2060" spans="2:18">
      <c r="B2060" s="224"/>
      <c r="C2060" s="225" t="s">
        <v>402</v>
      </c>
      <c r="D2060" s="225" t="s">
        <v>442</v>
      </c>
      <c r="E2060" s="201">
        <v>54</v>
      </c>
      <c r="F2060" s="201">
        <f>40/5</f>
        <v>8</v>
      </c>
      <c r="G2060" s="203">
        <v>44089</v>
      </c>
      <c r="M2060" s="199"/>
      <c r="N2060" s="199"/>
      <c r="O2060" s="199"/>
      <c r="P2060" s="199"/>
      <c r="Q2060" s="199"/>
      <c r="R2060" s="199"/>
    </row>
    <row r="2061" spans="2:18">
      <c r="B2061" s="224"/>
      <c r="C2061" s="225"/>
      <c r="D2061" s="225"/>
      <c r="G2061" s="203"/>
      <c r="M2061" s="199"/>
      <c r="N2061" s="199"/>
      <c r="O2061" s="199"/>
      <c r="P2061" s="199"/>
      <c r="Q2061" s="199"/>
      <c r="R2061" s="199"/>
    </row>
    <row r="2062" spans="2:18">
      <c r="B2062" s="224" t="s">
        <v>2152</v>
      </c>
      <c r="C2062" s="225" t="s">
        <v>565</v>
      </c>
      <c r="D2062" s="225" t="s">
        <v>442</v>
      </c>
      <c r="E2062" s="201">
        <v>125</v>
      </c>
      <c r="F2062" s="201">
        <f>75/8</f>
        <v>9.375</v>
      </c>
      <c r="G2062" s="203">
        <v>44663</v>
      </c>
      <c r="M2062" s="199"/>
      <c r="N2062" s="199"/>
      <c r="O2062" s="199"/>
      <c r="P2062" s="199"/>
      <c r="Q2062" s="199"/>
      <c r="R2062" s="199"/>
    </row>
    <row r="2063" spans="2:18">
      <c r="C2063" s="225" t="s">
        <v>402</v>
      </c>
      <c r="D2063" s="225" t="s">
        <v>442</v>
      </c>
      <c r="E2063" s="201">
        <v>54</v>
      </c>
      <c r="F2063" s="201">
        <f>40/5</f>
        <v>8</v>
      </c>
      <c r="G2063" s="203">
        <v>44089</v>
      </c>
      <c r="M2063" s="199"/>
      <c r="N2063" s="199"/>
      <c r="O2063" s="199"/>
      <c r="P2063" s="199"/>
      <c r="Q2063" s="199"/>
      <c r="R2063" s="199"/>
    </row>
    <row r="2064" spans="2:18">
      <c r="C2064" s="282" t="s">
        <v>755</v>
      </c>
      <c r="D2064" s="282" t="s">
        <v>1940</v>
      </c>
      <c r="E2064" s="201">
        <v>170</v>
      </c>
      <c r="F2064" s="201">
        <v>22</v>
      </c>
      <c r="G2064" s="203">
        <v>44255</v>
      </c>
      <c r="I2064" s="199">
        <v>830</v>
      </c>
      <c r="J2064" s="199">
        <v>2000</v>
      </c>
      <c r="M2064" s="199"/>
      <c r="N2064" s="199"/>
      <c r="O2064" s="199"/>
      <c r="P2064" s="199"/>
      <c r="Q2064" s="199"/>
      <c r="R2064" s="199"/>
    </row>
    <row r="2065" spans="2:18">
      <c r="C2065" s="282" t="s">
        <v>565</v>
      </c>
      <c r="D2065" s="282" t="s">
        <v>1940</v>
      </c>
      <c r="E2065" s="201">
        <v>100</v>
      </c>
      <c r="F2065" s="201">
        <v>40</v>
      </c>
      <c r="G2065" s="203">
        <v>44025</v>
      </c>
      <c r="J2065" s="199">
        <v>2000</v>
      </c>
      <c r="M2065" s="199"/>
      <c r="N2065" s="199"/>
      <c r="O2065" s="199"/>
      <c r="P2065" s="199"/>
      <c r="Q2065" s="199"/>
      <c r="R2065" s="199"/>
    </row>
    <row r="2066" spans="2:18">
      <c r="C2066" s="225"/>
      <c r="D2066" s="225"/>
      <c r="G2066" s="203"/>
      <c r="M2066" s="199"/>
      <c r="N2066" s="199"/>
      <c r="O2066" s="199"/>
      <c r="P2066" s="199"/>
      <c r="Q2066" s="199"/>
      <c r="R2066" s="199"/>
    </row>
    <row r="2067" spans="2:18">
      <c r="B2067" s="224" t="s">
        <v>2156</v>
      </c>
      <c r="C2067" s="225" t="s">
        <v>544</v>
      </c>
      <c r="D2067" s="225" t="s">
        <v>442</v>
      </c>
      <c r="E2067" s="201">
        <v>26</v>
      </c>
      <c r="F2067" s="201">
        <v>4</v>
      </c>
      <c r="G2067" s="203">
        <v>43809</v>
      </c>
      <c r="M2067" s="199"/>
      <c r="N2067" s="199"/>
      <c r="O2067" s="199"/>
      <c r="P2067" s="199"/>
      <c r="Q2067" s="199"/>
      <c r="R2067" s="199"/>
    </row>
    <row r="2068" spans="2:18">
      <c r="B2068" s="224" t="s">
        <v>2158</v>
      </c>
      <c r="C2068" s="225" t="s">
        <v>544</v>
      </c>
      <c r="D2068" s="225" t="s">
        <v>442</v>
      </c>
      <c r="E2068" s="201">
        <v>8</v>
      </c>
      <c r="F2068" s="201">
        <v>1</v>
      </c>
      <c r="G2068" s="203">
        <v>43249</v>
      </c>
      <c r="M2068" s="199"/>
      <c r="N2068" s="199"/>
      <c r="O2068" s="199"/>
      <c r="P2068" s="199"/>
      <c r="Q2068" s="199"/>
      <c r="R2068" s="199"/>
    </row>
    <row r="2069" spans="2:18">
      <c r="B2069" s="224" t="s">
        <v>2159</v>
      </c>
      <c r="C2069" s="225" t="s">
        <v>544</v>
      </c>
      <c r="D2069" s="225" t="s">
        <v>442</v>
      </c>
      <c r="E2069" s="201">
        <v>8</v>
      </c>
      <c r="F2069" s="201">
        <v>1</v>
      </c>
      <c r="G2069" s="203">
        <v>43249</v>
      </c>
      <c r="M2069" s="199"/>
      <c r="N2069" s="199"/>
      <c r="O2069" s="199"/>
      <c r="P2069" s="199"/>
      <c r="Q2069" s="199"/>
      <c r="R2069" s="199"/>
    </row>
    <row r="2070" spans="2:18">
      <c r="B2070" s="224" t="s">
        <v>2171</v>
      </c>
      <c r="C2070" s="225" t="s">
        <v>549</v>
      </c>
      <c r="D2070" s="225" t="s">
        <v>586</v>
      </c>
      <c r="E2070" s="201">
        <v>6</v>
      </c>
      <c r="F2070" s="201">
        <v>1</v>
      </c>
      <c r="G2070" s="203">
        <v>44781</v>
      </c>
      <c r="M2070" s="199"/>
      <c r="N2070" s="199"/>
      <c r="O2070" s="199"/>
      <c r="P2070" s="199"/>
      <c r="Q2070" s="199"/>
      <c r="R2070" s="199"/>
    </row>
    <row r="2071" spans="2:18">
      <c r="B2071" s="224" t="s">
        <v>2173</v>
      </c>
      <c r="C2071" s="225" t="s">
        <v>669</v>
      </c>
      <c r="D2071" s="225" t="s">
        <v>586</v>
      </c>
      <c r="E2071" s="201">
        <v>1</v>
      </c>
      <c r="F2071" s="201">
        <v>0.5</v>
      </c>
      <c r="G2071" s="203">
        <v>44415</v>
      </c>
      <c r="M2071" s="199"/>
      <c r="N2071" s="199"/>
      <c r="O2071" s="199"/>
      <c r="P2071" s="199"/>
      <c r="Q2071" s="199"/>
      <c r="R2071" s="199"/>
    </row>
    <row r="2072" spans="2:18">
      <c r="B2072" s="224" t="s">
        <v>2185</v>
      </c>
      <c r="C2072" s="225" t="s">
        <v>549</v>
      </c>
      <c r="D2072" s="225" t="s">
        <v>591</v>
      </c>
      <c r="E2072" s="201">
        <v>6.8</v>
      </c>
      <c r="F2072" s="201">
        <v>3.8</v>
      </c>
      <c r="G2072" s="203">
        <v>44964</v>
      </c>
      <c r="M2072" s="199"/>
      <c r="N2072" s="199"/>
      <c r="O2072" s="199"/>
      <c r="P2072" s="199"/>
      <c r="Q2072" s="199"/>
      <c r="R2072" s="199"/>
    </row>
    <row r="2073" spans="2:18">
      <c r="B2073" s="224"/>
      <c r="C2073" s="225" t="s">
        <v>549</v>
      </c>
      <c r="D2073" s="225" t="s">
        <v>591</v>
      </c>
      <c r="E2073" s="201">
        <v>1.6</v>
      </c>
      <c r="F2073" s="201">
        <v>0.6</v>
      </c>
      <c r="G2073" s="203">
        <v>44197</v>
      </c>
      <c r="M2073" s="199"/>
      <c r="N2073" s="199"/>
      <c r="O2073" s="199"/>
      <c r="P2073" s="199"/>
      <c r="Q2073" s="199"/>
      <c r="R2073" s="199"/>
    </row>
    <row r="2074" spans="2:18">
      <c r="B2074" s="224" t="s">
        <v>2186</v>
      </c>
      <c r="C2074" s="225" t="s">
        <v>549</v>
      </c>
      <c r="D2074" s="225" t="s">
        <v>591</v>
      </c>
      <c r="E2074" s="201">
        <v>6.8</v>
      </c>
      <c r="F2074" s="201">
        <v>1.5</v>
      </c>
      <c r="G2074" s="203">
        <v>44964</v>
      </c>
      <c r="M2074" s="199"/>
      <c r="N2074" s="199"/>
      <c r="O2074" s="199"/>
      <c r="P2074" s="199"/>
      <c r="Q2074" s="199"/>
      <c r="R2074" s="199"/>
    </row>
    <row r="2075" spans="2:18">
      <c r="B2075" s="224" t="s">
        <v>2191</v>
      </c>
      <c r="C2075" s="225" t="s">
        <v>549</v>
      </c>
      <c r="D2075" s="225" t="s">
        <v>592</v>
      </c>
      <c r="E2075" s="201">
        <v>6</v>
      </c>
      <c r="F2075" s="201">
        <v>6</v>
      </c>
      <c r="G2075" s="203">
        <v>44852</v>
      </c>
      <c r="M2075" s="199"/>
      <c r="N2075" s="199"/>
      <c r="O2075" s="199"/>
      <c r="P2075" s="199"/>
      <c r="Q2075" s="199"/>
      <c r="R2075" s="199"/>
    </row>
    <row r="2076" spans="2:18">
      <c r="B2076" s="224" t="s">
        <v>2215</v>
      </c>
      <c r="C2076" s="225" t="s">
        <v>544</v>
      </c>
      <c r="D2076" s="225" t="s">
        <v>593</v>
      </c>
      <c r="E2076" s="201">
        <v>20</v>
      </c>
      <c r="F2076" s="201">
        <v>5</v>
      </c>
      <c r="G2076" s="203">
        <v>44801</v>
      </c>
      <c r="M2076" s="199"/>
      <c r="N2076" s="199"/>
      <c r="O2076" s="199"/>
      <c r="P2076" s="199"/>
      <c r="Q2076" s="199"/>
      <c r="R2076" s="199"/>
    </row>
    <row r="2077" spans="2:18">
      <c r="B2077" s="224" t="s">
        <v>2216</v>
      </c>
      <c r="C2077" s="225" t="s">
        <v>544</v>
      </c>
      <c r="D2077" s="225" t="s">
        <v>593</v>
      </c>
      <c r="E2077" s="201">
        <v>20</v>
      </c>
      <c r="F2077" s="201">
        <f>15/6</f>
        <v>2.5</v>
      </c>
      <c r="G2077" s="203">
        <v>44801</v>
      </c>
      <c r="M2077" s="199"/>
      <c r="N2077" s="199"/>
      <c r="O2077" s="199"/>
      <c r="P2077" s="199"/>
      <c r="Q2077" s="199"/>
      <c r="R2077" s="199"/>
    </row>
    <row r="2078" spans="2:18">
      <c r="B2078" s="224" t="s">
        <v>2217</v>
      </c>
      <c r="C2078" s="225" t="s">
        <v>544</v>
      </c>
      <c r="D2078" s="225" t="s">
        <v>593</v>
      </c>
      <c r="E2078" s="201">
        <v>20</v>
      </c>
      <c r="F2078" s="201">
        <f>15/6</f>
        <v>2.5</v>
      </c>
      <c r="G2078" s="203">
        <v>44801</v>
      </c>
      <c r="M2078" s="199"/>
      <c r="N2078" s="199"/>
      <c r="O2078" s="199"/>
      <c r="P2078" s="199"/>
      <c r="Q2078" s="199"/>
      <c r="R2078" s="199"/>
    </row>
    <row r="2079" spans="2:18">
      <c r="B2079" s="224" t="s">
        <v>124</v>
      </c>
      <c r="C2079" s="225" t="s">
        <v>544</v>
      </c>
      <c r="D2079" s="225" t="s">
        <v>593</v>
      </c>
      <c r="E2079" s="201">
        <v>20</v>
      </c>
      <c r="F2079" s="201">
        <f>15/6</f>
        <v>2.5</v>
      </c>
      <c r="G2079" s="203">
        <v>44801</v>
      </c>
      <c r="M2079" s="199"/>
      <c r="N2079" s="199"/>
      <c r="O2079" s="199"/>
      <c r="P2079" s="199"/>
      <c r="Q2079" s="199"/>
      <c r="R2079" s="199"/>
    </row>
    <row r="2080" spans="2:18">
      <c r="B2080" s="224" t="s">
        <v>2218</v>
      </c>
      <c r="C2080" s="225" t="s">
        <v>544</v>
      </c>
      <c r="D2080" s="225" t="s">
        <v>593</v>
      </c>
      <c r="E2080" s="201">
        <v>20</v>
      </c>
      <c r="F2080" s="201">
        <f>15/6</f>
        <v>2.5</v>
      </c>
      <c r="G2080" s="203">
        <v>44801</v>
      </c>
      <c r="M2080" s="199"/>
      <c r="N2080" s="199"/>
      <c r="O2080" s="199"/>
      <c r="P2080" s="199"/>
      <c r="Q2080" s="199"/>
      <c r="R2080" s="199"/>
    </row>
    <row r="2081" spans="2:18">
      <c r="B2081" s="224" t="s">
        <v>2219</v>
      </c>
      <c r="C2081" s="225" t="s">
        <v>544</v>
      </c>
      <c r="D2081" s="225" t="s">
        <v>593</v>
      </c>
      <c r="E2081" s="201">
        <v>20</v>
      </c>
      <c r="F2081" s="201">
        <f>15/6</f>
        <v>2.5</v>
      </c>
      <c r="G2081" s="203">
        <v>44801</v>
      </c>
      <c r="M2081" s="199"/>
      <c r="N2081" s="199"/>
      <c r="O2081" s="199"/>
      <c r="P2081" s="199"/>
      <c r="Q2081" s="199"/>
      <c r="R2081" s="199"/>
    </row>
    <row r="2082" spans="2:18">
      <c r="B2082" s="224" t="s">
        <v>2228</v>
      </c>
      <c r="C2082" s="225" t="s">
        <v>669</v>
      </c>
      <c r="D2082" s="225" t="s">
        <v>594</v>
      </c>
      <c r="E2082" s="201">
        <v>2</v>
      </c>
      <c r="F2082" s="201">
        <v>1</v>
      </c>
      <c r="G2082" s="203">
        <v>44223</v>
      </c>
      <c r="M2082" s="199"/>
      <c r="N2082" s="199"/>
      <c r="O2082" s="199"/>
      <c r="P2082" s="199"/>
      <c r="Q2082" s="199"/>
      <c r="R2082" s="199"/>
    </row>
    <row r="2083" spans="2:18">
      <c r="B2083" s="224" t="s">
        <v>2232</v>
      </c>
      <c r="C2083" s="225" t="s">
        <v>549</v>
      </c>
      <c r="D2083" s="225" t="s">
        <v>595</v>
      </c>
      <c r="E2083" s="201">
        <v>8</v>
      </c>
      <c r="F2083" s="201">
        <v>8</v>
      </c>
      <c r="G2083" s="203">
        <v>44711</v>
      </c>
      <c r="M2083" s="199"/>
      <c r="N2083" s="199"/>
      <c r="O2083" s="199"/>
      <c r="P2083" s="199"/>
      <c r="Q2083" s="199"/>
      <c r="R2083" s="199"/>
    </row>
    <row r="2084" spans="2:18">
      <c r="B2084" s="224" t="s">
        <v>2237</v>
      </c>
      <c r="C2084" s="225" t="s">
        <v>549</v>
      </c>
      <c r="D2084" s="225" t="s">
        <v>596</v>
      </c>
      <c r="E2084" s="201">
        <v>10</v>
      </c>
      <c r="F2084" s="201">
        <v>1</v>
      </c>
      <c r="G2084" s="203">
        <v>44887</v>
      </c>
      <c r="M2084" s="199"/>
      <c r="N2084" s="199"/>
      <c r="O2084" s="199"/>
      <c r="P2084" s="199"/>
      <c r="Q2084" s="199"/>
      <c r="R2084" s="199"/>
    </row>
    <row r="2085" spans="2:18">
      <c r="B2085" s="224" t="s">
        <v>2238</v>
      </c>
      <c r="C2085" s="225" t="s">
        <v>549</v>
      </c>
      <c r="D2085" s="225" t="s">
        <v>596</v>
      </c>
      <c r="E2085" s="201">
        <v>10</v>
      </c>
      <c r="F2085" s="201">
        <v>1</v>
      </c>
      <c r="G2085" s="203">
        <v>44887</v>
      </c>
      <c r="M2085" s="199"/>
      <c r="N2085" s="199"/>
      <c r="O2085" s="199"/>
      <c r="P2085" s="199"/>
      <c r="Q2085" s="199"/>
      <c r="R2085" s="199"/>
    </row>
    <row r="2086" spans="2:18">
      <c r="B2086" s="224"/>
      <c r="C2086" s="225"/>
      <c r="D2086" s="225"/>
      <c r="G2086" s="203"/>
      <c r="M2086" s="199"/>
      <c r="N2086" s="199"/>
      <c r="O2086" s="199"/>
      <c r="P2086" s="199"/>
      <c r="Q2086" s="199"/>
      <c r="R2086" s="199"/>
    </row>
    <row r="2087" spans="2:18">
      <c r="B2087" s="224" t="s">
        <v>2239</v>
      </c>
      <c r="C2087" s="225" t="s">
        <v>549</v>
      </c>
      <c r="D2087" s="225" t="s">
        <v>596</v>
      </c>
      <c r="E2087" s="201">
        <v>10</v>
      </c>
      <c r="F2087" s="201">
        <v>1</v>
      </c>
      <c r="G2087" s="203">
        <v>44887</v>
      </c>
      <c r="M2087" s="199"/>
      <c r="N2087" s="199"/>
      <c r="O2087" s="199"/>
      <c r="P2087" s="199"/>
      <c r="Q2087" s="199"/>
      <c r="R2087" s="199"/>
    </row>
    <row r="2088" spans="2:18">
      <c r="B2088" s="224"/>
      <c r="C2088" s="225" t="s">
        <v>549</v>
      </c>
      <c r="D2088" s="225" t="s">
        <v>576</v>
      </c>
      <c r="E2088" s="201">
        <v>3</v>
      </c>
      <c r="F2088" s="201">
        <v>0.5</v>
      </c>
      <c r="G2088" s="203">
        <v>45037</v>
      </c>
      <c r="M2088" s="199"/>
      <c r="N2088" s="199"/>
      <c r="O2088" s="199"/>
      <c r="P2088" s="199"/>
      <c r="Q2088" s="199"/>
      <c r="R2088" s="199"/>
    </row>
    <row r="2089" spans="2:18">
      <c r="B2089" s="224"/>
      <c r="C2089" s="225"/>
      <c r="D2089" s="225"/>
      <c r="G2089" s="203"/>
      <c r="M2089" s="199"/>
      <c r="N2089" s="199"/>
      <c r="O2089" s="199"/>
      <c r="P2089" s="199"/>
      <c r="Q2089" s="199"/>
      <c r="R2089" s="199"/>
    </row>
    <row r="2090" spans="2:18">
      <c r="B2090" s="224" t="s">
        <v>2240</v>
      </c>
      <c r="C2090" s="225" t="s">
        <v>549</v>
      </c>
      <c r="D2090" s="225" t="s">
        <v>596</v>
      </c>
      <c r="E2090" s="201">
        <v>10</v>
      </c>
      <c r="F2090" s="201">
        <v>1</v>
      </c>
      <c r="G2090" s="203">
        <v>44887</v>
      </c>
      <c r="M2090" s="199"/>
      <c r="N2090" s="199"/>
      <c r="O2090" s="199"/>
      <c r="P2090" s="199"/>
      <c r="Q2090" s="199"/>
      <c r="R2090" s="199"/>
    </row>
    <row r="2091" spans="2:18">
      <c r="B2091" s="224" t="s">
        <v>2241</v>
      </c>
      <c r="C2091" s="225" t="s">
        <v>549</v>
      </c>
      <c r="D2091" s="225" t="s">
        <v>596</v>
      </c>
      <c r="E2091" s="201">
        <v>10</v>
      </c>
      <c r="F2091" s="201">
        <v>1</v>
      </c>
      <c r="G2091" s="203">
        <v>44887</v>
      </c>
      <c r="M2091" s="199"/>
      <c r="N2091" s="199"/>
      <c r="O2091" s="199"/>
      <c r="P2091" s="199"/>
      <c r="Q2091" s="199"/>
      <c r="R2091" s="199"/>
    </row>
    <row r="2092" spans="2:18">
      <c r="B2092" s="224" t="s">
        <v>2242</v>
      </c>
      <c r="C2092" s="225" t="s">
        <v>549</v>
      </c>
      <c r="D2092" s="225" t="s">
        <v>596</v>
      </c>
      <c r="E2092" s="201">
        <v>10</v>
      </c>
      <c r="F2092" s="201">
        <v>1</v>
      </c>
      <c r="G2092" s="203">
        <v>44887</v>
      </c>
      <c r="M2092" s="199"/>
      <c r="N2092" s="199"/>
      <c r="O2092" s="199"/>
      <c r="P2092" s="199"/>
      <c r="Q2092" s="199"/>
      <c r="R2092" s="199"/>
    </row>
    <row r="2093" spans="2:18">
      <c r="B2093" s="224" t="s">
        <v>2247</v>
      </c>
      <c r="C2093" s="225" t="s">
        <v>549</v>
      </c>
      <c r="D2093" s="225" t="s">
        <v>597</v>
      </c>
      <c r="E2093" s="201">
        <v>9</v>
      </c>
      <c r="F2093" s="201">
        <v>2</v>
      </c>
      <c r="G2093" s="203">
        <v>44859</v>
      </c>
      <c r="M2093" s="199"/>
      <c r="N2093" s="199"/>
      <c r="O2093" s="199"/>
      <c r="P2093" s="199"/>
      <c r="Q2093" s="199"/>
      <c r="R2093" s="199"/>
    </row>
    <row r="2094" spans="2:18">
      <c r="B2094" s="224" t="s">
        <v>2248</v>
      </c>
      <c r="C2094" s="225" t="s">
        <v>549</v>
      </c>
      <c r="D2094" s="225" t="s">
        <v>597</v>
      </c>
      <c r="E2094" s="201">
        <v>9</v>
      </c>
      <c r="F2094" s="201">
        <f>5/6</f>
        <v>0.83333333333333337</v>
      </c>
      <c r="G2094" s="203">
        <v>44859</v>
      </c>
      <c r="M2094" s="199"/>
      <c r="N2094" s="199"/>
      <c r="O2094" s="199"/>
      <c r="P2094" s="199"/>
      <c r="Q2094" s="199"/>
      <c r="R2094" s="199"/>
    </row>
    <row r="2095" spans="2:18">
      <c r="B2095" s="224" t="s">
        <v>2249</v>
      </c>
      <c r="C2095" s="225" t="s">
        <v>549</v>
      </c>
      <c r="D2095" s="225" t="s">
        <v>597</v>
      </c>
      <c r="E2095" s="201">
        <v>9</v>
      </c>
      <c r="F2095" s="201">
        <f t="shared" ref="F2095:F2099" si="14">5/6</f>
        <v>0.83333333333333337</v>
      </c>
      <c r="G2095" s="203">
        <v>44859</v>
      </c>
      <c r="M2095" s="199"/>
      <c r="N2095" s="199"/>
      <c r="O2095" s="199"/>
      <c r="P2095" s="199"/>
      <c r="Q2095" s="199"/>
      <c r="R2095" s="199"/>
    </row>
    <row r="2096" spans="2:18">
      <c r="B2096" s="224" t="s">
        <v>2250</v>
      </c>
      <c r="C2096" s="225" t="s">
        <v>549</v>
      </c>
      <c r="D2096" s="225" t="s">
        <v>597</v>
      </c>
      <c r="E2096" s="201">
        <v>9</v>
      </c>
      <c r="F2096" s="201">
        <f t="shared" si="14"/>
        <v>0.83333333333333337</v>
      </c>
      <c r="G2096" s="203">
        <v>44859</v>
      </c>
      <c r="M2096" s="199"/>
      <c r="N2096" s="199"/>
      <c r="O2096" s="199"/>
      <c r="P2096" s="199"/>
      <c r="Q2096" s="199"/>
      <c r="R2096" s="199"/>
    </row>
    <row r="2097" spans="2:18">
      <c r="B2097" s="224" t="s">
        <v>2251</v>
      </c>
      <c r="C2097" s="225" t="s">
        <v>549</v>
      </c>
      <c r="D2097" s="225" t="s">
        <v>597</v>
      </c>
      <c r="E2097" s="201">
        <v>9</v>
      </c>
      <c r="F2097" s="201">
        <f t="shared" si="14"/>
        <v>0.83333333333333337</v>
      </c>
      <c r="G2097" s="203">
        <v>44859</v>
      </c>
      <c r="M2097" s="199"/>
      <c r="N2097" s="199"/>
      <c r="O2097" s="199"/>
      <c r="P2097" s="199"/>
      <c r="Q2097" s="199"/>
      <c r="R2097" s="199"/>
    </row>
    <row r="2098" spans="2:18">
      <c r="B2098" s="224" t="s">
        <v>2252</v>
      </c>
      <c r="C2098" s="225" t="s">
        <v>549</v>
      </c>
      <c r="D2098" s="225" t="s">
        <v>597</v>
      </c>
      <c r="E2098" s="201">
        <v>9</v>
      </c>
      <c r="F2098" s="201">
        <f t="shared" si="14"/>
        <v>0.83333333333333337</v>
      </c>
      <c r="G2098" s="203">
        <v>44859</v>
      </c>
      <c r="M2098" s="199"/>
      <c r="N2098" s="199"/>
      <c r="O2098" s="199"/>
      <c r="P2098" s="199"/>
      <c r="Q2098" s="199"/>
      <c r="R2098" s="199"/>
    </row>
    <row r="2099" spans="2:18">
      <c r="B2099" s="224" t="s">
        <v>2253</v>
      </c>
      <c r="C2099" s="225" t="s">
        <v>549</v>
      </c>
      <c r="D2099" s="225" t="s">
        <v>597</v>
      </c>
      <c r="E2099" s="201">
        <v>9</v>
      </c>
      <c r="F2099" s="201">
        <f t="shared" si="14"/>
        <v>0.83333333333333337</v>
      </c>
      <c r="G2099" s="203">
        <v>44859</v>
      </c>
      <c r="M2099" s="199"/>
      <c r="N2099" s="199"/>
      <c r="O2099" s="199"/>
      <c r="P2099" s="199"/>
      <c r="Q2099" s="199"/>
      <c r="R2099" s="199"/>
    </row>
    <row r="2100" spans="2:18">
      <c r="B2100" s="224" t="s">
        <v>2260</v>
      </c>
      <c r="C2100" s="225" t="s">
        <v>549</v>
      </c>
      <c r="D2100" s="225" t="s">
        <v>2255</v>
      </c>
      <c r="E2100" s="201">
        <v>5.6</v>
      </c>
      <c r="F2100" s="201">
        <f>E2100/3</f>
        <v>1.8666666666666665</v>
      </c>
      <c r="G2100" s="203">
        <v>45048</v>
      </c>
      <c r="M2100" s="199"/>
      <c r="N2100" s="199"/>
      <c r="O2100" s="199"/>
      <c r="P2100" s="199"/>
      <c r="Q2100" s="199"/>
      <c r="R2100" s="199"/>
    </row>
    <row r="2101" spans="2:18">
      <c r="B2101" s="224"/>
      <c r="C2101" s="225"/>
      <c r="D2101" s="225"/>
      <c r="G2101" s="203"/>
      <c r="M2101" s="199"/>
      <c r="N2101" s="199"/>
      <c r="O2101" s="199"/>
      <c r="P2101" s="199"/>
      <c r="Q2101" s="199"/>
      <c r="R2101" s="199"/>
    </row>
    <row r="2102" spans="2:18">
      <c r="B2102" s="224" t="s">
        <v>2262</v>
      </c>
      <c r="C2102" s="225" t="s">
        <v>549</v>
      </c>
      <c r="D2102" s="225" t="s">
        <v>2255</v>
      </c>
      <c r="E2102" s="201">
        <v>5.6</v>
      </c>
      <c r="F2102" s="201">
        <f>E2102/3</f>
        <v>1.8666666666666665</v>
      </c>
      <c r="G2102" s="203">
        <v>45048</v>
      </c>
      <c r="M2102" s="199"/>
      <c r="N2102" s="199"/>
      <c r="O2102" s="199"/>
      <c r="P2102" s="199"/>
      <c r="Q2102" s="199"/>
      <c r="R2102" s="199"/>
    </row>
    <row r="2103" spans="2:18">
      <c r="B2103" s="224" t="s">
        <v>2268</v>
      </c>
      <c r="C2103" s="225" t="s">
        <v>544</v>
      </c>
      <c r="D2103" s="225" t="s">
        <v>587</v>
      </c>
      <c r="E2103" s="201">
        <v>20</v>
      </c>
      <c r="F2103" s="201">
        <v>10</v>
      </c>
      <c r="G2103" s="203">
        <v>44671</v>
      </c>
      <c r="M2103" s="199"/>
      <c r="N2103" s="199"/>
      <c r="O2103" s="199"/>
      <c r="P2103" s="199"/>
      <c r="Q2103" s="199"/>
      <c r="R2103" s="199"/>
    </row>
    <row r="2104" spans="2:18">
      <c r="B2104" s="224" t="s">
        <v>2269</v>
      </c>
      <c r="C2104" s="225" t="s">
        <v>544</v>
      </c>
      <c r="D2104" s="225" t="s">
        <v>587</v>
      </c>
      <c r="E2104" s="201">
        <v>20</v>
      </c>
      <c r="F2104" s="201">
        <v>5</v>
      </c>
      <c r="G2104" s="203">
        <v>44671</v>
      </c>
      <c r="M2104" s="199"/>
      <c r="N2104" s="199"/>
      <c r="O2104" s="199"/>
      <c r="P2104" s="199"/>
      <c r="Q2104" s="199"/>
      <c r="R2104" s="199"/>
    </row>
    <row r="2105" spans="2:18">
      <c r="B2105" s="224"/>
      <c r="C2105" s="225"/>
      <c r="D2105" s="225"/>
      <c r="G2105" s="203"/>
      <c r="M2105" s="199"/>
      <c r="N2105" s="199"/>
      <c r="O2105" s="199"/>
      <c r="P2105" s="199"/>
      <c r="Q2105" s="199"/>
      <c r="R2105" s="199"/>
    </row>
    <row r="2106" spans="2:18">
      <c r="B2106" s="224" t="s">
        <v>2275</v>
      </c>
      <c r="C2106" s="225" t="s">
        <v>402</v>
      </c>
      <c r="D2106" s="225" t="s">
        <v>1516</v>
      </c>
      <c r="E2106" s="201">
        <v>20</v>
      </c>
      <c r="F2106" s="201">
        <v>8</v>
      </c>
      <c r="G2106" s="203">
        <v>45077</v>
      </c>
      <c r="M2106" s="199"/>
      <c r="N2106" s="199"/>
      <c r="O2106" s="199"/>
      <c r="P2106" s="199"/>
      <c r="Q2106" s="199"/>
      <c r="R2106" s="199"/>
    </row>
    <row r="2107" spans="2:18">
      <c r="B2107" s="224"/>
      <c r="C2107" s="272" t="s">
        <v>755</v>
      </c>
      <c r="D2107" s="272" t="s">
        <v>1816</v>
      </c>
      <c r="E2107" s="201">
        <v>750</v>
      </c>
      <c r="F2107" s="201">
        <f>450/4</f>
        <v>112.5</v>
      </c>
      <c r="G2107" s="203">
        <v>43593</v>
      </c>
      <c r="M2107" s="199"/>
      <c r="N2107" s="199"/>
      <c r="O2107" s="199"/>
      <c r="P2107" s="199"/>
      <c r="Q2107" s="199"/>
      <c r="R2107" s="199"/>
    </row>
    <row r="2108" spans="2:18">
      <c r="B2108" s="224"/>
      <c r="C2108" s="282" t="s">
        <v>402</v>
      </c>
      <c r="D2108" s="282" t="s">
        <v>4200</v>
      </c>
      <c r="E2108" s="201">
        <v>25</v>
      </c>
      <c r="F2108" s="201">
        <v>10</v>
      </c>
      <c r="G2108" s="203">
        <v>44642</v>
      </c>
      <c r="M2108" s="199"/>
      <c r="N2108" s="199"/>
      <c r="O2108" s="199"/>
      <c r="P2108" s="199"/>
      <c r="Q2108" s="199"/>
      <c r="R2108" s="199"/>
    </row>
    <row r="2109" spans="2:18">
      <c r="B2109" s="224"/>
      <c r="C2109" s="225"/>
      <c r="D2109" s="225"/>
      <c r="G2109" s="203"/>
      <c r="M2109" s="199"/>
      <c r="N2109" s="199"/>
      <c r="O2109" s="199"/>
      <c r="P2109" s="199"/>
      <c r="Q2109" s="199"/>
      <c r="R2109" s="199"/>
    </row>
    <row r="2110" spans="2:18">
      <c r="B2110" s="224"/>
      <c r="C2110" s="225"/>
      <c r="D2110" s="225"/>
      <c r="G2110" s="203"/>
      <c r="M2110" s="199"/>
      <c r="N2110" s="199"/>
      <c r="O2110" s="199"/>
      <c r="P2110" s="199"/>
      <c r="Q2110" s="199"/>
      <c r="R2110" s="199"/>
    </row>
    <row r="2111" spans="2:18">
      <c r="B2111" s="224" t="s">
        <v>2276</v>
      </c>
      <c r="C2111" s="225" t="s">
        <v>402</v>
      </c>
      <c r="D2111" s="225" t="s">
        <v>1516</v>
      </c>
      <c r="E2111" s="201">
        <v>20</v>
      </c>
      <c r="F2111" s="201">
        <f>12/6</f>
        <v>2</v>
      </c>
      <c r="G2111" s="203">
        <v>45077</v>
      </c>
      <c r="M2111" s="199"/>
      <c r="N2111" s="199"/>
      <c r="O2111" s="199"/>
      <c r="P2111" s="199"/>
      <c r="Q2111" s="199"/>
      <c r="R2111" s="199"/>
    </row>
    <row r="2112" spans="2:18">
      <c r="B2112" s="224"/>
      <c r="C2112" s="225" t="s">
        <v>544</v>
      </c>
      <c r="D2112" s="225" t="s">
        <v>1516</v>
      </c>
      <c r="E2112" s="201">
        <v>10.5</v>
      </c>
      <c r="F2112" s="201">
        <v>5.5</v>
      </c>
      <c r="G2112" s="203">
        <v>44341</v>
      </c>
      <c r="M2112" s="199"/>
      <c r="N2112" s="199"/>
      <c r="O2112" s="199"/>
      <c r="P2112" s="199"/>
      <c r="Q2112" s="199"/>
      <c r="R2112" s="199"/>
    </row>
    <row r="2113" spans="2:18">
      <c r="B2113" s="224"/>
      <c r="C2113" s="225"/>
      <c r="D2113" s="225"/>
      <c r="G2113" s="203"/>
      <c r="M2113" s="199"/>
      <c r="N2113" s="199"/>
      <c r="O2113" s="199"/>
      <c r="P2113" s="199"/>
      <c r="Q2113" s="199"/>
      <c r="R2113" s="199"/>
    </row>
    <row r="2114" spans="2:18">
      <c r="B2114" s="224" t="s">
        <v>2277</v>
      </c>
      <c r="C2114" s="225" t="s">
        <v>402</v>
      </c>
      <c r="D2114" s="225" t="s">
        <v>1516</v>
      </c>
      <c r="E2114" s="201">
        <v>20</v>
      </c>
      <c r="F2114" s="201">
        <f>12/6</f>
        <v>2</v>
      </c>
      <c r="G2114" s="203">
        <v>45077</v>
      </c>
      <c r="M2114" s="199"/>
      <c r="N2114" s="199"/>
      <c r="O2114" s="199"/>
      <c r="P2114" s="199"/>
      <c r="Q2114" s="199"/>
      <c r="R2114" s="199"/>
    </row>
    <row r="2115" spans="2:18">
      <c r="B2115" s="224"/>
      <c r="C2115" s="225" t="s">
        <v>544</v>
      </c>
      <c r="D2115" s="225" t="s">
        <v>1516</v>
      </c>
      <c r="E2115" s="201">
        <v>10.5</v>
      </c>
      <c r="F2115" s="201">
        <f>5/5</f>
        <v>1</v>
      </c>
      <c r="G2115" s="203">
        <v>44341</v>
      </c>
      <c r="M2115" s="199"/>
      <c r="N2115" s="199"/>
      <c r="O2115" s="199"/>
      <c r="P2115" s="199"/>
      <c r="Q2115" s="199"/>
      <c r="R2115" s="199"/>
    </row>
    <row r="2116" spans="2:18">
      <c r="B2116" s="224"/>
      <c r="C2116" s="282" t="s">
        <v>544</v>
      </c>
      <c r="D2116" s="282" t="s">
        <v>4200</v>
      </c>
      <c r="E2116" s="201">
        <v>14</v>
      </c>
      <c r="F2116" s="201">
        <v>2</v>
      </c>
      <c r="G2116" s="203">
        <v>43978</v>
      </c>
      <c r="M2116" s="199"/>
      <c r="N2116" s="199"/>
      <c r="O2116" s="199"/>
      <c r="P2116" s="199"/>
      <c r="Q2116" s="199"/>
      <c r="R2116" s="199"/>
    </row>
    <row r="2117" spans="2:18">
      <c r="B2117" s="224"/>
      <c r="C2117" s="282" t="s">
        <v>549</v>
      </c>
      <c r="D2117" s="282" t="s">
        <v>4200</v>
      </c>
      <c r="E2117" s="201">
        <v>5.3</v>
      </c>
      <c r="F2117" s="201">
        <f>4/7</f>
        <v>0.5714285714285714</v>
      </c>
      <c r="G2117" s="203">
        <v>43398</v>
      </c>
      <c r="M2117" s="199"/>
      <c r="N2117" s="199"/>
      <c r="O2117" s="199"/>
      <c r="P2117" s="199"/>
      <c r="Q2117" s="199"/>
      <c r="R2117" s="199"/>
    </row>
    <row r="2118" spans="2:18">
      <c r="B2118" s="224"/>
      <c r="C2118" s="225"/>
      <c r="D2118" s="225"/>
      <c r="G2118" s="203"/>
      <c r="M2118" s="199"/>
      <c r="N2118" s="199"/>
      <c r="O2118" s="199"/>
      <c r="P2118" s="199"/>
      <c r="Q2118" s="199"/>
      <c r="R2118" s="199"/>
    </row>
    <row r="2119" spans="2:18">
      <c r="B2119" s="224" t="s">
        <v>2278</v>
      </c>
      <c r="C2119" s="225" t="s">
        <v>402</v>
      </c>
      <c r="D2119" s="225" t="s">
        <v>1516</v>
      </c>
      <c r="E2119" s="201">
        <v>20</v>
      </c>
      <c r="F2119" s="201">
        <f>12/6</f>
        <v>2</v>
      </c>
      <c r="G2119" s="203">
        <v>45077</v>
      </c>
      <c r="M2119" s="199"/>
      <c r="N2119" s="199"/>
      <c r="O2119" s="199"/>
      <c r="P2119" s="199"/>
      <c r="Q2119" s="199"/>
      <c r="R2119" s="199"/>
    </row>
    <row r="2120" spans="2:18">
      <c r="B2120" s="224"/>
      <c r="C2120" s="225"/>
      <c r="D2120" s="225"/>
      <c r="G2120" s="203"/>
      <c r="M2120" s="199"/>
      <c r="N2120" s="199"/>
      <c r="O2120" s="199"/>
      <c r="P2120" s="199"/>
      <c r="Q2120" s="199"/>
      <c r="R2120" s="199"/>
    </row>
    <row r="2121" spans="2:18">
      <c r="B2121" s="224" t="s">
        <v>2279</v>
      </c>
      <c r="C2121" s="225" t="s">
        <v>402</v>
      </c>
      <c r="D2121" s="225" t="s">
        <v>1516</v>
      </c>
      <c r="E2121" s="201">
        <v>20</v>
      </c>
      <c r="F2121" s="201">
        <f>12/6</f>
        <v>2</v>
      </c>
      <c r="G2121" s="203">
        <v>45077</v>
      </c>
      <c r="M2121" s="199"/>
      <c r="N2121" s="199"/>
      <c r="O2121" s="199"/>
      <c r="P2121" s="199"/>
      <c r="Q2121" s="199"/>
      <c r="R2121" s="199"/>
    </row>
    <row r="2122" spans="2:18">
      <c r="B2122" s="224"/>
      <c r="C2122" s="238" t="s">
        <v>544</v>
      </c>
      <c r="D2122" s="238" t="s">
        <v>1926</v>
      </c>
      <c r="E2122" s="201">
        <v>10</v>
      </c>
      <c r="F2122" s="201">
        <f>7/4</f>
        <v>1.75</v>
      </c>
      <c r="G2122" s="203">
        <v>44740</v>
      </c>
      <c r="M2122" s="199"/>
      <c r="N2122" s="199"/>
      <c r="O2122" s="199"/>
      <c r="P2122" s="199"/>
      <c r="Q2122" s="199"/>
      <c r="R2122" s="199"/>
    </row>
    <row r="2123" spans="2:18">
      <c r="B2123" s="224"/>
      <c r="C2123" s="225"/>
      <c r="D2123" s="225"/>
      <c r="G2123" s="203"/>
      <c r="M2123" s="199"/>
      <c r="N2123" s="199"/>
      <c r="O2123" s="199"/>
      <c r="P2123" s="199"/>
      <c r="Q2123" s="199"/>
      <c r="R2123" s="199"/>
    </row>
    <row r="2124" spans="2:18">
      <c r="B2124" s="224" t="s">
        <v>2280</v>
      </c>
      <c r="C2124" s="225" t="s">
        <v>402</v>
      </c>
      <c r="D2124" s="225" t="s">
        <v>1516</v>
      </c>
      <c r="E2124" s="201">
        <v>20</v>
      </c>
      <c r="F2124" s="201">
        <f>12/6</f>
        <v>2</v>
      </c>
      <c r="G2124" s="203">
        <v>45077</v>
      </c>
      <c r="M2124" s="199"/>
      <c r="N2124" s="199"/>
      <c r="O2124" s="199"/>
      <c r="P2124" s="199"/>
      <c r="Q2124" s="199"/>
      <c r="R2124" s="199"/>
    </row>
    <row r="2125" spans="2:18">
      <c r="B2125" s="224"/>
      <c r="C2125" s="225" t="s">
        <v>544</v>
      </c>
      <c r="D2125" s="225" t="s">
        <v>1516</v>
      </c>
      <c r="E2125" s="201">
        <v>10.5</v>
      </c>
      <c r="F2125" s="201">
        <f>5/5</f>
        <v>1</v>
      </c>
      <c r="G2125" s="203">
        <v>44341</v>
      </c>
      <c r="M2125" s="199"/>
      <c r="N2125" s="199"/>
      <c r="O2125" s="199"/>
      <c r="P2125" s="199"/>
      <c r="Q2125" s="199"/>
      <c r="R2125" s="199"/>
    </row>
    <row r="2126" spans="2:18">
      <c r="B2126" s="224"/>
      <c r="C2126" s="225" t="s">
        <v>549</v>
      </c>
      <c r="D2126" s="225" t="s">
        <v>1516</v>
      </c>
      <c r="E2126" s="201">
        <v>4</v>
      </c>
      <c r="F2126" s="201">
        <v>2</v>
      </c>
      <c r="G2126" s="203">
        <v>43671</v>
      </c>
      <c r="M2126" s="199"/>
      <c r="N2126" s="199"/>
      <c r="O2126" s="199"/>
      <c r="P2126" s="199"/>
      <c r="Q2126" s="199"/>
      <c r="R2126" s="199"/>
    </row>
    <row r="2127" spans="2:18">
      <c r="B2127" s="224" t="s">
        <v>2281</v>
      </c>
      <c r="C2127" s="225" t="s">
        <v>402</v>
      </c>
      <c r="D2127" s="225" t="s">
        <v>1516</v>
      </c>
      <c r="E2127" s="201">
        <v>20</v>
      </c>
      <c r="F2127" s="201">
        <f>12/6</f>
        <v>2</v>
      </c>
      <c r="G2127" s="203">
        <v>45077</v>
      </c>
      <c r="M2127" s="199"/>
      <c r="N2127" s="199"/>
      <c r="O2127" s="199"/>
      <c r="P2127" s="199"/>
      <c r="Q2127" s="199"/>
      <c r="R2127" s="199"/>
    </row>
    <row r="2128" spans="2:18">
      <c r="B2128" s="224" t="s">
        <v>195</v>
      </c>
      <c r="C2128" s="225" t="s">
        <v>544</v>
      </c>
      <c r="D2128" s="225" t="s">
        <v>1516</v>
      </c>
      <c r="E2128" s="201">
        <v>10.5</v>
      </c>
      <c r="F2128" s="201">
        <f>5/5</f>
        <v>1</v>
      </c>
      <c r="G2128" s="203">
        <v>44341</v>
      </c>
      <c r="M2128" s="199"/>
      <c r="N2128" s="199"/>
      <c r="O2128" s="199"/>
      <c r="P2128" s="199"/>
      <c r="Q2128" s="199"/>
      <c r="R2128" s="199"/>
    </row>
    <row r="2129" spans="2:18">
      <c r="B2129" s="224"/>
      <c r="C2129" s="225" t="s">
        <v>402</v>
      </c>
      <c r="D2129" s="225" t="s">
        <v>1522</v>
      </c>
      <c r="E2129" s="201">
        <v>40</v>
      </c>
      <c r="F2129" s="201">
        <f>25/4</f>
        <v>6.25</v>
      </c>
      <c r="G2129" s="203">
        <v>44811</v>
      </c>
      <c r="M2129" s="199"/>
      <c r="N2129" s="199"/>
      <c r="O2129" s="199"/>
      <c r="P2129" s="199"/>
      <c r="Q2129" s="199"/>
      <c r="R2129" s="199"/>
    </row>
    <row r="2130" spans="2:18">
      <c r="B2130" s="224"/>
      <c r="C2130" s="225"/>
      <c r="D2130" s="225"/>
      <c r="G2130" s="203"/>
      <c r="M2130" s="199"/>
      <c r="N2130" s="199"/>
      <c r="O2130" s="199"/>
      <c r="P2130" s="199"/>
      <c r="Q2130" s="199"/>
      <c r="R2130" s="199"/>
    </row>
    <row r="2131" spans="2:18">
      <c r="B2131" s="224" t="s">
        <v>2286</v>
      </c>
      <c r="C2131" s="225" t="s">
        <v>669</v>
      </c>
      <c r="D2131" s="225" t="s">
        <v>1516</v>
      </c>
      <c r="E2131" s="201">
        <v>0.5</v>
      </c>
      <c r="F2131" s="201">
        <v>0.1</v>
      </c>
      <c r="G2131" s="203">
        <v>43262</v>
      </c>
      <c r="M2131" s="199"/>
      <c r="N2131" s="199"/>
      <c r="O2131" s="199"/>
      <c r="P2131" s="199"/>
      <c r="Q2131" s="199"/>
      <c r="R2131" s="199"/>
    </row>
    <row r="2132" spans="2:18">
      <c r="B2132" s="224"/>
      <c r="C2132" s="282" t="s">
        <v>810</v>
      </c>
      <c r="D2132" s="282" t="s">
        <v>1949</v>
      </c>
      <c r="E2132" s="201">
        <v>0.59499999999999997</v>
      </c>
      <c r="F2132" s="201">
        <v>0.59499999999999997</v>
      </c>
      <c r="G2132" s="203">
        <v>42278</v>
      </c>
      <c r="M2132" s="199"/>
      <c r="N2132" s="199"/>
      <c r="O2132" s="199"/>
      <c r="P2132" s="199"/>
      <c r="Q2132" s="199"/>
      <c r="R2132" s="199"/>
    </row>
    <row r="2133" spans="2:18">
      <c r="B2133" s="224"/>
      <c r="C2133" s="225"/>
      <c r="D2133" s="225"/>
      <c r="G2133" s="203"/>
      <c r="M2133" s="199"/>
      <c r="N2133" s="199"/>
      <c r="O2133" s="199"/>
      <c r="P2133" s="199"/>
      <c r="Q2133" s="199"/>
      <c r="R2133" s="199"/>
    </row>
    <row r="2134" spans="2:18">
      <c r="B2134" s="224" t="s">
        <v>2287</v>
      </c>
      <c r="C2134" s="225" t="s">
        <v>669</v>
      </c>
      <c r="D2134" s="225" t="s">
        <v>1516</v>
      </c>
      <c r="E2134" s="201">
        <v>0.5</v>
      </c>
      <c r="F2134" s="201">
        <v>0.3</v>
      </c>
      <c r="G2134" s="203">
        <v>43262</v>
      </c>
      <c r="M2134" s="199"/>
      <c r="N2134" s="199"/>
      <c r="O2134" s="199"/>
      <c r="P2134" s="199"/>
      <c r="Q2134" s="199"/>
      <c r="R2134" s="199"/>
    </row>
    <row r="2135" spans="2:18">
      <c r="B2135" s="224" t="s">
        <v>2293</v>
      </c>
      <c r="C2135" s="225" t="s">
        <v>544</v>
      </c>
      <c r="D2135" s="225" t="s">
        <v>2292</v>
      </c>
      <c r="E2135" s="201">
        <v>58</v>
      </c>
      <c r="F2135" s="201">
        <v>25</v>
      </c>
      <c r="G2135" s="203">
        <v>45104</v>
      </c>
      <c r="M2135" s="199"/>
      <c r="N2135" s="199"/>
      <c r="O2135" s="199"/>
      <c r="P2135" s="199"/>
      <c r="Q2135" s="199"/>
      <c r="R2135" s="199"/>
    </row>
    <row r="2136" spans="2:18">
      <c r="B2136" s="224" t="s">
        <v>2296</v>
      </c>
      <c r="C2136" s="225" t="s">
        <v>402</v>
      </c>
      <c r="D2136" s="225" t="s">
        <v>1522</v>
      </c>
      <c r="E2136" s="201">
        <v>40</v>
      </c>
      <c r="F2136" s="201">
        <v>15</v>
      </c>
      <c r="G2136" s="203">
        <v>44811</v>
      </c>
      <c r="M2136" s="199"/>
      <c r="N2136" s="199"/>
      <c r="O2136" s="199"/>
      <c r="P2136" s="199"/>
      <c r="Q2136" s="199"/>
      <c r="R2136" s="199"/>
    </row>
    <row r="2137" spans="2:18">
      <c r="B2137" s="224" t="s">
        <v>2298</v>
      </c>
      <c r="C2137" s="225" t="s">
        <v>544</v>
      </c>
      <c r="D2137" s="225" t="s">
        <v>1522</v>
      </c>
      <c r="E2137" s="201">
        <v>14</v>
      </c>
      <c r="F2137" s="201">
        <f>8/5</f>
        <v>1.6</v>
      </c>
      <c r="G2137" s="203">
        <v>44447</v>
      </c>
      <c r="M2137" s="199"/>
      <c r="N2137" s="199"/>
      <c r="O2137" s="199"/>
      <c r="P2137" s="199"/>
      <c r="Q2137" s="199"/>
      <c r="R2137" s="199"/>
    </row>
    <row r="2138" spans="2:18">
      <c r="B2138" s="224"/>
      <c r="C2138" s="225" t="s">
        <v>544</v>
      </c>
      <c r="D2138" s="225" t="s">
        <v>1522</v>
      </c>
      <c r="E2138" s="201">
        <v>12</v>
      </c>
      <c r="F2138" s="201">
        <f t="shared" ref="F2138:F2141" si="15">8/5</f>
        <v>1.6</v>
      </c>
      <c r="G2138" s="203">
        <v>43532</v>
      </c>
      <c r="M2138" s="199"/>
      <c r="N2138" s="199"/>
      <c r="O2138" s="199"/>
      <c r="P2138" s="199"/>
      <c r="Q2138" s="199"/>
      <c r="R2138" s="199"/>
    </row>
    <row r="2139" spans="2:18">
      <c r="B2139" s="224"/>
      <c r="C2139" s="225"/>
      <c r="D2139" s="225"/>
      <c r="G2139" s="203"/>
      <c r="M2139" s="199"/>
      <c r="N2139" s="199"/>
      <c r="O2139" s="199"/>
      <c r="P2139" s="199"/>
      <c r="Q2139" s="199"/>
      <c r="R2139" s="199"/>
    </row>
    <row r="2140" spans="2:18">
      <c r="B2140" s="224" t="s">
        <v>2299</v>
      </c>
      <c r="C2140" s="225" t="s">
        <v>544</v>
      </c>
      <c r="D2140" s="225" t="s">
        <v>1522</v>
      </c>
      <c r="E2140" s="201">
        <v>14</v>
      </c>
      <c r="F2140" s="201">
        <f>8/5</f>
        <v>1.6</v>
      </c>
      <c r="G2140" s="203">
        <v>44447</v>
      </c>
      <c r="M2140" s="199"/>
      <c r="N2140" s="199"/>
      <c r="O2140" s="199"/>
      <c r="P2140" s="199"/>
      <c r="Q2140" s="199"/>
      <c r="R2140" s="199"/>
    </row>
    <row r="2141" spans="2:18">
      <c r="C2141" s="225" t="s">
        <v>544</v>
      </c>
      <c r="D2141" s="225" t="s">
        <v>1522</v>
      </c>
      <c r="E2141" s="201">
        <v>12</v>
      </c>
      <c r="F2141" s="201">
        <f t="shared" si="15"/>
        <v>1.6</v>
      </c>
      <c r="G2141" s="203">
        <v>43532</v>
      </c>
      <c r="M2141" s="199"/>
      <c r="N2141" s="199"/>
      <c r="O2141" s="199"/>
      <c r="P2141" s="199"/>
      <c r="Q2141" s="199"/>
      <c r="R2141" s="199"/>
    </row>
    <row r="2142" spans="2:18">
      <c r="C2142" s="228" t="s">
        <v>544</v>
      </c>
      <c r="D2142" s="228" t="s">
        <v>1225</v>
      </c>
      <c r="E2142" s="201">
        <v>5</v>
      </c>
      <c r="F2142" s="201">
        <v>1</v>
      </c>
      <c r="G2142" s="203">
        <v>44514</v>
      </c>
      <c r="M2142" s="199"/>
      <c r="N2142" s="199"/>
      <c r="O2142" s="199"/>
      <c r="P2142" s="199"/>
      <c r="Q2142" s="199"/>
      <c r="R2142" s="199"/>
    </row>
    <row r="2143" spans="2:18">
      <c r="C2143" s="225"/>
      <c r="D2143" s="225"/>
      <c r="G2143" s="203"/>
      <c r="M2143" s="199"/>
      <c r="N2143" s="199"/>
      <c r="O2143" s="199"/>
      <c r="P2143" s="199"/>
      <c r="Q2143" s="199"/>
      <c r="R2143" s="199"/>
    </row>
    <row r="2144" spans="2:18">
      <c r="B2144" s="224" t="s">
        <v>2304</v>
      </c>
      <c r="C2144" s="225" t="s">
        <v>565</v>
      </c>
      <c r="D2144" s="225" t="s">
        <v>588</v>
      </c>
      <c r="E2144" s="201">
        <v>45</v>
      </c>
      <c r="F2144" s="201">
        <v>15</v>
      </c>
      <c r="G2144" s="203">
        <v>44159</v>
      </c>
      <c r="M2144" s="199"/>
      <c r="N2144" s="199"/>
      <c r="O2144" s="199"/>
      <c r="P2144" s="199"/>
      <c r="Q2144" s="199"/>
      <c r="R2144" s="199"/>
    </row>
    <row r="2145" spans="2:18">
      <c r="B2145" s="224" t="s">
        <v>2305</v>
      </c>
      <c r="C2145" s="225" t="s">
        <v>565</v>
      </c>
      <c r="D2145" s="225" t="s">
        <v>588</v>
      </c>
      <c r="E2145" s="201">
        <v>45</v>
      </c>
      <c r="F2145" s="201">
        <v>5</v>
      </c>
      <c r="G2145" s="203">
        <v>44159</v>
      </c>
      <c r="M2145" s="199"/>
      <c r="N2145" s="199"/>
      <c r="O2145" s="199"/>
      <c r="P2145" s="199"/>
      <c r="Q2145" s="199"/>
      <c r="R2145" s="199"/>
    </row>
    <row r="2146" spans="2:18">
      <c r="B2146" s="224" t="s">
        <v>2306</v>
      </c>
      <c r="C2146" s="225" t="s">
        <v>565</v>
      </c>
      <c r="D2146" s="225" t="s">
        <v>588</v>
      </c>
      <c r="E2146" s="201">
        <v>45</v>
      </c>
      <c r="F2146" s="201">
        <v>5</v>
      </c>
      <c r="G2146" s="203">
        <v>44159</v>
      </c>
      <c r="M2146" s="199"/>
      <c r="N2146" s="199"/>
      <c r="O2146" s="199"/>
      <c r="P2146" s="199"/>
      <c r="Q2146" s="199"/>
      <c r="R2146" s="199"/>
    </row>
    <row r="2147" spans="2:18">
      <c r="B2147" s="224" t="s">
        <v>2307</v>
      </c>
      <c r="C2147" s="225" t="s">
        <v>565</v>
      </c>
      <c r="D2147" s="225" t="s">
        <v>588</v>
      </c>
      <c r="E2147" s="201">
        <v>45</v>
      </c>
      <c r="F2147" s="201">
        <v>5</v>
      </c>
      <c r="G2147" s="203">
        <v>44159</v>
      </c>
      <c r="M2147" s="199"/>
      <c r="N2147" s="199"/>
      <c r="O2147" s="199"/>
      <c r="P2147" s="199"/>
      <c r="Q2147" s="199"/>
      <c r="R2147" s="199"/>
    </row>
    <row r="2148" spans="2:18">
      <c r="B2148" s="224" t="s">
        <v>2308</v>
      </c>
      <c r="C2148" s="225" t="s">
        <v>565</v>
      </c>
      <c r="D2148" s="225" t="s">
        <v>588</v>
      </c>
      <c r="E2148" s="201">
        <v>45</v>
      </c>
      <c r="F2148" s="201">
        <v>5</v>
      </c>
      <c r="G2148" s="203">
        <v>44159</v>
      </c>
      <c r="M2148" s="199"/>
      <c r="N2148" s="199"/>
      <c r="O2148" s="199"/>
      <c r="P2148" s="199"/>
      <c r="Q2148" s="199"/>
      <c r="R2148" s="199"/>
    </row>
    <row r="2149" spans="2:18">
      <c r="B2149" s="224" t="s">
        <v>2310</v>
      </c>
      <c r="C2149" s="225" t="s">
        <v>565</v>
      </c>
      <c r="D2149" s="225" t="s">
        <v>588</v>
      </c>
      <c r="E2149" s="201">
        <v>45</v>
      </c>
      <c r="F2149" s="201">
        <v>5</v>
      </c>
      <c r="G2149" s="203">
        <v>44159</v>
      </c>
      <c r="M2149" s="199"/>
      <c r="N2149" s="199"/>
      <c r="O2149" s="199"/>
      <c r="P2149" s="199"/>
      <c r="Q2149" s="199"/>
      <c r="R2149" s="199"/>
    </row>
    <row r="2150" spans="2:18">
      <c r="B2150" s="224" t="s">
        <v>2309</v>
      </c>
      <c r="C2150" s="225" t="s">
        <v>565</v>
      </c>
      <c r="D2150" s="225" t="s">
        <v>588</v>
      </c>
      <c r="E2150" s="201">
        <v>45</v>
      </c>
      <c r="F2150" s="201">
        <v>5</v>
      </c>
      <c r="G2150" s="203">
        <v>44159</v>
      </c>
      <c r="M2150" s="199"/>
      <c r="N2150" s="199"/>
      <c r="O2150" s="199"/>
      <c r="P2150" s="199"/>
      <c r="Q2150" s="199"/>
      <c r="R2150" s="199"/>
    </row>
    <row r="2151" spans="2:18">
      <c r="B2151" s="224" t="s">
        <v>2329</v>
      </c>
      <c r="C2151" s="225" t="s">
        <v>755</v>
      </c>
      <c r="D2151" s="225" t="s">
        <v>445</v>
      </c>
      <c r="E2151" s="201">
        <v>100</v>
      </c>
      <c r="F2151" s="201">
        <v>25</v>
      </c>
      <c r="G2151" s="203">
        <v>44419</v>
      </c>
      <c r="M2151" s="199"/>
      <c r="N2151" s="199"/>
      <c r="O2151" s="199"/>
      <c r="P2151" s="199"/>
      <c r="Q2151" s="199"/>
      <c r="R2151" s="199"/>
    </row>
    <row r="2152" spans="2:18">
      <c r="B2152" s="224" t="s">
        <v>2330</v>
      </c>
      <c r="C2152" s="225" t="s">
        <v>755</v>
      </c>
      <c r="D2152" s="225" t="s">
        <v>445</v>
      </c>
      <c r="E2152" s="201">
        <v>100</v>
      </c>
      <c r="F2152" s="201">
        <f>50/4</f>
        <v>12.5</v>
      </c>
      <c r="G2152" s="203">
        <v>44419</v>
      </c>
      <c r="M2152" s="199"/>
      <c r="N2152" s="199"/>
      <c r="O2152" s="199"/>
      <c r="P2152" s="199"/>
      <c r="Q2152" s="199"/>
      <c r="R2152" s="199"/>
    </row>
    <row r="2153" spans="2:18">
      <c r="B2153" s="224" t="s">
        <v>2331</v>
      </c>
      <c r="C2153" s="225" t="s">
        <v>565</v>
      </c>
      <c r="D2153" s="225" t="s">
        <v>445</v>
      </c>
      <c r="E2153" s="201">
        <v>60</v>
      </c>
      <c r="F2153" s="201">
        <v>5</v>
      </c>
      <c r="G2153" s="203">
        <v>43606</v>
      </c>
      <c r="M2153" s="199"/>
      <c r="N2153" s="199"/>
      <c r="O2153" s="199"/>
      <c r="P2153" s="199"/>
      <c r="Q2153" s="199"/>
      <c r="R2153" s="199"/>
    </row>
    <row r="2154" spans="2:18">
      <c r="B2154" s="224" t="s">
        <v>2332</v>
      </c>
      <c r="C2154" s="225" t="s">
        <v>565</v>
      </c>
      <c r="D2154" s="225" t="s">
        <v>445</v>
      </c>
      <c r="E2154" s="201">
        <v>60</v>
      </c>
      <c r="F2154" s="201">
        <v>5</v>
      </c>
      <c r="G2154" s="203">
        <v>43606</v>
      </c>
      <c r="M2154" s="199"/>
      <c r="N2154" s="199"/>
      <c r="O2154" s="199"/>
      <c r="P2154" s="199"/>
      <c r="Q2154" s="199"/>
      <c r="R2154" s="199"/>
    </row>
    <row r="2155" spans="2:18">
      <c r="B2155" s="224" t="s">
        <v>2335</v>
      </c>
      <c r="C2155" s="225" t="s">
        <v>544</v>
      </c>
      <c r="D2155" s="225" t="s">
        <v>445</v>
      </c>
      <c r="E2155" s="201">
        <v>7</v>
      </c>
      <c r="F2155" s="201">
        <v>0.5</v>
      </c>
      <c r="G2155" s="203">
        <v>42885</v>
      </c>
      <c r="M2155" s="199"/>
      <c r="N2155" s="199"/>
      <c r="O2155" s="199"/>
      <c r="P2155" s="199"/>
      <c r="Q2155" s="199"/>
      <c r="R2155" s="199"/>
    </row>
    <row r="2156" spans="2:18">
      <c r="B2156" s="224" t="s">
        <v>2337</v>
      </c>
      <c r="C2156" s="225" t="s">
        <v>549</v>
      </c>
      <c r="D2156" s="225" t="s">
        <v>445</v>
      </c>
      <c r="E2156" s="201">
        <v>3</v>
      </c>
      <c r="F2156" s="201">
        <v>0.5</v>
      </c>
      <c r="G2156" s="203">
        <v>42606</v>
      </c>
      <c r="M2156" s="199"/>
      <c r="N2156" s="199"/>
      <c r="O2156" s="199"/>
      <c r="P2156" s="199"/>
      <c r="Q2156" s="199"/>
      <c r="R2156" s="199"/>
    </row>
    <row r="2157" spans="2:18">
      <c r="B2157" s="224"/>
      <c r="C2157" s="225"/>
      <c r="D2157" s="225"/>
      <c r="G2157" s="203"/>
      <c r="M2157" s="199"/>
      <c r="N2157" s="199"/>
      <c r="O2157" s="199"/>
      <c r="P2157" s="199"/>
      <c r="Q2157" s="199"/>
      <c r="R2157" s="199"/>
    </row>
    <row r="2158" spans="2:18">
      <c r="B2158" s="224" t="s">
        <v>2338</v>
      </c>
      <c r="C2158" s="225" t="s">
        <v>549</v>
      </c>
      <c r="D2158" s="225" t="s">
        <v>445</v>
      </c>
      <c r="E2158" s="201">
        <v>3</v>
      </c>
      <c r="F2158" s="201">
        <v>0.5</v>
      </c>
      <c r="G2158" s="203">
        <v>42606</v>
      </c>
      <c r="M2158" s="199"/>
      <c r="N2158" s="199"/>
      <c r="O2158" s="199"/>
      <c r="P2158" s="199"/>
      <c r="Q2158" s="199"/>
      <c r="R2158" s="199"/>
    </row>
    <row r="2159" spans="2:18">
      <c r="B2159" s="224"/>
      <c r="C2159" s="238" t="s">
        <v>402</v>
      </c>
      <c r="D2159" s="238" t="s">
        <v>2741</v>
      </c>
      <c r="E2159" s="201">
        <v>32</v>
      </c>
      <c r="F2159" s="201">
        <v>3</v>
      </c>
      <c r="G2159" s="203">
        <v>44364</v>
      </c>
      <c r="M2159" s="199"/>
      <c r="N2159" s="199"/>
      <c r="O2159" s="199"/>
      <c r="P2159" s="199"/>
      <c r="Q2159" s="199"/>
      <c r="R2159" s="199"/>
    </row>
    <row r="2160" spans="2:18">
      <c r="B2160" s="224"/>
      <c r="C2160" s="238" t="s">
        <v>544</v>
      </c>
      <c r="D2160" s="238" t="s">
        <v>2741</v>
      </c>
      <c r="E2160" s="201">
        <v>10.199999999999999</v>
      </c>
      <c r="F2160" s="201">
        <v>2</v>
      </c>
      <c r="G2160" s="203">
        <v>43732</v>
      </c>
      <c r="M2160" s="199"/>
      <c r="N2160" s="199"/>
      <c r="O2160" s="199"/>
      <c r="P2160" s="199"/>
      <c r="Q2160" s="199"/>
      <c r="R2160" s="199"/>
    </row>
    <row r="2161" spans="2:18">
      <c r="B2161" s="224"/>
      <c r="C2161" s="238" t="s">
        <v>549</v>
      </c>
      <c r="D2161" s="238" t="s">
        <v>2741</v>
      </c>
      <c r="E2161" s="201">
        <v>3</v>
      </c>
      <c r="F2161" s="201">
        <v>1.5</v>
      </c>
      <c r="G2161" s="203">
        <v>43374</v>
      </c>
      <c r="M2161" s="199"/>
      <c r="N2161" s="199"/>
      <c r="O2161" s="199"/>
      <c r="P2161" s="199"/>
      <c r="Q2161" s="199"/>
      <c r="R2161" s="199"/>
    </row>
    <row r="2162" spans="2:18">
      <c r="B2162" s="224"/>
      <c r="C2162" s="225"/>
      <c r="D2162" s="225"/>
      <c r="G2162" s="203"/>
      <c r="M2162" s="199"/>
      <c r="N2162" s="199"/>
      <c r="O2162" s="199"/>
      <c r="P2162" s="199"/>
      <c r="Q2162" s="199"/>
      <c r="R2162" s="199"/>
    </row>
    <row r="2163" spans="2:18">
      <c r="B2163" s="224" t="s">
        <v>2339</v>
      </c>
      <c r="C2163" s="225" t="s">
        <v>549</v>
      </c>
      <c r="D2163" s="225" t="s">
        <v>445</v>
      </c>
      <c r="E2163" s="201">
        <v>3</v>
      </c>
      <c r="F2163" s="201">
        <v>0.5</v>
      </c>
      <c r="G2163" s="203">
        <v>42606</v>
      </c>
      <c r="M2163" s="199"/>
      <c r="N2163" s="199"/>
      <c r="O2163" s="199"/>
      <c r="P2163" s="199"/>
      <c r="Q2163" s="199"/>
      <c r="R2163" s="199"/>
    </row>
    <row r="2164" spans="2:18">
      <c r="B2164" s="224" t="s">
        <v>2340</v>
      </c>
      <c r="C2164" s="225" t="s">
        <v>549</v>
      </c>
      <c r="D2164" s="225" t="s">
        <v>445</v>
      </c>
      <c r="E2164" s="201">
        <v>3</v>
      </c>
      <c r="F2164" s="201">
        <v>0.5</v>
      </c>
      <c r="G2164" s="203">
        <v>42606</v>
      </c>
      <c r="M2164" s="199"/>
      <c r="N2164" s="199"/>
      <c r="O2164" s="199"/>
      <c r="P2164" s="199"/>
      <c r="Q2164" s="199"/>
      <c r="R2164" s="199"/>
    </row>
    <row r="2165" spans="2:18">
      <c r="B2165" s="224" t="s">
        <v>2341</v>
      </c>
      <c r="C2165" s="225" t="s">
        <v>549</v>
      </c>
      <c r="D2165" s="225" t="s">
        <v>445</v>
      </c>
      <c r="E2165" s="201">
        <v>3</v>
      </c>
      <c r="F2165" s="201">
        <v>0.5</v>
      </c>
      <c r="G2165" s="203">
        <v>42606</v>
      </c>
      <c r="M2165" s="199"/>
      <c r="N2165" s="199"/>
      <c r="O2165" s="199"/>
      <c r="P2165" s="199"/>
      <c r="Q2165" s="199"/>
      <c r="R2165" s="199"/>
    </row>
    <row r="2166" spans="2:18">
      <c r="B2166" s="224" t="s">
        <v>2342</v>
      </c>
      <c r="C2166" s="225" t="s">
        <v>549</v>
      </c>
      <c r="D2166" s="225" t="s">
        <v>445</v>
      </c>
      <c r="E2166" s="201">
        <v>3</v>
      </c>
      <c r="F2166" s="201">
        <v>0.5</v>
      </c>
      <c r="G2166" s="203">
        <v>42606</v>
      </c>
      <c r="M2166" s="199"/>
      <c r="N2166" s="199"/>
      <c r="O2166" s="199"/>
      <c r="P2166" s="199"/>
      <c r="Q2166" s="199"/>
      <c r="R2166" s="199"/>
    </row>
    <row r="2167" spans="2:18">
      <c r="B2167" s="224" t="s">
        <v>2361</v>
      </c>
      <c r="C2167" s="225" t="s">
        <v>544</v>
      </c>
      <c r="D2167" s="225" t="s">
        <v>502</v>
      </c>
      <c r="E2167" s="201">
        <v>14.5</v>
      </c>
      <c r="F2167" s="201">
        <v>3</v>
      </c>
      <c r="G2167" s="203">
        <v>43389</v>
      </c>
      <c r="M2167" s="199"/>
      <c r="N2167" s="199"/>
      <c r="O2167" s="199"/>
      <c r="P2167" s="199"/>
      <c r="Q2167" s="199"/>
      <c r="R2167" s="199"/>
    </row>
    <row r="2168" spans="2:18">
      <c r="B2168" s="224" t="s">
        <v>2362</v>
      </c>
      <c r="C2168" s="225" t="s">
        <v>544</v>
      </c>
      <c r="D2168" s="225" t="s">
        <v>502</v>
      </c>
      <c r="E2168" s="201">
        <v>14.5</v>
      </c>
      <c r="F2168" s="201">
        <v>1.5</v>
      </c>
      <c r="G2168" s="203">
        <v>43389</v>
      </c>
      <c r="M2168" s="199"/>
      <c r="N2168" s="199"/>
      <c r="O2168" s="199"/>
      <c r="P2168" s="199"/>
      <c r="Q2168" s="199"/>
      <c r="R2168" s="199"/>
    </row>
    <row r="2169" spans="2:18">
      <c r="B2169" s="224"/>
      <c r="C2169" s="225"/>
      <c r="D2169" s="225"/>
      <c r="G2169" s="203"/>
      <c r="M2169" s="199"/>
      <c r="N2169" s="199"/>
      <c r="O2169" s="199"/>
      <c r="P2169" s="199"/>
      <c r="Q2169" s="199"/>
      <c r="R2169" s="199"/>
    </row>
    <row r="2170" spans="2:18">
      <c r="B2170" s="224" t="s">
        <v>2364</v>
      </c>
      <c r="C2170" s="225" t="s">
        <v>549</v>
      </c>
      <c r="D2170" s="225" t="s">
        <v>502</v>
      </c>
      <c r="E2170" s="201">
        <v>4</v>
      </c>
      <c r="F2170" s="201">
        <f>4/3</f>
        <v>1.3333333333333333</v>
      </c>
      <c r="G2170" s="203">
        <v>42647</v>
      </c>
      <c r="M2170" s="199"/>
      <c r="N2170" s="199"/>
      <c r="O2170" s="199"/>
      <c r="P2170" s="199"/>
      <c r="Q2170" s="199"/>
      <c r="R2170" s="199"/>
    </row>
    <row r="2171" spans="2:18">
      <c r="B2171" s="224"/>
      <c r="C2171" s="225"/>
      <c r="D2171" s="225"/>
      <c r="G2171" s="203"/>
      <c r="M2171" s="199"/>
      <c r="N2171" s="199"/>
      <c r="O2171" s="199"/>
      <c r="P2171" s="199"/>
      <c r="Q2171" s="199"/>
      <c r="R2171" s="199"/>
    </row>
    <row r="2172" spans="2:18">
      <c r="B2172" s="224" t="s">
        <v>2382</v>
      </c>
      <c r="C2172" s="225" t="s">
        <v>549</v>
      </c>
      <c r="D2172" s="225" t="s">
        <v>576</v>
      </c>
      <c r="E2172" s="201">
        <v>3</v>
      </c>
      <c r="F2172" s="201">
        <v>1.5</v>
      </c>
      <c r="G2172" s="203">
        <v>45037</v>
      </c>
      <c r="M2172" s="199"/>
      <c r="N2172" s="199"/>
      <c r="O2172" s="199"/>
      <c r="P2172" s="199"/>
      <c r="Q2172" s="199"/>
      <c r="R2172" s="199"/>
    </row>
    <row r="2173" spans="2:18">
      <c r="B2173" s="224"/>
      <c r="C2173" s="252" t="s">
        <v>565</v>
      </c>
      <c r="D2173" s="252" t="s">
        <v>3702</v>
      </c>
      <c r="E2173" s="201">
        <v>38</v>
      </c>
      <c r="F2173" s="201">
        <v>3</v>
      </c>
      <c r="G2173" s="203">
        <v>43104</v>
      </c>
      <c r="M2173" s="199"/>
      <c r="N2173" s="199"/>
      <c r="O2173" s="199"/>
      <c r="P2173" s="199"/>
      <c r="Q2173" s="199"/>
      <c r="R2173" s="199"/>
    </row>
    <row r="2174" spans="2:18">
      <c r="B2174" s="224"/>
      <c r="C2174" s="252" t="s">
        <v>402</v>
      </c>
      <c r="D2174" s="252" t="s">
        <v>3702</v>
      </c>
      <c r="E2174" s="201">
        <v>6.9</v>
      </c>
      <c r="F2174" s="201">
        <f>E2174/5</f>
        <v>1.3800000000000001</v>
      </c>
      <c r="G2174" s="203">
        <v>42458</v>
      </c>
      <c r="M2174" s="199"/>
      <c r="N2174" s="199"/>
      <c r="O2174" s="199"/>
      <c r="P2174" s="199"/>
      <c r="Q2174" s="199"/>
      <c r="R2174" s="199"/>
    </row>
    <row r="2175" spans="2:18">
      <c r="B2175" s="224"/>
      <c r="C2175" s="252" t="s">
        <v>544</v>
      </c>
      <c r="D2175" s="252" t="s">
        <v>3702</v>
      </c>
      <c r="E2175" s="201">
        <v>2.7</v>
      </c>
      <c r="F2175" s="201">
        <f>1.7/4</f>
        <v>0.42499999999999999</v>
      </c>
      <c r="G2175" s="203">
        <v>42139</v>
      </c>
      <c r="M2175" s="199"/>
      <c r="N2175" s="199"/>
      <c r="O2175" s="199"/>
      <c r="P2175" s="199"/>
      <c r="Q2175" s="199"/>
      <c r="R2175" s="199"/>
    </row>
    <row r="2176" spans="2:18">
      <c r="B2176" s="224"/>
      <c r="C2176" s="225"/>
      <c r="D2176" s="225"/>
      <c r="G2176" s="203"/>
      <c r="M2176" s="199"/>
      <c r="N2176" s="199"/>
      <c r="O2176" s="199"/>
      <c r="P2176" s="199"/>
      <c r="Q2176" s="199"/>
      <c r="R2176" s="199"/>
    </row>
    <row r="2177" spans="2:18">
      <c r="B2177" s="224" t="s">
        <v>2383</v>
      </c>
      <c r="C2177" s="225" t="s">
        <v>549</v>
      </c>
      <c r="D2177" s="225" t="s">
        <v>576</v>
      </c>
      <c r="E2177" s="201">
        <v>3</v>
      </c>
      <c r="F2177" s="201">
        <v>0.5</v>
      </c>
      <c r="G2177" s="203">
        <v>45037</v>
      </c>
      <c r="M2177" s="199"/>
      <c r="N2177" s="199"/>
      <c r="O2177" s="199"/>
      <c r="P2177" s="199"/>
      <c r="Q2177" s="199"/>
      <c r="R2177" s="199"/>
    </row>
    <row r="2178" spans="2:18">
      <c r="B2178" s="224"/>
      <c r="C2178" s="225" t="s">
        <v>669</v>
      </c>
      <c r="D2178" s="225" t="s">
        <v>576</v>
      </c>
      <c r="E2178" s="201">
        <v>1.2</v>
      </c>
      <c r="F2178" s="201">
        <v>0.3</v>
      </c>
      <c r="G2178" s="203">
        <v>44545</v>
      </c>
      <c r="M2178" s="199"/>
      <c r="N2178" s="199"/>
      <c r="O2178" s="199"/>
      <c r="P2178" s="199"/>
      <c r="Q2178" s="199"/>
      <c r="R2178" s="199"/>
    </row>
    <row r="2179" spans="2:18">
      <c r="B2179" s="224"/>
      <c r="C2179" s="225"/>
      <c r="D2179" s="225"/>
      <c r="G2179" s="203"/>
      <c r="M2179" s="199"/>
      <c r="N2179" s="199"/>
      <c r="O2179" s="199"/>
      <c r="P2179" s="199"/>
      <c r="Q2179" s="199"/>
      <c r="R2179" s="199"/>
    </row>
    <row r="2180" spans="2:18">
      <c r="B2180" s="224" t="s">
        <v>2384</v>
      </c>
      <c r="C2180" s="225" t="s">
        <v>549</v>
      </c>
      <c r="D2180" s="225" t="s">
        <v>576</v>
      </c>
      <c r="E2180" s="201">
        <v>3</v>
      </c>
      <c r="F2180" s="201">
        <v>0.5</v>
      </c>
      <c r="G2180" s="203">
        <v>45037</v>
      </c>
      <c r="M2180" s="199"/>
      <c r="N2180" s="199"/>
      <c r="O2180" s="199"/>
      <c r="P2180" s="199"/>
      <c r="Q2180" s="199"/>
      <c r="R2180" s="199"/>
    </row>
    <row r="2181" spans="2:18">
      <c r="B2181" s="224"/>
      <c r="C2181" s="228" t="s">
        <v>402</v>
      </c>
      <c r="D2181" s="228" t="s">
        <v>1518</v>
      </c>
      <c r="E2181" s="201">
        <v>90</v>
      </c>
      <c r="F2181" s="201">
        <v>6</v>
      </c>
      <c r="G2181" s="203">
        <v>44398</v>
      </c>
      <c r="M2181" s="199"/>
      <c r="N2181" s="199"/>
      <c r="O2181" s="199"/>
      <c r="P2181" s="199"/>
      <c r="Q2181" s="199"/>
      <c r="R2181" s="199"/>
    </row>
    <row r="2182" spans="2:18">
      <c r="B2182" s="224"/>
      <c r="C2182" s="272" t="s">
        <v>738</v>
      </c>
      <c r="D2182" s="272" t="s">
        <v>1822</v>
      </c>
      <c r="E2182" s="201">
        <v>392</v>
      </c>
      <c r="F2182" s="201">
        <f>E2182/5</f>
        <v>78.400000000000006</v>
      </c>
      <c r="G2182" s="203">
        <v>43280</v>
      </c>
      <c r="M2182" s="199"/>
      <c r="N2182" s="199"/>
      <c r="O2182" s="199"/>
      <c r="P2182" s="199"/>
      <c r="Q2182" s="199"/>
      <c r="R2182" s="199"/>
    </row>
    <row r="2183" spans="2:18">
      <c r="B2183" s="224"/>
      <c r="C2183" s="225"/>
      <c r="D2183" s="225"/>
      <c r="G2183" s="203"/>
      <c r="M2183" s="199"/>
      <c r="N2183" s="199"/>
      <c r="O2183" s="199"/>
      <c r="P2183" s="199"/>
      <c r="Q2183" s="199"/>
      <c r="R2183" s="199"/>
    </row>
    <row r="2184" spans="2:18">
      <c r="B2184" s="224" t="s">
        <v>2385</v>
      </c>
      <c r="C2184" s="225" t="s">
        <v>669</v>
      </c>
      <c r="D2184" s="225" t="s">
        <v>576</v>
      </c>
      <c r="E2184" s="201">
        <v>1.2</v>
      </c>
      <c r="F2184" s="201">
        <v>0.3</v>
      </c>
      <c r="G2184" s="203">
        <v>44545</v>
      </c>
      <c r="M2184" s="199"/>
      <c r="N2184" s="199"/>
      <c r="O2184" s="199"/>
      <c r="P2184" s="199"/>
      <c r="Q2184" s="199"/>
      <c r="R2184" s="199"/>
    </row>
    <row r="2185" spans="2:18">
      <c r="B2185" s="224" t="s">
        <v>2386</v>
      </c>
      <c r="C2185" s="225" t="s">
        <v>669</v>
      </c>
      <c r="D2185" s="225" t="s">
        <v>576</v>
      </c>
      <c r="E2185" s="201">
        <v>1.2</v>
      </c>
      <c r="F2185" s="201">
        <v>0.3</v>
      </c>
      <c r="G2185" s="203">
        <v>44545</v>
      </c>
      <c r="M2185" s="199"/>
      <c r="N2185" s="199"/>
      <c r="O2185" s="199"/>
      <c r="P2185" s="199"/>
      <c r="Q2185" s="199"/>
      <c r="R2185" s="199"/>
    </row>
    <row r="2186" spans="2:18">
      <c r="B2186" s="224" t="s">
        <v>2387</v>
      </c>
      <c r="C2186" s="225" t="s">
        <v>669</v>
      </c>
      <c r="D2186" s="225" t="s">
        <v>576</v>
      </c>
      <c r="E2186" s="201">
        <v>1.2</v>
      </c>
      <c r="F2186" s="201">
        <v>0.3</v>
      </c>
      <c r="G2186" s="203">
        <v>44545</v>
      </c>
      <c r="M2186" s="199"/>
      <c r="N2186" s="199"/>
      <c r="O2186" s="199"/>
      <c r="P2186" s="199"/>
      <c r="Q2186" s="199"/>
      <c r="R2186" s="199"/>
    </row>
    <row r="2187" spans="2:18">
      <c r="B2187" s="224" t="s">
        <v>2388</v>
      </c>
      <c r="C2187" s="225" t="s">
        <v>669</v>
      </c>
      <c r="D2187" s="225" t="s">
        <v>576</v>
      </c>
      <c r="E2187" s="201">
        <v>1.2</v>
      </c>
      <c r="F2187" s="201">
        <v>0.3</v>
      </c>
      <c r="G2187" s="203">
        <v>44545</v>
      </c>
      <c r="M2187" s="199"/>
      <c r="N2187" s="199"/>
      <c r="O2187" s="199"/>
      <c r="P2187" s="199"/>
      <c r="Q2187" s="199"/>
      <c r="R2187" s="199"/>
    </row>
    <row r="2188" spans="2:18">
      <c r="B2188" s="224"/>
      <c r="C2188" s="225"/>
      <c r="D2188" s="225"/>
      <c r="G2188" s="203"/>
      <c r="M2188" s="199"/>
      <c r="N2188" s="199"/>
      <c r="O2188" s="199"/>
      <c r="P2188" s="199"/>
      <c r="Q2188" s="199"/>
      <c r="R2188" s="199"/>
    </row>
    <row r="2189" spans="2:18">
      <c r="B2189" s="227" t="s">
        <v>2429</v>
      </c>
      <c r="C2189" s="228" t="s">
        <v>2426</v>
      </c>
      <c r="D2189" s="228" t="s">
        <v>2428</v>
      </c>
      <c r="E2189" s="201">
        <v>250</v>
      </c>
      <c r="F2189" s="201">
        <v>50</v>
      </c>
      <c r="G2189" s="203">
        <v>44376</v>
      </c>
      <c r="M2189" s="199"/>
      <c r="N2189" s="199"/>
      <c r="O2189" s="199"/>
      <c r="P2189" s="199"/>
      <c r="Q2189" s="199"/>
      <c r="R2189" s="199"/>
    </row>
    <row r="2190" spans="2:18">
      <c r="B2190" s="227"/>
      <c r="C2190" s="228" t="s">
        <v>813</v>
      </c>
      <c r="D2190" s="228" t="s">
        <v>2428</v>
      </c>
      <c r="E2190" s="201">
        <v>270</v>
      </c>
      <c r="F2190" s="201">
        <v>50</v>
      </c>
      <c r="G2190" s="203">
        <v>44152</v>
      </c>
      <c r="M2190" s="199"/>
      <c r="N2190" s="199"/>
      <c r="O2190" s="199"/>
      <c r="P2190" s="199"/>
      <c r="Q2190" s="199"/>
      <c r="R2190" s="199"/>
    </row>
    <row r="2191" spans="2:18">
      <c r="B2191" s="227"/>
      <c r="C2191" s="282" t="s">
        <v>755</v>
      </c>
      <c r="D2191" s="282" t="s">
        <v>4242</v>
      </c>
      <c r="E2191" s="201">
        <v>81</v>
      </c>
      <c r="F2191" s="201">
        <f>+E2191/6</f>
        <v>13.5</v>
      </c>
      <c r="G2191" s="203">
        <v>43418</v>
      </c>
      <c r="I2191" s="199">
        <v>1700</v>
      </c>
      <c r="J2191" s="199">
        <v>3800</v>
      </c>
      <c r="M2191" s="199"/>
      <c r="N2191" s="199"/>
      <c r="O2191" s="199"/>
      <c r="P2191" s="199"/>
      <c r="Q2191" s="199"/>
      <c r="R2191" s="199"/>
    </row>
    <row r="2192" spans="2:18">
      <c r="B2192" s="227"/>
      <c r="C2192" s="282" t="s">
        <v>565</v>
      </c>
      <c r="D2192" s="282" t="s">
        <v>4242</v>
      </c>
      <c r="E2192" s="201">
        <v>60</v>
      </c>
      <c r="F2192" s="201">
        <f>+E2192/5</f>
        <v>12</v>
      </c>
      <c r="G2192" s="203">
        <v>42736</v>
      </c>
      <c r="I2192" s="199">
        <v>800</v>
      </c>
      <c r="J2192" s="199">
        <v>3800</v>
      </c>
      <c r="M2192" s="199"/>
      <c r="N2192" s="199"/>
      <c r="O2192" s="199"/>
      <c r="P2192" s="199"/>
      <c r="Q2192" s="199"/>
      <c r="R2192" s="199"/>
    </row>
    <row r="2193" spans="2:18">
      <c r="B2193" s="227"/>
      <c r="C2193" s="228"/>
      <c r="D2193" s="228"/>
      <c r="G2193" s="203"/>
      <c r="M2193" s="199"/>
      <c r="N2193" s="199"/>
      <c r="O2193" s="199"/>
      <c r="P2193" s="199"/>
      <c r="Q2193" s="199"/>
      <c r="R2193" s="199"/>
    </row>
    <row r="2194" spans="2:18">
      <c r="B2194" s="227" t="s">
        <v>2430</v>
      </c>
      <c r="C2194" s="228" t="s">
        <v>2426</v>
      </c>
      <c r="D2194" s="228" t="s">
        <v>2428</v>
      </c>
      <c r="E2194" s="201">
        <v>250</v>
      </c>
      <c r="F2194" s="201">
        <f>150/5</f>
        <v>30</v>
      </c>
      <c r="G2194" s="203">
        <v>44376</v>
      </c>
      <c r="M2194" s="199"/>
      <c r="N2194" s="199"/>
      <c r="O2194" s="199"/>
      <c r="P2194" s="199"/>
      <c r="Q2194" s="199"/>
      <c r="R2194" s="199"/>
    </row>
    <row r="2195" spans="2:18">
      <c r="B2195" s="227" t="s">
        <v>2431</v>
      </c>
      <c r="C2195" s="228" t="s">
        <v>2426</v>
      </c>
      <c r="D2195" s="228" t="s">
        <v>2428</v>
      </c>
      <c r="E2195" s="201">
        <v>250</v>
      </c>
      <c r="F2195" s="201">
        <f>150/5</f>
        <v>30</v>
      </c>
      <c r="G2195" s="203">
        <v>44376</v>
      </c>
      <c r="M2195" s="199"/>
      <c r="N2195" s="199"/>
      <c r="O2195" s="199"/>
      <c r="P2195" s="199"/>
      <c r="Q2195" s="199"/>
      <c r="R2195" s="199"/>
    </row>
    <row r="2196" spans="2:18">
      <c r="B2196" s="227"/>
      <c r="C2196" s="228"/>
      <c r="D2196" s="228"/>
      <c r="G2196" s="203"/>
      <c r="M2196" s="199"/>
      <c r="N2196" s="199"/>
      <c r="O2196" s="199"/>
      <c r="P2196" s="199"/>
      <c r="Q2196" s="199"/>
      <c r="R2196" s="199"/>
    </row>
    <row r="2197" spans="2:18">
      <c r="B2197" s="227"/>
      <c r="C2197" s="228"/>
      <c r="D2197" s="228"/>
      <c r="G2197" s="203"/>
      <c r="M2197" s="199"/>
      <c r="N2197" s="199"/>
      <c r="O2197" s="199"/>
      <c r="P2197" s="199"/>
      <c r="Q2197" s="199"/>
      <c r="R2197" s="199"/>
    </row>
    <row r="2198" spans="2:18">
      <c r="B2198" s="227" t="s">
        <v>2433</v>
      </c>
      <c r="C2198" s="228" t="s">
        <v>2426</v>
      </c>
      <c r="D2198" s="228" t="s">
        <v>2428</v>
      </c>
      <c r="E2198" s="201">
        <v>250</v>
      </c>
      <c r="F2198" s="201">
        <f>150/5</f>
        <v>30</v>
      </c>
      <c r="G2198" s="203">
        <v>44376</v>
      </c>
      <c r="M2198" s="199"/>
      <c r="N2198" s="199"/>
      <c r="O2198" s="199"/>
      <c r="P2198" s="199"/>
      <c r="Q2198" s="199"/>
      <c r="R2198" s="199"/>
    </row>
    <row r="2199" spans="2:18">
      <c r="B2199" s="227"/>
      <c r="C2199" s="228"/>
      <c r="D2199" s="228"/>
      <c r="G2199" s="203"/>
      <c r="M2199" s="199"/>
      <c r="N2199" s="199"/>
      <c r="O2199" s="199"/>
      <c r="P2199" s="199"/>
      <c r="Q2199" s="199"/>
      <c r="R2199" s="199"/>
    </row>
    <row r="2200" spans="2:18">
      <c r="B2200" s="227" t="s">
        <v>2434</v>
      </c>
      <c r="C2200" s="228" t="s">
        <v>813</v>
      </c>
      <c r="D2200" s="228" t="s">
        <v>2428</v>
      </c>
      <c r="E2200" s="201">
        <v>270</v>
      </c>
      <c r="F2200" s="201">
        <v>22</v>
      </c>
      <c r="G2200" s="203">
        <v>44152</v>
      </c>
      <c r="M2200" s="199"/>
      <c r="N2200" s="199"/>
      <c r="O2200" s="199"/>
      <c r="P2200" s="199"/>
      <c r="Q2200" s="199"/>
      <c r="R2200" s="199"/>
    </row>
    <row r="2201" spans="2:18">
      <c r="B2201" s="227"/>
      <c r="C2201" s="228" t="s">
        <v>738</v>
      </c>
      <c r="D2201" s="228" t="s">
        <v>2428</v>
      </c>
      <c r="E2201" s="201">
        <v>206</v>
      </c>
      <c r="F2201" s="201">
        <v>14</v>
      </c>
      <c r="G2201" s="203">
        <v>43725</v>
      </c>
      <c r="M2201" s="199"/>
      <c r="N2201" s="199"/>
      <c r="O2201" s="199"/>
      <c r="P2201" s="199"/>
      <c r="Q2201" s="199"/>
      <c r="R2201" s="199"/>
    </row>
    <row r="2202" spans="2:18">
      <c r="B2202" s="227"/>
      <c r="C2202" s="228"/>
      <c r="D2202" s="228"/>
      <c r="G2202" s="203"/>
      <c r="M2202" s="199"/>
      <c r="N2202" s="199"/>
      <c r="O2202" s="199"/>
      <c r="P2202" s="199"/>
      <c r="Q2202" s="199"/>
      <c r="R2202" s="199"/>
    </row>
    <row r="2203" spans="2:18">
      <c r="B2203" s="227" t="s">
        <v>2435</v>
      </c>
      <c r="C2203" s="228" t="s">
        <v>813</v>
      </c>
      <c r="D2203" s="228" t="s">
        <v>2428</v>
      </c>
      <c r="E2203" s="201">
        <v>270</v>
      </c>
      <c r="F2203" s="201">
        <v>22</v>
      </c>
      <c r="G2203" s="203">
        <v>44152</v>
      </c>
      <c r="M2203" s="199"/>
      <c r="N2203" s="199"/>
      <c r="O2203" s="199"/>
      <c r="P2203" s="199"/>
      <c r="Q2203" s="199"/>
      <c r="R2203" s="199"/>
    </row>
    <row r="2204" spans="2:18">
      <c r="B2204" s="227"/>
      <c r="C2204" s="272" t="s">
        <v>755</v>
      </c>
      <c r="D2204" s="272" t="s">
        <v>1822</v>
      </c>
      <c r="E2204" s="201">
        <v>130</v>
      </c>
      <c r="F2204" s="201">
        <v>12</v>
      </c>
      <c r="G2204" s="203">
        <v>42080</v>
      </c>
      <c r="M2204" s="199"/>
      <c r="N2204" s="199"/>
      <c r="O2204" s="199"/>
      <c r="P2204" s="199"/>
      <c r="Q2204" s="199"/>
      <c r="R2204" s="199"/>
    </row>
    <row r="2205" spans="2:18">
      <c r="B2205" s="227"/>
      <c r="C2205" s="228"/>
      <c r="D2205" s="228"/>
      <c r="G2205" s="203"/>
      <c r="M2205" s="199"/>
      <c r="N2205" s="199"/>
      <c r="O2205" s="199"/>
      <c r="P2205" s="199"/>
      <c r="Q2205" s="199"/>
      <c r="R2205" s="199"/>
    </row>
    <row r="2206" spans="2:18">
      <c r="B2206" s="227" t="s">
        <v>2436</v>
      </c>
      <c r="C2206" s="228" t="s">
        <v>813</v>
      </c>
      <c r="D2206" s="228" t="s">
        <v>2428</v>
      </c>
      <c r="E2206" s="201">
        <v>270</v>
      </c>
      <c r="F2206" s="201">
        <v>22</v>
      </c>
      <c r="G2206" s="203">
        <v>44152</v>
      </c>
      <c r="M2206" s="199"/>
      <c r="N2206" s="199"/>
      <c r="O2206" s="199"/>
      <c r="P2206" s="199"/>
      <c r="Q2206" s="199"/>
      <c r="R2206" s="199"/>
    </row>
    <row r="2207" spans="2:18">
      <c r="B2207" s="227" t="s">
        <v>2438</v>
      </c>
      <c r="C2207" s="228" t="s">
        <v>813</v>
      </c>
      <c r="D2207" s="228" t="s">
        <v>2428</v>
      </c>
      <c r="E2207" s="201">
        <v>50</v>
      </c>
      <c r="F2207" s="201">
        <v>10</v>
      </c>
      <c r="G2207" s="203">
        <v>44174</v>
      </c>
      <c r="M2207" s="199"/>
      <c r="N2207" s="199"/>
      <c r="O2207" s="199"/>
      <c r="P2207" s="199"/>
      <c r="Q2207" s="199"/>
      <c r="R2207" s="199"/>
    </row>
    <row r="2208" spans="2:18">
      <c r="B2208" s="227"/>
      <c r="C2208" s="228"/>
      <c r="D2208" s="228"/>
      <c r="G2208" s="203"/>
      <c r="M2208" s="199"/>
      <c r="N2208" s="199"/>
      <c r="O2208" s="199"/>
      <c r="P2208" s="199"/>
      <c r="Q2208" s="199"/>
      <c r="R2208" s="199"/>
    </row>
    <row r="2209" spans="2:18">
      <c r="B2209" s="227" t="s">
        <v>2439</v>
      </c>
      <c r="C2209" s="228" t="s">
        <v>813</v>
      </c>
      <c r="D2209" s="228" t="s">
        <v>2428</v>
      </c>
      <c r="E2209" s="201">
        <v>50</v>
      </c>
      <c r="F2209" s="201">
        <v>10</v>
      </c>
      <c r="G2209" s="203">
        <v>44174</v>
      </c>
      <c r="M2209" s="199"/>
      <c r="N2209" s="199"/>
      <c r="O2209" s="199"/>
      <c r="P2209" s="199"/>
      <c r="Q2209" s="199"/>
      <c r="R2209" s="199"/>
    </row>
    <row r="2210" spans="2:18">
      <c r="B2210" s="227"/>
      <c r="C2210" s="274" t="s">
        <v>755</v>
      </c>
      <c r="D2210" s="274" t="s">
        <v>4072</v>
      </c>
      <c r="E2210" s="201">
        <v>135</v>
      </c>
      <c r="F2210" s="201">
        <v>8</v>
      </c>
      <c r="G2210" s="203">
        <v>44880</v>
      </c>
      <c r="M2210" s="199"/>
      <c r="N2210" s="199"/>
      <c r="O2210" s="199"/>
      <c r="P2210" s="199"/>
      <c r="Q2210" s="199"/>
      <c r="R2210" s="199"/>
    </row>
    <row r="2211" spans="2:18">
      <c r="B2211" s="227"/>
      <c r="C2211" s="274" t="s">
        <v>565</v>
      </c>
      <c r="D2211" s="274" t="s">
        <v>4072</v>
      </c>
      <c r="E2211" s="201">
        <v>73</v>
      </c>
      <c r="F2211" s="201">
        <f>53/7</f>
        <v>7.5714285714285712</v>
      </c>
      <c r="G2211" s="203">
        <v>44565</v>
      </c>
      <c r="M2211" s="199"/>
      <c r="N2211" s="199"/>
      <c r="O2211" s="199"/>
      <c r="P2211" s="199"/>
      <c r="Q2211" s="199"/>
      <c r="R2211" s="199"/>
    </row>
    <row r="2212" spans="2:18">
      <c r="B2212" s="227"/>
      <c r="C2212" s="274" t="s">
        <v>565</v>
      </c>
      <c r="D2212" s="274" t="s">
        <v>4072</v>
      </c>
      <c r="E2212" s="201">
        <v>31.7</v>
      </c>
      <c r="F2212" s="201">
        <f>18/4</f>
        <v>4.5</v>
      </c>
      <c r="G2212" s="203">
        <v>43599</v>
      </c>
      <c r="M2212" s="199"/>
      <c r="N2212" s="199"/>
      <c r="O2212" s="199"/>
      <c r="P2212" s="199"/>
      <c r="Q2212" s="199"/>
      <c r="R2212" s="199"/>
    </row>
    <row r="2213" spans="2:18">
      <c r="B2213" s="227"/>
      <c r="C2213" s="228"/>
      <c r="D2213" s="228"/>
      <c r="G2213" s="203"/>
      <c r="M2213" s="199"/>
      <c r="N2213" s="199"/>
      <c r="O2213" s="199"/>
      <c r="P2213" s="199"/>
      <c r="Q2213" s="199"/>
      <c r="R2213" s="199"/>
    </row>
    <row r="2214" spans="2:18">
      <c r="B2214" s="227" t="s">
        <v>2441</v>
      </c>
      <c r="C2214" s="228" t="s">
        <v>738</v>
      </c>
      <c r="D2214" s="228" t="s">
        <v>2428</v>
      </c>
      <c r="E2214" s="201">
        <v>206</v>
      </c>
      <c r="F2214" s="201">
        <v>14</v>
      </c>
      <c r="G2214" s="203">
        <v>43725</v>
      </c>
      <c r="M2214" s="199"/>
      <c r="N2214" s="199"/>
      <c r="O2214" s="199"/>
      <c r="P2214" s="199"/>
      <c r="Q2214" s="199"/>
      <c r="R2214" s="199"/>
    </row>
    <row r="2215" spans="2:18">
      <c r="B2215" s="227"/>
      <c r="C2215" s="228" t="s">
        <v>755</v>
      </c>
      <c r="D2215" s="228" t="s">
        <v>1254</v>
      </c>
      <c r="E2215" s="201">
        <v>90</v>
      </c>
      <c r="F2215" s="201">
        <f>50/11</f>
        <v>4.5454545454545459</v>
      </c>
      <c r="G2215" s="203">
        <v>44776</v>
      </c>
      <c r="M2215" s="199"/>
      <c r="N2215" s="199"/>
      <c r="O2215" s="199"/>
      <c r="P2215" s="199"/>
      <c r="Q2215" s="199"/>
      <c r="R2215" s="199"/>
    </row>
    <row r="2216" spans="2:18">
      <c r="B2216" s="227"/>
      <c r="C2216" s="228" t="s">
        <v>565</v>
      </c>
      <c r="D2216" s="228" t="s">
        <v>1254</v>
      </c>
      <c r="E2216" s="201">
        <v>40</v>
      </c>
      <c r="F2216" s="201">
        <v>3.75</v>
      </c>
      <c r="G2216" s="203">
        <v>44176</v>
      </c>
      <c r="M2216" s="199"/>
      <c r="N2216" s="199"/>
      <c r="O2216" s="199"/>
      <c r="P2216" s="199"/>
      <c r="Q2216" s="199"/>
      <c r="R2216" s="199"/>
    </row>
    <row r="2217" spans="2:18">
      <c r="B2217" s="227"/>
      <c r="C2217" s="228"/>
      <c r="D2217" s="228"/>
      <c r="G2217" s="203"/>
      <c r="M2217" s="199"/>
      <c r="N2217" s="199"/>
      <c r="O2217" s="199"/>
      <c r="P2217" s="199"/>
      <c r="Q2217" s="199"/>
      <c r="R2217" s="199"/>
    </row>
    <row r="2218" spans="2:18">
      <c r="B2218" s="227" t="s">
        <v>2442</v>
      </c>
      <c r="C2218" s="228" t="s">
        <v>738</v>
      </c>
      <c r="D2218" s="228" t="s">
        <v>2428</v>
      </c>
      <c r="E2218" s="201">
        <v>206</v>
      </c>
      <c r="F2218" s="201">
        <v>14</v>
      </c>
      <c r="G2218" s="203">
        <v>43725</v>
      </c>
      <c r="M2218" s="199"/>
      <c r="N2218" s="199"/>
      <c r="O2218" s="199"/>
      <c r="P2218" s="199"/>
      <c r="Q2218" s="199"/>
      <c r="R2218" s="199"/>
    </row>
    <row r="2219" spans="2:18">
      <c r="B2219" s="227"/>
      <c r="C2219" s="228" t="s">
        <v>755</v>
      </c>
      <c r="D2219" s="228" t="s">
        <v>2428</v>
      </c>
      <c r="E2219" s="201">
        <v>100</v>
      </c>
      <c r="F2219" s="201">
        <v>20</v>
      </c>
      <c r="G2219" s="203">
        <v>43397</v>
      </c>
      <c r="M2219" s="199"/>
      <c r="N2219" s="199"/>
      <c r="O2219" s="199"/>
      <c r="P2219" s="199"/>
      <c r="Q2219" s="199"/>
      <c r="R2219" s="199"/>
    </row>
    <row r="2220" spans="2:18">
      <c r="B2220" s="227"/>
      <c r="C2220" s="228"/>
      <c r="D2220" s="228"/>
      <c r="G2220" s="203"/>
      <c r="M2220" s="199"/>
      <c r="N2220" s="199"/>
      <c r="O2220" s="199"/>
      <c r="P2220" s="199"/>
      <c r="Q2220" s="199"/>
      <c r="R2220" s="199"/>
    </row>
    <row r="2221" spans="2:18">
      <c r="B2221" s="227" t="s">
        <v>2443</v>
      </c>
      <c r="C2221" s="228" t="s">
        <v>738</v>
      </c>
      <c r="D2221" s="228" t="s">
        <v>2428</v>
      </c>
      <c r="E2221" s="201">
        <v>206</v>
      </c>
      <c r="F2221" s="201">
        <v>14</v>
      </c>
      <c r="G2221" s="203">
        <v>43725</v>
      </c>
      <c r="M2221" s="199"/>
      <c r="N2221" s="199"/>
      <c r="O2221" s="199"/>
      <c r="P2221" s="199"/>
      <c r="Q2221" s="199"/>
      <c r="R2221" s="199"/>
    </row>
    <row r="2222" spans="2:18">
      <c r="B2222" s="227"/>
      <c r="C2222" s="240" t="s">
        <v>738</v>
      </c>
      <c r="D2222" s="240" t="s">
        <v>2797</v>
      </c>
      <c r="E2222" s="201">
        <v>400</v>
      </c>
      <c r="F2222" s="201">
        <v>100</v>
      </c>
      <c r="G2222" s="203">
        <v>44608</v>
      </c>
      <c r="M2222" s="199"/>
      <c r="N2222" s="199"/>
      <c r="O2222" s="199"/>
      <c r="P2222" s="199"/>
      <c r="Q2222" s="199"/>
      <c r="R2222" s="199"/>
    </row>
    <row r="2223" spans="2:18">
      <c r="B2223" s="227"/>
      <c r="C2223" s="228"/>
      <c r="D2223" s="228"/>
      <c r="G2223" s="203"/>
      <c r="M2223" s="199"/>
      <c r="N2223" s="199"/>
      <c r="O2223" s="199"/>
      <c r="P2223" s="199"/>
      <c r="Q2223" s="199"/>
      <c r="R2223" s="199"/>
    </row>
    <row r="2224" spans="2:18">
      <c r="B2224" s="227"/>
      <c r="C2224" s="228"/>
      <c r="D2224" s="228"/>
      <c r="G2224" s="203"/>
      <c r="M2224" s="199"/>
      <c r="N2224" s="199"/>
      <c r="O2224" s="199"/>
      <c r="P2224" s="199"/>
      <c r="Q2224" s="199"/>
      <c r="R2224" s="199"/>
    </row>
    <row r="2225" spans="2:18">
      <c r="B2225" s="227" t="s">
        <v>2444</v>
      </c>
      <c r="C2225" s="228" t="s">
        <v>738</v>
      </c>
      <c r="D2225" s="228" t="s">
        <v>2428</v>
      </c>
      <c r="E2225" s="201">
        <v>206</v>
      </c>
      <c r="F2225" s="201">
        <v>14</v>
      </c>
      <c r="G2225" s="203">
        <v>43725</v>
      </c>
      <c r="M2225" s="199"/>
      <c r="N2225" s="199"/>
      <c r="O2225" s="199"/>
      <c r="P2225" s="199"/>
      <c r="Q2225" s="199"/>
      <c r="R2225" s="199"/>
    </row>
    <row r="2226" spans="2:18">
      <c r="B2226" s="227"/>
      <c r="C2226" s="282" t="s">
        <v>738</v>
      </c>
      <c r="D2226" s="282" t="s">
        <v>1938</v>
      </c>
      <c r="E2226" s="201">
        <v>248</v>
      </c>
      <c r="F2226" s="201">
        <f>150/4</f>
        <v>37.5</v>
      </c>
      <c r="G2226" s="203">
        <v>43678</v>
      </c>
      <c r="I2226" s="199">
        <v>1700</v>
      </c>
      <c r="J2226" s="199">
        <v>4100</v>
      </c>
      <c r="M2226" s="199"/>
      <c r="N2226" s="199"/>
      <c r="O2226" s="199"/>
      <c r="P2226" s="199"/>
      <c r="Q2226" s="199"/>
      <c r="R2226" s="199"/>
    </row>
    <row r="2227" spans="2:18">
      <c r="B2227" s="227"/>
      <c r="C2227" s="282" t="s">
        <v>565</v>
      </c>
      <c r="D2227" s="282" t="s">
        <v>1938</v>
      </c>
      <c r="E2227" s="201">
        <v>50</v>
      </c>
      <c r="F2227" s="201">
        <v>15</v>
      </c>
      <c r="G2227" s="203">
        <v>42509</v>
      </c>
      <c r="J2227" s="199">
        <v>4100</v>
      </c>
      <c r="M2227" s="199"/>
      <c r="N2227" s="199"/>
      <c r="O2227" s="199"/>
      <c r="P2227" s="199"/>
      <c r="Q2227" s="199"/>
      <c r="R2227" s="199"/>
    </row>
    <row r="2228" spans="2:18">
      <c r="B2228" s="227"/>
      <c r="C2228" s="228"/>
      <c r="D2228" s="228"/>
      <c r="G2228" s="203"/>
      <c r="M2228" s="199"/>
      <c r="N2228" s="199"/>
      <c r="O2228" s="199"/>
      <c r="P2228" s="199"/>
      <c r="Q2228" s="199"/>
      <c r="R2228" s="199"/>
    </row>
    <row r="2229" spans="2:18">
      <c r="B2229" s="227" t="s">
        <v>2445</v>
      </c>
      <c r="C2229" s="228" t="s">
        <v>738</v>
      </c>
      <c r="D2229" s="228" t="s">
        <v>2428</v>
      </c>
      <c r="E2229" s="201">
        <v>206</v>
      </c>
      <c r="F2229" s="201">
        <v>14</v>
      </c>
      <c r="G2229" s="203">
        <v>43725</v>
      </c>
      <c r="M2229" s="199"/>
      <c r="N2229" s="199"/>
      <c r="O2229" s="199"/>
      <c r="P2229" s="199"/>
      <c r="Q2229" s="199"/>
      <c r="R2229" s="199"/>
    </row>
    <row r="2230" spans="2:18">
      <c r="B2230" s="227"/>
      <c r="C2230" s="228"/>
      <c r="D2230" s="228"/>
      <c r="G2230" s="203"/>
      <c r="M2230" s="199"/>
      <c r="N2230" s="199"/>
      <c r="O2230" s="199"/>
      <c r="P2230" s="199"/>
      <c r="Q2230" s="199"/>
      <c r="R2230" s="199"/>
    </row>
    <row r="2231" spans="2:18">
      <c r="B2231" s="227" t="s">
        <v>2446</v>
      </c>
      <c r="C2231" s="228" t="s">
        <v>738</v>
      </c>
      <c r="D2231" s="228" t="s">
        <v>2428</v>
      </c>
      <c r="E2231" s="201">
        <v>206</v>
      </c>
      <c r="F2231" s="201">
        <v>14</v>
      </c>
      <c r="G2231" s="203">
        <v>43725</v>
      </c>
      <c r="M2231" s="199"/>
      <c r="N2231" s="199"/>
      <c r="O2231" s="199"/>
      <c r="P2231" s="199"/>
      <c r="Q2231" s="199"/>
      <c r="R2231" s="199"/>
    </row>
    <row r="2232" spans="2:18">
      <c r="B2232" s="227"/>
      <c r="C2232" s="228" t="s">
        <v>755</v>
      </c>
      <c r="D2232" s="228" t="s">
        <v>2428</v>
      </c>
      <c r="E2232" s="201">
        <v>100</v>
      </c>
      <c r="F2232" s="201">
        <v>15</v>
      </c>
      <c r="G2232" s="203">
        <v>43397</v>
      </c>
      <c r="M2232" s="199"/>
      <c r="N2232" s="199"/>
      <c r="O2232" s="199"/>
      <c r="P2232" s="199"/>
      <c r="Q2232" s="199"/>
      <c r="R2232" s="199"/>
    </row>
    <row r="2233" spans="2:18">
      <c r="B2233" s="227"/>
      <c r="C2233" s="282" t="s">
        <v>402</v>
      </c>
      <c r="D2233" s="282" t="s">
        <v>4313</v>
      </c>
      <c r="E2233" s="201">
        <v>43</v>
      </c>
      <c r="F2233" s="201">
        <f>E2233/5</f>
        <v>8.6</v>
      </c>
      <c r="G2233" s="203">
        <v>44077</v>
      </c>
      <c r="M2233" s="199"/>
      <c r="N2233" s="199"/>
      <c r="O2233" s="199"/>
      <c r="P2233" s="199"/>
      <c r="Q2233" s="199"/>
      <c r="R2233" s="199"/>
    </row>
    <row r="2234" spans="2:18">
      <c r="B2234" s="227"/>
      <c r="C2234" s="282" t="s">
        <v>544</v>
      </c>
      <c r="D2234" s="282" t="s">
        <v>2446</v>
      </c>
      <c r="E2234" s="201">
        <v>31</v>
      </c>
      <c r="F2234" s="201">
        <v>31</v>
      </c>
      <c r="G2234" s="203">
        <v>43634</v>
      </c>
      <c r="M2234" s="199"/>
      <c r="N2234" s="199"/>
      <c r="O2234" s="199"/>
      <c r="P2234" s="199"/>
      <c r="Q2234" s="199"/>
      <c r="R2234" s="199"/>
    </row>
    <row r="2235" spans="2:18">
      <c r="B2235" s="227"/>
      <c r="C2235" s="228"/>
      <c r="D2235" s="228"/>
      <c r="G2235" s="203"/>
      <c r="M2235" s="199"/>
      <c r="N2235" s="199"/>
      <c r="O2235" s="199"/>
      <c r="P2235" s="199"/>
      <c r="Q2235" s="199"/>
      <c r="R2235" s="199"/>
    </row>
    <row r="2236" spans="2:18">
      <c r="B2236" s="227" t="s">
        <v>2447</v>
      </c>
      <c r="C2236" s="228" t="s">
        <v>738</v>
      </c>
      <c r="D2236" s="228" t="s">
        <v>2428</v>
      </c>
      <c r="E2236" s="201">
        <v>206</v>
      </c>
      <c r="F2236" s="201">
        <v>14</v>
      </c>
      <c r="G2236" s="203">
        <v>43725</v>
      </c>
      <c r="M2236" s="199"/>
      <c r="N2236" s="199"/>
      <c r="O2236" s="199"/>
      <c r="P2236" s="199"/>
      <c r="Q2236" s="199"/>
      <c r="R2236" s="199"/>
    </row>
    <row r="2237" spans="2:18">
      <c r="B2237" s="227" t="s">
        <v>2450</v>
      </c>
      <c r="C2237" s="228" t="s">
        <v>565</v>
      </c>
      <c r="D2237" s="228" t="s">
        <v>2428</v>
      </c>
      <c r="E2237" s="201">
        <v>67.2</v>
      </c>
      <c r="F2237" s="201">
        <v>10</v>
      </c>
      <c r="G2237" s="203">
        <v>42943</v>
      </c>
      <c r="M2237" s="199"/>
      <c r="N2237" s="199"/>
      <c r="O2237" s="199"/>
      <c r="P2237" s="199"/>
      <c r="Q2237" s="199"/>
      <c r="R2237" s="199"/>
    </row>
    <row r="2238" spans="2:18">
      <c r="B2238" s="227" t="s">
        <v>2451</v>
      </c>
      <c r="C2238" s="228" t="s">
        <v>565</v>
      </c>
      <c r="D2238" s="228" t="s">
        <v>2428</v>
      </c>
      <c r="E2238" s="201">
        <v>67.2</v>
      </c>
      <c r="F2238" s="201">
        <v>10</v>
      </c>
      <c r="G2238" s="203">
        <v>42943</v>
      </c>
      <c r="M2238" s="199"/>
      <c r="N2238" s="199"/>
      <c r="O2238" s="199"/>
      <c r="P2238" s="199"/>
      <c r="Q2238" s="199"/>
      <c r="R2238" s="199"/>
    </row>
    <row r="2239" spans="2:18">
      <c r="B2239" s="227" t="s">
        <v>2458</v>
      </c>
      <c r="C2239" s="228" t="s">
        <v>544</v>
      </c>
      <c r="D2239" s="228" t="s">
        <v>2459</v>
      </c>
      <c r="E2239" s="201">
        <v>13</v>
      </c>
      <c r="F2239" s="201">
        <v>4</v>
      </c>
      <c r="G2239" s="203">
        <v>44516</v>
      </c>
      <c r="M2239" s="199"/>
      <c r="N2239" s="199"/>
      <c r="O2239" s="199"/>
      <c r="P2239" s="199"/>
      <c r="Q2239" s="199"/>
      <c r="R2239" s="199"/>
    </row>
    <row r="2240" spans="2:18">
      <c r="B2240" s="227"/>
      <c r="C2240" s="228"/>
      <c r="D2240" s="228"/>
      <c r="G2240" s="203"/>
      <c r="M2240" s="199"/>
      <c r="N2240" s="199"/>
      <c r="O2240" s="199"/>
      <c r="P2240" s="199"/>
      <c r="Q2240" s="199"/>
      <c r="R2240" s="199"/>
    </row>
    <row r="2241" spans="2:18">
      <c r="B2241" s="227" t="s">
        <v>2460</v>
      </c>
      <c r="C2241" s="228" t="s">
        <v>544</v>
      </c>
      <c r="D2241" s="228" t="s">
        <v>2459</v>
      </c>
      <c r="E2241" s="201">
        <v>13</v>
      </c>
      <c r="F2241" s="201">
        <v>1.4</v>
      </c>
      <c r="G2241" s="203">
        <v>44516</v>
      </c>
      <c r="M2241" s="199"/>
      <c r="N2241" s="199"/>
      <c r="O2241" s="199"/>
      <c r="P2241" s="199"/>
      <c r="Q2241" s="199"/>
      <c r="R2241" s="199"/>
    </row>
    <row r="2242" spans="2:18">
      <c r="B2242" s="227"/>
      <c r="C2242" s="228" t="s">
        <v>549</v>
      </c>
      <c r="D2242" s="228" t="s">
        <v>2459</v>
      </c>
      <c r="E2242" s="201">
        <v>2.5</v>
      </c>
      <c r="F2242" s="201">
        <v>1.5</v>
      </c>
      <c r="G2242" s="203">
        <v>44305</v>
      </c>
      <c r="M2242" s="199"/>
      <c r="N2242" s="199"/>
      <c r="O2242" s="199"/>
      <c r="P2242" s="199"/>
      <c r="Q2242" s="199"/>
      <c r="R2242" s="199"/>
    </row>
    <row r="2243" spans="2:18">
      <c r="B2243" s="227"/>
      <c r="C2243" s="228" t="s">
        <v>549</v>
      </c>
      <c r="D2243" s="228" t="s">
        <v>2470</v>
      </c>
      <c r="E2243" s="201">
        <v>2</v>
      </c>
      <c r="F2243" s="201">
        <v>2</v>
      </c>
      <c r="G2243" s="203">
        <v>44332</v>
      </c>
      <c r="M2243" s="199"/>
      <c r="N2243" s="199"/>
      <c r="O2243" s="199"/>
      <c r="P2243" s="199"/>
      <c r="Q2243" s="199"/>
      <c r="R2243" s="199"/>
    </row>
    <row r="2244" spans="2:18">
      <c r="B2244" s="227"/>
      <c r="C2244" s="228"/>
      <c r="D2244" s="228"/>
      <c r="G2244" s="203"/>
      <c r="M2244" s="199"/>
      <c r="N2244" s="199"/>
      <c r="O2244" s="199"/>
      <c r="P2244" s="199"/>
      <c r="Q2244" s="199"/>
      <c r="R2244" s="199"/>
    </row>
    <row r="2245" spans="2:18">
      <c r="B2245" s="227" t="s">
        <v>2461</v>
      </c>
      <c r="C2245" s="228" t="s">
        <v>544</v>
      </c>
      <c r="D2245" s="228" t="s">
        <v>2459</v>
      </c>
      <c r="E2245" s="201">
        <v>13</v>
      </c>
      <c r="F2245" s="201">
        <v>1.4</v>
      </c>
      <c r="G2245" s="203">
        <v>44516</v>
      </c>
      <c r="M2245" s="199"/>
      <c r="N2245" s="199"/>
      <c r="O2245" s="199"/>
      <c r="P2245" s="199"/>
      <c r="Q2245" s="199"/>
      <c r="R2245" s="199"/>
    </row>
    <row r="2246" spans="2:18">
      <c r="B2246" s="227" t="s">
        <v>2462</v>
      </c>
      <c r="C2246" s="228" t="s">
        <v>544</v>
      </c>
      <c r="D2246" s="228" t="s">
        <v>2459</v>
      </c>
      <c r="E2246" s="201">
        <v>13</v>
      </c>
      <c r="F2246" s="201">
        <v>1.4</v>
      </c>
      <c r="G2246" s="203">
        <v>44516</v>
      </c>
      <c r="M2246" s="199"/>
      <c r="N2246" s="199"/>
      <c r="O2246" s="199"/>
      <c r="P2246" s="199"/>
      <c r="Q2246" s="199"/>
      <c r="R2246" s="199"/>
    </row>
    <row r="2247" spans="2:18">
      <c r="B2247" s="227"/>
      <c r="C2247" s="249" t="s">
        <v>549</v>
      </c>
      <c r="D2247" s="249" t="s">
        <v>1413</v>
      </c>
      <c r="E2247" s="201">
        <v>3.5</v>
      </c>
      <c r="F2247" s="201">
        <f>E2247/10</f>
        <v>0.35</v>
      </c>
      <c r="G2247" s="203">
        <v>43046</v>
      </c>
      <c r="M2247" s="199"/>
      <c r="N2247" s="199"/>
      <c r="O2247" s="199"/>
      <c r="P2247" s="199"/>
      <c r="Q2247" s="199"/>
      <c r="R2247" s="199"/>
    </row>
    <row r="2248" spans="2:18">
      <c r="B2248" s="227"/>
      <c r="C2248" s="228"/>
      <c r="D2248" s="228"/>
      <c r="G2248" s="203"/>
      <c r="M2248" s="199"/>
      <c r="N2248" s="199"/>
      <c r="O2248" s="199"/>
      <c r="P2248" s="199"/>
      <c r="Q2248" s="199"/>
      <c r="R2248" s="199"/>
    </row>
    <row r="2249" spans="2:18">
      <c r="B2249" s="227" t="s">
        <v>2464</v>
      </c>
      <c r="C2249" s="228" t="s">
        <v>549</v>
      </c>
      <c r="D2249" s="228" t="s">
        <v>2459</v>
      </c>
      <c r="E2249" s="201">
        <v>2.5</v>
      </c>
      <c r="F2249" s="201">
        <v>1</v>
      </c>
      <c r="G2249" s="203">
        <v>44305</v>
      </c>
      <c r="M2249" s="199"/>
      <c r="N2249" s="199"/>
      <c r="O2249" s="199"/>
      <c r="P2249" s="199"/>
      <c r="Q2249" s="199"/>
      <c r="R2249" s="199"/>
    </row>
    <row r="2250" spans="2:18">
      <c r="B2250" s="227" t="s">
        <v>2472</v>
      </c>
      <c r="C2250" s="228" t="s">
        <v>549</v>
      </c>
      <c r="D2250" s="228" t="s">
        <v>2470</v>
      </c>
      <c r="E2250" s="201">
        <v>2</v>
      </c>
      <c r="F2250" s="201">
        <v>0.5</v>
      </c>
      <c r="G2250" s="203">
        <v>43876</v>
      </c>
      <c r="M2250" s="199"/>
      <c r="N2250" s="199"/>
      <c r="O2250" s="199"/>
      <c r="P2250" s="199"/>
      <c r="Q2250" s="199"/>
      <c r="R2250" s="199"/>
    </row>
    <row r="2251" spans="2:18">
      <c r="B2251" s="227"/>
      <c r="C2251" s="228"/>
      <c r="D2251" s="228"/>
      <c r="G2251" s="203"/>
      <c r="M2251" s="199"/>
      <c r="N2251" s="199"/>
      <c r="O2251" s="199"/>
      <c r="P2251" s="199"/>
      <c r="Q2251" s="199"/>
      <c r="R2251" s="199"/>
    </row>
    <row r="2252" spans="2:18">
      <c r="B2252" s="227" t="s">
        <v>2482</v>
      </c>
      <c r="C2252" s="228" t="s">
        <v>402</v>
      </c>
      <c r="D2252" s="228" t="s">
        <v>1518</v>
      </c>
      <c r="E2252" s="201">
        <v>90</v>
      </c>
      <c r="F2252" s="201">
        <v>15</v>
      </c>
      <c r="G2252" s="203">
        <v>44398</v>
      </c>
      <c r="M2252" s="199"/>
      <c r="N2252" s="199"/>
      <c r="O2252" s="199"/>
      <c r="P2252" s="199"/>
      <c r="Q2252" s="199"/>
      <c r="R2252" s="199"/>
    </row>
    <row r="2253" spans="2:18">
      <c r="B2253" s="227"/>
      <c r="C2253" s="228" t="s">
        <v>544</v>
      </c>
      <c r="D2253" s="228" t="s">
        <v>1518</v>
      </c>
      <c r="E2253" s="201">
        <v>22.8</v>
      </c>
      <c r="F2253" s="201">
        <v>3.3</v>
      </c>
      <c r="G2253" s="203">
        <v>43160</v>
      </c>
      <c r="M2253" s="199"/>
      <c r="N2253" s="199"/>
      <c r="O2253" s="199"/>
      <c r="P2253" s="199"/>
      <c r="Q2253" s="199"/>
      <c r="R2253" s="199"/>
    </row>
    <row r="2254" spans="2:18">
      <c r="B2254" s="227"/>
      <c r="C2254" s="228"/>
      <c r="D2254" s="228"/>
      <c r="G2254" s="203"/>
      <c r="M2254" s="199"/>
      <c r="N2254" s="199"/>
      <c r="O2254" s="199"/>
      <c r="P2254" s="199"/>
      <c r="Q2254" s="199"/>
      <c r="R2254" s="199"/>
    </row>
    <row r="2255" spans="2:18">
      <c r="B2255" s="227" t="s">
        <v>2483</v>
      </c>
      <c r="C2255" s="228" t="s">
        <v>402</v>
      </c>
      <c r="D2255" s="228" t="s">
        <v>1518</v>
      </c>
      <c r="E2255" s="201">
        <v>90</v>
      </c>
      <c r="F2255" s="201">
        <v>6</v>
      </c>
      <c r="G2255" s="203">
        <v>44398</v>
      </c>
      <c r="M2255" s="199"/>
      <c r="N2255" s="199"/>
      <c r="O2255" s="199"/>
      <c r="P2255" s="199"/>
      <c r="Q2255" s="199"/>
      <c r="R2255" s="199"/>
    </row>
    <row r="2256" spans="2:18">
      <c r="B2256" s="227"/>
      <c r="C2256" s="274" t="s">
        <v>402</v>
      </c>
      <c r="D2256" s="274" t="s">
        <v>1858</v>
      </c>
      <c r="E2256" s="201">
        <v>23.5</v>
      </c>
      <c r="F2256" s="201">
        <f>13.5/4</f>
        <v>3.375</v>
      </c>
      <c r="G2256" s="203">
        <v>45008</v>
      </c>
      <c r="M2256" s="199"/>
      <c r="N2256" s="199"/>
      <c r="O2256" s="199"/>
      <c r="P2256" s="199"/>
      <c r="Q2256" s="199"/>
      <c r="R2256" s="199"/>
    </row>
    <row r="2257" spans="2:18">
      <c r="B2257" s="227"/>
      <c r="C2257" s="274" t="s">
        <v>544</v>
      </c>
      <c r="D2257" s="274" t="s">
        <v>1858</v>
      </c>
      <c r="E2257" s="201">
        <v>16</v>
      </c>
      <c r="F2257" s="201">
        <v>5</v>
      </c>
      <c r="G2257" s="203">
        <v>44434</v>
      </c>
      <c r="M2257" s="199"/>
      <c r="N2257" s="199"/>
      <c r="O2257" s="199"/>
      <c r="P2257" s="199"/>
      <c r="Q2257" s="199"/>
      <c r="R2257" s="199"/>
    </row>
    <row r="2258" spans="2:18">
      <c r="B2258" s="227"/>
      <c r="C2258" s="274" t="s">
        <v>549</v>
      </c>
      <c r="D2258" s="274" t="s">
        <v>1858</v>
      </c>
      <c r="E2258" s="201">
        <v>5</v>
      </c>
      <c r="F2258" s="201">
        <v>2</v>
      </c>
      <c r="G2258" s="203">
        <v>44176</v>
      </c>
      <c r="M2258" s="199"/>
      <c r="N2258" s="199"/>
      <c r="O2258" s="199"/>
      <c r="P2258" s="199"/>
      <c r="Q2258" s="199"/>
      <c r="R2258" s="199"/>
    </row>
    <row r="2259" spans="2:18">
      <c r="B2259" s="227"/>
      <c r="C2259" s="274"/>
      <c r="D2259" s="274"/>
      <c r="G2259" s="203"/>
      <c r="M2259" s="199"/>
      <c r="N2259" s="199"/>
      <c r="O2259" s="199"/>
      <c r="P2259" s="199"/>
      <c r="Q2259" s="199"/>
      <c r="R2259" s="199"/>
    </row>
    <row r="2260" spans="2:18">
      <c r="B2260" s="227" t="s">
        <v>2484</v>
      </c>
      <c r="C2260" s="228" t="s">
        <v>402</v>
      </c>
      <c r="D2260" s="228" t="s">
        <v>1518</v>
      </c>
      <c r="E2260" s="201">
        <v>90</v>
      </c>
      <c r="F2260" s="201">
        <v>6</v>
      </c>
      <c r="G2260" s="203">
        <v>44398</v>
      </c>
      <c r="M2260" s="199"/>
      <c r="N2260" s="199"/>
      <c r="O2260" s="199"/>
      <c r="P2260" s="199"/>
      <c r="Q2260" s="199"/>
      <c r="R2260" s="199"/>
    </row>
    <row r="2261" spans="2:18">
      <c r="B2261" s="227" t="s">
        <v>2485</v>
      </c>
      <c r="C2261" s="228" t="s">
        <v>402</v>
      </c>
      <c r="D2261" s="228" t="s">
        <v>1518</v>
      </c>
      <c r="E2261" s="201">
        <v>90</v>
      </c>
      <c r="F2261" s="201">
        <v>6</v>
      </c>
      <c r="G2261" s="203">
        <v>44398</v>
      </c>
      <c r="M2261" s="199"/>
      <c r="N2261" s="199"/>
      <c r="O2261" s="199"/>
      <c r="P2261" s="199"/>
      <c r="Q2261" s="199"/>
      <c r="R2261" s="199"/>
    </row>
    <row r="2262" spans="2:18">
      <c r="B2262" s="227" t="s">
        <v>2487</v>
      </c>
      <c r="C2262" s="228" t="s">
        <v>544</v>
      </c>
      <c r="D2262" s="228" t="s">
        <v>1518</v>
      </c>
      <c r="E2262" s="201">
        <v>22.8</v>
      </c>
      <c r="F2262" s="201">
        <v>3.3</v>
      </c>
      <c r="G2262" s="203">
        <v>43160</v>
      </c>
      <c r="H2262" s="230"/>
      <c r="M2262" s="199"/>
      <c r="N2262" s="199"/>
      <c r="O2262" s="199"/>
      <c r="P2262" s="199"/>
      <c r="Q2262" s="199"/>
      <c r="R2262" s="199"/>
    </row>
    <row r="2263" spans="2:18">
      <c r="B2263" s="227" t="s">
        <v>2492</v>
      </c>
      <c r="C2263" s="228" t="s">
        <v>549</v>
      </c>
      <c r="D2263" s="228" t="s">
        <v>1193</v>
      </c>
      <c r="E2263" s="201">
        <v>6</v>
      </c>
      <c r="F2263" s="201">
        <v>1</v>
      </c>
      <c r="G2263" s="203">
        <v>45104</v>
      </c>
      <c r="M2263" s="199"/>
      <c r="N2263" s="199"/>
      <c r="O2263" s="199"/>
      <c r="P2263" s="199"/>
      <c r="Q2263" s="199"/>
      <c r="R2263" s="199"/>
    </row>
    <row r="2264" spans="2:18">
      <c r="B2264" s="227" t="s">
        <v>2493</v>
      </c>
      <c r="C2264" s="228" t="s">
        <v>549</v>
      </c>
      <c r="D2264" s="228" t="s">
        <v>1193</v>
      </c>
      <c r="E2264" s="201">
        <v>6</v>
      </c>
      <c r="F2264" s="201">
        <v>1</v>
      </c>
      <c r="G2264" s="203">
        <v>45104</v>
      </c>
      <c r="M2264" s="199"/>
      <c r="N2264" s="199"/>
      <c r="O2264" s="199"/>
      <c r="P2264" s="199"/>
      <c r="Q2264" s="199"/>
      <c r="R2264" s="199"/>
    </row>
    <row r="2265" spans="2:18">
      <c r="B2265" s="227"/>
      <c r="C2265" s="228"/>
      <c r="D2265" s="228"/>
      <c r="G2265" s="203"/>
      <c r="M2265" s="199"/>
      <c r="N2265" s="199"/>
      <c r="O2265" s="199"/>
      <c r="P2265" s="199"/>
      <c r="Q2265" s="199"/>
      <c r="R2265" s="199"/>
    </row>
    <row r="2266" spans="2:18">
      <c r="B2266" s="227" t="s">
        <v>2494</v>
      </c>
      <c r="C2266" s="228" t="s">
        <v>549</v>
      </c>
      <c r="D2266" s="228" t="s">
        <v>1193</v>
      </c>
      <c r="E2266" s="201">
        <v>6</v>
      </c>
      <c r="F2266" s="201">
        <v>1</v>
      </c>
      <c r="G2266" s="203">
        <v>45104</v>
      </c>
      <c r="M2266" s="199"/>
      <c r="N2266" s="199"/>
      <c r="O2266" s="199"/>
      <c r="P2266" s="199"/>
      <c r="Q2266" s="199"/>
      <c r="R2266" s="199"/>
    </row>
    <row r="2267" spans="2:18">
      <c r="B2267" s="227"/>
      <c r="C2267" s="238" t="s">
        <v>402</v>
      </c>
      <c r="D2267" s="238" t="s">
        <v>1981</v>
      </c>
      <c r="E2267" s="201">
        <v>50</v>
      </c>
      <c r="F2267" s="201">
        <v>5</v>
      </c>
      <c r="G2267" s="203">
        <v>44538</v>
      </c>
      <c r="M2267" s="199"/>
      <c r="N2267" s="199"/>
      <c r="O2267" s="199"/>
      <c r="P2267" s="199"/>
      <c r="Q2267" s="199"/>
      <c r="R2267" s="199"/>
    </row>
    <row r="2268" spans="2:18">
      <c r="B2268" s="227"/>
      <c r="C2268" s="238" t="s">
        <v>549</v>
      </c>
      <c r="D2268" s="238" t="s">
        <v>1981</v>
      </c>
      <c r="E2268" s="201">
        <v>3.1</v>
      </c>
      <c r="F2268" s="201">
        <v>0.5</v>
      </c>
      <c r="G2268" s="203">
        <v>43580</v>
      </c>
      <c r="M2268" s="199"/>
      <c r="N2268" s="199"/>
      <c r="O2268" s="199"/>
      <c r="P2268" s="199"/>
      <c r="Q2268" s="199"/>
      <c r="R2268" s="199"/>
    </row>
    <row r="2269" spans="2:18">
      <c r="B2269" s="227"/>
      <c r="C2269" s="243" t="s">
        <v>544</v>
      </c>
      <c r="D2269" s="243" t="s">
        <v>1461</v>
      </c>
      <c r="E2269" s="201">
        <v>86</v>
      </c>
      <c r="F2269" s="201">
        <v>10</v>
      </c>
      <c r="G2269" s="203">
        <v>44488</v>
      </c>
      <c r="M2269" s="199"/>
      <c r="N2269" s="199"/>
      <c r="O2269" s="199"/>
      <c r="P2269" s="199"/>
      <c r="Q2269" s="199"/>
      <c r="R2269" s="199"/>
    </row>
    <row r="2270" spans="2:18">
      <c r="B2270" s="227"/>
      <c r="C2270" s="243" t="s">
        <v>549</v>
      </c>
      <c r="D2270" s="243" t="s">
        <v>1461</v>
      </c>
      <c r="E2270" s="201">
        <v>8.5</v>
      </c>
      <c r="F2270" s="201">
        <v>1</v>
      </c>
      <c r="G2270" s="203">
        <v>43796</v>
      </c>
      <c r="M2270" s="199"/>
      <c r="N2270" s="199"/>
      <c r="O2270" s="199"/>
      <c r="P2270" s="199"/>
      <c r="Q2270" s="199"/>
      <c r="R2270" s="199"/>
    </row>
    <row r="2271" spans="2:18">
      <c r="B2271" s="227"/>
      <c r="C2271" s="228"/>
      <c r="D2271" s="228"/>
      <c r="G2271" s="203"/>
      <c r="M2271" s="199"/>
      <c r="N2271" s="199"/>
      <c r="O2271" s="199"/>
      <c r="P2271" s="199"/>
      <c r="Q2271" s="199"/>
      <c r="R2271" s="199"/>
    </row>
    <row r="2272" spans="2:18">
      <c r="B2272" s="227" t="s">
        <v>2495</v>
      </c>
      <c r="C2272" s="228" t="s">
        <v>549</v>
      </c>
      <c r="D2272" s="228" t="s">
        <v>1193</v>
      </c>
      <c r="E2272" s="201">
        <v>6</v>
      </c>
      <c r="F2272" s="201">
        <v>1</v>
      </c>
      <c r="G2272" s="203">
        <v>45104</v>
      </c>
      <c r="M2272" s="199"/>
      <c r="N2272" s="199"/>
      <c r="O2272" s="199"/>
      <c r="P2272" s="199"/>
      <c r="Q2272" s="199"/>
      <c r="R2272" s="199"/>
    </row>
    <row r="2273" spans="2:18">
      <c r="B2273" s="227" t="s">
        <v>2496</v>
      </c>
      <c r="C2273" s="228" t="s">
        <v>549</v>
      </c>
      <c r="D2273" s="228" t="s">
        <v>1193</v>
      </c>
      <c r="E2273" s="201">
        <v>6</v>
      </c>
      <c r="F2273" s="201">
        <v>1</v>
      </c>
      <c r="G2273" s="203">
        <v>45104</v>
      </c>
      <c r="M2273" s="199"/>
      <c r="N2273" s="199"/>
      <c r="O2273" s="199"/>
      <c r="P2273" s="199"/>
      <c r="Q2273" s="199"/>
      <c r="R2273" s="199"/>
    </row>
    <row r="2274" spans="2:18">
      <c r="B2274" s="227"/>
      <c r="C2274" s="228"/>
      <c r="D2274" s="228"/>
      <c r="G2274" s="203"/>
      <c r="M2274" s="199"/>
      <c r="N2274" s="199"/>
      <c r="O2274" s="199"/>
      <c r="P2274" s="199"/>
      <c r="Q2274" s="199"/>
      <c r="R2274" s="199"/>
    </row>
    <row r="2275" spans="2:18">
      <c r="B2275" s="227" t="s">
        <v>2509</v>
      </c>
      <c r="C2275" s="228" t="s">
        <v>544</v>
      </c>
      <c r="D2275" s="228" t="s">
        <v>1200</v>
      </c>
      <c r="E2275" s="201">
        <v>15.5</v>
      </c>
      <c r="F2275" s="201">
        <v>1.625</v>
      </c>
      <c r="G2275" s="203">
        <v>44727</v>
      </c>
      <c r="M2275" s="199"/>
      <c r="N2275" s="199"/>
      <c r="O2275" s="199"/>
      <c r="P2275" s="199"/>
      <c r="Q2275" s="199"/>
      <c r="R2275" s="199"/>
    </row>
    <row r="2276" spans="2:18">
      <c r="B2276" s="227"/>
      <c r="C2276" s="228" t="s">
        <v>544</v>
      </c>
      <c r="D2276" s="228" t="s">
        <v>1200</v>
      </c>
      <c r="E2276" s="201">
        <v>12</v>
      </c>
      <c r="F2276" s="201">
        <v>3</v>
      </c>
      <c r="G2276" s="203">
        <v>43948</v>
      </c>
      <c r="M2276" s="199"/>
      <c r="N2276" s="199"/>
      <c r="O2276" s="199"/>
      <c r="P2276" s="199"/>
      <c r="Q2276" s="199"/>
      <c r="R2276" s="199"/>
    </row>
    <row r="2277" spans="2:18">
      <c r="B2277" s="227"/>
      <c r="C2277" s="228"/>
      <c r="D2277" s="228"/>
      <c r="G2277" s="203"/>
      <c r="M2277" s="199"/>
      <c r="N2277" s="199"/>
      <c r="O2277" s="199"/>
      <c r="P2277" s="199"/>
      <c r="Q2277" s="199"/>
      <c r="R2277" s="199"/>
    </row>
    <row r="2278" spans="2:18">
      <c r="B2278" s="227" t="s">
        <v>2511</v>
      </c>
      <c r="C2278" s="228" t="s">
        <v>544</v>
      </c>
      <c r="D2278" s="228" t="s">
        <v>1200</v>
      </c>
      <c r="E2278" s="201">
        <v>15.5</v>
      </c>
      <c r="F2278" s="201">
        <v>3</v>
      </c>
      <c r="G2278" s="203">
        <v>44727</v>
      </c>
      <c r="M2278" s="199"/>
      <c r="N2278" s="199"/>
      <c r="O2278" s="199"/>
      <c r="P2278" s="199"/>
      <c r="Q2278" s="199"/>
      <c r="R2278" s="199"/>
    </row>
    <row r="2279" spans="2:18">
      <c r="B2279" s="227"/>
      <c r="C2279" s="282" t="s">
        <v>402</v>
      </c>
      <c r="D2279" s="282" t="s">
        <v>4200</v>
      </c>
      <c r="E2279" s="201">
        <v>25</v>
      </c>
      <c r="F2279" s="201">
        <f>15/6</f>
        <v>2.5</v>
      </c>
      <c r="G2279" s="203">
        <v>44642</v>
      </c>
      <c r="M2279" s="199"/>
      <c r="N2279" s="199"/>
      <c r="O2279" s="199"/>
      <c r="P2279" s="199"/>
      <c r="Q2279" s="199"/>
      <c r="R2279" s="199"/>
    </row>
    <row r="2280" spans="2:18">
      <c r="B2280" s="227"/>
      <c r="C2280" s="228"/>
      <c r="D2280" s="228"/>
      <c r="G2280" s="203"/>
      <c r="M2280" s="199"/>
      <c r="N2280" s="199"/>
      <c r="O2280" s="199"/>
      <c r="P2280" s="199"/>
      <c r="Q2280" s="199"/>
      <c r="R2280" s="199"/>
    </row>
    <row r="2281" spans="2:18">
      <c r="B2281" s="227" t="s">
        <v>2512</v>
      </c>
      <c r="C2281" s="228" t="s">
        <v>544</v>
      </c>
      <c r="D2281" s="228" t="s">
        <v>1200</v>
      </c>
      <c r="E2281" s="201">
        <v>15.5</v>
      </c>
      <c r="F2281" s="201">
        <v>1.625</v>
      </c>
      <c r="G2281" s="203">
        <v>44727</v>
      </c>
      <c r="M2281" s="199"/>
      <c r="N2281" s="199"/>
      <c r="O2281" s="199"/>
      <c r="P2281" s="199"/>
      <c r="Q2281" s="199"/>
      <c r="R2281" s="199"/>
    </row>
    <row r="2282" spans="2:18">
      <c r="C2282" s="228" t="s">
        <v>544</v>
      </c>
      <c r="D2282" s="228" t="s">
        <v>1200</v>
      </c>
      <c r="E2282" s="201">
        <v>12</v>
      </c>
      <c r="F2282" s="201">
        <v>3</v>
      </c>
      <c r="G2282" s="203">
        <v>43948</v>
      </c>
      <c r="M2282" s="199"/>
      <c r="N2282" s="199"/>
      <c r="O2282" s="199"/>
      <c r="P2282" s="199"/>
      <c r="Q2282" s="199"/>
      <c r="R2282" s="199"/>
    </row>
    <row r="2284" spans="2:18">
      <c r="B2284" s="227" t="s">
        <v>2524</v>
      </c>
      <c r="C2284" s="228" t="s">
        <v>402</v>
      </c>
      <c r="D2284" s="228" t="s">
        <v>1216</v>
      </c>
      <c r="E2284" s="201">
        <v>25.7</v>
      </c>
      <c r="F2284" s="201">
        <v>5</v>
      </c>
      <c r="G2284" s="203">
        <v>43837</v>
      </c>
      <c r="M2284" s="199"/>
      <c r="N2284" s="199"/>
      <c r="O2284" s="199"/>
      <c r="P2284" s="199"/>
      <c r="Q2284" s="199"/>
      <c r="R2284" s="199"/>
    </row>
    <row r="2285" spans="2:18">
      <c r="B2285" s="227" t="s">
        <v>2525</v>
      </c>
      <c r="C2285" s="228" t="s">
        <v>402</v>
      </c>
      <c r="D2285" s="228" t="s">
        <v>1216</v>
      </c>
      <c r="E2285" s="201">
        <v>25.7</v>
      </c>
      <c r="F2285" s="201">
        <v>15.7</v>
      </c>
      <c r="G2285" s="203">
        <v>43837</v>
      </c>
      <c r="M2285" s="199"/>
      <c r="N2285" s="199"/>
      <c r="O2285" s="199"/>
      <c r="P2285" s="199"/>
      <c r="Q2285" s="199"/>
      <c r="R2285" s="199"/>
    </row>
    <row r="2286" spans="2:18">
      <c r="B2286" s="227" t="s">
        <v>2526</v>
      </c>
      <c r="C2286" s="228" t="s">
        <v>402</v>
      </c>
      <c r="D2286" s="228" t="s">
        <v>1216</v>
      </c>
      <c r="E2286" s="201">
        <v>25.7</v>
      </c>
      <c r="F2286" s="201">
        <v>5</v>
      </c>
      <c r="G2286" s="203">
        <v>43837</v>
      </c>
      <c r="M2286" s="199"/>
      <c r="N2286" s="199"/>
      <c r="O2286" s="199"/>
      <c r="P2286" s="199"/>
      <c r="Q2286" s="199"/>
      <c r="R2286" s="199"/>
    </row>
    <row r="2287" spans="2:18">
      <c r="B2287" s="227" t="s">
        <v>2552</v>
      </c>
      <c r="C2287" s="228" t="s">
        <v>402</v>
      </c>
      <c r="D2287" s="228" t="s">
        <v>1234</v>
      </c>
      <c r="E2287" s="201">
        <v>26.8</v>
      </c>
      <c r="F2287" s="201">
        <v>6.8</v>
      </c>
      <c r="G2287" s="203">
        <v>44600</v>
      </c>
      <c r="M2287" s="199"/>
      <c r="N2287" s="199"/>
      <c r="O2287" s="199"/>
      <c r="P2287" s="199"/>
      <c r="Q2287" s="199"/>
      <c r="R2287" s="199"/>
    </row>
    <row r="2288" spans="2:18">
      <c r="B2288" s="227"/>
      <c r="C2288" s="272" t="s">
        <v>813</v>
      </c>
      <c r="D2288" s="272" t="s">
        <v>1822</v>
      </c>
      <c r="E2288" s="201">
        <v>475</v>
      </c>
      <c r="F2288" s="201">
        <f>E2288/12</f>
        <v>39.583333333333336</v>
      </c>
      <c r="G2288" s="203">
        <v>44278</v>
      </c>
      <c r="M2288" s="199"/>
      <c r="N2288" s="199"/>
      <c r="O2288" s="199"/>
      <c r="P2288" s="199"/>
      <c r="Q2288" s="199"/>
      <c r="R2288" s="199"/>
    </row>
    <row r="2289" spans="2:18">
      <c r="B2289" s="227"/>
      <c r="C2289" s="228"/>
      <c r="D2289" s="228"/>
      <c r="G2289" s="203"/>
      <c r="M2289" s="199"/>
      <c r="N2289" s="199"/>
      <c r="O2289" s="199"/>
      <c r="P2289" s="199"/>
      <c r="Q2289" s="199"/>
      <c r="R2289" s="199"/>
    </row>
    <row r="2290" spans="2:18">
      <c r="B2290" s="227" t="s">
        <v>2553</v>
      </c>
      <c r="C2290" s="228" t="s">
        <v>402</v>
      </c>
      <c r="D2290" s="228" t="s">
        <v>1234</v>
      </c>
      <c r="E2290" s="201">
        <v>26.8</v>
      </c>
      <c r="F2290" s="201">
        <v>4</v>
      </c>
      <c r="G2290" s="203">
        <v>44600</v>
      </c>
      <c r="M2290" s="199"/>
      <c r="N2290" s="199"/>
      <c r="O2290" s="199"/>
      <c r="P2290" s="199"/>
      <c r="Q2290" s="199"/>
      <c r="R2290" s="199"/>
    </row>
    <row r="2291" spans="2:18">
      <c r="B2291" s="227" t="s">
        <v>2554</v>
      </c>
      <c r="C2291" s="228" t="s">
        <v>402</v>
      </c>
      <c r="D2291" s="228" t="s">
        <v>1234</v>
      </c>
      <c r="E2291" s="201">
        <v>26.8</v>
      </c>
      <c r="F2291" s="201">
        <v>4</v>
      </c>
      <c r="G2291" s="203">
        <v>44600</v>
      </c>
      <c r="M2291" s="199"/>
      <c r="N2291" s="199"/>
      <c r="O2291" s="199"/>
      <c r="P2291" s="199"/>
      <c r="Q2291" s="199"/>
      <c r="R2291" s="199"/>
    </row>
    <row r="2292" spans="2:18">
      <c r="B2292" s="227"/>
      <c r="C2292" s="228" t="s">
        <v>544</v>
      </c>
      <c r="D2292" s="228" t="s">
        <v>1234</v>
      </c>
      <c r="E2292" s="201">
        <v>8.3000000000000007</v>
      </c>
      <c r="F2292" s="201">
        <v>4.3</v>
      </c>
      <c r="G2292" s="203">
        <v>44053</v>
      </c>
      <c r="M2292" s="199"/>
      <c r="N2292" s="199"/>
      <c r="O2292" s="199"/>
      <c r="P2292" s="199"/>
      <c r="Q2292" s="199"/>
      <c r="R2292" s="199"/>
    </row>
    <row r="2293" spans="2:18">
      <c r="B2293" s="227" t="s">
        <v>2555</v>
      </c>
      <c r="C2293" s="228" t="s">
        <v>402</v>
      </c>
      <c r="D2293" s="228" t="s">
        <v>1234</v>
      </c>
      <c r="E2293" s="201">
        <v>26.8</v>
      </c>
      <c r="F2293" s="201">
        <v>4</v>
      </c>
      <c r="G2293" s="203">
        <v>44600</v>
      </c>
      <c r="M2293" s="199"/>
      <c r="N2293" s="199"/>
      <c r="O2293" s="199"/>
      <c r="P2293" s="199"/>
      <c r="Q2293" s="199"/>
      <c r="R2293" s="199"/>
    </row>
    <row r="2294" spans="2:18">
      <c r="C2294" s="228" t="s">
        <v>544</v>
      </c>
      <c r="D2294" s="228" t="s">
        <v>1234</v>
      </c>
      <c r="E2294" s="201">
        <v>8.3000000000000007</v>
      </c>
      <c r="F2294" s="201">
        <v>2</v>
      </c>
      <c r="G2294" s="203">
        <v>44053</v>
      </c>
      <c r="M2294" s="199"/>
      <c r="N2294" s="199"/>
      <c r="O2294" s="199"/>
      <c r="P2294" s="199"/>
      <c r="Q2294" s="199"/>
      <c r="R2294" s="199"/>
    </row>
    <row r="2295" spans="2:18">
      <c r="B2295" s="227" t="s">
        <v>2557</v>
      </c>
      <c r="C2295" s="228" t="s">
        <v>544</v>
      </c>
      <c r="D2295" s="228" t="s">
        <v>1234</v>
      </c>
      <c r="E2295" s="201">
        <v>8.3000000000000007</v>
      </c>
      <c r="F2295" s="201">
        <v>2</v>
      </c>
      <c r="G2295" s="203">
        <v>44053</v>
      </c>
      <c r="M2295" s="199"/>
      <c r="N2295" s="199"/>
      <c r="O2295" s="199"/>
      <c r="P2295" s="199"/>
      <c r="Q2295" s="199"/>
      <c r="R2295" s="199"/>
    </row>
    <row r="2296" spans="2:18">
      <c r="B2296" s="227" t="s">
        <v>2561</v>
      </c>
      <c r="C2296" s="228" t="s">
        <v>402</v>
      </c>
      <c r="D2296" s="228" t="s">
        <v>1262</v>
      </c>
      <c r="E2296" s="201">
        <v>25</v>
      </c>
      <c r="F2296" s="201">
        <v>15</v>
      </c>
      <c r="G2296" s="203">
        <v>43972</v>
      </c>
      <c r="M2296" s="199"/>
      <c r="N2296" s="199"/>
      <c r="O2296" s="199"/>
      <c r="P2296" s="199"/>
      <c r="Q2296" s="199"/>
      <c r="R2296" s="199"/>
    </row>
    <row r="2297" spans="2:18">
      <c r="B2297" s="227"/>
      <c r="C2297" s="228"/>
      <c r="D2297" s="228"/>
      <c r="G2297" s="203"/>
      <c r="M2297" s="199"/>
      <c r="N2297" s="199"/>
      <c r="O2297" s="199"/>
      <c r="P2297" s="199"/>
      <c r="Q2297" s="199"/>
      <c r="R2297" s="199"/>
    </row>
    <row r="2298" spans="2:18">
      <c r="B2298" s="227" t="s">
        <v>2573</v>
      </c>
      <c r="C2298" s="228" t="s">
        <v>755</v>
      </c>
      <c r="D2298" s="228" t="s">
        <v>1254</v>
      </c>
      <c r="E2298" s="201">
        <v>90</v>
      </c>
      <c r="F2298" s="201">
        <v>20</v>
      </c>
      <c r="G2298" s="203">
        <v>44776</v>
      </c>
      <c r="M2298" s="199"/>
      <c r="N2298" s="199"/>
      <c r="O2298" s="199"/>
      <c r="P2298" s="199"/>
      <c r="Q2298" s="199"/>
      <c r="R2298" s="199"/>
    </row>
    <row r="2299" spans="2:18">
      <c r="B2299" s="227"/>
      <c r="C2299" s="228"/>
      <c r="D2299" s="228"/>
      <c r="G2299" s="203"/>
      <c r="M2299" s="199"/>
      <c r="N2299" s="199"/>
      <c r="O2299" s="199"/>
      <c r="P2299" s="199"/>
      <c r="Q2299" s="199"/>
      <c r="R2299" s="199"/>
    </row>
    <row r="2300" spans="2:18">
      <c r="B2300" s="227" t="s">
        <v>2575</v>
      </c>
      <c r="C2300" s="228" t="s">
        <v>755</v>
      </c>
      <c r="D2300" s="228" t="s">
        <v>1254</v>
      </c>
      <c r="E2300" s="201">
        <v>90</v>
      </c>
      <c r="F2300" s="201">
        <f>50/11</f>
        <v>4.5454545454545459</v>
      </c>
      <c r="G2300" s="203">
        <v>44776</v>
      </c>
      <c r="M2300" s="199"/>
      <c r="N2300" s="199"/>
      <c r="O2300" s="199"/>
      <c r="P2300" s="199"/>
      <c r="Q2300" s="199"/>
      <c r="R2300" s="199"/>
    </row>
    <row r="2301" spans="2:18">
      <c r="B2301" s="227"/>
      <c r="C2301" s="228" t="s">
        <v>565</v>
      </c>
      <c r="D2301" s="228" t="s">
        <v>1254</v>
      </c>
      <c r="E2301" s="201">
        <v>40</v>
      </c>
      <c r="F2301" s="201">
        <v>3.75</v>
      </c>
      <c r="G2301" s="203">
        <v>44176</v>
      </c>
      <c r="M2301" s="199"/>
      <c r="N2301" s="199"/>
      <c r="O2301" s="199"/>
      <c r="P2301" s="199"/>
      <c r="Q2301" s="199"/>
      <c r="R2301" s="199"/>
    </row>
    <row r="2302" spans="2:18">
      <c r="B2302" s="227"/>
      <c r="C2302" s="228" t="s">
        <v>402</v>
      </c>
      <c r="D2302" s="228" t="s">
        <v>1254</v>
      </c>
      <c r="E2302" s="201">
        <v>20</v>
      </c>
      <c r="F2302" s="201">
        <v>3</v>
      </c>
      <c r="G2302" s="203">
        <v>43879</v>
      </c>
      <c r="M2302" s="199"/>
      <c r="N2302" s="199"/>
      <c r="O2302" s="199"/>
      <c r="P2302" s="199"/>
      <c r="Q2302" s="199"/>
      <c r="R2302" s="199"/>
    </row>
    <row r="2303" spans="2:18">
      <c r="B2303" s="227" t="s">
        <v>2576</v>
      </c>
      <c r="C2303" s="228" t="s">
        <v>755</v>
      </c>
      <c r="D2303" s="228" t="s">
        <v>1254</v>
      </c>
      <c r="E2303" s="201">
        <v>90</v>
      </c>
      <c r="F2303" s="201">
        <f>50/11</f>
        <v>4.5454545454545459</v>
      </c>
      <c r="G2303" s="203">
        <v>44776</v>
      </c>
      <c r="M2303" s="199"/>
      <c r="N2303" s="199"/>
      <c r="O2303" s="199"/>
      <c r="P2303" s="199"/>
      <c r="Q2303" s="199"/>
      <c r="R2303" s="199"/>
    </row>
    <row r="2304" spans="2:18">
      <c r="B2304" s="227"/>
      <c r="C2304" s="228" t="s">
        <v>565</v>
      </c>
      <c r="D2304" s="228" t="s">
        <v>1254</v>
      </c>
      <c r="E2304" s="201">
        <v>40</v>
      </c>
      <c r="F2304" s="201">
        <v>3.75</v>
      </c>
      <c r="G2304" s="203">
        <v>44176</v>
      </c>
      <c r="M2304" s="199"/>
      <c r="N2304" s="199"/>
      <c r="O2304" s="199"/>
      <c r="P2304" s="199"/>
      <c r="Q2304" s="199"/>
      <c r="R2304" s="199"/>
    </row>
    <row r="2305" spans="2:18">
      <c r="B2305" s="227"/>
      <c r="C2305" s="228" t="s">
        <v>402</v>
      </c>
      <c r="D2305" s="228" t="s">
        <v>1254</v>
      </c>
      <c r="E2305" s="201">
        <v>20</v>
      </c>
      <c r="F2305" s="201">
        <v>3</v>
      </c>
      <c r="G2305" s="203">
        <v>43879</v>
      </c>
      <c r="M2305" s="199"/>
      <c r="N2305" s="199"/>
      <c r="O2305" s="199"/>
      <c r="P2305" s="199"/>
      <c r="Q2305" s="199"/>
      <c r="R2305" s="199"/>
    </row>
    <row r="2306" spans="2:18">
      <c r="B2306" s="227" t="s">
        <v>2577</v>
      </c>
      <c r="C2306" s="228" t="s">
        <v>755</v>
      </c>
      <c r="D2306" s="228" t="s">
        <v>1254</v>
      </c>
      <c r="E2306" s="201">
        <v>90</v>
      </c>
      <c r="F2306" s="201">
        <f>50/11</f>
        <v>4.5454545454545459</v>
      </c>
      <c r="G2306" s="203">
        <v>44776</v>
      </c>
      <c r="M2306" s="199"/>
      <c r="N2306" s="199"/>
      <c r="O2306" s="199"/>
      <c r="P2306" s="199"/>
      <c r="Q2306" s="199"/>
      <c r="R2306" s="199"/>
    </row>
    <row r="2307" spans="2:18">
      <c r="B2307" s="227"/>
      <c r="C2307" s="228" t="s">
        <v>565</v>
      </c>
      <c r="D2307" s="228" t="s">
        <v>1254</v>
      </c>
      <c r="E2307" s="201">
        <v>40</v>
      </c>
      <c r="F2307" s="201">
        <v>3.75</v>
      </c>
      <c r="G2307" s="203">
        <v>44176</v>
      </c>
      <c r="M2307" s="199"/>
      <c r="N2307" s="199"/>
      <c r="O2307" s="199"/>
      <c r="P2307" s="199"/>
      <c r="Q2307" s="199"/>
      <c r="R2307" s="199"/>
    </row>
    <row r="2308" spans="2:18">
      <c r="B2308" s="227" t="s">
        <v>2579</v>
      </c>
      <c r="C2308" s="228" t="s">
        <v>755</v>
      </c>
      <c r="D2308" s="228" t="s">
        <v>1254</v>
      </c>
      <c r="E2308" s="201">
        <v>90</v>
      </c>
      <c r="F2308" s="201">
        <f>50/11</f>
        <v>4.5454545454545459</v>
      </c>
      <c r="G2308" s="203">
        <v>44776</v>
      </c>
      <c r="M2308" s="199"/>
      <c r="N2308" s="199"/>
      <c r="O2308" s="199"/>
      <c r="P2308" s="199"/>
      <c r="Q2308" s="199"/>
      <c r="R2308" s="199"/>
    </row>
    <row r="2309" spans="2:18">
      <c r="C2309" s="228" t="s">
        <v>565</v>
      </c>
      <c r="D2309" s="228" t="s">
        <v>1254</v>
      </c>
      <c r="E2309" s="201">
        <v>40</v>
      </c>
      <c r="F2309" s="201">
        <v>3.75</v>
      </c>
      <c r="G2309" s="203">
        <v>44176</v>
      </c>
      <c r="M2309" s="199"/>
      <c r="N2309" s="199"/>
      <c r="O2309" s="199"/>
      <c r="P2309" s="199"/>
      <c r="Q2309" s="199"/>
      <c r="R2309" s="199"/>
    </row>
    <row r="2310" spans="2:18">
      <c r="C2310" s="228" t="s">
        <v>402</v>
      </c>
      <c r="D2310" s="228" t="s">
        <v>1254</v>
      </c>
      <c r="E2310" s="201">
        <v>20</v>
      </c>
      <c r="F2310" s="201">
        <v>3</v>
      </c>
      <c r="G2310" s="203">
        <v>43879</v>
      </c>
      <c r="M2310" s="199"/>
      <c r="N2310" s="199"/>
      <c r="O2310" s="199"/>
      <c r="P2310" s="199"/>
      <c r="Q2310" s="199"/>
      <c r="R2310" s="199"/>
    </row>
    <row r="2311" spans="2:18">
      <c r="B2311" s="227" t="s">
        <v>2585</v>
      </c>
      <c r="C2311" s="228" t="s">
        <v>402</v>
      </c>
      <c r="D2311" s="228" t="s">
        <v>1524</v>
      </c>
      <c r="E2311" s="201">
        <v>30</v>
      </c>
      <c r="F2311" s="201">
        <v>5</v>
      </c>
      <c r="G2311" s="203">
        <v>44756</v>
      </c>
      <c r="M2311" s="199"/>
      <c r="N2311" s="199"/>
      <c r="O2311" s="199"/>
      <c r="P2311" s="199"/>
      <c r="Q2311" s="199"/>
      <c r="R2311" s="199"/>
    </row>
    <row r="2312" spans="2:18">
      <c r="C2312" s="228" t="s">
        <v>544</v>
      </c>
      <c r="D2312" s="228" t="s">
        <v>1524</v>
      </c>
      <c r="E2312" s="201">
        <v>28</v>
      </c>
      <c r="F2312" s="201">
        <v>5</v>
      </c>
      <c r="G2312" s="203">
        <v>44624</v>
      </c>
      <c r="M2312" s="199"/>
      <c r="N2312" s="199"/>
      <c r="O2312" s="199"/>
      <c r="P2312" s="199"/>
      <c r="Q2312" s="199"/>
      <c r="R2312" s="199"/>
    </row>
    <row r="2313" spans="2:18">
      <c r="C2313" s="228" t="s">
        <v>549</v>
      </c>
      <c r="D2313" s="228" t="s">
        <v>1524</v>
      </c>
      <c r="E2313" s="201">
        <v>5</v>
      </c>
      <c r="F2313" s="201">
        <v>1</v>
      </c>
      <c r="G2313" s="203">
        <v>44136</v>
      </c>
      <c r="M2313" s="199"/>
      <c r="N2313" s="199"/>
      <c r="O2313" s="199"/>
      <c r="P2313" s="199"/>
      <c r="Q2313" s="199"/>
      <c r="R2313" s="199"/>
    </row>
    <row r="2314" spans="2:18">
      <c r="B2314" s="227" t="s">
        <v>2593</v>
      </c>
      <c r="C2314" s="228" t="s">
        <v>549</v>
      </c>
      <c r="D2314" s="228" t="s">
        <v>1283</v>
      </c>
      <c r="E2314" s="201">
        <v>7</v>
      </c>
      <c r="F2314" s="201">
        <v>1.5</v>
      </c>
      <c r="G2314" s="203">
        <v>44602</v>
      </c>
      <c r="M2314" s="199"/>
      <c r="N2314" s="199"/>
      <c r="O2314" s="199"/>
      <c r="P2314" s="199"/>
      <c r="Q2314" s="199"/>
      <c r="R2314" s="199"/>
    </row>
    <row r="2315" spans="2:18">
      <c r="B2315" s="227" t="s">
        <v>2594</v>
      </c>
      <c r="C2315" s="228" t="s">
        <v>549</v>
      </c>
      <c r="D2315" s="228" t="s">
        <v>1283</v>
      </c>
      <c r="E2315" s="201">
        <v>7</v>
      </c>
      <c r="F2315" s="201">
        <v>1.5</v>
      </c>
      <c r="G2315" s="203">
        <v>44602</v>
      </c>
      <c r="M2315" s="199"/>
      <c r="N2315" s="199"/>
      <c r="O2315" s="199"/>
      <c r="P2315" s="199"/>
      <c r="Q2315" s="199"/>
      <c r="R2315" s="199"/>
    </row>
    <row r="2316" spans="2:18">
      <c r="B2316" s="227" t="s">
        <v>2595</v>
      </c>
      <c r="C2316" s="228" t="s">
        <v>549</v>
      </c>
      <c r="D2316" s="228" t="s">
        <v>1283</v>
      </c>
      <c r="E2316" s="201">
        <v>7</v>
      </c>
      <c r="F2316" s="201">
        <v>0.5</v>
      </c>
      <c r="G2316" s="203">
        <v>44602</v>
      </c>
      <c r="M2316" s="199"/>
      <c r="N2316" s="199"/>
      <c r="O2316" s="199"/>
      <c r="P2316" s="199"/>
      <c r="Q2316" s="199"/>
      <c r="R2316" s="199"/>
    </row>
    <row r="2317" spans="2:18">
      <c r="B2317" s="227" t="s">
        <v>2596</v>
      </c>
      <c r="C2317" s="228" t="s">
        <v>549</v>
      </c>
      <c r="D2317" s="228" t="s">
        <v>1283</v>
      </c>
      <c r="E2317" s="201">
        <v>7</v>
      </c>
      <c r="F2317" s="201">
        <v>0.5</v>
      </c>
      <c r="G2317" s="203">
        <v>44602</v>
      </c>
      <c r="M2317" s="199"/>
      <c r="N2317" s="199"/>
      <c r="O2317" s="199"/>
      <c r="P2317" s="199"/>
      <c r="Q2317" s="199"/>
      <c r="R2317" s="199"/>
    </row>
    <row r="2318" spans="2:18">
      <c r="B2318" s="227" t="s">
        <v>2597</v>
      </c>
      <c r="C2318" s="228" t="s">
        <v>549</v>
      </c>
      <c r="D2318" s="228" t="s">
        <v>1283</v>
      </c>
      <c r="E2318" s="201">
        <v>7</v>
      </c>
      <c r="F2318" s="201">
        <v>0.5</v>
      </c>
      <c r="G2318" s="203">
        <v>44602</v>
      </c>
      <c r="M2318" s="199"/>
      <c r="N2318" s="199"/>
      <c r="O2318" s="199"/>
      <c r="P2318" s="199"/>
      <c r="Q2318" s="199"/>
      <c r="R2318" s="199"/>
    </row>
    <row r="2319" spans="2:18">
      <c r="B2319" s="227" t="s">
        <v>2598</v>
      </c>
      <c r="C2319" s="228" t="s">
        <v>549</v>
      </c>
      <c r="D2319" s="228" t="s">
        <v>1283</v>
      </c>
      <c r="E2319" s="201">
        <v>7</v>
      </c>
      <c r="F2319" s="201">
        <v>0.5</v>
      </c>
      <c r="G2319" s="203">
        <v>44602</v>
      </c>
      <c r="M2319" s="199"/>
      <c r="N2319" s="199"/>
      <c r="O2319" s="199"/>
      <c r="P2319" s="199"/>
      <c r="Q2319" s="199"/>
      <c r="R2319" s="199"/>
    </row>
    <row r="2320" spans="2:18">
      <c r="C2320" s="228" t="s">
        <v>669</v>
      </c>
      <c r="D2320" s="228" t="s">
        <v>1283</v>
      </c>
      <c r="E2320" s="201">
        <v>1.1000000000000001</v>
      </c>
      <c r="F2320" s="201">
        <v>1.1000000000000001</v>
      </c>
      <c r="G2320" s="203">
        <v>44061</v>
      </c>
      <c r="M2320" s="199"/>
      <c r="N2320" s="199"/>
      <c r="O2320" s="199"/>
      <c r="P2320" s="199"/>
      <c r="Q2320" s="199"/>
      <c r="R2320" s="199"/>
    </row>
    <row r="2321" spans="2:18">
      <c r="B2321" s="227" t="s">
        <v>2604</v>
      </c>
      <c r="C2321" s="228" t="s">
        <v>402</v>
      </c>
      <c r="D2321" s="228" t="s">
        <v>1285</v>
      </c>
      <c r="E2321" s="201">
        <v>1.8</v>
      </c>
      <c r="F2321" s="201">
        <v>0.6</v>
      </c>
      <c r="G2321" s="203">
        <v>43661</v>
      </c>
      <c r="M2321" s="199"/>
      <c r="N2321" s="199"/>
      <c r="O2321" s="199"/>
      <c r="P2321" s="199"/>
      <c r="Q2321" s="199"/>
      <c r="R2321" s="199"/>
    </row>
    <row r="2322" spans="2:18">
      <c r="B2322" s="227" t="s">
        <v>2605</v>
      </c>
      <c r="C2322" s="228" t="s">
        <v>402</v>
      </c>
      <c r="D2322" s="228" t="s">
        <v>1285</v>
      </c>
      <c r="E2322" s="201">
        <v>1.8</v>
      </c>
      <c r="F2322" s="201">
        <v>0.6</v>
      </c>
      <c r="G2322" s="203">
        <v>43661</v>
      </c>
      <c r="M2322" s="199"/>
      <c r="N2322" s="199"/>
      <c r="O2322" s="199"/>
      <c r="P2322" s="199"/>
      <c r="Q2322" s="199"/>
      <c r="R2322" s="199"/>
    </row>
    <row r="2323" spans="2:18">
      <c r="B2323" s="227" t="s">
        <v>2606</v>
      </c>
      <c r="C2323" s="228" t="s">
        <v>402</v>
      </c>
      <c r="D2323" s="228" t="s">
        <v>1285</v>
      </c>
      <c r="E2323" s="201">
        <v>1.8</v>
      </c>
      <c r="F2323" s="201">
        <v>0.4</v>
      </c>
      <c r="G2323" s="203">
        <v>43661</v>
      </c>
      <c r="M2323" s="199"/>
      <c r="N2323" s="199"/>
      <c r="O2323" s="199"/>
      <c r="P2323" s="199"/>
      <c r="Q2323" s="199"/>
      <c r="R2323" s="199"/>
    </row>
    <row r="2324" spans="2:18">
      <c r="B2324" s="227" t="s">
        <v>2642</v>
      </c>
      <c r="C2324" s="228" t="s">
        <v>402</v>
      </c>
      <c r="D2324" s="228" t="s">
        <v>1329</v>
      </c>
      <c r="E2324" s="201">
        <v>93</v>
      </c>
      <c r="F2324" s="201">
        <v>10</v>
      </c>
      <c r="G2324" s="203">
        <v>43018</v>
      </c>
      <c r="M2324" s="199"/>
      <c r="N2324" s="199"/>
      <c r="O2324" s="199"/>
      <c r="P2324" s="199"/>
      <c r="Q2324" s="199"/>
      <c r="R2324" s="199"/>
    </row>
    <row r="2325" spans="2:18">
      <c r="C2325" s="228" t="s">
        <v>544</v>
      </c>
      <c r="D2325" s="228" t="s">
        <v>1329</v>
      </c>
      <c r="E2325" s="201">
        <v>15</v>
      </c>
      <c r="F2325" s="201">
        <v>6</v>
      </c>
      <c r="G2325" s="203">
        <v>42690</v>
      </c>
      <c r="M2325" s="199"/>
      <c r="N2325" s="199"/>
      <c r="O2325" s="199"/>
      <c r="P2325" s="199"/>
      <c r="Q2325" s="199"/>
      <c r="R2325" s="199"/>
    </row>
    <row r="2326" spans="2:18">
      <c r="B2326" s="227" t="s">
        <v>2644</v>
      </c>
      <c r="C2326" s="228" t="s">
        <v>544</v>
      </c>
      <c r="D2326" s="228" t="s">
        <v>1329</v>
      </c>
      <c r="E2326" s="201">
        <v>15</v>
      </c>
      <c r="F2326" s="201">
        <v>3</v>
      </c>
      <c r="G2326" s="203">
        <v>42690</v>
      </c>
      <c r="M2326" s="199"/>
      <c r="N2326" s="199"/>
      <c r="O2326" s="199"/>
      <c r="P2326" s="199"/>
      <c r="Q2326" s="199"/>
      <c r="R2326" s="199"/>
    </row>
    <row r="2327" spans="2:18">
      <c r="B2327" s="227"/>
      <c r="C2327" s="228"/>
      <c r="D2327" s="228"/>
      <c r="G2327" s="203"/>
      <c r="M2327" s="199"/>
      <c r="N2327" s="199"/>
      <c r="O2327" s="199"/>
      <c r="P2327" s="199"/>
      <c r="Q2327" s="199"/>
      <c r="R2327" s="199"/>
    </row>
    <row r="2328" spans="2:18">
      <c r="B2328" s="227" t="s">
        <v>2645</v>
      </c>
      <c r="C2328" s="228" t="s">
        <v>544</v>
      </c>
      <c r="D2328" s="228" t="s">
        <v>1329</v>
      </c>
      <c r="E2328" s="201">
        <v>15</v>
      </c>
      <c r="F2328" s="201">
        <v>3</v>
      </c>
      <c r="G2328" s="203">
        <v>42690</v>
      </c>
      <c r="M2328" s="199"/>
      <c r="N2328" s="199"/>
      <c r="O2328" s="199"/>
      <c r="P2328" s="199"/>
      <c r="Q2328" s="199"/>
      <c r="R2328" s="199"/>
    </row>
    <row r="2329" spans="2:18">
      <c r="B2329" s="227"/>
      <c r="C2329" s="238" t="s">
        <v>544</v>
      </c>
      <c r="D2329" s="238" t="s">
        <v>2739</v>
      </c>
      <c r="E2329" s="201">
        <v>5</v>
      </c>
      <c r="F2329" s="201">
        <v>5</v>
      </c>
      <c r="G2329" s="203">
        <v>43355</v>
      </c>
      <c r="M2329" s="199"/>
      <c r="N2329" s="199"/>
      <c r="O2329" s="199"/>
      <c r="P2329" s="199"/>
      <c r="Q2329" s="199"/>
      <c r="R2329" s="199"/>
    </row>
    <row r="2330" spans="2:18">
      <c r="B2330" s="227"/>
      <c r="C2330" s="228"/>
      <c r="D2330" s="228"/>
      <c r="G2330" s="203"/>
      <c r="M2330" s="199"/>
      <c r="N2330" s="199"/>
      <c r="O2330" s="199"/>
      <c r="P2330" s="199"/>
      <c r="Q2330" s="199"/>
      <c r="R2330" s="199"/>
    </row>
    <row r="2331" spans="2:18">
      <c r="B2331" s="227" t="s">
        <v>2655</v>
      </c>
      <c r="C2331" s="228" t="s">
        <v>544</v>
      </c>
      <c r="D2331" s="228" t="s">
        <v>1519</v>
      </c>
      <c r="E2331" s="201">
        <v>8.5</v>
      </c>
      <c r="F2331" s="201">
        <v>8.5</v>
      </c>
      <c r="G2331" s="203">
        <v>44307</v>
      </c>
      <c r="M2331" s="199"/>
      <c r="N2331" s="199"/>
      <c r="O2331" s="199"/>
      <c r="P2331" s="199"/>
      <c r="Q2331" s="199"/>
      <c r="R2331" s="199"/>
    </row>
    <row r="2332" spans="2:18">
      <c r="B2332" s="227" t="s">
        <v>2662</v>
      </c>
      <c r="C2332" s="228" t="s">
        <v>565</v>
      </c>
      <c r="D2332" s="228" t="s">
        <v>1576</v>
      </c>
      <c r="E2332" s="201">
        <v>75</v>
      </c>
      <c r="F2332" s="201">
        <f>35/5</f>
        <v>7</v>
      </c>
      <c r="G2332" s="203">
        <v>45020</v>
      </c>
      <c r="M2332" s="199"/>
      <c r="N2332" s="199"/>
      <c r="O2332" s="199"/>
      <c r="P2332" s="199"/>
      <c r="Q2332" s="199"/>
      <c r="R2332" s="199"/>
    </row>
    <row r="2333" spans="2:18">
      <c r="B2333" s="227" t="s">
        <v>2663</v>
      </c>
      <c r="C2333" s="228" t="s">
        <v>565</v>
      </c>
      <c r="D2333" s="228" t="s">
        <v>1576</v>
      </c>
      <c r="E2333" s="201">
        <v>75</v>
      </c>
      <c r="F2333" s="201">
        <f t="shared" ref="F2333" si="16">35/5</f>
        <v>7</v>
      </c>
      <c r="G2333" s="203">
        <v>45020</v>
      </c>
      <c r="M2333" s="199"/>
      <c r="N2333" s="199"/>
      <c r="O2333" s="199"/>
      <c r="P2333" s="199"/>
      <c r="Q2333" s="199"/>
      <c r="R2333" s="199"/>
    </row>
    <row r="2334" spans="2:18">
      <c r="B2334" s="227" t="s">
        <v>2665</v>
      </c>
      <c r="C2334" s="228" t="s">
        <v>549</v>
      </c>
      <c r="D2334" s="228" t="s">
        <v>1576</v>
      </c>
      <c r="E2334" s="201">
        <v>7</v>
      </c>
      <c r="F2334" s="201">
        <v>0.7142857142857143</v>
      </c>
      <c r="G2334" s="203">
        <v>43046</v>
      </c>
      <c r="M2334" s="199"/>
      <c r="N2334" s="199"/>
      <c r="O2334" s="199"/>
      <c r="P2334" s="199"/>
      <c r="Q2334" s="199"/>
      <c r="R2334" s="199"/>
    </row>
    <row r="2335" spans="2:18">
      <c r="B2335" s="227" t="s">
        <v>2680</v>
      </c>
      <c r="C2335" s="228" t="s">
        <v>565</v>
      </c>
      <c r="D2335" s="228" t="s">
        <v>1527</v>
      </c>
      <c r="E2335" s="201">
        <v>23</v>
      </c>
      <c r="F2335" s="201">
        <v>7</v>
      </c>
      <c r="G2335" s="203">
        <v>44328</v>
      </c>
      <c r="I2335" s="212"/>
      <c r="M2335" s="199"/>
      <c r="N2335" s="199"/>
      <c r="O2335" s="199"/>
      <c r="P2335" s="199"/>
      <c r="Q2335" s="199"/>
      <c r="R2335" s="199"/>
    </row>
    <row r="2336" spans="2:18">
      <c r="B2336" s="227" t="s">
        <v>2681</v>
      </c>
      <c r="C2336" s="228" t="s">
        <v>565</v>
      </c>
      <c r="D2336" s="228" t="s">
        <v>1527</v>
      </c>
      <c r="E2336" s="201">
        <v>23</v>
      </c>
      <c r="F2336" s="201">
        <f>16/6</f>
        <v>2.6666666666666665</v>
      </c>
      <c r="G2336" s="203">
        <v>44328</v>
      </c>
      <c r="M2336" s="199"/>
      <c r="N2336" s="199"/>
      <c r="O2336" s="199"/>
      <c r="P2336" s="199"/>
      <c r="Q2336" s="199"/>
      <c r="R2336" s="199"/>
    </row>
    <row r="2337" spans="2:18">
      <c r="B2337" s="227" t="s">
        <v>2682</v>
      </c>
      <c r="C2337" s="228" t="s">
        <v>565</v>
      </c>
      <c r="D2337" s="228" t="s">
        <v>1527</v>
      </c>
      <c r="E2337" s="201">
        <v>23</v>
      </c>
      <c r="F2337" s="201">
        <f t="shared" ref="F2337:F2340" si="17">16/6</f>
        <v>2.6666666666666665</v>
      </c>
      <c r="G2337" s="203">
        <v>44328</v>
      </c>
      <c r="M2337" s="199"/>
      <c r="N2337" s="199"/>
      <c r="O2337" s="199"/>
      <c r="P2337" s="199"/>
      <c r="Q2337" s="199"/>
      <c r="R2337" s="199"/>
    </row>
    <row r="2338" spans="2:18">
      <c r="B2338" s="227" t="s">
        <v>2683</v>
      </c>
      <c r="C2338" s="228" t="s">
        <v>565</v>
      </c>
      <c r="D2338" s="228" t="s">
        <v>1527</v>
      </c>
      <c r="E2338" s="201">
        <v>23</v>
      </c>
      <c r="F2338" s="201">
        <f t="shared" si="17"/>
        <v>2.6666666666666665</v>
      </c>
      <c r="G2338" s="203">
        <v>44328</v>
      </c>
      <c r="M2338" s="199"/>
      <c r="N2338" s="199"/>
      <c r="O2338" s="199"/>
      <c r="P2338" s="199"/>
      <c r="Q2338" s="199"/>
      <c r="R2338" s="199"/>
    </row>
    <row r="2339" spans="2:18">
      <c r="B2339" s="227" t="s">
        <v>2684</v>
      </c>
      <c r="C2339" s="228" t="s">
        <v>565</v>
      </c>
      <c r="D2339" s="228" t="s">
        <v>1527</v>
      </c>
      <c r="E2339" s="201">
        <v>23</v>
      </c>
      <c r="F2339" s="201">
        <f t="shared" si="17"/>
        <v>2.6666666666666665</v>
      </c>
      <c r="G2339" s="203">
        <v>44328</v>
      </c>
      <c r="M2339" s="199"/>
      <c r="N2339" s="199"/>
      <c r="O2339" s="199"/>
      <c r="P2339" s="199"/>
      <c r="Q2339" s="199"/>
      <c r="R2339" s="199"/>
    </row>
    <row r="2340" spans="2:18">
      <c r="B2340" s="227" t="s">
        <v>2685</v>
      </c>
      <c r="C2340" s="228" t="s">
        <v>565</v>
      </c>
      <c r="D2340" s="228" t="s">
        <v>1527</v>
      </c>
      <c r="E2340" s="201">
        <v>23</v>
      </c>
      <c r="F2340" s="201">
        <f t="shared" si="17"/>
        <v>2.6666666666666665</v>
      </c>
      <c r="G2340" s="203">
        <v>44328</v>
      </c>
      <c r="M2340" s="199"/>
      <c r="N2340" s="199"/>
      <c r="O2340" s="199"/>
      <c r="P2340" s="199"/>
      <c r="Q2340" s="199"/>
      <c r="R2340" s="199"/>
    </row>
    <row r="2341" spans="2:18">
      <c r="B2341" s="227" t="s">
        <v>2688</v>
      </c>
      <c r="C2341" s="228" t="s">
        <v>544</v>
      </c>
      <c r="D2341" s="228" t="s">
        <v>1527</v>
      </c>
      <c r="E2341" s="201">
        <v>8</v>
      </c>
      <c r="F2341" s="201">
        <v>2</v>
      </c>
      <c r="G2341" s="203">
        <v>42416</v>
      </c>
      <c r="M2341" s="199"/>
      <c r="N2341" s="199"/>
      <c r="O2341" s="199"/>
      <c r="P2341" s="199"/>
      <c r="Q2341" s="199"/>
      <c r="R2341" s="199"/>
    </row>
    <row r="2342" spans="2:18">
      <c r="B2342" s="237" t="s">
        <v>2703</v>
      </c>
      <c r="C2342" s="238" t="s">
        <v>565</v>
      </c>
      <c r="D2342" s="238" t="s">
        <v>1330</v>
      </c>
      <c r="E2342" s="201">
        <v>65</v>
      </c>
      <c r="F2342" s="201">
        <v>32.5</v>
      </c>
      <c r="G2342" s="203">
        <v>43789</v>
      </c>
      <c r="M2342" s="199"/>
      <c r="N2342" s="199"/>
      <c r="O2342" s="199"/>
      <c r="P2342" s="199"/>
      <c r="Q2342" s="199"/>
      <c r="R2342" s="199"/>
    </row>
    <row r="2343" spans="2:18">
      <c r="B2343" s="237" t="s">
        <v>2715</v>
      </c>
      <c r="C2343" s="238" t="s">
        <v>544</v>
      </c>
      <c r="D2343" s="238" t="s">
        <v>1926</v>
      </c>
      <c r="E2343" s="201">
        <v>10</v>
      </c>
      <c r="F2343" s="201">
        <v>3</v>
      </c>
      <c r="G2343" s="203">
        <v>44740</v>
      </c>
      <c r="M2343" s="199"/>
      <c r="N2343" s="199"/>
      <c r="O2343" s="199"/>
      <c r="P2343" s="199"/>
      <c r="Q2343" s="199"/>
      <c r="R2343" s="199"/>
    </row>
    <row r="2344" spans="2:18">
      <c r="B2344" s="237" t="s">
        <v>2716</v>
      </c>
      <c r="C2344" s="238" t="s">
        <v>544</v>
      </c>
      <c r="D2344" s="238" t="s">
        <v>1926</v>
      </c>
      <c r="E2344" s="201">
        <v>10</v>
      </c>
      <c r="F2344" s="201">
        <f>7/4</f>
        <v>1.75</v>
      </c>
      <c r="G2344" s="203">
        <v>44740</v>
      </c>
      <c r="M2344" s="199"/>
      <c r="N2344" s="199"/>
      <c r="O2344" s="199"/>
      <c r="P2344" s="199"/>
      <c r="Q2344" s="199"/>
      <c r="R2344" s="199"/>
    </row>
    <row r="2345" spans="2:18">
      <c r="B2345" s="237" t="s">
        <v>2717</v>
      </c>
      <c r="C2345" s="238" t="s">
        <v>544</v>
      </c>
      <c r="D2345" s="238" t="s">
        <v>1926</v>
      </c>
      <c r="E2345" s="201">
        <v>10</v>
      </c>
      <c r="F2345" s="201">
        <f>7/4</f>
        <v>1.75</v>
      </c>
      <c r="G2345" s="203">
        <v>44740</v>
      </c>
      <c r="M2345" s="199"/>
      <c r="N2345" s="199"/>
      <c r="O2345" s="199"/>
      <c r="P2345" s="199"/>
      <c r="Q2345" s="199"/>
      <c r="R2345" s="199"/>
    </row>
    <row r="2346" spans="2:18">
      <c r="B2346" s="237" t="s">
        <v>2718</v>
      </c>
      <c r="C2346" s="238" t="s">
        <v>544</v>
      </c>
      <c r="D2346" s="238" t="s">
        <v>1926</v>
      </c>
      <c r="E2346" s="201">
        <v>10</v>
      </c>
      <c r="F2346" s="201">
        <f>7/4</f>
        <v>1.75</v>
      </c>
      <c r="G2346" s="203">
        <v>44740</v>
      </c>
      <c r="M2346" s="199"/>
      <c r="N2346" s="199"/>
      <c r="O2346" s="199"/>
      <c r="P2346" s="199"/>
      <c r="Q2346" s="199"/>
      <c r="R2346" s="199"/>
    </row>
    <row r="2347" spans="2:18">
      <c r="B2347" s="237" t="s">
        <v>2719</v>
      </c>
      <c r="C2347" s="238" t="s">
        <v>549</v>
      </c>
      <c r="D2347" s="238" t="s">
        <v>1926</v>
      </c>
      <c r="E2347" s="201">
        <v>4</v>
      </c>
      <c r="F2347" s="201">
        <v>4</v>
      </c>
      <c r="G2347" s="203">
        <v>43389</v>
      </c>
      <c r="M2347" s="199"/>
      <c r="N2347" s="199"/>
      <c r="O2347" s="199"/>
      <c r="P2347" s="199"/>
      <c r="Q2347" s="199"/>
      <c r="R2347" s="199"/>
    </row>
    <row r="2348" spans="2:18">
      <c r="B2348" s="237" t="s">
        <v>2724</v>
      </c>
      <c r="C2348" s="238" t="s">
        <v>565</v>
      </c>
      <c r="D2348" s="238" t="s">
        <v>1981</v>
      </c>
      <c r="E2348" s="201">
        <v>90</v>
      </c>
      <c r="F2348" s="201">
        <v>15</v>
      </c>
      <c r="G2348" s="203">
        <v>45090</v>
      </c>
      <c r="M2348" s="199"/>
      <c r="N2348" s="199"/>
      <c r="O2348" s="199"/>
      <c r="P2348" s="199"/>
      <c r="Q2348" s="199"/>
      <c r="R2348" s="199"/>
    </row>
    <row r="2349" spans="2:18">
      <c r="B2349" s="237"/>
      <c r="C2349" s="238"/>
      <c r="D2349" s="238"/>
      <c r="G2349" s="203"/>
      <c r="M2349" s="199"/>
      <c r="N2349" s="199"/>
      <c r="O2349" s="199"/>
      <c r="P2349" s="199"/>
      <c r="Q2349" s="199"/>
      <c r="R2349" s="199"/>
    </row>
    <row r="2350" spans="2:18">
      <c r="B2350" s="237" t="s">
        <v>2727</v>
      </c>
      <c r="C2350" s="238" t="s">
        <v>402</v>
      </c>
      <c r="D2350" s="238" t="s">
        <v>1981</v>
      </c>
      <c r="E2350" s="201">
        <v>50</v>
      </c>
      <c r="F2350" s="201">
        <f>30/6</f>
        <v>5</v>
      </c>
      <c r="G2350" s="203">
        <v>44538</v>
      </c>
      <c r="M2350" s="199"/>
      <c r="N2350" s="199"/>
      <c r="O2350" s="199"/>
      <c r="P2350" s="199"/>
      <c r="Q2350" s="199"/>
      <c r="R2350" s="199"/>
    </row>
    <row r="2351" spans="2:18">
      <c r="B2351" s="237" t="s">
        <v>2728</v>
      </c>
      <c r="C2351" s="238" t="s">
        <v>402</v>
      </c>
      <c r="D2351" s="238" t="s">
        <v>1981</v>
      </c>
      <c r="E2351" s="201">
        <v>50</v>
      </c>
      <c r="F2351" s="201">
        <f t="shared" ref="F2351:F2354" si="18">30/6</f>
        <v>5</v>
      </c>
      <c r="G2351" s="203">
        <v>44538</v>
      </c>
      <c r="M2351" s="199"/>
      <c r="N2351" s="199"/>
      <c r="O2351" s="199"/>
      <c r="P2351" s="199"/>
      <c r="Q2351" s="199"/>
      <c r="R2351" s="199"/>
    </row>
    <row r="2352" spans="2:18">
      <c r="B2352" s="237"/>
      <c r="C2352" s="238" t="s">
        <v>544</v>
      </c>
      <c r="D2352" s="238" t="s">
        <v>1981</v>
      </c>
      <c r="E2352" s="201">
        <v>12.5</v>
      </c>
      <c r="F2352" s="201">
        <f>+E2352/2</f>
        <v>6.25</v>
      </c>
      <c r="G2352" s="203">
        <v>44306</v>
      </c>
      <c r="M2352" s="199"/>
      <c r="N2352" s="199"/>
      <c r="O2352" s="199"/>
      <c r="P2352" s="199"/>
      <c r="Q2352" s="199"/>
      <c r="R2352" s="199"/>
    </row>
    <row r="2353" spans="2:18">
      <c r="B2353" s="237"/>
      <c r="C2353" s="238" t="s">
        <v>549</v>
      </c>
      <c r="D2353" s="238" t="s">
        <v>1981</v>
      </c>
      <c r="E2353" s="201">
        <v>3.1</v>
      </c>
      <c r="F2353" s="201">
        <v>1</v>
      </c>
      <c r="G2353" s="203">
        <v>43580</v>
      </c>
      <c r="M2353" s="199"/>
      <c r="N2353" s="199"/>
      <c r="O2353" s="199"/>
      <c r="P2353" s="199"/>
      <c r="Q2353" s="199"/>
      <c r="R2353" s="199"/>
    </row>
    <row r="2354" spans="2:18">
      <c r="B2354" s="237" t="s">
        <v>2729</v>
      </c>
      <c r="C2354" s="238" t="s">
        <v>402</v>
      </c>
      <c r="D2354" s="238" t="s">
        <v>1981</v>
      </c>
      <c r="E2354" s="201">
        <v>50</v>
      </c>
      <c r="F2354" s="201">
        <f t="shared" si="18"/>
        <v>5</v>
      </c>
      <c r="G2354" s="203">
        <v>44538</v>
      </c>
      <c r="M2354" s="199"/>
      <c r="N2354" s="199"/>
      <c r="O2354" s="199"/>
      <c r="P2354" s="199"/>
      <c r="Q2354" s="199"/>
      <c r="R2354" s="199"/>
    </row>
    <row r="2355" spans="2:18">
      <c r="B2355" s="237"/>
      <c r="C2355" s="238" t="s">
        <v>549</v>
      </c>
      <c r="D2355" s="238" t="s">
        <v>1981</v>
      </c>
      <c r="E2355" s="201">
        <v>3.1</v>
      </c>
      <c r="F2355" s="201">
        <v>1</v>
      </c>
      <c r="G2355" s="203">
        <v>43580</v>
      </c>
      <c r="M2355" s="199"/>
      <c r="N2355" s="199"/>
      <c r="O2355" s="199"/>
      <c r="P2355" s="199"/>
      <c r="Q2355" s="199"/>
      <c r="R2355" s="199"/>
    </row>
    <row r="2356" spans="2:18">
      <c r="B2356" s="237"/>
      <c r="C2356" s="238"/>
      <c r="D2356" s="238"/>
      <c r="G2356" s="203"/>
      <c r="M2356" s="199"/>
      <c r="N2356" s="199"/>
      <c r="O2356" s="199"/>
      <c r="P2356" s="199"/>
      <c r="Q2356" s="199"/>
      <c r="R2356" s="199"/>
    </row>
    <row r="2357" spans="2:18">
      <c r="B2357" s="239"/>
      <c r="C2357" s="240"/>
      <c r="D2357" s="240"/>
      <c r="G2357" s="203"/>
      <c r="I2357" s="212"/>
      <c r="M2357" s="199"/>
      <c r="N2357" s="199"/>
      <c r="O2357" s="199"/>
      <c r="P2357" s="199"/>
      <c r="Q2357" s="199"/>
      <c r="R2357" s="199"/>
    </row>
    <row r="2358" spans="2:18">
      <c r="B2358" s="241" t="s">
        <v>2779</v>
      </c>
      <c r="C2358" s="240" t="s">
        <v>402</v>
      </c>
      <c r="D2358" s="240" t="s">
        <v>2777</v>
      </c>
      <c r="E2358" s="201">
        <v>37</v>
      </c>
      <c r="F2358" s="201">
        <v>4</v>
      </c>
      <c r="G2358" s="203">
        <v>44860</v>
      </c>
      <c r="M2358" s="199"/>
      <c r="N2358" s="199"/>
      <c r="O2358" s="199"/>
      <c r="P2358" s="199"/>
      <c r="Q2358" s="199"/>
      <c r="R2358" s="199"/>
    </row>
    <row r="2359" spans="2:18">
      <c r="B2359" s="241"/>
      <c r="C2359" s="240" t="s">
        <v>402</v>
      </c>
      <c r="D2359" s="240" t="s">
        <v>2777</v>
      </c>
      <c r="E2359" s="201">
        <v>80</v>
      </c>
      <c r="F2359" s="201">
        <v>10</v>
      </c>
      <c r="G2359" s="203">
        <v>44327</v>
      </c>
      <c r="M2359" s="199"/>
      <c r="N2359" s="199"/>
      <c r="O2359" s="199"/>
      <c r="P2359" s="199"/>
      <c r="Q2359" s="199"/>
      <c r="R2359" s="199"/>
    </row>
    <row r="2360" spans="2:18">
      <c r="B2360" s="241"/>
      <c r="C2360" s="240" t="s">
        <v>544</v>
      </c>
      <c r="D2360" s="240" t="s">
        <v>2777</v>
      </c>
      <c r="E2360" s="201">
        <v>30</v>
      </c>
      <c r="F2360" s="201">
        <v>6.666666666666667</v>
      </c>
      <c r="G2360" s="203">
        <v>43963</v>
      </c>
      <c r="M2360" s="199"/>
      <c r="N2360" s="199"/>
      <c r="O2360" s="199"/>
      <c r="P2360" s="199"/>
      <c r="Q2360" s="199"/>
      <c r="R2360" s="199"/>
    </row>
    <row r="2361" spans="2:18">
      <c r="B2361" s="239" t="s">
        <v>2781</v>
      </c>
      <c r="C2361" s="240" t="s">
        <v>402</v>
      </c>
      <c r="D2361" s="240" t="s">
        <v>2777</v>
      </c>
      <c r="E2361" s="201">
        <v>37</v>
      </c>
      <c r="F2361" s="201">
        <v>4</v>
      </c>
      <c r="G2361" s="203">
        <v>44860</v>
      </c>
      <c r="M2361" s="199"/>
      <c r="N2361" s="199"/>
      <c r="O2361" s="199"/>
      <c r="P2361" s="199"/>
      <c r="Q2361" s="199"/>
      <c r="R2361" s="199"/>
    </row>
    <row r="2362" spans="2:18">
      <c r="B2362" s="239" t="s">
        <v>2782</v>
      </c>
      <c r="C2362" s="240" t="s">
        <v>402</v>
      </c>
      <c r="D2362" s="240" t="s">
        <v>2777</v>
      </c>
      <c r="E2362" s="201">
        <v>80</v>
      </c>
      <c r="F2362" s="201">
        <v>10</v>
      </c>
      <c r="G2362" s="203">
        <v>44327</v>
      </c>
      <c r="M2362" s="199"/>
      <c r="N2362" s="199"/>
      <c r="O2362" s="199"/>
      <c r="P2362" s="199"/>
      <c r="Q2362" s="199"/>
      <c r="R2362" s="199"/>
    </row>
    <row r="2363" spans="2:18">
      <c r="B2363" s="239" t="s">
        <v>2783</v>
      </c>
      <c r="C2363" s="240" t="s">
        <v>402</v>
      </c>
      <c r="D2363" s="240" t="s">
        <v>2777</v>
      </c>
      <c r="E2363" s="201">
        <v>80</v>
      </c>
      <c r="F2363" s="201">
        <v>10</v>
      </c>
      <c r="G2363" s="203">
        <v>44327</v>
      </c>
      <c r="M2363" s="199"/>
      <c r="N2363" s="199"/>
      <c r="O2363" s="199"/>
      <c r="P2363" s="199"/>
      <c r="Q2363" s="199"/>
      <c r="R2363" s="199"/>
    </row>
    <row r="2364" spans="2:18">
      <c r="B2364" s="239"/>
      <c r="C2364" s="240"/>
      <c r="D2364" s="240"/>
      <c r="G2364" s="203"/>
      <c r="M2364" s="199"/>
      <c r="N2364" s="199"/>
      <c r="O2364" s="199"/>
      <c r="P2364" s="199"/>
      <c r="Q2364" s="199"/>
      <c r="R2364" s="199"/>
    </row>
    <row r="2365" spans="2:18">
      <c r="B2365" s="239" t="s">
        <v>2800</v>
      </c>
      <c r="C2365" s="240" t="s">
        <v>755</v>
      </c>
      <c r="D2365" s="240" t="s">
        <v>2797</v>
      </c>
      <c r="E2365" s="201">
        <v>140</v>
      </c>
      <c r="F2365" s="201">
        <v>10</v>
      </c>
      <c r="G2365" s="203">
        <v>44286</v>
      </c>
      <c r="M2365" s="199"/>
      <c r="N2365" s="199"/>
      <c r="O2365" s="199"/>
      <c r="P2365" s="199"/>
      <c r="Q2365" s="199"/>
      <c r="R2365" s="199"/>
    </row>
    <row r="2366" spans="2:18">
      <c r="B2366" s="239"/>
      <c r="C2366" s="240" t="s">
        <v>565</v>
      </c>
      <c r="D2366" s="240" t="s">
        <v>2797</v>
      </c>
      <c r="E2366" s="201">
        <v>110</v>
      </c>
      <c r="F2366" s="201">
        <v>10</v>
      </c>
      <c r="G2366" s="203">
        <v>43690</v>
      </c>
      <c r="M2366" s="199"/>
      <c r="N2366" s="199"/>
      <c r="O2366" s="199"/>
      <c r="P2366" s="199"/>
      <c r="Q2366" s="199"/>
      <c r="R2366" s="199"/>
    </row>
    <row r="2367" spans="2:18">
      <c r="B2367" s="239" t="s">
        <v>2801</v>
      </c>
      <c r="C2367" s="240" t="s">
        <v>755</v>
      </c>
      <c r="D2367" s="240" t="s">
        <v>2797</v>
      </c>
      <c r="E2367" s="201">
        <v>140</v>
      </c>
      <c r="F2367" s="201">
        <v>10</v>
      </c>
      <c r="G2367" s="203">
        <v>44286</v>
      </c>
      <c r="M2367" s="199"/>
      <c r="N2367" s="199"/>
      <c r="O2367" s="199"/>
      <c r="P2367" s="199"/>
      <c r="Q2367" s="199"/>
      <c r="R2367" s="199"/>
    </row>
    <row r="2368" spans="2:18">
      <c r="B2368" s="239"/>
      <c r="C2368" s="274" t="s">
        <v>544</v>
      </c>
      <c r="D2368" s="274" t="s">
        <v>1824</v>
      </c>
      <c r="E2368" s="201">
        <v>14</v>
      </c>
      <c r="F2368" s="201">
        <v>4</v>
      </c>
      <c r="G2368" s="203">
        <v>42668</v>
      </c>
      <c r="M2368" s="199"/>
      <c r="N2368" s="199"/>
      <c r="O2368" s="199"/>
      <c r="P2368" s="199"/>
      <c r="Q2368" s="199"/>
      <c r="R2368" s="199"/>
    </row>
    <row r="2369" spans="2:18">
      <c r="B2369" s="239"/>
      <c r="C2369" s="274" t="s">
        <v>549</v>
      </c>
      <c r="D2369" s="274" t="s">
        <v>1824</v>
      </c>
      <c r="E2369" s="201">
        <v>4</v>
      </c>
      <c r="F2369" s="201">
        <v>1.5</v>
      </c>
      <c r="G2369" s="277">
        <v>42023</v>
      </c>
      <c r="M2369" s="199"/>
      <c r="N2369" s="199"/>
      <c r="O2369" s="199"/>
      <c r="P2369" s="199"/>
      <c r="Q2369" s="199"/>
      <c r="R2369" s="199"/>
    </row>
    <row r="2370" spans="2:18">
      <c r="B2370" s="239" t="s">
        <v>2802</v>
      </c>
      <c r="C2370" s="240" t="s">
        <v>755</v>
      </c>
      <c r="D2370" s="240" t="s">
        <v>2797</v>
      </c>
      <c r="E2370" s="201">
        <v>140</v>
      </c>
      <c r="F2370" s="201">
        <v>10</v>
      </c>
      <c r="G2370" s="203">
        <v>44286</v>
      </c>
      <c r="M2370" s="199"/>
      <c r="N2370" s="199"/>
      <c r="O2370" s="199"/>
      <c r="P2370" s="199"/>
      <c r="Q2370" s="199"/>
      <c r="R2370" s="199"/>
    </row>
    <row r="2371" spans="2:18">
      <c r="B2371" s="239" t="s">
        <v>2803</v>
      </c>
      <c r="C2371" s="240" t="s">
        <v>755</v>
      </c>
      <c r="D2371" s="240" t="s">
        <v>2797</v>
      </c>
      <c r="E2371" s="201">
        <v>140</v>
      </c>
      <c r="F2371" s="201">
        <v>10</v>
      </c>
      <c r="G2371" s="203">
        <v>44286</v>
      </c>
      <c r="M2371" s="199"/>
      <c r="N2371" s="199"/>
      <c r="O2371" s="199"/>
      <c r="P2371" s="199"/>
      <c r="Q2371" s="199"/>
      <c r="R2371" s="199"/>
    </row>
    <row r="2372" spans="2:18">
      <c r="B2372" s="239"/>
      <c r="C2372" s="240" t="s">
        <v>565</v>
      </c>
      <c r="D2372" s="240" t="s">
        <v>2797</v>
      </c>
      <c r="E2372" s="201">
        <v>110</v>
      </c>
      <c r="F2372" s="201">
        <v>20</v>
      </c>
      <c r="G2372" s="203">
        <v>43690</v>
      </c>
      <c r="M2372" s="199"/>
      <c r="N2372" s="199"/>
      <c r="O2372" s="199"/>
      <c r="P2372" s="199"/>
      <c r="Q2372" s="199"/>
      <c r="R2372" s="199"/>
    </row>
    <row r="2373" spans="2:18">
      <c r="B2373" s="239" t="s">
        <v>2804</v>
      </c>
      <c r="C2373" s="240" t="s">
        <v>755</v>
      </c>
      <c r="D2373" s="240" t="s">
        <v>2797</v>
      </c>
      <c r="E2373" s="201">
        <v>140</v>
      </c>
      <c r="F2373" s="201">
        <v>10</v>
      </c>
      <c r="G2373" s="203">
        <v>44286</v>
      </c>
      <c r="M2373" s="199"/>
      <c r="N2373" s="199"/>
      <c r="O2373" s="199"/>
      <c r="P2373" s="199"/>
      <c r="Q2373" s="199"/>
      <c r="R2373" s="199"/>
    </row>
    <row r="2374" spans="2:18">
      <c r="B2374" s="239"/>
      <c r="C2374" s="240" t="s">
        <v>565</v>
      </c>
      <c r="D2374" s="240" t="s">
        <v>2797</v>
      </c>
      <c r="E2374" s="201">
        <v>110</v>
      </c>
      <c r="F2374" s="201">
        <v>20</v>
      </c>
      <c r="G2374" s="203">
        <v>43690</v>
      </c>
      <c r="M2374" s="199"/>
      <c r="N2374" s="199"/>
      <c r="O2374" s="199"/>
      <c r="P2374" s="199"/>
      <c r="Q2374" s="199"/>
      <c r="R2374" s="199"/>
    </row>
    <row r="2375" spans="2:18">
      <c r="B2375" s="239"/>
      <c r="C2375" s="240"/>
      <c r="D2375" s="240"/>
      <c r="G2375" s="203"/>
      <c r="M2375" s="199"/>
      <c r="N2375" s="199"/>
      <c r="O2375" s="199"/>
      <c r="P2375" s="199"/>
      <c r="Q2375" s="199"/>
      <c r="R2375" s="199"/>
    </row>
    <row r="2376" spans="2:18">
      <c r="B2376" s="239" t="s">
        <v>2806</v>
      </c>
      <c r="C2376" s="240" t="s">
        <v>755</v>
      </c>
      <c r="D2376" s="240" t="s">
        <v>2797</v>
      </c>
      <c r="E2376" s="201">
        <v>140</v>
      </c>
      <c r="F2376" s="201">
        <v>10</v>
      </c>
      <c r="G2376" s="203">
        <v>44286</v>
      </c>
      <c r="M2376" s="199"/>
      <c r="N2376" s="199"/>
      <c r="O2376" s="199"/>
      <c r="P2376" s="199"/>
      <c r="Q2376" s="199"/>
      <c r="R2376" s="199"/>
    </row>
    <row r="2377" spans="2:18">
      <c r="B2377" s="239"/>
      <c r="C2377" s="240" t="s">
        <v>565</v>
      </c>
      <c r="D2377" s="240" t="s">
        <v>2797</v>
      </c>
      <c r="E2377" s="201">
        <v>110</v>
      </c>
      <c r="F2377" s="201">
        <v>10</v>
      </c>
      <c r="G2377" s="203">
        <v>43690</v>
      </c>
      <c r="M2377" s="199"/>
      <c r="N2377" s="199"/>
      <c r="O2377" s="199"/>
      <c r="P2377" s="199"/>
      <c r="Q2377" s="199"/>
      <c r="R2377" s="199"/>
    </row>
    <row r="2378" spans="2:18">
      <c r="B2378" s="239"/>
      <c r="C2378" s="240" t="s">
        <v>544</v>
      </c>
      <c r="D2378" s="240" t="s">
        <v>2797</v>
      </c>
      <c r="E2378" s="201">
        <v>5.5</v>
      </c>
      <c r="F2378" s="201">
        <v>4.5</v>
      </c>
      <c r="G2378" s="203">
        <v>42156</v>
      </c>
      <c r="M2378" s="199"/>
      <c r="N2378" s="199"/>
      <c r="O2378" s="199"/>
      <c r="P2378" s="199"/>
      <c r="Q2378" s="199"/>
      <c r="R2378" s="199"/>
    </row>
    <row r="2379" spans="2:18">
      <c r="B2379" s="239" t="s">
        <v>2807</v>
      </c>
      <c r="C2379" s="240" t="s">
        <v>565</v>
      </c>
      <c r="D2379" s="240" t="s">
        <v>2797</v>
      </c>
      <c r="E2379" s="201">
        <v>110</v>
      </c>
      <c r="F2379" s="201">
        <v>20</v>
      </c>
      <c r="G2379" s="203">
        <v>43690</v>
      </c>
      <c r="M2379" s="199"/>
      <c r="N2379" s="199"/>
      <c r="O2379" s="199"/>
      <c r="P2379" s="199"/>
      <c r="Q2379" s="199"/>
      <c r="R2379" s="199"/>
    </row>
    <row r="2380" spans="2:18">
      <c r="B2380" s="239" t="s">
        <v>2808</v>
      </c>
      <c r="C2380" s="240" t="s">
        <v>565</v>
      </c>
      <c r="D2380" s="240" t="s">
        <v>2797</v>
      </c>
      <c r="E2380" s="201">
        <v>110</v>
      </c>
      <c r="F2380" s="201">
        <v>10</v>
      </c>
      <c r="G2380" s="203">
        <v>43690</v>
      </c>
      <c r="M2380" s="199"/>
      <c r="N2380" s="199"/>
      <c r="O2380" s="199"/>
      <c r="P2380" s="199"/>
      <c r="Q2380" s="199"/>
      <c r="R2380" s="199"/>
    </row>
    <row r="2381" spans="2:18">
      <c r="B2381" s="239" t="s">
        <v>2809</v>
      </c>
      <c r="C2381" s="240" t="s">
        <v>402</v>
      </c>
      <c r="D2381" s="240" t="s">
        <v>2797</v>
      </c>
      <c r="E2381" s="201">
        <v>9.4</v>
      </c>
      <c r="F2381" s="201">
        <f>E2381/2</f>
        <v>4.7</v>
      </c>
      <c r="G2381" s="203">
        <v>42968</v>
      </c>
      <c r="M2381" s="199"/>
      <c r="N2381" s="199"/>
      <c r="O2381" s="199"/>
      <c r="P2381" s="199"/>
      <c r="Q2381" s="199"/>
      <c r="R2381" s="199"/>
    </row>
    <row r="2382" spans="2:18">
      <c r="B2382" s="239" t="s">
        <v>2810</v>
      </c>
      <c r="C2382" s="240" t="s">
        <v>402</v>
      </c>
      <c r="D2382" s="240" t="s">
        <v>2797</v>
      </c>
      <c r="E2382" s="201">
        <v>9.4</v>
      </c>
      <c r="F2382" s="201">
        <f>E2382/2</f>
        <v>4.7</v>
      </c>
      <c r="G2382" s="203">
        <v>42968</v>
      </c>
      <c r="M2382" s="199"/>
      <c r="N2382" s="199"/>
      <c r="O2382" s="199"/>
      <c r="P2382" s="199"/>
      <c r="Q2382" s="199"/>
      <c r="R2382" s="199"/>
    </row>
    <row r="2383" spans="2:18">
      <c r="B2383" s="239" t="s">
        <v>2811</v>
      </c>
      <c r="C2383" s="240" t="s">
        <v>544</v>
      </c>
      <c r="D2383" s="240" t="s">
        <v>2797</v>
      </c>
      <c r="E2383" s="201">
        <v>5.5</v>
      </c>
      <c r="F2383" s="201">
        <v>1</v>
      </c>
      <c r="G2383" s="203">
        <v>42156</v>
      </c>
      <c r="M2383" s="199"/>
      <c r="N2383" s="199"/>
      <c r="O2383" s="199"/>
      <c r="P2383" s="199"/>
      <c r="Q2383" s="199"/>
      <c r="R2383" s="199"/>
    </row>
    <row r="2384" spans="2:18">
      <c r="C2384" s="240" t="s">
        <v>549</v>
      </c>
      <c r="D2384" s="240" t="s">
        <v>2797</v>
      </c>
      <c r="E2384" s="201">
        <v>0.71</v>
      </c>
      <c r="F2384" s="201">
        <f>+E2384/2</f>
        <v>0.35499999999999998</v>
      </c>
      <c r="G2384" s="203">
        <v>41730</v>
      </c>
      <c r="M2384" s="199"/>
      <c r="N2384" s="199"/>
      <c r="O2384" s="199"/>
      <c r="P2384" s="199"/>
      <c r="Q2384" s="199"/>
      <c r="R2384" s="199"/>
    </row>
    <row r="2385" spans="2:18">
      <c r="B2385" s="239" t="s">
        <v>2812</v>
      </c>
      <c r="C2385" s="240" t="s">
        <v>549</v>
      </c>
      <c r="D2385" s="240" t="s">
        <v>2797</v>
      </c>
      <c r="E2385" s="201">
        <v>0.71</v>
      </c>
      <c r="F2385" s="201">
        <f t="shared" ref="F2385" si="19">+E2385/2</f>
        <v>0.35499999999999998</v>
      </c>
      <c r="G2385" s="203">
        <v>41730</v>
      </c>
      <c r="M2385" s="199"/>
      <c r="N2385" s="199"/>
      <c r="O2385" s="199"/>
      <c r="P2385" s="199"/>
      <c r="Q2385" s="199"/>
      <c r="R2385" s="199"/>
    </row>
    <row r="2386" spans="2:18">
      <c r="B2386" s="242" t="s">
        <v>2842</v>
      </c>
      <c r="C2386" s="243" t="s">
        <v>544</v>
      </c>
      <c r="D2386" s="243" t="s">
        <v>1461</v>
      </c>
      <c r="E2386" s="201">
        <v>86</v>
      </c>
      <c r="F2386" s="201">
        <v>10</v>
      </c>
      <c r="G2386" s="203">
        <v>44488</v>
      </c>
      <c r="M2386" s="199"/>
      <c r="N2386" s="199"/>
      <c r="O2386" s="199"/>
      <c r="P2386" s="199"/>
      <c r="Q2386" s="199"/>
      <c r="R2386" s="199"/>
    </row>
    <row r="2387" spans="2:18">
      <c r="B2387" s="242" t="s">
        <v>2843</v>
      </c>
      <c r="C2387" s="243" t="s">
        <v>544</v>
      </c>
      <c r="D2387" s="243" t="s">
        <v>1461</v>
      </c>
      <c r="E2387" s="201">
        <v>86</v>
      </c>
      <c r="F2387" s="201">
        <v>10</v>
      </c>
      <c r="G2387" s="203">
        <v>44488</v>
      </c>
      <c r="M2387" s="199"/>
      <c r="N2387" s="199"/>
      <c r="O2387" s="199"/>
      <c r="P2387" s="199"/>
      <c r="Q2387" s="199"/>
      <c r="R2387" s="199"/>
    </row>
    <row r="2388" spans="2:18">
      <c r="B2388" s="242"/>
      <c r="C2388" s="243" t="s">
        <v>549</v>
      </c>
      <c r="D2388" s="243" t="s">
        <v>1461</v>
      </c>
      <c r="E2388" s="201">
        <v>8.5</v>
      </c>
      <c r="F2388" s="201">
        <v>1</v>
      </c>
      <c r="G2388" s="203">
        <v>43796</v>
      </c>
      <c r="M2388" s="199"/>
      <c r="N2388" s="199"/>
      <c r="O2388" s="199"/>
      <c r="P2388" s="199"/>
      <c r="Q2388" s="199"/>
      <c r="R2388" s="199"/>
    </row>
    <row r="2389" spans="2:18">
      <c r="B2389" s="242"/>
      <c r="C2389" s="243" t="s">
        <v>549</v>
      </c>
      <c r="D2389" s="243" t="s">
        <v>1461</v>
      </c>
      <c r="E2389" s="201">
        <v>0.75</v>
      </c>
      <c r="F2389" s="201">
        <f>+E2389/2</f>
        <v>0.375</v>
      </c>
      <c r="G2389" s="203">
        <v>43166</v>
      </c>
      <c r="M2389" s="199"/>
      <c r="N2389" s="199"/>
      <c r="O2389" s="199"/>
      <c r="P2389" s="199"/>
      <c r="Q2389" s="199"/>
      <c r="R2389" s="199"/>
    </row>
    <row r="2390" spans="2:18">
      <c r="B2390" s="242" t="s">
        <v>2844</v>
      </c>
      <c r="C2390" s="243" t="s">
        <v>544</v>
      </c>
      <c r="D2390" s="243" t="s">
        <v>1461</v>
      </c>
      <c r="E2390" s="201">
        <v>86</v>
      </c>
      <c r="F2390" s="201">
        <v>10</v>
      </c>
      <c r="G2390" s="203">
        <v>44488</v>
      </c>
      <c r="M2390" s="199"/>
      <c r="N2390" s="199"/>
      <c r="O2390" s="199"/>
      <c r="P2390" s="199"/>
      <c r="Q2390" s="199"/>
      <c r="R2390" s="199"/>
    </row>
    <row r="2391" spans="2:18">
      <c r="B2391" s="242"/>
      <c r="C2391" s="243"/>
      <c r="D2391" s="243"/>
      <c r="G2391" s="203"/>
      <c r="M2391" s="199"/>
      <c r="N2391" s="199"/>
      <c r="O2391" s="199"/>
      <c r="P2391" s="199"/>
      <c r="Q2391" s="199"/>
      <c r="R2391" s="199"/>
    </row>
    <row r="2392" spans="2:18">
      <c r="B2392" s="242" t="s">
        <v>2846</v>
      </c>
      <c r="C2392" s="243" t="s">
        <v>549</v>
      </c>
      <c r="D2392" s="243" t="s">
        <v>1461</v>
      </c>
      <c r="E2392" s="201">
        <v>8.5</v>
      </c>
      <c r="F2392" s="201">
        <v>1</v>
      </c>
      <c r="G2392" s="203">
        <v>43796</v>
      </c>
      <c r="M2392" s="199"/>
      <c r="N2392" s="199"/>
      <c r="O2392" s="199"/>
      <c r="P2392" s="199"/>
      <c r="Q2392" s="199"/>
      <c r="R2392" s="199"/>
    </row>
    <row r="2393" spans="2:18">
      <c r="B2393" s="242"/>
      <c r="C2393" s="272" t="s">
        <v>669</v>
      </c>
      <c r="D2393" s="272" t="s">
        <v>1785</v>
      </c>
      <c r="E2393" s="201">
        <v>0.2</v>
      </c>
      <c r="F2393" s="201">
        <v>0.1</v>
      </c>
      <c r="G2393" s="203">
        <v>44054</v>
      </c>
      <c r="M2393" s="199"/>
      <c r="N2393" s="199"/>
      <c r="O2393" s="199"/>
      <c r="P2393" s="199"/>
      <c r="Q2393" s="199"/>
      <c r="R2393" s="199"/>
    </row>
    <row r="2394" spans="2:18">
      <c r="B2394" s="242"/>
      <c r="C2394" s="243"/>
      <c r="D2394" s="243"/>
      <c r="G2394" s="203"/>
      <c r="M2394" s="199"/>
      <c r="N2394" s="199"/>
      <c r="O2394" s="199"/>
      <c r="P2394" s="199"/>
      <c r="Q2394" s="199"/>
      <c r="R2394" s="199"/>
    </row>
    <row r="2395" spans="2:18">
      <c r="B2395" s="244" t="s">
        <v>2854</v>
      </c>
      <c r="C2395" s="245" t="s">
        <v>565</v>
      </c>
      <c r="D2395" s="245" t="s">
        <v>2853</v>
      </c>
      <c r="E2395" s="201">
        <v>130</v>
      </c>
      <c r="F2395" s="201">
        <f>100/7</f>
        <v>14.285714285714286</v>
      </c>
      <c r="G2395" s="203">
        <v>44323</v>
      </c>
      <c r="M2395" s="199"/>
      <c r="N2395" s="199"/>
      <c r="O2395" s="199"/>
      <c r="P2395" s="199"/>
      <c r="Q2395" s="199"/>
      <c r="R2395" s="199"/>
    </row>
    <row r="2396" spans="2:18">
      <c r="B2396" s="244"/>
      <c r="C2396" s="245" t="s">
        <v>402</v>
      </c>
      <c r="D2396" s="245" t="s">
        <v>2853</v>
      </c>
      <c r="E2396" s="201">
        <v>44</v>
      </c>
      <c r="F2396" s="201">
        <f>30/6</f>
        <v>5</v>
      </c>
      <c r="G2396" s="203">
        <v>43909</v>
      </c>
      <c r="M2396" s="199"/>
      <c r="N2396" s="199"/>
      <c r="O2396" s="199"/>
      <c r="P2396" s="199"/>
      <c r="Q2396" s="199"/>
      <c r="R2396" s="199"/>
    </row>
    <row r="2397" spans="2:18">
      <c r="B2397" s="244"/>
      <c r="C2397" s="245" t="s">
        <v>544</v>
      </c>
      <c r="D2397" s="245" t="s">
        <v>2853</v>
      </c>
      <c r="E2397" s="201">
        <v>15</v>
      </c>
      <c r="F2397" s="201">
        <v>3</v>
      </c>
      <c r="G2397" s="203">
        <v>43452</v>
      </c>
      <c r="M2397" s="199"/>
      <c r="N2397" s="199"/>
      <c r="O2397" s="199"/>
      <c r="P2397" s="199"/>
      <c r="Q2397" s="199"/>
      <c r="R2397" s="199"/>
    </row>
    <row r="2398" spans="2:18">
      <c r="B2398" s="244"/>
      <c r="C2398" s="245" t="s">
        <v>549</v>
      </c>
      <c r="D2398" s="245" t="s">
        <v>2853</v>
      </c>
      <c r="E2398" s="201">
        <v>2.5</v>
      </c>
      <c r="F2398" s="201">
        <v>0.5</v>
      </c>
      <c r="G2398" s="203">
        <v>42936</v>
      </c>
      <c r="M2398" s="199"/>
      <c r="N2398" s="199"/>
      <c r="O2398" s="199"/>
      <c r="P2398" s="199"/>
      <c r="Q2398" s="199"/>
      <c r="R2398" s="199"/>
    </row>
    <row r="2399" spans="2:18">
      <c r="B2399" s="244" t="s">
        <v>2855</v>
      </c>
      <c r="C2399" s="245" t="s">
        <v>565</v>
      </c>
      <c r="D2399" s="245" t="s">
        <v>2853</v>
      </c>
      <c r="E2399" s="201">
        <v>130</v>
      </c>
      <c r="F2399" s="201">
        <f>100/7</f>
        <v>14.285714285714286</v>
      </c>
      <c r="G2399" s="203">
        <v>44323</v>
      </c>
      <c r="M2399" s="199"/>
      <c r="N2399" s="199"/>
      <c r="O2399" s="199"/>
      <c r="P2399" s="199"/>
      <c r="Q2399" s="199"/>
      <c r="R2399" s="199"/>
    </row>
    <row r="2400" spans="2:18">
      <c r="B2400" s="244"/>
      <c r="C2400" s="245" t="s">
        <v>544</v>
      </c>
      <c r="D2400" s="245" t="s">
        <v>2853</v>
      </c>
      <c r="E2400" s="201">
        <v>15</v>
      </c>
      <c r="F2400" s="201">
        <v>3</v>
      </c>
      <c r="G2400" s="203">
        <v>43452</v>
      </c>
      <c r="M2400" s="199"/>
      <c r="N2400" s="199"/>
      <c r="O2400" s="199"/>
      <c r="P2400" s="199"/>
      <c r="Q2400" s="199"/>
      <c r="R2400" s="199"/>
    </row>
    <row r="2401" spans="2:18">
      <c r="B2401" s="244" t="s">
        <v>2856</v>
      </c>
      <c r="C2401" s="245" t="s">
        <v>565</v>
      </c>
      <c r="D2401" s="245" t="s">
        <v>2853</v>
      </c>
      <c r="E2401" s="201">
        <v>130</v>
      </c>
      <c r="F2401" s="201">
        <f t="shared" ref="F2401" si="20">100/7</f>
        <v>14.285714285714286</v>
      </c>
      <c r="G2401" s="203">
        <v>44323</v>
      </c>
      <c r="M2401" s="199"/>
      <c r="N2401" s="199"/>
      <c r="O2401" s="199"/>
      <c r="P2401" s="199"/>
      <c r="Q2401" s="199"/>
      <c r="R2401" s="199"/>
    </row>
    <row r="2402" spans="2:18">
      <c r="B2402" s="244"/>
      <c r="C2402" s="245" t="s">
        <v>402</v>
      </c>
      <c r="D2402" s="245" t="s">
        <v>2853</v>
      </c>
      <c r="E2402" s="201">
        <v>44</v>
      </c>
      <c r="F2402" s="201">
        <f>30/6</f>
        <v>5</v>
      </c>
      <c r="G2402" s="203">
        <v>43909</v>
      </c>
      <c r="M2402" s="199"/>
      <c r="N2402" s="199"/>
      <c r="O2402" s="199"/>
      <c r="P2402" s="199"/>
      <c r="Q2402" s="199"/>
      <c r="R2402" s="199"/>
    </row>
    <row r="2403" spans="2:18">
      <c r="B2403" s="244"/>
      <c r="C2403" s="245" t="s">
        <v>544</v>
      </c>
      <c r="D2403" s="245" t="s">
        <v>2853</v>
      </c>
      <c r="E2403" s="201">
        <v>15</v>
      </c>
      <c r="F2403" s="201">
        <v>3</v>
      </c>
      <c r="G2403" s="203">
        <v>43452</v>
      </c>
      <c r="M2403" s="199"/>
      <c r="N2403" s="199"/>
      <c r="O2403" s="199"/>
      <c r="P2403" s="199"/>
      <c r="Q2403" s="199"/>
      <c r="R2403" s="199"/>
    </row>
    <row r="2404" spans="2:18">
      <c r="B2404" s="244" t="s">
        <v>2857</v>
      </c>
      <c r="C2404" s="245" t="s">
        <v>402</v>
      </c>
      <c r="D2404" s="245" t="s">
        <v>2853</v>
      </c>
      <c r="E2404" s="201">
        <v>44</v>
      </c>
      <c r="F2404" s="201">
        <f>30/6</f>
        <v>5</v>
      </c>
      <c r="G2404" s="203">
        <v>43909</v>
      </c>
      <c r="M2404" s="199"/>
      <c r="N2404" s="199"/>
      <c r="O2404" s="199"/>
      <c r="P2404" s="199"/>
      <c r="Q2404" s="199"/>
      <c r="R2404" s="199"/>
    </row>
    <row r="2405" spans="2:18">
      <c r="B2405" s="244" t="s">
        <v>2858</v>
      </c>
      <c r="C2405" s="245" t="s">
        <v>402</v>
      </c>
      <c r="D2405" s="245" t="s">
        <v>2853</v>
      </c>
      <c r="E2405" s="201">
        <v>44</v>
      </c>
      <c r="F2405" s="201">
        <f>30/6</f>
        <v>5</v>
      </c>
      <c r="G2405" s="203">
        <v>43909</v>
      </c>
      <c r="M2405" s="199"/>
      <c r="N2405" s="199"/>
      <c r="O2405" s="199"/>
      <c r="P2405" s="199"/>
      <c r="Q2405" s="199"/>
      <c r="R2405" s="199"/>
    </row>
    <row r="2406" spans="2:18">
      <c r="C2406" s="245" t="s">
        <v>544</v>
      </c>
      <c r="D2406" s="245" t="s">
        <v>2853</v>
      </c>
      <c r="E2406" s="201">
        <v>15</v>
      </c>
      <c r="F2406" s="201">
        <v>3</v>
      </c>
      <c r="G2406" s="203">
        <v>43452</v>
      </c>
      <c r="M2406" s="199"/>
      <c r="N2406" s="199"/>
      <c r="O2406" s="199"/>
      <c r="P2406" s="199"/>
      <c r="Q2406" s="199"/>
      <c r="R2406" s="199"/>
    </row>
    <row r="2407" spans="2:18">
      <c r="B2407" s="244" t="s">
        <v>2861</v>
      </c>
      <c r="C2407" s="245" t="s">
        <v>549</v>
      </c>
      <c r="D2407" s="245" t="s">
        <v>2853</v>
      </c>
      <c r="E2407" s="201">
        <v>2.5</v>
      </c>
      <c r="F2407" s="201">
        <v>0.5</v>
      </c>
      <c r="G2407" s="203">
        <v>42936</v>
      </c>
      <c r="M2407" s="199"/>
      <c r="N2407" s="199"/>
      <c r="O2407" s="199"/>
      <c r="P2407" s="199"/>
      <c r="Q2407" s="199"/>
      <c r="R2407" s="199"/>
    </row>
    <row r="2408" spans="2:18">
      <c r="B2408" s="246" t="s">
        <v>3014</v>
      </c>
      <c r="C2408" s="247" t="s">
        <v>402</v>
      </c>
      <c r="D2408" s="247" t="s">
        <v>3009</v>
      </c>
      <c r="E2408" s="201">
        <v>120</v>
      </c>
      <c r="F2408" s="201">
        <v>30</v>
      </c>
      <c r="G2408" s="203">
        <v>44602</v>
      </c>
      <c r="M2408" s="199"/>
      <c r="N2408" s="199"/>
      <c r="O2408" s="199"/>
      <c r="P2408" s="199"/>
      <c r="Q2408" s="199"/>
      <c r="R2408" s="199"/>
    </row>
    <row r="2409" spans="2:18">
      <c r="B2409" s="246" t="s">
        <v>3015</v>
      </c>
      <c r="C2409" s="247" t="s">
        <v>402</v>
      </c>
      <c r="D2409" s="247" t="s">
        <v>3009</v>
      </c>
      <c r="E2409" s="201">
        <v>120</v>
      </c>
      <c r="F2409" s="201">
        <f>90/8</f>
        <v>11.25</v>
      </c>
      <c r="G2409" s="203">
        <v>44602</v>
      </c>
      <c r="M2409" s="199"/>
      <c r="N2409" s="199"/>
      <c r="O2409" s="199"/>
      <c r="P2409" s="199"/>
      <c r="Q2409" s="199"/>
      <c r="R2409" s="199"/>
    </row>
    <row r="2410" spans="2:18">
      <c r="B2410" s="246" t="s">
        <v>3016</v>
      </c>
      <c r="C2410" s="247" t="s">
        <v>402</v>
      </c>
      <c r="D2410" s="247" t="s">
        <v>3009</v>
      </c>
      <c r="E2410" s="201">
        <v>120</v>
      </c>
      <c r="F2410" s="201">
        <f t="shared" si="4"/>
        <v>11.25</v>
      </c>
      <c r="G2410" s="203">
        <v>44602</v>
      </c>
      <c r="M2410" s="199"/>
      <c r="N2410" s="199"/>
      <c r="O2410" s="199"/>
      <c r="P2410" s="199"/>
      <c r="Q2410" s="199"/>
      <c r="R2410" s="199"/>
    </row>
    <row r="2411" spans="2:18">
      <c r="B2411" s="246" t="s">
        <v>3017</v>
      </c>
      <c r="C2411" s="247" t="s">
        <v>402</v>
      </c>
      <c r="D2411" s="247" t="s">
        <v>3009</v>
      </c>
      <c r="E2411" s="201">
        <v>120</v>
      </c>
      <c r="F2411" s="201">
        <f t="shared" si="4"/>
        <v>11.25</v>
      </c>
      <c r="G2411" s="203">
        <v>44602</v>
      </c>
      <c r="M2411" s="199"/>
      <c r="N2411" s="199"/>
      <c r="O2411" s="199"/>
      <c r="P2411" s="199"/>
      <c r="Q2411" s="199"/>
      <c r="R2411" s="199"/>
    </row>
    <row r="2412" spans="2:18">
      <c r="B2412" s="246" t="s">
        <v>3018</v>
      </c>
      <c r="C2412" s="247" t="s">
        <v>402</v>
      </c>
      <c r="D2412" s="247" t="s">
        <v>3009</v>
      </c>
      <c r="E2412" s="201">
        <v>120</v>
      </c>
      <c r="F2412" s="201">
        <f t="shared" si="4"/>
        <v>11.25</v>
      </c>
      <c r="G2412" s="203">
        <v>44602</v>
      </c>
      <c r="M2412" s="199"/>
      <c r="N2412" s="199"/>
      <c r="O2412" s="199"/>
      <c r="P2412" s="199"/>
      <c r="Q2412" s="199"/>
      <c r="R2412" s="199"/>
    </row>
    <row r="2413" spans="2:18">
      <c r="B2413" s="246"/>
      <c r="C2413" s="247" t="s">
        <v>544</v>
      </c>
      <c r="D2413" s="247" t="s">
        <v>3009</v>
      </c>
      <c r="E2413" s="201">
        <v>50</v>
      </c>
      <c r="F2413" s="201">
        <v>25</v>
      </c>
      <c r="G2413" s="203">
        <v>43039</v>
      </c>
      <c r="M2413" s="199"/>
      <c r="N2413" s="199"/>
      <c r="O2413" s="199"/>
      <c r="P2413" s="199"/>
      <c r="Q2413" s="199"/>
      <c r="R2413" s="199"/>
    </row>
    <row r="2414" spans="2:18">
      <c r="B2414" s="246" t="s">
        <v>3022</v>
      </c>
      <c r="C2414" s="247" t="s">
        <v>544</v>
      </c>
      <c r="D2414" s="247" t="s">
        <v>3009</v>
      </c>
      <c r="E2414" s="201">
        <v>50</v>
      </c>
      <c r="F2414" s="201">
        <f>25/2</f>
        <v>12.5</v>
      </c>
      <c r="G2414" s="203">
        <v>43039</v>
      </c>
      <c r="M2414" s="199"/>
      <c r="N2414" s="199"/>
      <c r="O2414" s="199"/>
      <c r="P2414" s="199"/>
      <c r="Q2414" s="199"/>
      <c r="R2414" s="199"/>
    </row>
    <row r="2415" spans="2:18">
      <c r="B2415" s="246" t="s">
        <v>3023</v>
      </c>
      <c r="C2415" s="247" t="s">
        <v>544</v>
      </c>
      <c r="D2415" s="247" t="s">
        <v>3009</v>
      </c>
      <c r="E2415" s="201">
        <v>50</v>
      </c>
      <c r="F2415" s="201">
        <f>25/2</f>
        <v>12.5</v>
      </c>
      <c r="G2415" s="203">
        <v>43039</v>
      </c>
      <c r="M2415" s="199"/>
      <c r="N2415" s="199"/>
      <c r="O2415" s="199"/>
      <c r="P2415" s="199"/>
      <c r="Q2415" s="199"/>
      <c r="R2415" s="199"/>
    </row>
    <row r="2416" spans="2:18">
      <c r="B2416" s="246" t="s">
        <v>3019</v>
      </c>
      <c r="C2416" s="247" t="s">
        <v>402</v>
      </c>
      <c r="D2416" s="247" t="s">
        <v>3009</v>
      </c>
      <c r="E2416" s="201">
        <v>120</v>
      </c>
      <c r="F2416" s="201">
        <f t="shared" si="4"/>
        <v>11.25</v>
      </c>
      <c r="G2416" s="203">
        <v>44602</v>
      </c>
      <c r="M2416" s="199"/>
      <c r="N2416" s="199"/>
      <c r="O2416" s="199"/>
      <c r="P2416" s="199"/>
      <c r="Q2416" s="199"/>
      <c r="R2416" s="199"/>
    </row>
    <row r="2417" spans="2:18">
      <c r="B2417" s="246" t="s">
        <v>3020</v>
      </c>
      <c r="C2417" s="247" t="s">
        <v>402</v>
      </c>
      <c r="D2417" s="247" t="s">
        <v>3009</v>
      </c>
      <c r="E2417" s="201">
        <v>120</v>
      </c>
      <c r="F2417" s="201">
        <f t="shared" si="4"/>
        <v>11.25</v>
      </c>
      <c r="G2417" s="203">
        <v>44602</v>
      </c>
      <c r="M2417" s="199"/>
      <c r="N2417" s="199"/>
      <c r="O2417" s="199"/>
      <c r="P2417" s="199"/>
      <c r="Q2417" s="199"/>
      <c r="R2417" s="199"/>
    </row>
    <row r="2418" spans="2:18">
      <c r="B2418" s="199" t="s">
        <v>3021</v>
      </c>
      <c r="C2418" s="247" t="s">
        <v>402</v>
      </c>
      <c r="D2418" s="247" t="s">
        <v>3009</v>
      </c>
      <c r="E2418" s="201">
        <v>120</v>
      </c>
      <c r="F2418" s="201">
        <f t="shared" si="4"/>
        <v>11.25</v>
      </c>
      <c r="G2418" s="203">
        <v>44602</v>
      </c>
      <c r="M2418" s="199"/>
      <c r="N2418" s="199"/>
      <c r="O2418" s="199"/>
      <c r="P2418" s="199"/>
      <c r="Q2418" s="199"/>
      <c r="R2418" s="199"/>
    </row>
    <row r="2419" spans="2:18">
      <c r="B2419" s="246" t="s">
        <v>3043</v>
      </c>
      <c r="C2419" s="247" t="s">
        <v>402</v>
      </c>
      <c r="D2419" s="247" t="s">
        <v>1355</v>
      </c>
      <c r="E2419" s="201">
        <v>27.5</v>
      </c>
      <c r="F2419" s="201">
        <f>E2419/2</f>
        <v>13.75</v>
      </c>
      <c r="G2419" s="203">
        <v>44181</v>
      </c>
      <c r="M2419" s="199"/>
      <c r="N2419" s="199"/>
      <c r="O2419" s="199"/>
      <c r="P2419" s="199"/>
      <c r="Q2419" s="199"/>
      <c r="R2419" s="199"/>
    </row>
    <row r="2420" spans="2:18">
      <c r="B2420" s="246"/>
      <c r="C2420" s="272" t="s">
        <v>544</v>
      </c>
      <c r="D2420" s="272" t="s">
        <v>1823</v>
      </c>
      <c r="E2420" s="201">
        <v>102</v>
      </c>
      <c r="F2420" s="201">
        <v>8</v>
      </c>
      <c r="G2420" s="203">
        <v>43292</v>
      </c>
      <c r="M2420" s="199"/>
      <c r="N2420" s="199"/>
      <c r="O2420" s="199"/>
      <c r="P2420" s="199"/>
      <c r="Q2420" s="199"/>
      <c r="R2420" s="199"/>
    </row>
    <row r="2421" spans="2:18">
      <c r="B2421" s="246"/>
      <c r="C2421" s="247"/>
      <c r="D2421" s="247"/>
      <c r="G2421" s="203"/>
      <c r="M2421" s="199"/>
      <c r="N2421" s="199"/>
      <c r="O2421" s="199"/>
      <c r="P2421" s="199"/>
      <c r="Q2421" s="199"/>
      <c r="R2421" s="199"/>
    </row>
    <row r="2422" spans="2:18">
      <c r="B2422" s="246" t="s">
        <v>3045</v>
      </c>
      <c r="C2422" s="247" t="s">
        <v>544</v>
      </c>
      <c r="D2422" s="247" t="s">
        <v>1355</v>
      </c>
      <c r="E2422" s="201">
        <v>10.7</v>
      </c>
      <c r="F2422" s="201">
        <f>+E2422-8</f>
        <v>2.6999999999999993</v>
      </c>
      <c r="G2422" s="203">
        <v>43250</v>
      </c>
      <c r="M2422" s="199"/>
      <c r="N2422" s="199"/>
      <c r="O2422" s="199"/>
      <c r="P2422" s="199"/>
      <c r="Q2422" s="199"/>
      <c r="R2422" s="199"/>
    </row>
    <row r="2423" spans="2:18">
      <c r="B2423" s="246"/>
      <c r="C2423" s="247"/>
      <c r="D2423" s="247"/>
      <c r="G2423" s="203"/>
      <c r="M2423" s="199"/>
      <c r="N2423" s="199"/>
      <c r="O2423" s="199"/>
      <c r="P2423" s="199"/>
      <c r="Q2423" s="199"/>
      <c r="R2423" s="199"/>
    </row>
    <row r="2424" spans="2:18">
      <c r="B2424" s="248" t="s">
        <v>3052</v>
      </c>
      <c r="C2424" s="249" t="s">
        <v>544</v>
      </c>
      <c r="D2424" s="249" t="s">
        <v>1191</v>
      </c>
      <c r="E2424" s="201">
        <v>16</v>
      </c>
      <c r="F2424" s="201">
        <v>10</v>
      </c>
      <c r="G2424" s="203">
        <v>44663</v>
      </c>
      <c r="M2424" s="199"/>
      <c r="N2424" s="199"/>
      <c r="O2424" s="199"/>
      <c r="P2424" s="199"/>
      <c r="Q2424" s="199"/>
      <c r="R2424" s="199"/>
    </row>
    <row r="2425" spans="2:18">
      <c r="B2425" s="248"/>
      <c r="C2425" s="272" t="s">
        <v>565</v>
      </c>
      <c r="D2425" s="272" t="s">
        <v>1823</v>
      </c>
      <c r="E2425" s="201">
        <v>100</v>
      </c>
      <c r="F2425" s="201">
        <f>70/5</f>
        <v>14</v>
      </c>
      <c r="G2425" s="203">
        <v>44235</v>
      </c>
      <c r="I2425" s="199">
        <v>5200</v>
      </c>
      <c r="M2425" s="199"/>
      <c r="N2425" s="199"/>
      <c r="O2425" s="199"/>
      <c r="P2425" s="199"/>
      <c r="Q2425" s="199"/>
      <c r="R2425" s="199"/>
    </row>
    <row r="2426" spans="2:18">
      <c r="B2426" s="248"/>
      <c r="C2426" s="272" t="s">
        <v>565</v>
      </c>
      <c r="D2426" s="272" t="s">
        <v>1823</v>
      </c>
      <c r="E2426" s="201">
        <v>267</v>
      </c>
      <c r="F2426" s="201">
        <v>33</v>
      </c>
      <c r="G2426" s="203">
        <v>44235</v>
      </c>
      <c r="I2426" s="199">
        <v>5000</v>
      </c>
      <c r="M2426" s="199"/>
      <c r="N2426" s="199"/>
      <c r="O2426" s="199"/>
      <c r="P2426" s="199"/>
      <c r="Q2426" s="199"/>
      <c r="R2426" s="199"/>
    </row>
    <row r="2427" spans="2:18">
      <c r="B2427" s="248"/>
      <c r="C2427" s="272" t="s">
        <v>544</v>
      </c>
      <c r="D2427" s="272" t="s">
        <v>1823</v>
      </c>
      <c r="E2427" s="201">
        <v>102</v>
      </c>
      <c r="F2427" s="201">
        <v>16</v>
      </c>
      <c r="G2427" s="203">
        <v>43292</v>
      </c>
      <c r="M2427" s="199"/>
      <c r="N2427" s="199"/>
      <c r="O2427" s="199"/>
      <c r="P2427" s="199"/>
      <c r="Q2427" s="199"/>
      <c r="R2427" s="199"/>
    </row>
    <row r="2428" spans="2:18">
      <c r="B2428" s="248"/>
      <c r="C2428" s="249"/>
      <c r="D2428" s="249"/>
      <c r="G2428" s="203"/>
      <c r="M2428" s="199"/>
      <c r="N2428" s="199"/>
      <c r="O2428" s="199"/>
      <c r="P2428" s="199"/>
      <c r="Q2428" s="199"/>
      <c r="R2428" s="199"/>
    </row>
    <row r="2429" spans="2:18">
      <c r="B2429" s="248" t="s">
        <v>3053</v>
      </c>
      <c r="C2429" s="249" t="s">
        <v>544</v>
      </c>
      <c r="D2429" s="249" t="s">
        <v>1191</v>
      </c>
      <c r="E2429" s="201">
        <v>16</v>
      </c>
      <c r="F2429" s="201">
        <v>6</v>
      </c>
      <c r="G2429" s="203">
        <v>44663</v>
      </c>
      <c r="M2429" s="199"/>
      <c r="N2429" s="199"/>
      <c r="O2429" s="199"/>
      <c r="P2429" s="199"/>
      <c r="Q2429" s="199"/>
      <c r="R2429" s="199"/>
    </row>
    <row r="2430" spans="2:18">
      <c r="B2430" s="248" t="s">
        <v>3054</v>
      </c>
      <c r="C2430" s="249" t="s">
        <v>549</v>
      </c>
      <c r="D2430" s="249" t="s">
        <v>1191</v>
      </c>
      <c r="E2430" s="201">
        <v>12</v>
      </c>
      <c r="F2430" s="201">
        <v>6</v>
      </c>
      <c r="G2430" s="203">
        <v>44271</v>
      </c>
      <c r="M2430" s="199"/>
      <c r="N2430" s="199"/>
      <c r="O2430" s="199"/>
      <c r="P2430" s="199"/>
      <c r="Q2430" s="199"/>
      <c r="R2430" s="199"/>
    </row>
    <row r="2431" spans="2:18">
      <c r="B2431" s="248" t="s">
        <v>3055</v>
      </c>
      <c r="C2431" s="249" t="s">
        <v>549</v>
      </c>
      <c r="D2431" s="249" t="s">
        <v>1191</v>
      </c>
      <c r="E2431" s="201">
        <v>12</v>
      </c>
      <c r="F2431" s="201">
        <v>3</v>
      </c>
      <c r="G2431" s="203">
        <v>44271</v>
      </c>
      <c r="M2431" s="199"/>
      <c r="N2431" s="199"/>
      <c r="O2431" s="199"/>
      <c r="P2431" s="199"/>
      <c r="Q2431" s="199"/>
      <c r="R2431" s="199"/>
    </row>
    <row r="2432" spans="2:18">
      <c r="B2432" s="248" t="s">
        <v>3062</v>
      </c>
      <c r="C2432" s="249" t="s">
        <v>402</v>
      </c>
      <c r="D2432" s="249" t="s">
        <v>1354</v>
      </c>
      <c r="E2432" s="201">
        <v>22</v>
      </c>
      <c r="F2432" s="201">
        <v>12</v>
      </c>
      <c r="G2432" s="203">
        <v>44861</v>
      </c>
      <c r="M2432" s="199"/>
      <c r="N2432" s="199"/>
      <c r="O2432" s="199"/>
      <c r="P2432" s="199"/>
      <c r="Q2432" s="199"/>
      <c r="R2432" s="199"/>
    </row>
    <row r="2433" spans="2:18">
      <c r="B2433" s="248" t="s">
        <v>3063</v>
      </c>
      <c r="C2433" s="249" t="s">
        <v>402</v>
      </c>
      <c r="D2433" s="249" t="s">
        <v>1354</v>
      </c>
      <c r="E2433" s="201">
        <v>22</v>
      </c>
      <c r="F2433" s="201">
        <v>2</v>
      </c>
      <c r="G2433" s="203">
        <v>44861</v>
      </c>
      <c r="M2433" s="199"/>
      <c r="N2433" s="199"/>
      <c r="O2433" s="199"/>
      <c r="P2433" s="199"/>
      <c r="Q2433" s="199"/>
      <c r="R2433" s="199"/>
    </row>
    <row r="2434" spans="2:18">
      <c r="B2434" s="248"/>
      <c r="C2434" s="249" t="s">
        <v>544</v>
      </c>
      <c r="D2434" s="249" t="s">
        <v>1354</v>
      </c>
      <c r="E2434" s="201">
        <v>15</v>
      </c>
      <c r="F2434" s="201">
        <v>1</v>
      </c>
      <c r="G2434" s="203">
        <v>44487</v>
      </c>
      <c r="M2434" s="199"/>
      <c r="N2434" s="199"/>
      <c r="O2434" s="199"/>
      <c r="P2434" s="199"/>
      <c r="Q2434" s="199"/>
      <c r="R2434" s="199"/>
    </row>
    <row r="2435" spans="2:18">
      <c r="B2435" s="248" t="s">
        <v>3064</v>
      </c>
      <c r="C2435" s="249" t="s">
        <v>402</v>
      </c>
      <c r="D2435" s="249" t="s">
        <v>1354</v>
      </c>
      <c r="E2435" s="201">
        <v>22</v>
      </c>
      <c r="F2435" s="201">
        <v>5</v>
      </c>
      <c r="G2435" s="203">
        <v>44861</v>
      </c>
      <c r="M2435" s="199"/>
      <c r="N2435" s="199"/>
      <c r="O2435" s="199"/>
      <c r="P2435" s="199"/>
      <c r="Q2435" s="199"/>
      <c r="R2435" s="199"/>
    </row>
    <row r="2436" spans="2:18">
      <c r="C2436" s="249" t="s">
        <v>544</v>
      </c>
      <c r="D2436" s="249" t="s">
        <v>1354</v>
      </c>
      <c r="E2436" s="201">
        <v>15</v>
      </c>
      <c r="F2436" s="201">
        <v>5</v>
      </c>
      <c r="G2436" s="203">
        <v>44487</v>
      </c>
      <c r="M2436" s="199"/>
      <c r="N2436" s="199"/>
      <c r="O2436" s="199"/>
      <c r="P2436" s="199"/>
      <c r="Q2436" s="199"/>
      <c r="R2436" s="199"/>
    </row>
    <row r="2437" spans="2:18">
      <c r="C2437" s="249" t="s">
        <v>549</v>
      </c>
      <c r="D2437" s="249" t="s">
        <v>1354</v>
      </c>
      <c r="E2437" s="201">
        <v>7</v>
      </c>
      <c r="F2437" s="201">
        <v>7</v>
      </c>
      <c r="G2437" s="203">
        <v>44117</v>
      </c>
      <c r="M2437" s="199"/>
      <c r="N2437" s="199"/>
      <c r="O2437" s="199"/>
      <c r="P2437" s="199"/>
      <c r="Q2437" s="199"/>
      <c r="R2437" s="199"/>
    </row>
    <row r="2438" spans="2:18">
      <c r="B2438" s="248" t="s">
        <v>3084</v>
      </c>
      <c r="C2438" s="249" t="s">
        <v>549</v>
      </c>
      <c r="D2438" s="249" t="s">
        <v>1413</v>
      </c>
      <c r="E2438" s="201">
        <v>3.5</v>
      </c>
      <c r="F2438" s="201">
        <f>E2438/10</f>
        <v>0.35</v>
      </c>
      <c r="G2438" s="203">
        <v>43046</v>
      </c>
      <c r="L2438" s="248">
        <v>0</v>
      </c>
      <c r="M2438" s="199"/>
      <c r="N2438" s="199"/>
      <c r="O2438" s="199"/>
      <c r="P2438" s="199"/>
      <c r="Q2438" s="199"/>
      <c r="R2438" s="199"/>
    </row>
    <row r="2439" spans="2:18">
      <c r="B2439" s="248" t="s">
        <v>3085</v>
      </c>
      <c r="C2439" s="249" t="s">
        <v>549</v>
      </c>
      <c r="D2439" s="249" t="s">
        <v>1413</v>
      </c>
      <c r="E2439" s="201">
        <v>3.5</v>
      </c>
      <c r="F2439" s="201">
        <f>E2439/10</f>
        <v>0.35</v>
      </c>
      <c r="G2439" s="203">
        <v>43046</v>
      </c>
      <c r="L2439" s="248">
        <v>0</v>
      </c>
      <c r="M2439" s="199"/>
      <c r="N2439" s="199"/>
      <c r="O2439" s="199"/>
      <c r="P2439" s="199"/>
      <c r="Q2439" s="199"/>
      <c r="R2439" s="199"/>
    </row>
    <row r="2440" spans="2:18">
      <c r="B2440" s="248" t="s">
        <v>3086</v>
      </c>
      <c r="C2440" s="249" t="s">
        <v>549</v>
      </c>
      <c r="D2440" s="249" t="s">
        <v>1413</v>
      </c>
      <c r="E2440" s="201">
        <v>3.5</v>
      </c>
      <c r="F2440" s="201">
        <f>E2440/10</f>
        <v>0.35</v>
      </c>
      <c r="G2440" s="203">
        <v>43046</v>
      </c>
      <c r="L2440" s="248">
        <v>0</v>
      </c>
      <c r="M2440" s="199"/>
      <c r="N2440" s="199"/>
      <c r="O2440" s="199"/>
      <c r="P2440" s="199"/>
      <c r="Q2440" s="199"/>
      <c r="R2440" s="199"/>
    </row>
    <row r="2441" spans="2:18">
      <c r="B2441" s="248" t="s">
        <v>3120</v>
      </c>
      <c r="C2441" s="249" t="s">
        <v>549</v>
      </c>
      <c r="D2441" s="249" t="s">
        <v>1543</v>
      </c>
      <c r="E2441" s="201">
        <v>3.5</v>
      </c>
      <c r="F2441" s="201">
        <v>1.25</v>
      </c>
      <c r="G2441" s="203">
        <v>44636</v>
      </c>
      <c r="M2441" s="199"/>
      <c r="N2441" s="199"/>
      <c r="O2441" s="199"/>
      <c r="P2441" s="199"/>
      <c r="Q2441" s="199"/>
      <c r="R2441" s="199"/>
    </row>
    <row r="2442" spans="2:18">
      <c r="B2442" s="248" t="s">
        <v>3121</v>
      </c>
      <c r="C2442" s="249" t="s">
        <v>549</v>
      </c>
      <c r="D2442" s="249" t="s">
        <v>1543</v>
      </c>
      <c r="E2442" s="201">
        <v>3.5</v>
      </c>
      <c r="F2442" s="201">
        <v>0.5</v>
      </c>
      <c r="G2442" s="203">
        <v>44636</v>
      </c>
      <c r="M2442" s="199"/>
      <c r="N2442" s="199"/>
      <c r="O2442" s="199"/>
      <c r="P2442" s="199"/>
      <c r="Q2442" s="199"/>
      <c r="R2442" s="199"/>
    </row>
    <row r="2443" spans="2:18">
      <c r="B2443" s="248" t="s">
        <v>3122</v>
      </c>
      <c r="C2443" s="249" t="s">
        <v>549</v>
      </c>
      <c r="D2443" s="249" t="s">
        <v>1543</v>
      </c>
      <c r="E2443" s="201">
        <v>3.5</v>
      </c>
      <c r="F2443" s="201">
        <v>0.5</v>
      </c>
      <c r="G2443" s="203">
        <v>44636</v>
      </c>
      <c r="M2443" s="199"/>
      <c r="N2443" s="199"/>
      <c r="O2443" s="199"/>
      <c r="P2443" s="199"/>
      <c r="Q2443" s="199"/>
      <c r="R2443" s="199"/>
    </row>
    <row r="2444" spans="2:18">
      <c r="B2444" s="248" t="s">
        <v>3123</v>
      </c>
      <c r="C2444" s="249" t="s">
        <v>669</v>
      </c>
      <c r="D2444" s="249" t="s">
        <v>1543</v>
      </c>
      <c r="E2444" s="201">
        <v>0.75</v>
      </c>
      <c r="F2444" s="201">
        <f>+E2444/3</f>
        <v>0.25</v>
      </c>
      <c r="G2444" s="203">
        <v>44043</v>
      </c>
      <c r="M2444" s="199"/>
      <c r="N2444" s="199"/>
      <c r="O2444" s="199"/>
      <c r="P2444" s="199"/>
      <c r="Q2444" s="199"/>
      <c r="R2444" s="199"/>
    </row>
    <row r="2445" spans="2:18">
      <c r="B2445" s="248" t="s">
        <v>3124</v>
      </c>
      <c r="C2445" s="249" t="s">
        <v>669</v>
      </c>
      <c r="D2445" s="249" t="s">
        <v>1543</v>
      </c>
      <c r="E2445" s="201">
        <v>0.75</v>
      </c>
      <c r="F2445" s="201">
        <f>+E2445/3</f>
        <v>0.25</v>
      </c>
      <c r="G2445" s="203">
        <v>44043</v>
      </c>
      <c r="M2445" s="199"/>
      <c r="N2445" s="199"/>
      <c r="O2445" s="199"/>
      <c r="P2445" s="199"/>
      <c r="Q2445" s="199"/>
      <c r="R2445" s="199"/>
    </row>
    <row r="2446" spans="2:18">
      <c r="B2446" s="248" t="s">
        <v>3134</v>
      </c>
      <c r="C2446" s="249" t="s">
        <v>549</v>
      </c>
      <c r="D2446" s="249" t="s">
        <v>1545</v>
      </c>
      <c r="E2446" s="201">
        <v>3</v>
      </c>
      <c r="F2446" s="201">
        <v>0.75</v>
      </c>
      <c r="G2446" s="203">
        <v>44327</v>
      </c>
      <c r="M2446" s="199"/>
      <c r="N2446" s="199"/>
      <c r="O2446" s="199"/>
      <c r="P2446" s="199"/>
      <c r="Q2446" s="199"/>
      <c r="R2446" s="199"/>
    </row>
    <row r="2447" spans="2:18">
      <c r="B2447" s="248" t="s">
        <v>3135</v>
      </c>
      <c r="C2447" s="249" t="s">
        <v>549</v>
      </c>
      <c r="D2447" s="249" t="s">
        <v>1545</v>
      </c>
      <c r="E2447" s="201">
        <v>3</v>
      </c>
      <c r="F2447" s="201">
        <v>0.75</v>
      </c>
      <c r="G2447" s="203">
        <v>44327</v>
      </c>
      <c r="M2447" s="199"/>
      <c r="N2447" s="199"/>
      <c r="O2447" s="199"/>
      <c r="P2447" s="199"/>
      <c r="Q2447" s="199"/>
      <c r="R2447" s="199"/>
    </row>
    <row r="2448" spans="2:18">
      <c r="B2448" s="248" t="s">
        <v>3136</v>
      </c>
      <c r="C2448" s="249" t="s">
        <v>549</v>
      </c>
      <c r="D2448" s="249" t="s">
        <v>1545</v>
      </c>
      <c r="E2448" s="201">
        <v>3</v>
      </c>
      <c r="F2448" s="201">
        <f>1.5/4</f>
        <v>0.375</v>
      </c>
      <c r="G2448" s="203">
        <v>44327</v>
      </c>
      <c r="M2448" s="199"/>
      <c r="N2448" s="199"/>
      <c r="O2448" s="199"/>
      <c r="P2448" s="199"/>
      <c r="Q2448" s="199"/>
      <c r="R2448" s="199"/>
    </row>
    <row r="2449" spans="2:18">
      <c r="B2449" s="248" t="s">
        <v>3137</v>
      </c>
      <c r="C2449" s="249" t="s">
        <v>549</v>
      </c>
      <c r="D2449" s="249" t="s">
        <v>1545</v>
      </c>
      <c r="E2449" s="201">
        <v>3</v>
      </c>
      <c r="F2449" s="201">
        <f>1.5/4</f>
        <v>0.375</v>
      </c>
      <c r="G2449" s="203">
        <v>44327</v>
      </c>
      <c r="M2449" s="199"/>
      <c r="N2449" s="199"/>
      <c r="O2449" s="199"/>
      <c r="P2449" s="199"/>
      <c r="Q2449" s="199"/>
      <c r="R2449" s="199"/>
    </row>
    <row r="2450" spans="2:18">
      <c r="B2450" s="248"/>
      <c r="C2450" s="249"/>
      <c r="D2450" s="249"/>
      <c r="G2450" s="203"/>
      <c r="M2450" s="199"/>
      <c r="N2450" s="199"/>
      <c r="O2450" s="199"/>
      <c r="P2450" s="199"/>
      <c r="Q2450" s="199"/>
      <c r="R2450" s="199"/>
    </row>
    <row r="2451" spans="2:18">
      <c r="B2451" s="248" t="s">
        <v>3149</v>
      </c>
      <c r="C2451" s="249" t="s">
        <v>549</v>
      </c>
      <c r="D2451" s="249" t="s">
        <v>1547</v>
      </c>
      <c r="E2451" s="201">
        <v>5.0999999999999996</v>
      </c>
      <c r="F2451" s="201">
        <f>E2451/5</f>
        <v>1.02</v>
      </c>
      <c r="G2451" s="203">
        <v>43990</v>
      </c>
      <c r="M2451" s="199"/>
      <c r="N2451" s="199"/>
      <c r="O2451" s="199"/>
      <c r="P2451" s="199"/>
      <c r="Q2451" s="199"/>
      <c r="R2451" s="199"/>
    </row>
    <row r="2452" spans="2:18">
      <c r="B2452" s="248"/>
      <c r="C2452" s="272" t="s">
        <v>565</v>
      </c>
      <c r="D2452" s="272" t="s">
        <v>1820</v>
      </c>
      <c r="E2452" s="201">
        <v>500</v>
      </c>
      <c r="F2452" s="201">
        <v>100</v>
      </c>
      <c r="G2452" s="203">
        <v>44274</v>
      </c>
      <c r="M2452" s="199"/>
      <c r="N2452" s="199"/>
      <c r="O2452" s="199"/>
      <c r="P2452" s="199"/>
      <c r="Q2452" s="199"/>
      <c r="R2452" s="199"/>
    </row>
    <row r="2453" spans="2:18">
      <c r="B2453" s="248"/>
      <c r="C2453" s="272" t="s">
        <v>402</v>
      </c>
      <c r="D2453" s="272" t="s">
        <v>1823</v>
      </c>
      <c r="E2453" s="201">
        <v>462</v>
      </c>
      <c r="F2453" s="201">
        <v>300</v>
      </c>
      <c r="G2453" s="203">
        <v>43886</v>
      </c>
      <c r="I2453" s="199">
        <v>2500</v>
      </c>
      <c r="M2453" s="199"/>
      <c r="N2453" s="199"/>
      <c r="O2453" s="199"/>
      <c r="P2453" s="199"/>
      <c r="Q2453" s="199"/>
      <c r="R2453" s="199"/>
    </row>
    <row r="2454" spans="2:18">
      <c r="B2454" s="248"/>
      <c r="C2454" s="272" t="s">
        <v>402</v>
      </c>
      <c r="D2454" s="249"/>
      <c r="G2454" s="203"/>
      <c r="M2454" s="199"/>
      <c r="N2454" s="199"/>
      <c r="O2454" s="199"/>
      <c r="P2454" s="199"/>
      <c r="Q2454" s="199"/>
      <c r="R2454" s="199"/>
    </row>
    <row r="2455" spans="2:18">
      <c r="B2455" s="248" t="s">
        <v>3150</v>
      </c>
      <c r="C2455" s="249" t="s">
        <v>549</v>
      </c>
      <c r="D2455" s="249" t="s">
        <v>1547</v>
      </c>
      <c r="E2455" s="201">
        <v>5.0999999999999996</v>
      </c>
      <c r="F2455" s="201">
        <f>E2455/5</f>
        <v>1.02</v>
      </c>
      <c r="G2455" s="203">
        <v>43990</v>
      </c>
      <c r="M2455" s="199"/>
      <c r="N2455" s="199"/>
      <c r="O2455" s="199"/>
      <c r="P2455" s="199"/>
      <c r="Q2455" s="199"/>
      <c r="R2455" s="199"/>
    </row>
    <row r="2456" spans="2:18">
      <c r="B2456" s="248" t="s">
        <v>3151</v>
      </c>
      <c r="C2456" s="249" t="s">
        <v>549</v>
      </c>
      <c r="D2456" s="249" t="s">
        <v>1547</v>
      </c>
      <c r="E2456" s="201">
        <v>5.0999999999999996</v>
      </c>
      <c r="F2456" s="201">
        <f>E2456/5</f>
        <v>1.02</v>
      </c>
      <c r="G2456" s="203">
        <v>43990</v>
      </c>
      <c r="M2456" s="199"/>
      <c r="N2456" s="199"/>
      <c r="O2456" s="199"/>
      <c r="P2456" s="199"/>
      <c r="Q2456" s="199"/>
      <c r="R2456" s="199"/>
    </row>
    <row r="2457" spans="2:18">
      <c r="B2457" s="248" t="s">
        <v>3157</v>
      </c>
      <c r="C2457" s="249" t="s">
        <v>549</v>
      </c>
      <c r="D2457" s="249" t="s">
        <v>1548</v>
      </c>
      <c r="E2457" s="201">
        <v>5</v>
      </c>
      <c r="F2457" s="201">
        <v>3</v>
      </c>
      <c r="G2457" s="203">
        <v>43224</v>
      </c>
      <c r="L2457" s="248">
        <v>0</v>
      </c>
      <c r="M2457" s="199"/>
      <c r="N2457" s="199"/>
      <c r="O2457" s="199"/>
      <c r="P2457" s="199"/>
      <c r="Q2457" s="199"/>
      <c r="R2457" s="199"/>
    </row>
    <row r="2458" spans="2:18">
      <c r="B2458" s="248" t="s">
        <v>3158</v>
      </c>
      <c r="C2458" s="249" t="s">
        <v>549</v>
      </c>
      <c r="D2458" s="249" t="s">
        <v>1548</v>
      </c>
      <c r="E2458" s="201">
        <v>5</v>
      </c>
      <c r="F2458" s="201">
        <v>1</v>
      </c>
      <c r="G2458" s="203">
        <v>43224</v>
      </c>
      <c r="L2458" s="248">
        <v>0</v>
      </c>
      <c r="M2458" s="199"/>
      <c r="N2458" s="199"/>
      <c r="O2458" s="199"/>
      <c r="P2458" s="199"/>
      <c r="Q2458" s="199"/>
      <c r="R2458" s="199"/>
    </row>
    <row r="2459" spans="2:18">
      <c r="B2459" s="248"/>
      <c r="C2459" s="249"/>
      <c r="D2459" s="249"/>
      <c r="G2459" s="203"/>
      <c r="L2459" s="248"/>
      <c r="M2459" s="199"/>
      <c r="N2459" s="199"/>
      <c r="O2459" s="199"/>
      <c r="P2459" s="199"/>
      <c r="Q2459" s="199"/>
      <c r="R2459" s="199"/>
    </row>
    <row r="2460" spans="2:18">
      <c r="B2460" s="248" t="s">
        <v>3174</v>
      </c>
      <c r="C2460" s="249" t="s">
        <v>549</v>
      </c>
      <c r="D2460" s="249" t="s">
        <v>1599</v>
      </c>
      <c r="E2460" s="201">
        <v>3.2</v>
      </c>
      <c r="F2460" s="201">
        <v>3.2</v>
      </c>
      <c r="G2460" s="203">
        <v>43031</v>
      </c>
      <c r="L2460" s="199">
        <f>+F2460*20</f>
        <v>64</v>
      </c>
      <c r="M2460" s="199"/>
      <c r="N2460" s="199"/>
      <c r="O2460" s="199"/>
      <c r="P2460" s="199"/>
      <c r="Q2460" s="199"/>
      <c r="R2460" s="199"/>
    </row>
    <row r="2461" spans="2:18">
      <c r="B2461" s="248"/>
      <c r="C2461" s="249" t="s">
        <v>549</v>
      </c>
      <c r="D2461" s="272" t="s">
        <v>1798</v>
      </c>
      <c r="E2461" s="201">
        <v>3.5</v>
      </c>
      <c r="F2461" s="201">
        <f>+E2461/9</f>
        <v>0.3888888888888889</v>
      </c>
      <c r="G2461" s="203">
        <v>42979</v>
      </c>
      <c r="M2461" s="199"/>
      <c r="N2461" s="199"/>
      <c r="O2461" s="199"/>
      <c r="P2461" s="199"/>
      <c r="Q2461" s="199"/>
      <c r="R2461" s="199"/>
    </row>
    <row r="2462" spans="2:18">
      <c r="B2462" s="248"/>
      <c r="C2462" s="249"/>
      <c r="D2462" s="249"/>
      <c r="G2462" s="203"/>
      <c r="M2462" s="199"/>
      <c r="N2462" s="199"/>
      <c r="O2462" s="199"/>
      <c r="P2462" s="199"/>
      <c r="Q2462" s="199"/>
      <c r="R2462" s="199"/>
    </row>
    <row r="2463" spans="2:18">
      <c r="B2463" s="248" t="s">
        <v>3177</v>
      </c>
      <c r="C2463" s="249" t="s">
        <v>544</v>
      </c>
      <c r="D2463" s="249" t="s">
        <v>1599</v>
      </c>
      <c r="E2463" s="201">
        <v>16</v>
      </c>
      <c r="F2463" s="201">
        <v>2</v>
      </c>
      <c r="G2463" s="203">
        <v>43783</v>
      </c>
      <c r="L2463" s="199">
        <f t="shared" ref="L2463:L2469" si="21">+F2463*5</f>
        <v>10</v>
      </c>
      <c r="M2463" s="199"/>
      <c r="N2463" s="199"/>
      <c r="O2463" s="199"/>
      <c r="P2463" s="199"/>
      <c r="Q2463" s="199"/>
      <c r="R2463" s="199"/>
    </row>
    <row r="2464" spans="2:18">
      <c r="B2464" s="248"/>
      <c r="C2464" s="249" t="s">
        <v>402</v>
      </c>
      <c r="D2464" s="249" t="s">
        <v>1599</v>
      </c>
      <c r="E2464" s="201">
        <v>55</v>
      </c>
      <c r="F2464" s="201">
        <v>5</v>
      </c>
      <c r="G2464" s="203">
        <v>44200</v>
      </c>
      <c r="M2464" s="199"/>
      <c r="N2464" s="199"/>
      <c r="O2464" s="199"/>
      <c r="P2464" s="199"/>
      <c r="Q2464" s="199"/>
      <c r="R2464" s="199"/>
    </row>
    <row r="2465" spans="2:18">
      <c r="B2465" s="248"/>
      <c r="C2465" s="249" t="s">
        <v>565</v>
      </c>
      <c r="D2465" s="249" t="s">
        <v>1599</v>
      </c>
      <c r="E2465" s="201">
        <v>91</v>
      </c>
      <c r="F2465" s="201">
        <f t="shared" ref="F2465" si="22">70/8</f>
        <v>8.75</v>
      </c>
      <c r="G2465" s="203">
        <v>44867</v>
      </c>
      <c r="M2465" s="199"/>
      <c r="N2465" s="199"/>
      <c r="O2465" s="199"/>
      <c r="P2465" s="199"/>
      <c r="Q2465" s="199"/>
      <c r="R2465" s="199"/>
    </row>
    <row r="2466" spans="2:18">
      <c r="B2466" s="248" t="s">
        <v>3178</v>
      </c>
      <c r="C2466" s="249" t="s">
        <v>544</v>
      </c>
      <c r="D2466" s="249" t="s">
        <v>1599</v>
      </c>
      <c r="E2466" s="201">
        <v>16</v>
      </c>
      <c r="F2466" s="201">
        <v>2</v>
      </c>
      <c r="G2466" s="203">
        <v>43783</v>
      </c>
      <c r="L2466" s="199">
        <f t="shared" si="21"/>
        <v>10</v>
      </c>
      <c r="M2466" s="199"/>
      <c r="N2466" s="199"/>
      <c r="O2466" s="199"/>
      <c r="P2466" s="199"/>
      <c r="Q2466" s="199"/>
      <c r="R2466" s="199"/>
    </row>
    <row r="2467" spans="2:18">
      <c r="B2467" s="248" t="s">
        <v>3176</v>
      </c>
      <c r="C2467" s="249" t="s">
        <v>544</v>
      </c>
      <c r="D2467" s="249" t="s">
        <v>1599</v>
      </c>
      <c r="E2467" s="201">
        <v>16</v>
      </c>
      <c r="F2467" s="201">
        <v>2</v>
      </c>
      <c r="G2467" s="203">
        <v>43783</v>
      </c>
      <c r="L2467" s="199">
        <f t="shared" si="21"/>
        <v>10</v>
      </c>
      <c r="M2467" s="199"/>
      <c r="N2467" s="199"/>
      <c r="O2467" s="199"/>
      <c r="P2467" s="199"/>
      <c r="Q2467" s="199"/>
      <c r="R2467" s="199"/>
    </row>
    <row r="2468" spans="2:18">
      <c r="B2468" s="248"/>
      <c r="C2468" s="249" t="s">
        <v>402</v>
      </c>
      <c r="D2468" s="249" t="s">
        <v>1599</v>
      </c>
      <c r="E2468" s="201">
        <v>55</v>
      </c>
      <c r="F2468" s="201">
        <v>5</v>
      </c>
      <c r="G2468" s="203">
        <v>44200</v>
      </c>
      <c r="M2468" s="199"/>
      <c r="N2468" s="199"/>
      <c r="O2468" s="199"/>
      <c r="P2468" s="199"/>
      <c r="Q2468" s="199"/>
      <c r="R2468" s="199"/>
    </row>
    <row r="2469" spans="2:18">
      <c r="B2469" s="248" t="s">
        <v>3179</v>
      </c>
      <c r="C2469" s="249" t="s">
        <v>544</v>
      </c>
      <c r="D2469" s="249" t="s">
        <v>1599</v>
      </c>
      <c r="E2469" s="201">
        <v>16</v>
      </c>
      <c r="F2469" s="201">
        <v>2</v>
      </c>
      <c r="G2469" s="203">
        <v>43783</v>
      </c>
      <c r="L2469" s="199">
        <f t="shared" si="21"/>
        <v>10</v>
      </c>
      <c r="M2469" s="199"/>
      <c r="N2469" s="199"/>
      <c r="O2469" s="199"/>
      <c r="P2469" s="199"/>
      <c r="Q2469" s="199"/>
      <c r="R2469" s="199"/>
    </row>
    <row r="2470" spans="2:18">
      <c r="B2470" s="248"/>
      <c r="C2470" s="249" t="s">
        <v>402</v>
      </c>
      <c r="D2470" s="249" t="s">
        <v>1599</v>
      </c>
      <c r="E2470" s="201">
        <v>55</v>
      </c>
      <c r="F2470" s="201">
        <v>5</v>
      </c>
      <c r="G2470" s="203">
        <v>44200</v>
      </c>
      <c r="M2470" s="199"/>
      <c r="N2470" s="199"/>
      <c r="O2470" s="199"/>
      <c r="P2470" s="199"/>
      <c r="Q2470" s="199"/>
      <c r="R2470" s="199"/>
    </row>
    <row r="2471" spans="2:18">
      <c r="B2471" s="248" t="s">
        <v>3180</v>
      </c>
      <c r="C2471" s="249" t="s">
        <v>544</v>
      </c>
      <c r="D2471" s="249" t="s">
        <v>1599</v>
      </c>
      <c r="E2471" s="201">
        <v>16</v>
      </c>
      <c r="F2471" s="201">
        <v>2</v>
      </c>
      <c r="G2471" s="203">
        <v>43783</v>
      </c>
      <c r="L2471" s="199">
        <f>+F2471*5</f>
        <v>10</v>
      </c>
      <c r="M2471" s="199"/>
      <c r="N2471" s="199"/>
      <c r="O2471" s="199"/>
      <c r="P2471" s="199"/>
      <c r="Q2471" s="199"/>
      <c r="R2471" s="199"/>
    </row>
    <row r="2472" spans="2:18">
      <c r="B2472" s="248" t="s">
        <v>3181</v>
      </c>
      <c r="C2472" s="249" t="s">
        <v>402</v>
      </c>
      <c r="D2472" s="249" t="s">
        <v>1599</v>
      </c>
      <c r="E2472" s="201">
        <v>55</v>
      </c>
      <c r="F2472" s="201">
        <v>25</v>
      </c>
      <c r="G2472" s="203">
        <v>44200</v>
      </c>
      <c r="L2472" s="199">
        <f>+F2472*5</f>
        <v>125</v>
      </c>
      <c r="M2472" s="199"/>
      <c r="N2472" s="199"/>
      <c r="O2472" s="199"/>
      <c r="P2472" s="199"/>
      <c r="Q2472" s="199"/>
      <c r="R2472" s="199"/>
    </row>
    <row r="2473" spans="2:18">
      <c r="C2473" s="249" t="s">
        <v>565</v>
      </c>
      <c r="D2473" s="249" t="s">
        <v>1599</v>
      </c>
      <c r="E2473" s="201">
        <v>91</v>
      </c>
      <c r="F2473" s="201">
        <f>70/8</f>
        <v>8.75</v>
      </c>
      <c r="G2473" s="203">
        <v>44867</v>
      </c>
      <c r="M2473" s="199"/>
      <c r="N2473" s="199"/>
      <c r="O2473" s="199"/>
      <c r="P2473" s="199"/>
      <c r="Q2473" s="199"/>
      <c r="R2473" s="199"/>
    </row>
    <row r="2474" spans="2:18">
      <c r="B2474" s="248" t="s">
        <v>3182</v>
      </c>
      <c r="C2474" s="249" t="s">
        <v>565</v>
      </c>
      <c r="D2474" s="249" t="s">
        <v>1599</v>
      </c>
      <c r="E2474" s="201">
        <v>91</v>
      </c>
      <c r="F2474" s="201">
        <f t="shared" ref="F2474:F2476" si="23">70/8</f>
        <v>8.75</v>
      </c>
      <c r="G2474" s="203">
        <v>44867</v>
      </c>
      <c r="M2474" s="199"/>
      <c r="N2474" s="199"/>
      <c r="O2474" s="199"/>
      <c r="P2474" s="199"/>
      <c r="Q2474" s="199"/>
      <c r="R2474" s="199"/>
    </row>
    <row r="2475" spans="2:18">
      <c r="B2475" s="248" t="s">
        <v>3183</v>
      </c>
      <c r="C2475" s="249" t="s">
        <v>565</v>
      </c>
      <c r="D2475" s="249" t="s">
        <v>1599</v>
      </c>
      <c r="E2475" s="201">
        <v>91</v>
      </c>
      <c r="F2475" s="201">
        <f t="shared" si="23"/>
        <v>8.75</v>
      </c>
      <c r="G2475" s="203">
        <v>44867</v>
      </c>
      <c r="M2475" s="199"/>
      <c r="N2475" s="199"/>
      <c r="O2475" s="199"/>
      <c r="P2475" s="199"/>
      <c r="Q2475" s="199"/>
      <c r="R2475" s="199"/>
    </row>
    <row r="2476" spans="2:18">
      <c r="B2476" s="248" t="s">
        <v>3184</v>
      </c>
      <c r="C2476" s="249" t="s">
        <v>565</v>
      </c>
      <c r="D2476" s="249" t="s">
        <v>1599</v>
      </c>
      <c r="E2476" s="201">
        <v>91</v>
      </c>
      <c r="F2476" s="201">
        <f t="shared" si="23"/>
        <v>8.75</v>
      </c>
      <c r="G2476" s="203">
        <v>44867</v>
      </c>
      <c r="M2476" s="199"/>
      <c r="N2476" s="199"/>
      <c r="O2476" s="199"/>
      <c r="P2476" s="199"/>
      <c r="Q2476" s="199"/>
      <c r="R2476" s="199"/>
    </row>
    <row r="2477" spans="2:18">
      <c r="B2477" s="248" t="s">
        <v>3191</v>
      </c>
      <c r="C2477" s="249" t="s">
        <v>544</v>
      </c>
      <c r="D2477" s="249" t="s">
        <v>1609</v>
      </c>
      <c r="E2477" s="201">
        <v>57</v>
      </c>
      <c r="F2477" s="201">
        <v>12</v>
      </c>
      <c r="G2477" s="203">
        <v>44508</v>
      </c>
      <c r="M2477" s="199"/>
      <c r="N2477" s="199"/>
      <c r="O2477" s="199"/>
      <c r="P2477" s="199"/>
      <c r="Q2477" s="199"/>
      <c r="R2477" s="199"/>
    </row>
    <row r="2478" spans="2:18">
      <c r="B2478" s="248" t="s">
        <v>3192</v>
      </c>
      <c r="C2478" s="249" t="s">
        <v>544</v>
      </c>
      <c r="D2478" s="249" t="s">
        <v>1609</v>
      </c>
      <c r="E2478" s="201">
        <v>57</v>
      </c>
      <c r="F2478" s="201">
        <v>5.625</v>
      </c>
      <c r="G2478" s="203">
        <v>44508</v>
      </c>
      <c r="M2478" s="199"/>
      <c r="N2478" s="199"/>
      <c r="O2478" s="199"/>
      <c r="P2478" s="199"/>
      <c r="Q2478" s="199"/>
      <c r="R2478" s="199"/>
    </row>
    <row r="2479" spans="2:18">
      <c r="B2479" s="248" t="s">
        <v>3194</v>
      </c>
      <c r="C2479" s="249" t="s">
        <v>544</v>
      </c>
      <c r="D2479" s="249" t="s">
        <v>1609</v>
      </c>
      <c r="E2479" s="201">
        <v>57</v>
      </c>
      <c r="F2479" s="201">
        <v>5.625</v>
      </c>
      <c r="G2479" s="203">
        <v>44508</v>
      </c>
      <c r="M2479" s="199"/>
      <c r="N2479" s="199"/>
      <c r="O2479" s="199"/>
      <c r="P2479" s="199"/>
      <c r="Q2479" s="199"/>
      <c r="R2479" s="199"/>
    </row>
    <row r="2480" spans="2:18">
      <c r="B2480" s="248" t="s">
        <v>3195</v>
      </c>
      <c r="C2480" s="249" t="s">
        <v>544</v>
      </c>
      <c r="D2480" s="249" t="s">
        <v>1609</v>
      </c>
      <c r="E2480" s="201">
        <v>57</v>
      </c>
      <c r="F2480" s="201">
        <v>5.625</v>
      </c>
      <c r="G2480" s="203">
        <v>44508</v>
      </c>
      <c r="M2480" s="199"/>
      <c r="N2480" s="199"/>
      <c r="O2480" s="199"/>
      <c r="P2480" s="199"/>
      <c r="Q2480" s="199"/>
      <c r="R2480" s="199"/>
    </row>
    <row r="2481" spans="2:18">
      <c r="B2481" s="250" t="s">
        <v>3203</v>
      </c>
      <c r="C2481" s="252" t="s">
        <v>755</v>
      </c>
      <c r="D2481" s="252" t="s">
        <v>1628</v>
      </c>
      <c r="E2481" s="201">
        <v>69</v>
      </c>
      <c r="F2481" s="201">
        <v>19</v>
      </c>
      <c r="G2481" s="203">
        <v>45091</v>
      </c>
      <c r="M2481" s="199"/>
      <c r="N2481" s="199"/>
      <c r="O2481" s="199"/>
      <c r="P2481" s="199"/>
      <c r="Q2481" s="199"/>
      <c r="R2481" s="199"/>
    </row>
    <row r="2482" spans="2:18">
      <c r="B2482" s="250"/>
      <c r="C2482" s="282" t="s">
        <v>738</v>
      </c>
      <c r="D2482" s="282" t="s">
        <v>1949</v>
      </c>
      <c r="E2482" s="201">
        <v>60</v>
      </c>
      <c r="F2482" s="201">
        <v>60</v>
      </c>
      <c r="G2482" s="203">
        <v>44908</v>
      </c>
      <c r="I2482" s="199">
        <v>2200</v>
      </c>
      <c r="J2482" s="199">
        <v>2200</v>
      </c>
      <c r="M2482" s="199"/>
      <c r="N2482" s="199"/>
      <c r="O2482" s="199"/>
      <c r="P2482" s="199"/>
      <c r="Q2482" s="199"/>
      <c r="R2482" s="199"/>
    </row>
    <row r="2483" spans="2:18">
      <c r="B2483" s="250"/>
      <c r="C2483" s="252"/>
      <c r="D2483" s="252"/>
      <c r="G2483" s="203"/>
      <c r="M2483" s="199"/>
      <c r="N2483" s="199"/>
      <c r="O2483" s="199"/>
      <c r="P2483" s="199"/>
      <c r="Q2483" s="199"/>
      <c r="R2483" s="199"/>
    </row>
    <row r="2484" spans="2:18">
      <c r="B2484" s="250" t="s">
        <v>3204</v>
      </c>
      <c r="C2484" s="252" t="s">
        <v>565</v>
      </c>
      <c r="D2484" s="252" t="s">
        <v>1628</v>
      </c>
      <c r="E2484" s="201">
        <v>110</v>
      </c>
      <c r="F2484" s="201">
        <v>14</v>
      </c>
      <c r="G2484" s="203">
        <v>44369</v>
      </c>
      <c r="M2484" s="199"/>
      <c r="N2484" s="199"/>
      <c r="O2484" s="199"/>
      <c r="P2484" s="199"/>
      <c r="Q2484" s="199"/>
      <c r="R2484" s="199"/>
    </row>
    <row r="2485" spans="2:18">
      <c r="B2485" s="250" t="s">
        <v>3218</v>
      </c>
      <c r="C2485" s="252" t="s">
        <v>544</v>
      </c>
      <c r="D2485" s="252" t="s">
        <v>1643</v>
      </c>
      <c r="E2485" s="201">
        <v>10</v>
      </c>
      <c r="F2485" s="201">
        <v>1.4</v>
      </c>
      <c r="G2485" s="203">
        <v>44637</v>
      </c>
    </row>
    <row r="2486" spans="2:18">
      <c r="B2486" s="250" t="s">
        <v>3219</v>
      </c>
      <c r="C2486" s="252" t="s">
        <v>544</v>
      </c>
      <c r="D2486" s="252" t="s">
        <v>1643</v>
      </c>
      <c r="E2486" s="201">
        <v>10</v>
      </c>
      <c r="F2486" s="201">
        <v>1.4</v>
      </c>
      <c r="G2486" s="203">
        <v>44637</v>
      </c>
    </row>
    <row r="2487" spans="2:18">
      <c r="B2487" s="250"/>
      <c r="C2487" s="252"/>
      <c r="D2487" s="252"/>
      <c r="G2487" s="203"/>
    </row>
    <row r="2488" spans="2:18">
      <c r="B2488" s="250" t="s">
        <v>3221</v>
      </c>
      <c r="C2488" s="252" t="s">
        <v>549</v>
      </c>
      <c r="D2488" s="252" t="s">
        <v>1643</v>
      </c>
      <c r="E2488" s="201">
        <v>4.5</v>
      </c>
      <c r="F2488" s="201">
        <v>0.5</v>
      </c>
      <c r="G2488" s="203">
        <v>44175</v>
      </c>
    </row>
    <row r="2489" spans="2:18">
      <c r="B2489" s="250"/>
      <c r="C2489" s="252" t="s">
        <v>565</v>
      </c>
      <c r="D2489" s="252" t="s">
        <v>3702</v>
      </c>
      <c r="E2489" s="201">
        <v>38</v>
      </c>
      <c r="F2489" s="201">
        <v>3</v>
      </c>
      <c r="G2489" s="203">
        <v>43104</v>
      </c>
    </row>
    <row r="2490" spans="2:18">
      <c r="B2490" s="250"/>
      <c r="C2490" s="252" t="s">
        <v>402</v>
      </c>
      <c r="D2490" s="252" t="s">
        <v>3702</v>
      </c>
      <c r="E2490" s="201">
        <v>6.9</v>
      </c>
      <c r="F2490" s="201">
        <f>E2490/5</f>
        <v>1.3800000000000001</v>
      </c>
      <c r="G2490" s="203">
        <v>42458</v>
      </c>
    </row>
    <row r="2491" spans="2:18">
      <c r="B2491" s="250"/>
      <c r="C2491" s="252" t="s">
        <v>544</v>
      </c>
      <c r="D2491" s="252" t="s">
        <v>3702</v>
      </c>
      <c r="E2491" s="201">
        <v>2.7</v>
      </c>
      <c r="F2491" s="201">
        <f>1.7/4</f>
        <v>0.42499999999999999</v>
      </c>
      <c r="G2491" s="203">
        <v>42139</v>
      </c>
    </row>
    <row r="2492" spans="2:18">
      <c r="B2492" s="250"/>
      <c r="C2492" s="252"/>
      <c r="D2492" s="252"/>
      <c r="G2492" s="203"/>
    </row>
    <row r="2493" spans="2:18">
      <c r="B2493" s="250" t="s">
        <v>3222</v>
      </c>
      <c r="C2493" s="252" t="s">
        <v>549</v>
      </c>
      <c r="D2493" s="252" t="s">
        <v>1643</v>
      </c>
      <c r="E2493" s="201">
        <v>1.8</v>
      </c>
      <c r="F2493" s="201">
        <f>+E2493/9</f>
        <v>0.2</v>
      </c>
      <c r="G2493" s="203">
        <v>42690</v>
      </c>
    </row>
    <row r="2494" spans="2:18">
      <c r="B2494" s="250" t="s">
        <v>3223</v>
      </c>
      <c r="C2494" s="252" t="s">
        <v>549</v>
      </c>
      <c r="D2494" s="252" t="s">
        <v>1643</v>
      </c>
      <c r="E2494" s="201">
        <v>1.8</v>
      </c>
      <c r="F2494" s="201">
        <f>+E2494/9</f>
        <v>0.2</v>
      </c>
      <c r="G2494" s="203">
        <v>42690</v>
      </c>
    </row>
    <row r="2495" spans="2:18">
      <c r="B2495" s="250" t="s">
        <v>3224</v>
      </c>
      <c r="C2495" s="252" t="s">
        <v>549</v>
      </c>
      <c r="D2495" s="252" t="s">
        <v>1643</v>
      </c>
      <c r="E2495" s="201">
        <v>1.8</v>
      </c>
      <c r="F2495" s="201">
        <f t="shared" ref="F2495:F2496" si="24">+E2495/9</f>
        <v>0.2</v>
      </c>
      <c r="G2495" s="203">
        <v>42690</v>
      </c>
    </row>
    <row r="2496" spans="2:18">
      <c r="B2496" s="250" t="s">
        <v>3225</v>
      </c>
      <c r="C2496" s="252" t="s">
        <v>549</v>
      </c>
      <c r="D2496" s="252" t="s">
        <v>1643</v>
      </c>
      <c r="E2496" s="201">
        <v>1.8</v>
      </c>
      <c r="F2496" s="201">
        <f t="shared" si="24"/>
        <v>0.2</v>
      </c>
      <c r="G2496" s="203">
        <v>42690</v>
      </c>
    </row>
    <row r="2497" spans="2:19">
      <c r="B2497" s="250" t="s">
        <v>3232</v>
      </c>
      <c r="C2497" s="252" t="s">
        <v>544</v>
      </c>
      <c r="D2497" s="252" t="s">
        <v>1651</v>
      </c>
      <c r="E2497" s="201">
        <v>15</v>
      </c>
      <c r="F2497" s="201">
        <v>2</v>
      </c>
      <c r="G2497" s="203">
        <v>44314</v>
      </c>
    </row>
    <row r="2498" spans="2:19">
      <c r="B2498" s="250" t="s">
        <v>3233</v>
      </c>
      <c r="C2498" s="252" t="s">
        <v>544</v>
      </c>
      <c r="D2498" s="252" t="s">
        <v>1651</v>
      </c>
      <c r="E2498" s="201">
        <v>15</v>
      </c>
      <c r="F2498" s="201">
        <v>2</v>
      </c>
      <c r="G2498" s="203">
        <v>44314</v>
      </c>
    </row>
    <row r="2499" spans="2:19">
      <c r="B2499" s="250"/>
      <c r="C2499" s="252"/>
      <c r="D2499" s="252"/>
      <c r="G2499" s="203"/>
    </row>
    <row r="2500" spans="2:19">
      <c r="B2500" s="250" t="s">
        <v>3234</v>
      </c>
      <c r="C2500" s="252" t="s">
        <v>544</v>
      </c>
      <c r="D2500" s="252" t="s">
        <v>1651</v>
      </c>
      <c r="E2500" s="201">
        <v>15</v>
      </c>
      <c r="F2500" s="201">
        <v>2</v>
      </c>
      <c r="G2500" s="203">
        <v>44314</v>
      </c>
      <c r="S2500" s="281" t="s">
        <v>4140</v>
      </c>
    </row>
    <row r="2501" spans="2:19">
      <c r="B2501" s="250"/>
      <c r="C2501" s="282" t="s">
        <v>549</v>
      </c>
      <c r="D2501" s="282" t="s">
        <v>1913</v>
      </c>
      <c r="E2501" s="201">
        <v>8</v>
      </c>
      <c r="F2501" s="201">
        <f>5/8</f>
        <v>0.625</v>
      </c>
      <c r="G2501" s="203">
        <v>44063</v>
      </c>
    </row>
    <row r="2502" spans="2:19">
      <c r="B2502" s="250"/>
      <c r="C2502" s="252"/>
      <c r="D2502" s="252"/>
      <c r="G2502" s="203"/>
    </row>
    <row r="2503" spans="2:19">
      <c r="B2503" s="250" t="s">
        <v>3701</v>
      </c>
      <c r="C2503" s="252" t="s">
        <v>565</v>
      </c>
      <c r="D2503" s="252" t="s">
        <v>3702</v>
      </c>
      <c r="E2503" s="201">
        <v>38</v>
      </c>
      <c r="F2503" s="201">
        <v>6</v>
      </c>
      <c r="G2503" s="203">
        <v>43104</v>
      </c>
    </row>
    <row r="2504" spans="2:19">
      <c r="B2504" s="250"/>
      <c r="C2504" s="282" t="s">
        <v>565</v>
      </c>
      <c r="D2504" s="282" t="s">
        <v>1941</v>
      </c>
      <c r="E2504" s="201">
        <v>230</v>
      </c>
      <c r="F2504" s="201">
        <v>40</v>
      </c>
      <c r="G2504" s="203">
        <v>43634</v>
      </c>
      <c r="I2504" s="199">
        <v>770</v>
      </c>
      <c r="J2504" s="199">
        <v>770</v>
      </c>
    </row>
    <row r="2505" spans="2:19">
      <c r="B2505" s="250"/>
      <c r="C2505" s="252"/>
      <c r="D2505" s="252"/>
      <c r="G2505" s="203"/>
    </row>
    <row r="2506" spans="2:19">
      <c r="B2506" s="250" t="s">
        <v>3703</v>
      </c>
      <c r="C2506" s="252" t="s">
        <v>565</v>
      </c>
      <c r="D2506" s="252" t="s">
        <v>3702</v>
      </c>
      <c r="E2506" s="201">
        <v>38</v>
      </c>
      <c r="F2506" s="201">
        <v>6</v>
      </c>
      <c r="G2506" s="203">
        <v>43104</v>
      </c>
    </row>
    <row r="2507" spans="2:19">
      <c r="B2507" s="250" t="s">
        <v>3704</v>
      </c>
      <c r="C2507" s="252" t="s">
        <v>565</v>
      </c>
      <c r="D2507" s="252" t="s">
        <v>3702</v>
      </c>
      <c r="E2507" s="201">
        <v>38</v>
      </c>
      <c r="F2507" s="201">
        <f>20/6</f>
        <v>3.3333333333333335</v>
      </c>
      <c r="G2507" s="203">
        <v>43104</v>
      </c>
    </row>
    <row r="2508" spans="2:19">
      <c r="B2508" s="250"/>
      <c r="C2508" s="252" t="s">
        <v>402</v>
      </c>
      <c r="D2508" s="252" t="s">
        <v>3702</v>
      </c>
      <c r="E2508" s="201">
        <v>6.9</v>
      </c>
      <c r="F2508" s="201">
        <f>E2508/5</f>
        <v>1.3800000000000001</v>
      </c>
      <c r="G2508" s="203">
        <v>42458</v>
      </c>
    </row>
    <row r="2509" spans="2:19">
      <c r="B2509" s="250"/>
      <c r="C2509" s="252" t="s">
        <v>544</v>
      </c>
      <c r="D2509" s="252" t="s">
        <v>3702</v>
      </c>
      <c r="E2509" s="201">
        <v>2.7</v>
      </c>
      <c r="F2509" s="201">
        <v>1</v>
      </c>
      <c r="G2509" s="203">
        <v>42139</v>
      </c>
    </row>
    <row r="2510" spans="2:19">
      <c r="B2510" s="250"/>
      <c r="C2510" s="252"/>
      <c r="D2510" s="252"/>
      <c r="G2510" s="203"/>
    </row>
    <row r="2511" spans="2:19">
      <c r="B2511" s="250" t="s">
        <v>3707</v>
      </c>
      <c r="C2511" s="252" t="s">
        <v>402</v>
      </c>
      <c r="D2511" s="252" t="s">
        <v>3702</v>
      </c>
      <c r="E2511" s="201">
        <v>6.9</v>
      </c>
      <c r="F2511" s="201">
        <f>E2511/5</f>
        <v>1.3800000000000001</v>
      </c>
      <c r="G2511" s="203">
        <v>42458</v>
      </c>
    </row>
    <row r="2512" spans="2:19">
      <c r="C2512" s="252" t="s">
        <v>544</v>
      </c>
      <c r="D2512" s="252" t="s">
        <v>3702</v>
      </c>
      <c r="E2512" s="201">
        <v>2.7</v>
      </c>
      <c r="F2512" s="201">
        <f>1.7/4</f>
        <v>0.42499999999999999</v>
      </c>
      <c r="G2512" s="203">
        <v>42139</v>
      </c>
    </row>
    <row r="2513" spans="2:7">
      <c r="B2513" s="250" t="s">
        <v>3713</v>
      </c>
      <c r="C2513" s="252" t="s">
        <v>544</v>
      </c>
      <c r="D2513" s="252" t="s">
        <v>1659</v>
      </c>
      <c r="E2513" s="201">
        <v>30</v>
      </c>
      <c r="F2513" s="201">
        <f>20/5</f>
        <v>4</v>
      </c>
      <c r="G2513" s="203">
        <v>44474</v>
      </c>
    </row>
    <row r="2514" spans="2:7">
      <c r="B2514" s="250" t="s">
        <v>3714</v>
      </c>
      <c r="C2514" s="252" t="s">
        <v>544</v>
      </c>
      <c r="D2514" s="252" t="s">
        <v>1659</v>
      </c>
      <c r="E2514" s="201">
        <v>30</v>
      </c>
      <c r="F2514" s="201">
        <f>20/5</f>
        <v>4</v>
      </c>
      <c r="G2514" s="203">
        <v>44474</v>
      </c>
    </row>
    <row r="2515" spans="2:7">
      <c r="C2515" s="252" t="s">
        <v>549</v>
      </c>
      <c r="D2515" s="252" t="s">
        <v>1659</v>
      </c>
      <c r="E2515" s="201">
        <v>15</v>
      </c>
      <c r="F2515" s="201">
        <f>10/4</f>
        <v>2.5</v>
      </c>
      <c r="G2515" s="203">
        <v>43775</v>
      </c>
    </row>
    <row r="2516" spans="2:7">
      <c r="B2516" s="250" t="s">
        <v>3740</v>
      </c>
      <c r="C2516" s="252" t="s">
        <v>402</v>
      </c>
      <c r="D2516" s="252" t="s">
        <v>1692</v>
      </c>
      <c r="E2516" s="201">
        <v>35</v>
      </c>
      <c r="F2516" s="201">
        <f>15/3</f>
        <v>5</v>
      </c>
      <c r="G2516" s="203">
        <v>44309</v>
      </c>
    </row>
    <row r="2517" spans="2:7">
      <c r="B2517" s="250" t="s">
        <v>3741</v>
      </c>
      <c r="C2517" s="252" t="s">
        <v>402</v>
      </c>
      <c r="D2517" s="252" t="s">
        <v>1692</v>
      </c>
      <c r="E2517" s="201">
        <v>35</v>
      </c>
      <c r="F2517" s="201">
        <f>15/3</f>
        <v>5</v>
      </c>
      <c r="G2517" s="203">
        <v>44309</v>
      </c>
    </row>
    <row r="2518" spans="2:7">
      <c r="B2518" s="267" t="s">
        <v>3775</v>
      </c>
      <c r="C2518" s="272" t="s">
        <v>549</v>
      </c>
      <c r="D2518" s="272" t="s">
        <v>1728</v>
      </c>
      <c r="E2518" s="201">
        <v>2.1</v>
      </c>
      <c r="F2518" s="201">
        <v>1.1000000000000001</v>
      </c>
      <c r="G2518" s="203">
        <v>44565</v>
      </c>
    </row>
    <row r="2519" spans="2:7">
      <c r="B2519" s="267" t="s">
        <v>3776</v>
      </c>
      <c r="C2519" s="272" t="s">
        <v>549</v>
      </c>
      <c r="D2519" s="272" t="s">
        <v>1728</v>
      </c>
      <c r="E2519" s="201">
        <v>2.1</v>
      </c>
      <c r="F2519" s="201">
        <v>1</v>
      </c>
      <c r="G2519" s="203">
        <v>44565</v>
      </c>
    </row>
    <row r="2520" spans="2:7">
      <c r="B2520" s="267" t="s">
        <v>3789</v>
      </c>
      <c r="C2520" s="272" t="s">
        <v>544</v>
      </c>
      <c r="D2520" s="272" t="s">
        <v>1755</v>
      </c>
      <c r="E2520" s="201">
        <v>32</v>
      </c>
      <c r="F2520" s="201">
        <v>5</v>
      </c>
      <c r="G2520" s="203">
        <v>44851</v>
      </c>
    </row>
    <row r="2521" spans="2:7">
      <c r="B2521" s="267" t="s">
        <v>3802</v>
      </c>
      <c r="C2521" s="272" t="s">
        <v>549</v>
      </c>
      <c r="D2521" s="272" t="s">
        <v>1785</v>
      </c>
      <c r="E2521" s="201">
        <v>0.125</v>
      </c>
      <c r="F2521" s="201">
        <v>5.0000000000000001E-3</v>
      </c>
      <c r="G2521" s="203">
        <v>44265</v>
      </c>
    </row>
    <row r="2522" spans="2:7">
      <c r="B2522" s="267" t="s">
        <v>3803</v>
      </c>
      <c r="C2522" s="272" t="s">
        <v>669</v>
      </c>
      <c r="D2522" s="272" t="s">
        <v>1785</v>
      </c>
      <c r="E2522" s="201">
        <v>0.2</v>
      </c>
      <c r="F2522" s="201">
        <v>0.1</v>
      </c>
      <c r="G2522" s="203">
        <v>44054</v>
      </c>
    </row>
    <row r="2523" spans="2:7">
      <c r="B2523" s="267" t="s">
        <v>3808</v>
      </c>
      <c r="C2523" s="272" t="s">
        <v>755</v>
      </c>
      <c r="D2523" s="272" t="s">
        <v>1798</v>
      </c>
      <c r="E2523" s="201">
        <v>111</v>
      </c>
      <c r="F2523" s="201">
        <f>97/14</f>
        <v>6.9285714285714288</v>
      </c>
      <c r="G2523" s="203">
        <v>44622</v>
      </c>
    </row>
    <row r="2524" spans="2:7">
      <c r="B2524" s="267"/>
      <c r="C2524" s="272" t="s">
        <v>402</v>
      </c>
      <c r="D2524" s="272" t="s">
        <v>1798</v>
      </c>
      <c r="E2524" s="201">
        <v>16</v>
      </c>
      <c r="F2524" s="201">
        <v>2</v>
      </c>
      <c r="G2524" s="203">
        <v>44009</v>
      </c>
    </row>
    <row r="2525" spans="2:7">
      <c r="B2525" s="267" t="s">
        <v>3809</v>
      </c>
      <c r="C2525" s="272" t="s">
        <v>755</v>
      </c>
      <c r="D2525" s="272" t="s">
        <v>1798</v>
      </c>
      <c r="E2525" s="201">
        <v>111</v>
      </c>
      <c r="F2525" s="201">
        <f>97/14</f>
        <v>6.9285714285714288</v>
      </c>
      <c r="G2525" s="203">
        <v>44622</v>
      </c>
    </row>
    <row r="2526" spans="2:7">
      <c r="B2526" s="267" t="s">
        <v>3810</v>
      </c>
      <c r="C2526" s="272" t="s">
        <v>755</v>
      </c>
      <c r="D2526" s="272" t="s">
        <v>1798</v>
      </c>
      <c r="E2526" s="201">
        <v>111</v>
      </c>
      <c r="F2526" s="201">
        <f>97/14</f>
        <v>6.9285714285714288</v>
      </c>
      <c r="G2526" s="203">
        <v>44622</v>
      </c>
    </row>
    <row r="2527" spans="2:7">
      <c r="B2527" s="267"/>
      <c r="C2527" s="272" t="s">
        <v>402</v>
      </c>
      <c r="D2527" s="272" t="s">
        <v>1798</v>
      </c>
      <c r="E2527" s="201">
        <v>16</v>
      </c>
      <c r="F2527" s="201">
        <v>2</v>
      </c>
      <c r="G2527" s="203">
        <v>44009</v>
      </c>
    </row>
    <row r="2528" spans="2:7">
      <c r="B2528" s="267" t="s">
        <v>3811</v>
      </c>
      <c r="C2528" s="272" t="s">
        <v>755</v>
      </c>
      <c r="D2528" s="272" t="s">
        <v>1798</v>
      </c>
      <c r="E2528" s="201">
        <v>111</v>
      </c>
      <c r="F2528" s="201">
        <f>97/14</f>
        <v>6.9285714285714288</v>
      </c>
      <c r="G2528" s="203">
        <v>44622</v>
      </c>
    </row>
    <row r="2529" spans="2:7">
      <c r="B2529" s="267"/>
      <c r="C2529" s="272" t="s">
        <v>565</v>
      </c>
      <c r="D2529" s="272" t="s">
        <v>1798</v>
      </c>
      <c r="E2529" s="201">
        <v>55</v>
      </c>
      <c r="F2529" s="201">
        <v>5.625</v>
      </c>
      <c r="G2529" s="203">
        <v>44314</v>
      </c>
    </row>
    <row r="2530" spans="2:7">
      <c r="B2530" s="267"/>
      <c r="C2530" s="272" t="s">
        <v>402</v>
      </c>
      <c r="D2530" s="272" t="s">
        <v>1798</v>
      </c>
      <c r="E2530" s="201">
        <v>16</v>
      </c>
      <c r="F2530" s="201">
        <v>2</v>
      </c>
      <c r="G2530" s="203">
        <v>44009</v>
      </c>
    </row>
    <row r="2531" spans="2:7">
      <c r="B2531" s="267"/>
      <c r="C2531" s="272" t="s">
        <v>544</v>
      </c>
      <c r="D2531" s="272" t="s">
        <v>1798</v>
      </c>
      <c r="E2531" s="201">
        <v>14</v>
      </c>
      <c r="F2531" s="201">
        <v>1.6666666666666667</v>
      </c>
      <c r="G2531" s="203">
        <v>43690</v>
      </c>
    </row>
    <row r="2532" spans="2:7">
      <c r="B2532" s="267" t="s">
        <v>3812</v>
      </c>
      <c r="C2532" s="272" t="s">
        <v>755</v>
      </c>
      <c r="D2532" s="272" t="s">
        <v>1798</v>
      </c>
      <c r="E2532" s="201">
        <v>111</v>
      </c>
      <c r="F2532" s="201">
        <f>97/14</f>
        <v>6.9285714285714288</v>
      </c>
      <c r="G2532" s="203">
        <v>44622</v>
      </c>
    </row>
    <row r="2533" spans="2:7">
      <c r="B2533" s="267"/>
      <c r="C2533" s="272" t="s">
        <v>565</v>
      </c>
      <c r="D2533" s="272" t="s">
        <v>1798</v>
      </c>
      <c r="E2533" s="201">
        <v>55</v>
      </c>
      <c r="F2533" s="201">
        <v>5.625</v>
      </c>
      <c r="G2533" s="203">
        <v>44314</v>
      </c>
    </row>
    <row r="2534" spans="2:7">
      <c r="B2534" s="267"/>
      <c r="C2534" s="272" t="s">
        <v>402</v>
      </c>
      <c r="D2534" s="272" t="s">
        <v>1798</v>
      </c>
      <c r="E2534" s="201">
        <v>16</v>
      </c>
      <c r="F2534" s="201">
        <v>2</v>
      </c>
      <c r="G2534" s="203">
        <v>44009</v>
      </c>
    </row>
    <row r="2535" spans="2:7">
      <c r="B2535" s="267"/>
      <c r="C2535" s="272" t="s">
        <v>544</v>
      </c>
      <c r="D2535" s="272" t="s">
        <v>1798</v>
      </c>
      <c r="E2535" s="201">
        <v>14</v>
      </c>
      <c r="F2535" s="201">
        <v>1.6666666666666667</v>
      </c>
      <c r="G2535" s="203">
        <v>43690</v>
      </c>
    </row>
    <row r="2536" spans="2:7">
      <c r="B2536" s="267" t="s">
        <v>3813</v>
      </c>
      <c r="C2536" s="272" t="s">
        <v>755</v>
      </c>
      <c r="D2536" s="272" t="s">
        <v>1798</v>
      </c>
      <c r="E2536" s="201">
        <v>111</v>
      </c>
      <c r="F2536" s="201">
        <f>97/14</f>
        <v>6.9285714285714288</v>
      </c>
      <c r="G2536" s="203">
        <v>44622</v>
      </c>
    </row>
    <row r="2537" spans="2:7">
      <c r="B2537" s="267" t="s">
        <v>3819</v>
      </c>
      <c r="C2537" s="272" t="s">
        <v>755</v>
      </c>
      <c r="D2537" s="272" t="s">
        <v>1798</v>
      </c>
      <c r="E2537" s="201">
        <v>111</v>
      </c>
      <c r="F2537" s="201">
        <f>97/14</f>
        <v>6.9285714285714288</v>
      </c>
      <c r="G2537" s="203">
        <v>44622</v>
      </c>
    </row>
    <row r="2538" spans="2:7">
      <c r="B2538" s="267"/>
      <c r="C2538" s="272" t="s">
        <v>565</v>
      </c>
      <c r="D2538" s="272" t="s">
        <v>1798</v>
      </c>
      <c r="E2538" s="201">
        <v>55</v>
      </c>
      <c r="F2538" s="201">
        <v>5.625</v>
      </c>
      <c r="G2538" s="203">
        <v>44314</v>
      </c>
    </row>
    <row r="2539" spans="2:7">
      <c r="B2539" s="267" t="s">
        <v>3814</v>
      </c>
      <c r="C2539" s="272" t="s">
        <v>755</v>
      </c>
      <c r="D2539" s="272" t="s">
        <v>1798</v>
      </c>
      <c r="E2539" s="201">
        <v>111</v>
      </c>
      <c r="F2539" s="201">
        <f>97/14</f>
        <v>6.9285714285714288</v>
      </c>
      <c r="G2539" s="203">
        <v>44622</v>
      </c>
    </row>
    <row r="2540" spans="2:7">
      <c r="B2540" s="267" t="s">
        <v>3815</v>
      </c>
      <c r="C2540" s="272" t="s">
        <v>755</v>
      </c>
      <c r="D2540" s="272" t="s">
        <v>1798</v>
      </c>
      <c r="E2540" s="201">
        <v>111</v>
      </c>
      <c r="F2540" s="201">
        <f>97/14</f>
        <v>6.9285714285714288</v>
      </c>
      <c r="G2540" s="203">
        <v>44622</v>
      </c>
    </row>
    <row r="2541" spans="2:7">
      <c r="B2541" s="267" t="s">
        <v>3817</v>
      </c>
      <c r="C2541" s="272" t="s">
        <v>565</v>
      </c>
      <c r="D2541" s="272" t="s">
        <v>1798</v>
      </c>
      <c r="E2541" s="201">
        <v>55</v>
      </c>
      <c r="F2541" s="201">
        <v>5.625</v>
      </c>
      <c r="G2541" s="203">
        <v>44314</v>
      </c>
    </row>
    <row r="2542" spans="2:7">
      <c r="B2542" s="267"/>
      <c r="C2542" s="272" t="s">
        <v>402</v>
      </c>
      <c r="D2542" s="272" t="s">
        <v>1798</v>
      </c>
      <c r="E2542" s="201">
        <v>16</v>
      </c>
      <c r="F2542" s="201">
        <v>2</v>
      </c>
      <c r="G2542" s="203">
        <v>44009</v>
      </c>
    </row>
    <row r="2543" spans="2:7">
      <c r="B2543" s="267"/>
      <c r="C2543" s="272" t="s">
        <v>544</v>
      </c>
      <c r="D2543" s="272" t="s">
        <v>1798</v>
      </c>
      <c r="E2543" s="201">
        <v>14</v>
      </c>
      <c r="F2543" s="201">
        <v>1.6666666666666667</v>
      </c>
      <c r="G2543" s="203">
        <v>43690</v>
      </c>
    </row>
    <row r="2544" spans="2:7">
      <c r="B2544" s="267" t="s">
        <v>3818</v>
      </c>
      <c r="C2544" s="272" t="s">
        <v>565</v>
      </c>
      <c r="D2544" s="272" t="s">
        <v>1798</v>
      </c>
      <c r="E2544" s="201">
        <v>55</v>
      </c>
      <c r="F2544" s="201">
        <v>5.625</v>
      </c>
      <c r="G2544" s="203">
        <v>44314</v>
      </c>
    </row>
    <row r="2545" spans="2:10">
      <c r="B2545" s="267" t="s">
        <v>3822</v>
      </c>
      <c r="C2545" s="272" t="s">
        <v>544</v>
      </c>
      <c r="D2545" s="272" t="s">
        <v>1798</v>
      </c>
      <c r="E2545" s="201">
        <v>14</v>
      </c>
      <c r="F2545" s="201">
        <v>1.6666666666666667</v>
      </c>
      <c r="G2545" s="203">
        <v>43690</v>
      </c>
    </row>
    <row r="2546" spans="2:10">
      <c r="B2546" s="267" t="s">
        <v>3823</v>
      </c>
      <c r="C2546" s="272" t="s">
        <v>544</v>
      </c>
      <c r="D2546" s="272" t="s">
        <v>1798</v>
      </c>
      <c r="E2546" s="201">
        <v>14</v>
      </c>
      <c r="F2546" s="201">
        <v>1.6666666666666667</v>
      </c>
      <c r="G2546" s="203">
        <v>43690</v>
      </c>
    </row>
    <row r="2547" spans="2:10">
      <c r="B2547" s="267" t="s">
        <v>3824</v>
      </c>
      <c r="C2547" s="272" t="s">
        <v>544</v>
      </c>
      <c r="D2547" s="272" t="s">
        <v>1798</v>
      </c>
      <c r="E2547" s="201">
        <v>14</v>
      </c>
      <c r="F2547" s="201">
        <v>1.6666666666666667</v>
      </c>
      <c r="G2547" s="203">
        <v>43690</v>
      </c>
    </row>
    <row r="2548" spans="2:10">
      <c r="B2548" s="267"/>
      <c r="C2548" s="272" t="s">
        <v>549</v>
      </c>
      <c r="D2548" s="272" t="s">
        <v>1798</v>
      </c>
      <c r="E2548" s="201">
        <v>3.5</v>
      </c>
      <c r="F2548" s="201">
        <f>+E2548/9</f>
        <v>0.3888888888888889</v>
      </c>
      <c r="G2548" s="203">
        <v>42979</v>
      </c>
    </row>
    <row r="2549" spans="2:10">
      <c r="B2549" s="267" t="s">
        <v>3826</v>
      </c>
      <c r="C2549" s="272" t="s">
        <v>549</v>
      </c>
      <c r="D2549" s="272" t="s">
        <v>1798</v>
      </c>
      <c r="E2549" s="201">
        <v>3.5</v>
      </c>
      <c r="F2549" s="201">
        <f>+E2549/9</f>
        <v>0.3888888888888889</v>
      </c>
      <c r="G2549" s="203">
        <v>42979</v>
      </c>
    </row>
    <row r="2550" spans="2:10">
      <c r="B2550" s="267" t="s">
        <v>3827</v>
      </c>
      <c r="C2550" s="272" t="s">
        <v>549</v>
      </c>
      <c r="D2550" s="272" t="s">
        <v>1798</v>
      </c>
      <c r="E2550" s="201">
        <v>3.5</v>
      </c>
      <c r="F2550" s="201">
        <f>+E2550/9</f>
        <v>0.3888888888888889</v>
      </c>
      <c r="G2550" s="203">
        <v>42979</v>
      </c>
    </row>
    <row r="2551" spans="2:10">
      <c r="B2551" s="267" t="s">
        <v>3828</v>
      </c>
      <c r="C2551" s="272" t="s">
        <v>549</v>
      </c>
      <c r="D2551" s="272" t="s">
        <v>1798</v>
      </c>
      <c r="E2551" s="201">
        <v>3.5</v>
      </c>
      <c r="F2551" s="201">
        <f>+E2551/9</f>
        <v>0.3888888888888889</v>
      </c>
      <c r="G2551" s="203">
        <v>42979</v>
      </c>
    </row>
    <row r="2552" spans="2:10">
      <c r="B2552" s="267" t="s">
        <v>3829</v>
      </c>
      <c r="C2552" s="272" t="s">
        <v>549</v>
      </c>
      <c r="D2552" s="272" t="s">
        <v>1798</v>
      </c>
      <c r="E2552" s="201">
        <v>3.5</v>
      </c>
      <c r="F2552" s="201">
        <f>+E2552/9</f>
        <v>0.3888888888888889</v>
      </c>
      <c r="G2552" s="203">
        <v>42979</v>
      </c>
    </row>
    <row r="2553" spans="2:10">
      <c r="B2553" s="267" t="s">
        <v>3840</v>
      </c>
      <c r="C2553" s="272" t="s">
        <v>755</v>
      </c>
      <c r="D2553" s="272" t="s">
        <v>1813</v>
      </c>
      <c r="E2553" s="201">
        <v>600</v>
      </c>
      <c r="F2553" s="201">
        <f>500/8</f>
        <v>62.5</v>
      </c>
      <c r="G2553" s="203">
        <v>44502</v>
      </c>
    </row>
    <row r="2554" spans="2:10">
      <c r="B2554" s="267"/>
      <c r="C2554" s="272" t="s">
        <v>565</v>
      </c>
      <c r="D2554" s="272" t="s">
        <v>1813</v>
      </c>
      <c r="E2554" s="201">
        <v>500</v>
      </c>
      <c r="F2554" s="201">
        <v>75</v>
      </c>
      <c r="G2554" s="203">
        <v>44144</v>
      </c>
    </row>
    <row r="2555" spans="2:10">
      <c r="B2555" s="267" t="s">
        <v>3841</v>
      </c>
      <c r="C2555" s="272" t="s">
        <v>755</v>
      </c>
      <c r="D2555" s="272" t="s">
        <v>1813</v>
      </c>
      <c r="E2555" s="201">
        <v>600</v>
      </c>
      <c r="F2555" s="201">
        <f>500/8</f>
        <v>62.5</v>
      </c>
      <c r="G2555" s="203">
        <v>44502</v>
      </c>
    </row>
    <row r="2556" spans="2:10">
      <c r="B2556" s="267"/>
      <c r="C2556" s="272"/>
      <c r="D2556" s="272"/>
      <c r="G2556" s="203"/>
    </row>
    <row r="2557" spans="2:10">
      <c r="B2557" s="267" t="s">
        <v>3842</v>
      </c>
      <c r="C2557" s="272" t="s">
        <v>755</v>
      </c>
      <c r="D2557" s="272" t="s">
        <v>1813</v>
      </c>
      <c r="E2557" s="201">
        <v>600</v>
      </c>
      <c r="F2557" s="201">
        <f>500/8</f>
        <v>62.5</v>
      </c>
      <c r="G2557" s="203">
        <v>44502</v>
      </c>
    </row>
    <row r="2558" spans="2:10">
      <c r="B2558" s="267"/>
      <c r="C2558" s="272" t="s">
        <v>565</v>
      </c>
      <c r="D2558" s="272" t="s">
        <v>1813</v>
      </c>
      <c r="E2558" s="201">
        <v>500</v>
      </c>
      <c r="F2558" s="201">
        <v>75</v>
      </c>
      <c r="G2558" s="203">
        <v>44144</v>
      </c>
    </row>
    <row r="2559" spans="2:10">
      <c r="B2559" s="267"/>
      <c r="C2559" s="282" t="s">
        <v>738</v>
      </c>
      <c r="D2559" s="282" t="s">
        <v>4370</v>
      </c>
      <c r="E2559" s="201">
        <v>222</v>
      </c>
      <c r="F2559" s="201">
        <v>10</v>
      </c>
      <c r="G2559" s="203">
        <v>44194</v>
      </c>
      <c r="I2559" s="199">
        <v>2500</v>
      </c>
      <c r="J2559" s="199">
        <v>2500</v>
      </c>
    </row>
    <row r="2560" spans="2:10">
      <c r="B2560" s="267"/>
      <c r="C2560" s="282" t="s">
        <v>755</v>
      </c>
      <c r="D2560" s="282" t="s">
        <v>4370</v>
      </c>
      <c r="E2560" s="201">
        <v>150</v>
      </c>
      <c r="F2560" s="201">
        <v>16.666666666666668</v>
      </c>
      <c r="G2560" s="203">
        <v>43885</v>
      </c>
      <c r="I2560" s="199">
        <v>1800</v>
      </c>
      <c r="J2560" s="199">
        <v>2500</v>
      </c>
    </row>
    <row r="2561" spans="2:7">
      <c r="B2561" s="267"/>
      <c r="C2561" s="272"/>
      <c r="D2561" s="272"/>
      <c r="G2561" s="203"/>
    </row>
    <row r="2562" spans="2:7">
      <c r="B2562" s="267" t="s">
        <v>3845</v>
      </c>
      <c r="C2562" s="272" t="s">
        <v>565</v>
      </c>
      <c r="D2562" s="272" t="s">
        <v>1813</v>
      </c>
      <c r="E2562" s="201">
        <v>500</v>
      </c>
      <c r="F2562" s="201">
        <v>75</v>
      </c>
      <c r="G2562" s="203">
        <v>44144</v>
      </c>
    </row>
    <row r="2563" spans="2:7">
      <c r="B2563" s="267" t="s">
        <v>3857</v>
      </c>
      <c r="C2563" s="272" t="s">
        <v>565</v>
      </c>
      <c r="D2563" s="272" t="s">
        <v>1814</v>
      </c>
      <c r="E2563" s="201">
        <v>820</v>
      </c>
      <c r="F2563" s="201">
        <f>600/6</f>
        <v>100</v>
      </c>
      <c r="G2563" s="203">
        <v>43223</v>
      </c>
    </row>
    <row r="2564" spans="2:7">
      <c r="B2564" s="267" t="s">
        <v>3858</v>
      </c>
      <c r="C2564" s="272" t="s">
        <v>565</v>
      </c>
      <c r="D2564" s="272" t="s">
        <v>1814</v>
      </c>
      <c r="E2564" s="201">
        <v>820</v>
      </c>
      <c r="F2564" s="201">
        <f>600/6</f>
        <v>100</v>
      </c>
      <c r="G2564" s="203">
        <v>43223</v>
      </c>
    </row>
    <row r="2565" spans="2:7">
      <c r="B2565" s="267" t="s">
        <v>3859</v>
      </c>
      <c r="C2565" s="272" t="s">
        <v>565</v>
      </c>
      <c r="D2565" s="272" t="s">
        <v>1814</v>
      </c>
      <c r="E2565" s="201">
        <v>820</v>
      </c>
      <c r="F2565" s="201">
        <f>600/6</f>
        <v>100</v>
      </c>
      <c r="G2565" s="203">
        <v>43223</v>
      </c>
    </row>
    <row r="2566" spans="2:7">
      <c r="B2566" s="267" t="s">
        <v>3860</v>
      </c>
      <c r="C2566" s="272" t="s">
        <v>565</v>
      </c>
      <c r="D2566" s="272" t="s">
        <v>1814</v>
      </c>
      <c r="E2566" s="201">
        <v>820</v>
      </c>
      <c r="F2566" s="201">
        <f>600/6</f>
        <v>100</v>
      </c>
      <c r="G2566" s="203">
        <v>43223</v>
      </c>
    </row>
    <row r="2567" spans="2:7">
      <c r="B2567" s="267"/>
      <c r="C2567" s="272" t="s">
        <v>565</v>
      </c>
      <c r="D2567" s="272" t="s">
        <v>1817</v>
      </c>
      <c r="E2567" s="201">
        <v>230</v>
      </c>
      <c r="F2567" s="201">
        <v>38</v>
      </c>
      <c r="G2567" s="203">
        <v>43923</v>
      </c>
    </row>
    <row r="2568" spans="2:7">
      <c r="B2568" s="267"/>
      <c r="C2568" s="272" t="s">
        <v>544</v>
      </c>
      <c r="D2568" s="272" t="s">
        <v>1823</v>
      </c>
      <c r="E2568" s="201">
        <v>102</v>
      </c>
      <c r="F2568" s="201">
        <v>8</v>
      </c>
      <c r="G2568" s="273">
        <v>43292</v>
      </c>
    </row>
    <row r="2569" spans="2:7">
      <c r="B2569" s="267"/>
      <c r="C2569" s="272"/>
      <c r="D2569" s="272"/>
      <c r="G2569" s="203"/>
    </row>
    <row r="2570" spans="2:7">
      <c r="B2570" s="267" t="s">
        <v>3861</v>
      </c>
      <c r="C2570" s="272" t="s">
        <v>565</v>
      </c>
      <c r="D2570" s="272" t="s">
        <v>1814</v>
      </c>
      <c r="E2570" s="201">
        <v>820</v>
      </c>
      <c r="F2570" s="201">
        <f>600/6</f>
        <v>100</v>
      </c>
      <c r="G2570" s="203">
        <v>43223</v>
      </c>
    </row>
    <row r="2571" spans="2:7">
      <c r="B2571" s="267"/>
      <c r="C2571" s="272"/>
      <c r="D2571" s="272"/>
      <c r="G2571" s="203"/>
    </row>
    <row r="2572" spans="2:7">
      <c r="B2572" s="267" t="s">
        <v>3862</v>
      </c>
      <c r="C2572" s="272" t="s">
        <v>565</v>
      </c>
      <c r="D2572" s="272" t="s">
        <v>1814</v>
      </c>
      <c r="E2572" s="201">
        <v>820</v>
      </c>
      <c r="F2572" s="201">
        <f>600/6</f>
        <v>100</v>
      </c>
      <c r="G2572" s="203">
        <v>43223</v>
      </c>
    </row>
    <row r="2573" spans="2:7">
      <c r="B2573" s="267"/>
      <c r="C2573" s="272" t="s">
        <v>402</v>
      </c>
      <c r="D2573" s="272" t="s">
        <v>1814</v>
      </c>
      <c r="E2573" s="201">
        <v>100</v>
      </c>
      <c r="F2573" s="201">
        <v>50</v>
      </c>
      <c r="G2573" s="203">
        <v>42576</v>
      </c>
    </row>
    <row r="2574" spans="2:7">
      <c r="B2574" s="267"/>
      <c r="C2574" s="272"/>
      <c r="D2574" s="272"/>
      <c r="G2574" s="203"/>
    </row>
    <row r="2575" spans="2:7">
      <c r="B2575" s="267" t="s">
        <v>3730</v>
      </c>
      <c r="C2575" s="272" t="s">
        <v>402</v>
      </c>
      <c r="D2575" s="272" t="s">
        <v>1814</v>
      </c>
      <c r="E2575" s="201">
        <v>100</v>
      </c>
      <c r="F2575" s="201">
        <v>25</v>
      </c>
      <c r="G2575" s="203">
        <v>42576</v>
      </c>
    </row>
    <row r="2576" spans="2:7">
      <c r="B2576" s="267"/>
      <c r="C2576" s="272" t="s">
        <v>544</v>
      </c>
      <c r="D2576" s="272" t="s">
        <v>1814</v>
      </c>
      <c r="E2576" s="201">
        <v>20</v>
      </c>
      <c r="F2576" s="201">
        <v>20</v>
      </c>
      <c r="G2576" s="203">
        <v>42339</v>
      </c>
    </row>
    <row r="2577" spans="2:7">
      <c r="B2577" s="267"/>
      <c r="C2577" s="272" t="s">
        <v>565</v>
      </c>
      <c r="D2577" s="272" t="s">
        <v>1816</v>
      </c>
      <c r="E2577" s="201">
        <v>100</v>
      </c>
      <c r="F2577" s="201">
        <v>20</v>
      </c>
      <c r="G2577" s="203">
        <v>42735</v>
      </c>
    </row>
    <row r="2578" spans="2:7">
      <c r="B2578" s="267"/>
      <c r="C2578" s="272" t="s">
        <v>402</v>
      </c>
      <c r="D2578" s="272" t="s">
        <v>1816</v>
      </c>
      <c r="E2578" s="201">
        <v>22</v>
      </c>
      <c r="F2578" s="201">
        <v>14</v>
      </c>
      <c r="G2578" s="203">
        <v>41821</v>
      </c>
    </row>
    <row r="2579" spans="2:7">
      <c r="B2579" s="267"/>
      <c r="C2579" s="272"/>
      <c r="D2579" s="272"/>
      <c r="G2579" s="203"/>
    </row>
    <row r="2580" spans="2:7">
      <c r="B2580" s="267" t="s">
        <v>3871</v>
      </c>
      <c r="C2580" s="272" t="s">
        <v>755</v>
      </c>
      <c r="D2580" s="272" t="s">
        <v>1816</v>
      </c>
      <c r="E2580" s="201">
        <v>750</v>
      </c>
      <c r="F2580" s="201">
        <f>450/4</f>
        <v>112.5</v>
      </c>
      <c r="G2580" s="203">
        <v>43593</v>
      </c>
    </row>
    <row r="2581" spans="2:7">
      <c r="B2581" s="267" t="s">
        <v>3872</v>
      </c>
      <c r="C2581" s="272" t="s">
        <v>755</v>
      </c>
      <c r="D2581" s="272" t="s">
        <v>1816</v>
      </c>
      <c r="E2581" s="201">
        <v>750</v>
      </c>
      <c r="F2581" s="201">
        <v>300</v>
      </c>
      <c r="G2581" s="203">
        <v>43593</v>
      </c>
    </row>
    <row r="2582" spans="2:7">
      <c r="B2582" s="267"/>
      <c r="C2582" s="272"/>
      <c r="D2582" s="272"/>
      <c r="G2582" s="203"/>
    </row>
    <row r="2583" spans="2:7">
      <c r="B2583" s="267" t="s">
        <v>3876</v>
      </c>
      <c r="C2583" s="272" t="s">
        <v>755</v>
      </c>
      <c r="D2583" s="272" t="s">
        <v>1816</v>
      </c>
      <c r="E2583" s="201">
        <v>750</v>
      </c>
      <c r="F2583" s="201">
        <f>450/4</f>
        <v>112.5</v>
      </c>
      <c r="G2583" s="203">
        <v>43593</v>
      </c>
    </row>
    <row r="2584" spans="2:7">
      <c r="B2584" s="267"/>
      <c r="C2584" s="272" t="s">
        <v>565</v>
      </c>
      <c r="D2584" s="272" t="s">
        <v>1816</v>
      </c>
      <c r="E2584" s="201">
        <v>460</v>
      </c>
      <c r="F2584" s="201">
        <v>150</v>
      </c>
      <c r="G2584" s="203">
        <v>43040</v>
      </c>
    </row>
    <row r="2585" spans="2:7">
      <c r="B2585" s="267"/>
      <c r="C2585" s="282" t="s">
        <v>402</v>
      </c>
      <c r="D2585" s="282" t="s">
        <v>1935</v>
      </c>
      <c r="E2585" s="201">
        <f>1600/7</f>
        <v>228.57142857142858</v>
      </c>
      <c r="F2585" s="201">
        <v>40</v>
      </c>
      <c r="G2585" s="203">
        <v>44550</v>
      </c>
    </row>
    <row r="2586" spans="2:7">
      <c r="B2586" s="267"/>
      <c r="C2586" s="272"/>
      <c r="D2586" s="272"/>
      <c r="G2586" s="203"/>
    </row>
    <row r="2587" spans="2:7">
      <c r="B2587" s="281" t="s">
        <v>4241</v>
      </c>
      <c r="C2587" s="272" t="s">
        <v>755</v>
      </c>
      <c r="D2587" s="272" t="s">
        <v>1816</v>
      </c>
      <c r="E2587" s="201">
        <v>750</v>
      </c>
      <c r="F2587" s="201">
        <f>450/4</f>
        <v>112.5</v>
      </c>
      <c r="G2587" s="203">
        <v>43593</v>
      </c>
    </row>
    <row r="2588" spans="2:7">
      <c r="B2588" s="281"/>
      <c r="C2588" s="282" t="s">
        <v>813</v>
      </c>
      <c r="D2588" s="282" t="s">
        <v>4242</v>
      </c>
      <c r="E2588" s="201">
        <v>250</v>
      </c>
      <c r="F2588" s="201">
        <v>50</v>
      </c>
      <c r="G2588" s="203">
        <v>44510</v>
      </c>
    </row>
    <row r="2589" spans="2:7">
      <c r="B2589" s="281"/>
      <c r="C2589" s="272"/>
      <c r="D2589" s="272"/>
      <c r="G2589" s="203"/>
    </row>
    <row r="2590" spans="2:7">
      <c r="B2590" s="267" t="s">
        <v>3875</v>
      </c>
      <c r="C2590" s="272" t="s">
        <v>565</v>
      </c>
      <c r="D2590" s="272" t="s">
        <v>1816</v>
      </c>
      <c r="E2590" s="201">
        <v>460</v>
      </c>
      <c r="F2590" s="201">
        <v>150</v>
      </c>
      <c r="G2590" s="203">
        <v>43040</v>
      </c>
    </row>
    <row r="2591" spans="2:7">
      <c r="B2591" s="267"/>
      <c r="C2591" s="272" t="s">
        <v>565</v>
      </c>
      <c r="D2591" s="272" t="s">
        <v>1816</v>
      </c>
      <c r="E2591" s="201">
        <v>100</v>
      </c>
      <c r="F2591" s="201">
        <v>20</v>
      </c>
      <c r="G2591" s="203">
        <v>42735</v>
      </c>
    </row>
    <row r="2592" spans="2:7">
      <c r="B2592" s="267" t="s">
        <v>3877</v>
      </c>
      <c r="C2592" s="272" t="s">
        <v>565</v>
      </c>
      <c r="D2592" s="272" t="s">
        <v>1816</v>
      </c>
      <c r="E2592" s="201">
        <v>460</v>
      </c>
      <c r="F2592" s="201">
        <f>160/4</f>
        <v>40</v>
      </c>
      <c r="G2592" s="203">
        <v>43040</v>
      </c>
    </row>
    <row r="2593" spans="2:7">
      <c r="B2593" s="267" t="s">
        <v>3879</v>
      </c>
      <c r="C2593" s="272" t="s">
        <v>565</v>
      </c>
      <c r="D2593" s="272" t="s">
        <v>1816</v>
      </c>
      <c r="E2593" s="201">
        <v>460</v>
      </c>
      <c r="F2593" s="201">
        <f>160/4</f>
        <v>40</v>
      </c>
      <c r="G2593" s="203">
        <v>43040</v>
      </c>
    </row>
    <row r="2594" spans="2:7">
      <c r="B2594" s="267" t="s">
        <v>3880</v>
      </c>
      <c r="C2594" s="272" t="s">
        <v>565</v>
      </c>
      <c r="D2594" s="272" t="s">
        <v>1816</v>
      </c>
      <c r="E2594" s="201">
        <v>460</v>
      </c>
      <c r="F2594" s="201">
        <f>160/4</f>
        <v>40</v>
      </c>
      <c r="G2594" s="203">
        <v>43040</v>
      </c>
    </row>
    <row r="2595" spans="2:7">
      <c r="B2595" s="267"/>
      <c r="C2595" s="272" t="s">
        <v>755</v>
      </c>
      <c r="D2595" s="272" t="s">
        <v>1817</v>
      </c>
      <c r="E2595" s="201">
        <v>700</v>
      </c>
      <c r="F2595" s="201">
        <f>400/12</f>
        <v>33.333333333333336</v>
      </c>
      <c r="G2595" s="203">
        <v>44218</v>
      </c>
    </row>
    <row r="2596" spans="2:7">
      <c r="B2596" s="267"/>
      <c r="C2596" s="272" t="s">
        <v>565</v>
      </c>
      <c r="D2596" s="272" t="s">
        <v>1817</v>
      </c>
      <c r="E2596" s="201">
        <v>140</v>
      </c>
      <c r="F2596" s="201">
        <f>E2596/9</f>
        <v>15.555555555555555</v>
      </c>
      <c r="G2596" s="203">
        <v>43453</v>
      </c>
    </row>
    <row r="2597" spans="2:7">
      <c r="B2597" s="267" t="s">
        <v>3882</v>
      </c>
      <c r="C2597" s="272" t="s">
        <v>565</v>
      </c>
      <c r="D2597" s="272" t="s">
        <v>1816</v>
      </c>
      <c r="E2597" s="201">
        <v>100</v>
      </c>
      <c r="F2597" s="201">
        <v>40</v>
      </c>
      <c r="G2597" s="203">
        <v>42735</v>
      </c>
    </row>
    <row r="2598" spans="2:7">
      <c r="B2598" s="267" t="s">
        <v>3883</v>
      </c>
      <c r="C2598" s="272" t="s">
        <v>565</v>
      </c>
      <c r="D2598" s="272" t="s">
        <v>1816</v>
      </c>
      <c r="E2598" s="201">
        <v>100</v>
      </c>
      <c r="F2598" s="201">
        <v>20</v>
      </c>
      <c r="G2598" s="203">
        <v>42735</v>
      </c>
    </row>
    <row r="2599" spans="2:7">
      <c r="B2599" s="267"/>
      <c r="C2599" s="272" t="s">
        <v>402</v>
      </c>
      <c r="D2599" s="272" t="s">
        <v>1816</v>
      </c>
      <c r="E2599" s="201">
        <v>22</v>
      </c>
      <c r="F2599" s="201">
        <v>8</v>
      </c>
      <c r="G2599" s="203">
        <v>41821</v>
      </c>
    </row>
    <row r="2600" spans="2:7">
      <c r="B2600" s="267"/>
      <c r="C2600" s="272" t="s">
        <v>402</v>
      </c>
      <c r="D2600" s="272" t="s">
        <v>1820</v>
      </c>
      <c r="E2600" s="201">
        <v>46</v>
      </c>
      <c r="F2600" s="201">
        <v>6</v>
      </c>
      <c r="G2600" s="203">
        <v>42941</v>
      </c>
    </row>
    <row r="2601" spans="2:7">
      <c r="B2601" s="267"/>
      <c r="C2601" s="272" t="s">
        <v>544</v>
      </c>
      <c r="D2601" s="272" t="s">
        <v>1820</v>
      </c>
      <c r="E2601" s="201">
        <v>5</v>
      </c>
      <c r="F2601" s="201">
        <f>E2601/3</f>
        <v>1.6666666666666667</v>
      </c>
      <c r="G2601" s="203">
        <v>42688</v>
      </c>
    </row>
    <row r="2602" spans="2:7">
      <c r="B2602" s="267" t="s">
        <v>3884</v>
      </c>
      <c r="C2602" s="272" t="s">
        <v>565</v>
      </c>
      <c r="D2602" s="272" t="s">
        <v>1816</v>
      </c>
      <c r="E2602" s="201">
        <v>100</v>
      </c>
      <c r="F2602" s="201">
        <v>20</v>
      </c>
      <c r="G2602" s="203">
        <v>42735</v>
      </c>
    </row>
    <row r="2603" spans="2:7">
      <c r="B2603" s="267"/>
      <c r="C2603" s="272" t="s">
        <v>402</v>
      </c>
      <c r="D2603" s="272" t="s">
        <v>1820</v>
      </c>
      <c r="E2603" s="201">
        <v>120</v>
      </c>
      <c r="F2603" s="201">
        <v>10</v>
      </c>
      <c r="G2603" s="203">
        <v>43391</v>
      </c>
    </row>
    <row r="2604" spans="2:7">
      <c r="B2604" s="267"/>
      <c r="C2604" s="272"/>
      <c r="D2604" s="272"/>
      <c r="G2604" s="203"/>
    </row>
    <row r="2605" spans="2:7">
      <c r="B2605" s="267" t="s">
        <v>3892</v>
      </c>
      <c r="C2605" s="272" t="s">
        <v>755</v>
      </c>
      <c r="D2605" s="272" t="s">
        <v>1817</v>
      </c>
      <c r="E2605" s="201">
        <v>700</v>
      </c>
      <c r="F2605" s="201">
        <v>100</v>
      </c>
      <c r="G2605" s="203">
        <v>44218</v>
      </c>
    </row>
    <row r="2606" spans="2:7">
      <c r="B2606" s="267"/>
      <c r="C2606" s="282" t="s">
        <v>565</v>
      </c>
      <c r="D2606" s="282" t="s">
        <v>1933</v>
      </c>
      <c r="E2606" s="201">
        <v>257</v>
      </c>
      <c r="F2606" s="201">
        <v>50</v>
      </c>
      <c r="G2606" s="203">
        <v>44201</v>
      </c>
    </row>
    <row r="2607" spans="2:7">
      <c r="B2607" s="267"/>
      <c r="C2607" s="272"/>
      <c r="D2607" s="272"/>
      <c r="G2607" s="203"/>
    </row>
    <row r="2608" spans="2:7">
      <c r="B2608" s="267" t="s">
        <v>3893</v>
      </c>
      <c r="C2608" s="272" t="s">
        <v>755</v>
      </c>
      <c r="D2608" s="272" t="s">
        <v>1817</v>
      </c>
      <c r="E2608" s="201">
        <v>700</v>
      </c>
      <c r="F2608" s="201">
        <v>100</v>
      </c>
      <c r="G2608" s="203">
        <v>44218</v>
      </c>
    </row>
    <row r="2609" spans="2:7">
      <c r="B2609" s="267" t="s">
        <v>3894</v>
      </c>
      <c r="C2609" s="272" t="s">
        <v>755</v>
      </c>
      <c r="D2609" s="272" t="s">
        <v>1817</v>
      </c>
      <c r="E2609" s="201">
        <v>700</v>
      </c>
      <c r="F2609" s="201">
        <v>100</v>
      </c>
      <c r="G2609" s="203">
        <v>44218</v>
      </c>
    </row>
    <row r="2610" spans="2:7">
      <c r="B2610" s="267" t="s">
        <v>3895</v>
      </c>
      <c r="C2610" s="272" t="s">
        <v>755</v>
      </c>
      <c r="D2610" s="272" t="s">
        <v>1817</v>
      </c>
      <c r="E2610" s="201">
        <v>700</v>
      </c>
      <c r="F2610" s="201">
        <f t="shared" ref="F2610:F2616" si="25">400/12</f>
        <v>33.333333333333336</v>
      </c>
      <c r="G2610" s="203">
        <v>44218</v>
      </c>
    </row>
    <row r="2611" spans="2:7">
      <c r="B2611" s="267" t="s">
        <v>3896</v>
      </c>
      <c r="C2611" s="272" t="s">
        <v>755</v>
      </c>
      <c r="D2611" s="272" t="s">
        <v>1817</v>
      </c>
      <c r="E2611" s="201">
        <v>700</v>
      </c>
      <c r="F2611" s="201">
        <f t="shared" si="25"/>
        <v>33.333333333333336</v>
      </c>
      <c r="G2611" s="203">
        <v>44218</v>
      </c>
    </row>
    <row r="2612" spans="2:7">
      <c r="B2612" s="267" t="s">
        <v>3897</v>
      </c>
      <c r="C2612" s="272" t="s">
        <v>755</v>
      </c>
      <c r="D2612" s="272" t="s">
        <v>1817</v>
      </c>
      <c r="E2612" s="201">
        <v>700</v>
      </c>
      <c r="F2612" s="201">
        <f t="shared" si="25"/>
        <v>33.333333333333336</v>
      </c>
      <c r="G2612" s="203">
        <v>44218</v>
      </c>
    </row>
    <row r="2613" spans="2:7">
      <c r="B2613" s="267" t="s">
        <v>3898</v>
      </c>
      <c r="C2613" s="272" t="s">
        <v>755</v>
      </c>
      <c r="D2613" s="272" t="s">
        <v>1817</v>
      </c>
      <c r="E2613" s="201">
        <v>700</v>
      </c>
      <c r="F2613" s="201">
        <f t="shared" si="25"/>
        <v>33.333333333333336</v>
      </c>
      <c r="G2613" s="203">
        <v>44218</v>
      </c>
    </row>
    <row r="2614" spans="2:7">
      <c r="B2614" s="267" t="s">
        <v>3900</v>
      </c>
      <c r="C2614" s="272" t="s">
        <v>755</v>
      </c>
      <c r="D2614" s="272" t="s">
        <v>1817</v>
      </c>
      <c r="E2614" s="201">
        <v>700</v>
      </c>
      <c r="F2614" s="201">
        <f t="shared" si="25"/>
        <v>33.333333333333336</v>
      </c>
      <c r="G2614" s="203">
        <v>44218</v>
      </c>
    </row>
    <row r="2615" spans="2:7">
      <c r="B2615" s="267" t="s">
        <v>3901</v>
      </c>
      <c r="C2615" s="272" t="s">
        <v>755</v>
      </c>
      <c r="D2615" s="272" t="s">
        <v>1817</v>
      </c>
      <c r="E2615" s="201">
        <v>700</v>
      </c>
      <c r="F2615" s="201">
        <f t="shared" si="25"/>
        <v>33.333333333333336</v>
      </c>
      <c r="G2615" s="203">
        <v>44218</v>
      </c>
    </row>
    <row r="2616" spans="2:7">
      <c r="B2616" s="267" t="s">
        <v>3902</v>
      </c>
      <c r="C2616" s="272" t="s">
        <v>755</v>
      </c>
      <c r="D2616" s="272" t="s">
        <v>1817</v>
      </c>
      <c r="E2616" s="201">
        <v>700</v>
      </c>
      <c r="F2616" s="201">
        <f t="shared" si="25"/>
        <v>33.333333333333336</v>
      </c>
      <c r="G2616" s="203">
        <v>44218</v>
      </c>
    </row>
    <row r="2617" spans="2:7">
      <c r="B2617" s="267" t="s">
        <v>3905</v>
      </c>
      <c r="C2617" s="272" t="s">
        <v>565</v>
      </c>
      <c r="D2617" s="272" t="s">
        <v>1817</v>
      </c>
      <c r="E2617" s="201">
        <v>230</v>
      </c>
      <c r="F2617" s="201">
        <f>E2617/6</f>
        <v>38.333333333333336</v>
      </c>
      <c r="G2617" s="203">
        <v>43923</v>
      </c>
    </row>
    <row r="2618" spans="2:7">
      <c r="B2618" s="267" t="s">
        <v>3906</v>
      </c>
      <c r="C2618" s="272" t="s">
        <v>565</v>
      </c>
      <c r="D2618" s="272" t="s">
        <v>1817</v>
      </c>
      <c r="E2618" s="201">
        <v>230</v>
      </c>
      <c r="F2618" s="201">
        <f>E2618/6</f>
        <v>38.333333333333336</v>
      </c>
      <c r="G2618" s="203">
        <v>43923</v>
      </c>
    </row>
    <row r="2619" spans="2:7">
      <c r="B2619" s="267"/>
      <c r="C2619" s="282" t="s">
        <v>402</v>
      </c>
      <c r="D2619" s="282" t="s">
        <v>1935</v>
      </c>
      <c r="E2619" s="201">
        <f>1600/7</f>
        <v>228.57142857142858</v>
      </c>
      <c r="F2619" s="201">
        <f>149/6</f>
        <v>24.833333333333332</v>
      </c>
      <c r="G2619" s="203">
        <v>44550</v>
      </c>
    </row>
    <row r="2620" spans="2:7">
      <c r="B2620" s="267"/>
      <c r="C2620" s="272"/>
      <c r="D2620" s="272"/>
      <c r="G2620" s="203"/>
    </row>
    <row r="2621" spans="2:7">
      <c r="B2621" s="267"/>
      <c r="C2621" s="272"/>
      <c r="D2621" s="272"/>
      <c r="G2621" s="203"/>
    </row>
    <row r="2622" spans="2:7">
      <c r="B2622" s="267" t="s">
        <v>3907</v>
      </c>
      <c r="C2622" s="272" t="s">
        <v>565</v>
      </c>
      <c r="D2622" s="272" t="s">
        <v>1817</v>
      </c>
      <c r="E2622" s="201">
        <v>230</v>
      </c>
      <c r="F2622" s="201">
        <f>E2622/6</f>
        <v>38.333333333333336</v>
      </c>
      <c r="G2622" s="203">
        <v>43923</v>
      </c>
    </row>
    <row r="2623" spans="2:7">
      <c r="B2623" s="267" t="s">
        <v>3909</v>
      </c>
      <c r="C2623" s="272" t="s">
        <v>565</v>
      </c>
      <c r="D2623" s="272" t="s">
        <v>1817</v>
      </c>
      <c r="E2623" s="201">
        <v>140</v>
      </c>
      <c r="F2623" s="201">
        <f>E2623/9</f>
        <v>15.555555555555555</v>
      </c>
      <c r="G2623" s="203">
        <v>43453</v>
      </c>
    </row>
    <row r="2624" spans="2:7">
      <c r="B2624" s="267" t="s">
        <v>3910</v>
      </c>
      <c r="C2624" s="272" t="s">
        <v>565</v>
      </c>
      <c r="D2624" s="272" t="s">
        <v>1817</v>
      </c>
      <c r="E2624" s="201">
        <v>140</v>
      </c>
      <c r="F2624" s="201">
        <f>E2624/9</f>
        <v>15.555555555555555</v>
      </c>
      <c r="G2624" s="203">
        <v>43453</v>
      </c>
    </row>
    <row r="2625" spans="2:10">
      <c r="B2625" s="267" t="s">
        <v>3911</v>
      </c>
      <c r="C2625" s="272" t="s">
        <v>565</v>
      </c>
      <c r="D2625" s="272" t="s">
        <v>1817</v>
      </c>
      <c r="E2625" s="201">
        <v>140</v>
      </c>
      <c r="F2625" s="201">
        <f>E2625/9</f>
        <v>15.555555555555555</v>
      </c>
      <c r="G2625" s="203">
        <v>43453</v>
      </c>
    </row>
    <row r="2626" spans="2:10">
      <c r="B2626" s="267" t="s">
        <v>3912</v>
      </c>
      <c r="C2626" s="272" t="s">
        <v>565</v>
      </c>
      <c r="D2626" s="272" t="s">
        <v>1817</v>
      </c>
      <c r="E2626" s="201">
        <v>140</v>
      </c>
      <c r="F2626" s="201">
        <f t="shared" ref="F2626:F2628" si="26">E2626/9</f>
        <v>15.555555555555555</v>
      </c>
      <c r="G2626" s="203">
        <v>43453</v>
      </c>
    </row>
    <row r="2627" spans="2:10">
      <c r="B2627" s="267" t="s">
        <v>3913</v>
      </c>
      <c r="C2627" s="272" t="s">
        <v>565</v>
      </c>
      <c r="D2627" s="272" t="s">
        <v>1817</v>
      </c>
      <c r="E2627" s="201">
        <v>140</v>
      </c>
      <c r="F2627" s="201">
        <f t="shared" si="26"/>
        <v>15.555555555555555</v>
      </c>
      <c r="G2627" s="203">
        <v>43453</v>
      </c>
    </row>
    <row r="2628" spans="2:10">
      <c r="B2628" s="267" t="s">
        <v>3914</v>
      </c>
      <c r="C2628" s="272" t="s">
        <v>565</v>
      </c>
      <c r="D2628" s="272" t="s">
        <v>1817</v>
      </c>
      <c r="E2628" s="201">
        <v>140</v>
      </c>
      <c r="F2628" s="201">
        <f t="shared" si="26"/>
        <v>15.555555555555555</v>
      </c>
      <c r="G2628" s="203">
        <v>43453</v>
      </c>
    </row>
    <row r="2629" spans="2:10">
      <c r="B2629" s="267" t="s">
        <v>3915</v>
      </c>
      <c r="C2629" s="272" t="s">
        <v>565</v>
      </c>
      <c r="D2629" s="272" t="s">
        <v>1817</v>
      </c>
      <c r="E2629" s="201">
        <v>140</v>
      </c>
      <c r="F2629" s="201">
        <f>E2629/9</f>
        <v>15.555555555555555</v>
      </c>
      <c r="G2629" s="203">
        <v>43453</v>
      </c>
    </row>
    <row r="2630" spans="2:10">
      <c r="B2630" s="267"/>
      <c r="C2630" s="272"/>
      <c r="D2630" s="272"/>
      <c r="G2630" s="203"/>
    </row>
    <row r="2631" spans="2:10">
      <c r="B2631" s="267" t="s">
        <v>3922</v>
      </c>
      <c r="C2631" s="272" t="s">
        <v>755</v>
      </c>
      <c r="D2631" s="272" t="s">
        <v>1818</v>
      </c>
      <c r="E2631" s="201">
        <v>676</v>
      </c>
      <c r="F2631" s="201">
        <f>500/7</f>
        <v>71.428571428571431</v>
      </c>
      <c r="G2631" s="203">
        <v>44299</v>
      </c>
      <c r="I2631" s="199">
        <v>4400</v>
      </c>
      <c r="J2631" s="199">
        <v>4400</v>
      </c>
    </row>
    <row r="2632" spans="2:10">
      <c r="B2632" s="267"/>
      <c r="C2632" s="282" t="s">
        <v>813</v>
      </c>
      <c r="D2632" s="282" t="s">
        <v>1938</v>
      </c>
      <c r="E2632" s="201">
        <v>100</v>
      </c>
      <c r="F2632" s="201">
        <v>11</v>
      </c>
      <c r="G2632" s="203">
        <v>44515</v>
      </c>
      <c r="I2632" s="199">
        <v>4100</v>
      </c>
      <c r="J2632" s="199">
        <v>4100</v>
      </c>
    </row>
    <row r="2633" spans="2:10">
      <c r="B2633" s="267"/>
      <c r="C2633" s="272"/>
      <c r="D2633" s="272"/>
      <c r="G2633" s="203"/>
    </row>
    <row r="2634" spans="2:10">
      <c r="B2634" s="267" t="s">
        <v>3924</v>
      </c>
      <c r="C2634" s="272" t="s">
        <v>565</v>
      </c>
      <c r="D2634" s="272" t="s">
        <v>1818</v>
      </c>
      <c r="E2634" s="201">
        <v>250</v>
      </c>
      <c r="F2634" s="201">
        <f>170/5</f>
        <v>34</v>
      </c>
      <c r="G2634" s="203">
        <v>43886</v>
      </c>
      <c r="I2634" s="199">
        <v>2300</v>
      </c>
      <c r="J2634" s="199">
        <v>2300</v>
      </c>
    </row>
    <row r="2635" spans="2:10">
      <c r="C2635" s="272" t="s">
        <v>402</v>
      </c>
      <c r="D2635" s="272" t="s">
        <v>1818</v>
      </c>
      <c r="E2635" s="201">
        <v>150</v>
      </c>
      <c r="F2635" s="201">
        <v>20</v>
      </c>
      <c r="G2635" s="203">
        <v>43556</v>
      </c>
    </row>
    <row r="2636" spans="2:10">
      <c r="C2636" s="272" t="s">
        <v>544</v>
      </c>
      <c r="D2636" s="272" t="s">
        <v>1818</v>
      </c>
      <c r="E2636" s="201">
        <v>56</v>
      </c>
      <c r="F2636" s="201">
        <f>26/2</f>
        <v>13</v>
      </c>
      <c r="G2636" s="203">
        <v>43174</v>
      </c>
    </row>
    <row r="2637" spans="2:10">
      <c r="B2637" s="267" t="s">
        <v>3936</v>
      </c>
      <c r="C2637" s="272" t="s">
        <v>565</v>
      </c>
      <c r="D2637" s="272" t="s">
        <v>1820</v>
      </c>
      <c r="E2637" s="201">
        <v>500</v>
      </c>
      <c r="F2637" s="201">
        <v>100</v>
      </c>
      <c r="G2637" s="203">
        <v>44274</v>
      </c>
    </row>
    <row r="2638" spans="2:10">
      <c r="B2638" s="267" t="s">
        <v>3937</v>
      </c>
      <c r="C2638" s="272" t="s">
        <v>565</v>
      </c>
      <c r="D2638" s="272" t="s">
        <v>1820</v>
      </c>
      <c r="E2638" s="201">
        <v>500</v>
      </c>
      <c r="F2638" s="201">
        <f>200/9</f>
        <v>22.222222222222221</v>
      </c>
      <c r="G2638" s="203">
        <v>44274</v>
      </c>
    </row>
    <row r="2639" spans="2:10">
      <c r="B2639" s="267"/>
      <c r="C2639" s="272"/>
      <c r="D2639" s="272"/>
      <c r="G2639" s="203"/>
    </row>
    <row r="2640" spans="2:10">
      <c r="B2640" s="267" t="s">
        <v>3939</v>
      </c>
      <c r="C2640" s="272" t="s">
        <v>565</v>
      </c>
      <c r="D2640" s="272" t="s">
        <v>1820</v>
      </c>
      <c r="E2640" s="201">
        <v>500</v>
      </c>
      <c r="F2640" s="201">
        <f>200/9</f>
        <v>22.222222222222221</v>
      </c>
      <c r="G2640" s="203">
        <v>44274</v>
      </c>
    </row>
    <row r="2641" spans="2:7">
      <c r="B2641" s="267"/>
      <c r="C2641" s="272" t="s">
        <v>402</v>
      </c>
      <c r="D2641" s="272" t="s">
        <v>1820</v>
      </c>
      <c r="E2641" s="201">
        <v>46</v>
      </c>
      <c r="F2641" s="201">
        <v>6</v>
      </c>
      <c r="G2641" s="203">
        <v>42941</v>
      </c>
    </row>
    <row r="2642" spans="2:7">
      <c r="B2642" s="267" t="s">
        <v>3941</v>
      </c>
      <c r="C2642" s="272" t="s">
        <v>565</v>
      </c>
      <c r="D2642" s="272" t="s">
        <v>1820</v>
      </c>
      <c r="E2642" s="201">
        <v>300</v>
      </c>
      <c r="F2642" s="201">
        <v>300</v>
      </c>
      <c r="G2642" s="203">
        <v>44462</v>
      </c>
    </row>
    <row r="2643" spans="2:7">
      <c r="B2643" s="267" t="s">
        <v>3942</v>
      </c>
      <c r="C2643" s="272" t="s">
        <v>565</v>
      </c>
      <c r="D2643" s="272" t="s">
        <v>1820</v>
      </c>
      <c r="E2643" s="201">
        <v>200</v>
      </c>
      <c r="F2643" s="201">
        <v>200</v>
      </c>
      <c r="G2643" s="203">
        <v>44504</v>
      </c>
    </row>
    <row r="2644" spans="2:7">
      <c r="B2644" s="267"/>
      <c r="C2644" s="272" t="s">
        <v>544</v>
      </c>
      <c r="D2644" s="272" t="s">
        <v>1823</v>
      </c>
      <c r="E2644" s="201">
        <v>112</v>
      </c>
      <c r="F2644" s="201">
        <v>9</v>
      </c>
      <c r="G2644" s="203">
        <v>43115</v>
      </c>
    </row>
    <row r="2645" spans="2:7">
      <c r="B2645" s="267"/>
      <c r="C2645" s="272"/>
      <c r="D2645" s="272"/>
      <c r="G2645" s="203"/>
    </row>
    <row r="2646" spans="2:7">
      <c r="B2646" s="267" t="s">
        <v>3946</v>
      </c>
      <c r="C2646" s="272" t="s">
        <v>402</v>
      </c>
      <c r="D2646" s="272" t="s">
        <v>1820</v>
      </c>
      <c r="E2646" s="201">
        <v>120</v>
      </c>
      <c r="F2646" s="201">
        <v>30</v>
      </c>
      <c r="G2646" s="203">
        <v>43391</v>
      </c>
    </row>
    <row r="2647" spans="2:7">
      <c r="B2647" s="267" t="s">
        <v>3947</v>
      </c>
      <c r="C2647" s="272" t="s">
        <v>402</v>
      </c>
      <c r="D2647" s="272" t="s">
        <v>1820</v>
      </c>
      <c r="E2647" s="201">
        <v>120</v>
      </c>
      <c r="F2647" s="201">
        <v>30</v>
      </c>
      <c r="G2647" s="203">
        <v>43391</v>
      </c>
    </row>
    <row r="2648" spans="2:7">
      <c r="B2648" s="267"/>
      <c r="C2648" s="272" t="s">
        <v>402</v>
      </c>
      <c r="D2648" s="272" t="s">
        <v>1820</v>
      </c>
      <c r="E2648" s="201">
        <v>46</v>
      </c>
      <c r="F2648" s="201">
        <v>16</v>
      </c>
      <c r="G2648" s="203">
        <v>42941</v>
      </c>
    </row>
    <row r="2649" spans="2:7">
      <c r="B2649" s="267" t="s">
        <v>3948</v>
      </c>
      <c r="C2649" s="272" t="s">
        <v>402</v>
      </c>
      <c r="D2649" s="272" t="s">
        <v>1820</v>
      </c>
      <c r="E2649" s="201">
        <v>120</v>
      </c>
      <c r="F2649" s="201">
        <v>30</v>
      </c>
      <c r="G2649" s="203">
        <v>43391</v>
      </c>
    </row>
    <row r="2650" spans="2:7">
      <c r="B2650" s="267" t="s">
        <v>3949</v>
      </c>
      <c r="C2650" s="272" t="s">
        <v>402</v>
      </c>
      <c r="D2650" s="272" t="s">
        <v>1820</v>
      </c>
      <c r="E2650" s="201">
        <v>120</v>
      </c>
      <c r="F2650" s="201">
        <v>30</v>
      </c>
      <c r="G2650" s="203">
        <v>43391</v>
      </c>
    </row>
    <row r="2651" spans="2:7">
      <c r="B2651" s="267"/>
      <c r="C2651" s="272" t="s">
        <v>544</v>
      </c>
      <c r="D2651" s="272" t="s">
        <v>1823</v>
      </c>
      <c r="E2651" s="201">
        <v>102</v>
      </c>
      <c r="F2651" s="201">
        <v>8</v>
      </c>
      <c r="G2651" s="203">
        <v>43292</v>
      </c>
    </row>
    <row r="2652" spans="2:7">
      <c r="B2652" s="267"/>
      <c r="C2652" s="272"/>
      <c r="D2652" s="272"/>
      <c r="G2652" s="203"/>
    </row>
    <row r="2653" spans="2:7">
      <c r="B2653" s="267" t="s">
        <v>3951</v>
      </c>
      <c r="C2653" s="272" t="s">
        <v>402</v>
      </c>
      <c r="D2653" s="272" t="s">
        <v>1820</v>
      </c>
      <c r="E2653" s="201">
        <v>46</v>
      </c>
      <c r="F2653" s="201">
        <f>30/5</f>
        <v>6</v>
      </c>
      <c r="G2653" s="203">
        <v>42941</v>
      </c>
    </row>
    <row r="2654" spans="2:7">
      <c r="B2654" s="267" t="s">
        <v>3953</v>
      </c>
      <c r="C2654" s="272" t="s">
        <v>544</v>
      </c>
      <c r="D2654" s="272" t="s">
        <v>1820</v>
      </c>
      <c r="E2654" s="201">
        <v>5</v>
      </c>
      <c r="F2654" s="201">
        <f>E2654/3</f>
        <v>1.6666666666666667</v>
      </c>
      <c r="G2654" s="273">
        <v>42688</v>
      </c>
    </row>
    <row r="2655" spans="2:7">
      <c r="B2655" s="267" t="s">
        <v>3959</v>
      </c>
      <c r="C2655" s="272" t="s">
        <v>813</v>
      </c>
      <c r="D2655" s="272" t="s">
        <v>1822</v>
      </c>
      <c r="E2655" s="201">
        <v>475</v>
      </c>
      <c r="F2655" s="201">
        <f t="shared" ref="F2655:F2667" si="27">E2655/12</f>
        <v>39.583333333333336</v>
      </c>
      <c r="G2655" s="203">
        <v>44278</v>
      </c>
    </row>
    <row r="2656" spans="2:7">
      <c r="B2656" s="267" t="s">
        <v>3960</v>
      </c>
      <c r="C2656" s="272" t="s">
        <v>813</v>
      </c>
      <c r="D2656" s="272" t="s">
        <v>1822</v>
      </c>
      <c r="E2656" s="201">
        <v>475</v>
      </c>
      <c r="F2656" s="201">
        <f t="shared" si="27"/>
        <v>39.583333333333336</v>
      </c>
      <c r="G2656" s="203">
        <v>44278</v>
      </c>
    </row>
    <row r="2657" spans="2:9">
      <c r="B2657" s="267" t="s">
        <v>3961</v>
      </c>
      <c r="C2657" s="272" t="s">
        <v>813</v>
      </c>
      <c r="D2657" s="272" t="s">
        <v>1822</v>
      </c>
      <c r="E2657" s="201">
        <v>475</v>
      </c>
      <c r="F2657" s="201">
        <f t="shared" si="27"/>
        <v>39.583333333333336</v>
      </c>
      <c r="G2657" s="203">
        <v>44278</v>
      </c>
    </row>
    <row r="2658" spans="2:9">
      <c r="B2658" s="267" t="s">
        <v>3962</v>
      </c>
      <c r="C2658" s="272" t="s">
        <v>813</v>
      </c>
      <c r="D2658" s="272" t="s">
        <v>1822</v>
      </c>
      <c r="E2658" s="201">
        <v>475</v>
      </c>
      <c r="F2658" s="201">
        <f t="shared" si="27"/>
        <v>39.583333333333336</v>
      </c>
      <c r="G2658" s="203">
        <v>44278</v>
      </c>
    </row>
    <row r="2659" spans="2:9">
      <c r="B2659" s="267"/>
      <c r="C2659" s="272"/>
      <c r="D2659" s="272"/>
      <c r="G2659" s="203"/>
    </row>
    <row r="2660" spans="2:9">
      <c r="B2660" s="267" t="s">
        <v>3963</v>
      </c>
      <c r="C2660" s="272" t="s">
        <v>813</v>
      </c>
      <c r="D2660" s="272" t="s">
        <v>1822</v>
      </c>
      <c r="E2660" s="201">
        <v>475</v>
      </c>
      <c r="F2660" s="201">
        <f t="shared" si="27"/>
        <v>39.583333333333336</v>
      </c>
      <c r="G2660" s="203">
        <v>44278</v>
      </c>
    </row>
    <row r="2661" spans="2:9">
      <c r="B2661" s="267"/>
      <c r="C2661" s="282" t="s">
        <v>565</v>
      </c>
      <c r="D2661" s="282" t="s">
        <v>4313</v>
      </c>
      <c r="E2661" s="201">
        <v>235</v>
      </c>
      <c r="F2661" s="201">
        <v>75</v>
      </c>
      <c r="G2661" s="203">
        <v>44384</v>
      </c>
    </row>
    <row r="2662" spans="2:9">
      <c r="B2662" s="267"/>
      <c r="C2662" s="282" t="s">
        <v>402</v>
      </c>
      <c r="D2662" s="282" t="s">
        <v>4313</v>
      </c>
      <c r="E2662" s="201">
        <v>43</v>
      </c>
      <c r="F2662" s="201">
        <f>+E2662/5</f>
        <v>8.6</v>
      </c>
      <c r="G2662" s="203">
        <v>44077</v>
      </c>
    </row>
    <row r="2663" spans="2:9">
      <c r="B2663" s="267"/>
      <c r="C2663" s="282" t="s">
        <v>544</v>
      </c>
      <c r="D2663" s="282" t="s">
        <v>4313</v>
      </c>
      <c r="E2663" s="201">
        <v>28</v>
      </c>
      <c r="F2663" s="201">
        <v>8</v>
      </c>
      <c r="G2663" s="203">
        <v>43301</v>
      </c>
    </row>
    <row r="2664" spans="2:9">
      <c r="B2664" s="267"/>
      <c r="C2664" s="272"/>
      <c r="D2664" s="272"/>
      <c r="G2664" s="203"/>
    </row>
    <row r="2665" spans="2:9">
      <c r="B2665" s="267" t="s">
        <v>3964</v>
      </c>
      <c r="C2665" s="272" t="s">
        <v>813</v>
      </c>
      <c r="D2665" s="272" t="s">
        <v>1822</v>
      </c>
      <c r="E2665" s="201">
        <v>475</v>
      </c>
      <c r="F2665" s="201">
        <f t="shared" si="27"/>
        <v>39.583333333333336</v>
      </c>
      <c r="G2665" s="203">
        <v>44278</v>
      </c>
    </row>
    <row r="2666" spans="2:9">
      <c r="B2666" s="267" t="s">
        <v>3965</v>
      </c>
      <c r="C2666" s="272" t="s">
        <v>813</v>
      </c>
      <c r="D2666" s="272" t="s">
        <v>1822</v>
      </c>
      <c r="E2666" s="201">
        <v>475</v>
      </c>
      <c r="F2666" s="201">
        <f t="shared" si="27"/>
        <v>39.583333333333336</v>
      </c>
      <c r="G2666" s="203">
        <v>44278</v>
      </c>
    </row>
    <row r="2667" spans="2:9">
      <c r="B2667" s="267" t="s">
        <v>3966</v>
      </c>
      <c r="C2667" s="272" t="s">
        <v>813</v>
      </c>
      <c r="D2667" s="272" t="s">
        <v>1822</v>
      </c>
      <c r="E2667" s="201">
        <v>475</v>
      </c>
      <c r="F2667" s="201">
        <f t="shared" si="27"/>
        <v>39.583333333333336</v>
      </c>
      <c r="G2667" s="203">
        <v>44278</v>
      </c>
    </row>
    <row r="2668" spans="2:9">
      <c r="B2668" s="267" t="s">
        <v>3969</v>
      </c>
      <c r="C2668" s="272" t="s">
        <v>738</v>
      </c>
      <c r="D2668" s="272" t="s">
        <v>1822</v>
      </c>
      <c r="E2668" s="201">
        <v>392</v>
      </c>
      <c r="F2668" s="201">
        <f>E2668/5</f>
        <v>78.400000000000006</v>
      </c>
      <c r="G2668" s="203">
        <v>43280</v>
      </c>
      <c r="I2668" s="199">
        <v>1200</v>
      </c>
    </row>
    <row r="2669" spans="2:9">
      <c r="B2669" s="267" t="s">
        <v>3970</v>
      </c>
      <c r="C2669" s="272" t="s">
        <v>738</v>
      </c>
      <c r="D2669" s="272" t="s">
        <v>1822</v>
      </c>
      <c r="E2669" s="201">
        <v>392</v>
      </c>
      <c r="F2669" s="201">
        <f>E2669/5</f>
        <v>78.400000000000006</v>
      </c>
      <c r="G2669" s="203">
        <v>43280</v>
      </c>
      <c r="I2669" s="199">
        <v>1200</v>
      </c>
    </row>
    <row r="2670" spans="2:9">
      <c r="B2670" s="267" t="s">
        <v>3971</v>
      </c>
      <c r="C2670" s="272" t="s">
        <v>738</v>
      </c>
      <c r="D2670" s="272" t="s">
        <v>1822</v>
      </c>
      <c r="E2670" s="201">
        <v>392</v>
      </c>
      <c r="F2670" s="201">
        <f>E2670/5</f>
        <v>78.400000000000006</v>
      </c>
      <c r="G2670" s="203">
        <v>43280</v>
      </c>
      <c r="I2670" s="199">
        <v>1200</v>
      </c>
    </row>
    <row r="2671" spans="2:9">
      <c r="B2671" s="267" t="s">
        <v>3972</v>
      </c>
      <c r="C2671" s="272" t="s">
        <v>738</v>
      </c>
      <c r="D2671" s="272" t="s">
        <v>1822</v>
      </c>
      <c r="E2671" s="201">
        <v>392</v>
      </c>
      <c r="F2671" s="201">
        <f>E2671/5</f>
        <v>78.400000000000006</v>
      </c>
      <c r="G2671" s="203">
        <v>43280</v>
      </c>
      <c r="I2671" s="199">
        <v>1200</v>
      </c>
    </row>
    <row r="2672" spans="2:9">
      <c r="B2672" s="267" t="s">
        <v>3975</v>
      </c>
      <c r="C2672" s="272" t="s">
        <v>755</v>
      </c>
      <c r="D2672" s="272" t="s">
        <v>1822</v>
      </c>
      <c r="E2672" s="201">
        <v>130</v>
      </c>
      <c r="F2672" s="201">
        <f>104/9</f>
        <v>11.555555555555555</v>
      </c>
      <c r="G2672" s="203">
        <v>42080</v>
      </c>
      <c r="I2672" s="199">
        <v>570</v>
      </c>
    </row>
    <row r="2673" spans="2:9">
      <c r="B2673" s="267" t="s">
        <v>3976</v>
      </c>
      <c r="C2673" s="272" t="s">
        <v>755</v>
      </c>
      <c r="D2673" s="272" t="s">
        <v>1822</v>
      </c>
      <c r="E2673" s="201">
        <v>130</v>
      </c>
      <c r="F2673" s="201">
        <f>104/9</f>
        <v>11.555555555555555</v>
      </c>
      <c r="G2673" s="203">
        <v>42080</v>
      </c>
      <c r="I2673" s="199">
        <v>570</v>
      </c>
    </row>
    <row r="2674" spans="2:9">
      <c r="B2674" s="267" t="s">
        <v>3977</v>
      </c>
      <c r="C2674" s="272" t="s">
        <v>755</v>
      </c>
      <c r="D2674" s="272" t="s">
        <v>1822</v>
      </c>
      <c r="E2674" s="201">
        <v>130</v>
      </c>
      <c r="F2674" s="201">
        <f>104/9</f>
        <v>11.555555555555555</v>
      </c>
      <c r="G2674" s="203">
        <v>42080</v>
      </c>
      <c r="I2674" s="199">
        <v>570</v>
      </c>
    </row>
    <row r="2675" spans="2:9">
      <c r="B2675" s="267" t="s">
        <v>3979</v>
      </c>
      <c r="C2675" s="272" t="s">
        <v>565</v>
      </c>
      <c r="D2675" s="272" t="s">
        <v>1822</v>
      </c>
      <c r="E2675" s="201">
        <v>34</v>
      </c>
      <c r="F2675" s="201">
        <f>14/3</f>
        <v>4.666666666666667</v>
      </c>
      <c r="G2675" s="203">
        <v>41437</v>
      </c>
    </row>
    <row r="2676" spans="2:9">
      <c r="B2676" s="267"/>
      <c r="C2676" s="272" t="s">
        <v>402</v>
      </c>
      <c r="D2676" s="272" t="s">
        <v>1822</v>
      </c>
      <c r="E2676" s="201">
        <v>16.5</v>
      </c>
      <c r="F2676" s="201">
        <f>E2676/5</f>
        <v>3.3</v>
      </c>
      <c r="G2676" s="203">
        <v>41176</v>
      </c>
    </row>
    <row r="2677" spans="2:9">
      <c r="B2677" s="267" t="s">
        <v>3980</v>
      </c>
      <c r="C2677" s="272" t="s">
        <v>565</v>
      </c>
      <c r="D2677" s="272" t="s">
        <v>1822</v>
      </c>
      <c r="E2677" s="201">
        <v>34</v>
      </c>
      <c r="F2677" s="201">
        <f>14/3</f>
        <v>4.666666666666667</v>
      </c>
      <c r="G2677" s="203">
        <v>41437</v>
      </c>
    </row>
    <row r="2678" spans="2:9">
      <c r="B2678" s="267"/>
      <c r="C2678" s="272" t="s">
        <v>402</v>
      </c>
      <c r="D2678" s="272" t="s">
        <v>1822</v>
      </c>
      <c r="E2678" s="201">
        <v>16.5</v>
      </c>
      <c r="F2678" s="201">
        <f>E2678/5</f>
        <v>3.3</v>
      </c>
      <c r="G2678" s="203">
        <v>41176</v>
      </c>
    </row>
    <row r="2679" spans="2:9">
      <c r="B2679" s="267" t="s">
        <v>3981</v>
      </c>
      <c r="C2679" s="272" t="s">
        <v>565</v>
      </c>
      <c r="D2679" s="272" t="s">
        <v>1822</v>
      </c>
      <c r="E2679" s="201">
        <v>34</v>
      </c>
      <c r="F2679" s="201">
        <f>14/3</f>
        <v>4.666666666666667</v>
      </c>
      <c r="G2679" s="203">
        <v>41437</v>
      </c>
    </row>
    <row r="2680" spans="2:9">
      <c r="B2680" s="267"/>
      <c r="C2680" s="272" t="s">
        <v>402</v>
      </c>
      <c r="D2680" s="272" t="s">
        <v>1822</v>
      </c>
      <c r="E2680" s="201">
        <v>16.5</v>
      </c>
      <c r="F2680" s="201">
        <f>E2680/5</f>
        <v>3.3</v>
      </c>
      <c r="G2680" s="203">
        <v>41176</v>
      </c>
    </row>
    <row r="2681" spans="2:9">
      <c r="B2681" s="267" t="s">
        <v>3983</v>
      </c>
      <c r="C2681" s="272" t="s">
        <v>402</v>
      </c>
      <c r="D2681" s="272" t="s">
        <v>1822</v>
      </c>
      <c r="E2681" s="201">
        <v>16.5</v>
      </c>
      <c r="F2681" s="201">
        <f>E2681/5</f>
        <v>3.3</v>
      </c>
      <c r="G2681" s="203">
        <v>41176</v>
      </c>
    </row>
    <row r="2682" spans="2:9">
      <c r="B2682" s="267" t="s">
        <v>3984</v>
      </c>
      <c r="C2682" s="272" t="s">
        <v>402</v>
      </c>
      <c r="D2682" s="272" t="s">
        <v>1822</v>
      </c>
      <c r="E2682" s="201">
        <v>16.5</v>
      </c>
      <c r="F2682" s="201">
        <f t="shared" ref="F2682" si="28">E2682/5</f>
        <v>3.3</v>
      </c>
      <c r="G2682" s="203">
        <v>41176</v>
      </c>
    </row>
    <row r="2683" spans="2:9">
      <c r="B2683" s="267"/>
      <c r="C2683" s="272"/>
      <c r="D2683" s="272"/>
      <c r="G2683" s="203"/>
    </row>
    <row r="2684" spans="2:9">
      <c r="B2684" s="267" t="s">
        <v>3989</v>
      </c>
      <c r="C2684" s="272" t="s">
        <v>565</v>
      </c>
      <c r="D2684" s="272" t="s">
        <v>1823</v>
      </c>
      <c r="E2684" s="201">
        <v>100</v>
      </c>
      <c r="F2684" s="201">
        <v>30</v>
      </c>
      <c r="G2684" s="203">
        <v>44235</v>
      </c>
      <c r="I2684" s="199">
        <v>5200</v>
      </c>
    </row>
    <row r="2685" spans="2:9">
      <c r="B2685" s="267"/>
      <c r="C2685" s="272" t="s">
        <v>565</v>
      </c>
      <c r="D2685" s="272" t="s">
        <v>1823</v>
      </c>
      <c r="E2685" s="201">
        <v>267</v>
      </c>
      <c r="F2685" s="201">
        <v>100</v>
      </c>
      <c r="G2685" s="203">
        <v>44140</v>
      </c>
      <c r="I2685" s="199">
        <v>5000</v>
      </c>
    </row>
    <row r="2686" spans="2:9">
      <c r="B2686" s="267"/>
      <c r="C2686" s="282" t="s">
        <v>738</v>
      </c>
      <c r="D2686" s="282" t="s">
        <v>4370</v>
      </c>
      <c r="E2686" s="201">
        <v>222</v>
      </c>
      <c r="F2686" s="201">
        <v>22</v>
      </c>
      <c r="G2686" s="203">
        <v>44194</v>
      </c>
      <c r="I2686" s="199">
        <v>2500</v>
      </c>
    </row>
    <row r="2687" spans="2:9">
      <c r="B2687" s="267"/>
      <c r="C2687" s="272"/>
      <c r="D2687" s="272"/>
      <c r="G2687" s="203"/>
    </row>
    <row r="2688" spans="2:9">
      <c r="B2688" s="267" t="s">
        <v>3990</v>
      </c>
      <c r="C2688" s="272" t="s">
        <v>565</v>
      </c>
      <c r="D2688" s="272" t="s">
        <v>1823</v>
      </c>
      <c r="E2688" s="201">
        <v>100</v>
      </c>
      <c r="F2688" s="201">
        <v>14</v>
      </c>
      <c r="G2688" s="203">
        <v>44235</v>
      </c>
      <c r="I2688" s="199">
        <v>5200</v>
      </c>
    </row>
    <row r="2689" spans="2:9">
      <c r="B2689" s="267"/>
      <c r="C2689" s="272" t="s">
        <v>565</v>
      </c>
      <c r="D2689" s="272" t="s">
        <v>1823</v>
      </c>
      <c r="E2689" s="201">
        <v>267</v>
      </c>
      <c r="F2689" s="201">
        <f>167/5</f>
        <v>33.4</v>
      </c>
      <c r="G2689" s="203">
        <v>44140</v>
      </c>
      <c r="I2689" s="199">
        <v>5000</v>
      </c>
    </row>
    <row r="2690" spans="2:9">
      <c r="B2690" s="267"/>
      <c r="C2690" s="272" t="s">
        <v>544</v>
      </c>
      <c r="D2690" s="272" t="s">
        <v>1823</v>
      </c>
      <c r="E2690" s="201">
        <v>102</v>
      </c>
      <c r="F2690" s="201">
        <v>16</v>
      </c>
      <c r="G2690" s="203">
        <v>43292</v>
      </c>
    </row>
    <row r="2691" spans="2:9">
      <c r="B2691" s="267" t="s">
        <v>3991</v>
      </c>
      <c r="C2691" s="272" t="s">
        <v>565</v>
      </c>
      <c r="D2691" s="272" t="s">
        <v>1823</v>
      </c>
      <c r="E2691" s="201">
        <v>100</v>
      </c>
      <c r="F2691" s="201">
        <v>14</v>
      </c>
      <c r="G2691" s="203">
        <v>44235</v>
      </c>
      <c r="I2691" s="199">
        <v>5200</v>
      </c>
    </row>
    <row r="2692" spans="2:9">
      <c r="B2692" s="267"/>
      <c r="C2692" s="272"/>
      <c r="D2692" s="272"/>
      <c r="G2692" s="203"/>
    </row>
    <row r="2693" spans="2:9">
      <c r="B2693" s="267" t="s">
        <v>3992</v>
      </c>
      <c r="C2693" s="272" t="s">
        <v>565</v>
      </c>
      <c r="D2693" s="272" t="s">
        <v>1823</v>
      </c>
      <c r="E2693" s="201">
        <v>100</v>
      </c>
      <c r="F2693" s="201">
        <v>14</v>
      </c>
      <c r="G2693" s="203">
        <v>44235</v>
      </c>
      <c r="I2693" s="199">
        <v>5200</v>
      </c>
    </row>
    <row r="2694" spans="2:9">
      <c r="B2694" s="267"/>
      <c r="C2694" s="272" t="s">
        <v>565</v>
      </c>
      <c r="D2694" s="272" t="s">
        <v>1823</v>
      </c>
      <c r="E2694" s="201">
        <v>267</v>
      </c>
      <c r="F2694" s="201">
        <f>167/5</f>
        <v>33.4</v>
      </c>
      <c r="G2694" s="203">
        <v>44140</v>
      </c>
      <c r="I2694" s="199">
        <v>5000</v>
      </c>
    </row>
    <row r="2695" spans="2:9">
      <c r="B2695" s="267"/>
      <c r="C2695" s="272" t="s">
        <v>544</v>
      </c>
      <c r="D2695" s="272" t="s">
        <v>1823</v>
      </c>
      <c r="E2695" s="201">
        <v>102</v>
      </c>
      <c r="F2695" s="201">
        <v>8</v>
      </c>
      <c r="G2695" s="203">
        <v>43292</v>
      </c>
    </row>
    <row r="2696" spans="2:9">
      <c r="B2696" s="267"/>
      <c r="C2696" s="272" t="s">
        <v>544</v>
      </c>
      <c r="D2696" s="272" t="s">
        <v>1823</v>
      </c>
      <c r="E2696" s="201">
        <v>112</v>
      </c>
      <c r="F2696" s="201">
        <v>20</v>
      </c>
      <c r="G2696" s="203">
        <v>43115</v>
      </c>
    </row>
    <row r="2697" spans="2:9">
      <c r="B2697" s="267"/>
      <c r="C2697" s="282" t="s">
        <v>402</v>
      </c>
      <c r="D2697" s="282" t="s">
        <v>1935</v>
      </c>
      <c r="E2697" s="201">
        <f>1600/7</f>
        <v>228.57142857142858</v>
      </c>
      <c r="F2697" s="201">
        <v>40</v>
      </c>
      <c r="G2697" s="203">
        <v>44550</v>
      </c>
    </row>
    <row r="2698" spans="2:9">
      <c r="B2698" s="267"/>
      <c r="C2698" s="282" t="s">
        <v>544</v>
      </c>
      <c r="D2698" s="282" t="s">
        <v>1935</v>
      </c>
      <c r="E2698" s="201">
        <v>50</v>
      </c>
      <c r="F2698" s="201">
        <v>10</v>
      </c>
      <c r="G2698" s="203">
        <v>44165</v>
      </c>
    </row>
    <row r="2699" spans="2:9">
      <c r="B2699" s="267"/>
      <c r="C2699" s="272"/>
      <c r="D2699" s="272"/>
      <c r="G2699" s="203"/>
    </row>
    <row r="2700" spans="2:9">
      <c r="B2700" s="267" t="s">
        <v>3994</v>
      </c>
      <c r="C2700" s="272" t="s">
        <v>565</v>
      </c>
      <c r="D2700" s="272" t="s">
        <v>1823</v>
      </c>
      <c r="E2700" s="201">
        <v>267</v>
      </c>
      <c r="F2700" s="201">
        <f>167/5</f>
        <v>33.4</v>
      </c>
      <c r="G2700" s="203">
        <v>44140</v>
      </c>
      <c r="I2700" s="199">
        <v>5000</v>
      </c>
    </row>
    <row r="2701" spans="2:9">
      <c r="B2701" s="267" t="s">
        <v>3999</v>
      </c>
      <c r="C2701" s="272" t="s">
        <v>402</v>
      </c>
      <c r="D2701" s="272" t="s">
        <v>1823</v>
      </c>
      <c r="E2701" s="201">
        <v>462</v>
      </c>
      <c r="F2701" s="201">
        <f>162/2</f>
        <v>81</v>
      </c>
      <c r="G2701" s="203">
        <v>43886</v>
      </c>
      <c r="I2701" s="199">
        <v>2500</v>
      </c>
    </row>
    <row r="2702" spans="2:9">
      <c r="C2702" s="272" t="s">
        <v>402</v>
      </c>
      <c r="D2702" s="272" t="s">
        <v>1823</v>
      </c>
      <c r="E2702" s="201">
        <v>50</v>
      </c>
      <c r="F2702" s="201">
        <v>50</v>
      </c>
      <c r="G2702" s="203">
        <v>43566</v>
      </c>
    </row>
    <row r="2703" spans="2:9">
      <c r="B2703" s="267" t="s">
        <v>4001</v>
      </c>
      <c r="C2703" s="272" t="s">
        <v>544</v>
      </c>
      <c r="D2703" s="272" t="s">
        <v>1823</v>
      </c>
      <c r="E2703" s="201">
        <v>102</v>
      </c>
      <c r="F2703" s="201">
        <v>8</v>
      </c>
      <c r="G2703" s="203">
        <v>43292</v>
      </c>
    </row>
    <row r="2704" spans="2:9">
      <c r="B2704" s="267" t="s">
        <v>4002</v>
      </c>
      <c r="C2704" s="272" t="s">
        <v>544</v>
      </c>
      <c r="D2704" s="272" t="s">
        <v>1823</v>
      </c>
      <c r="E2704" s="201">
        <v>102</v>
      </c>
      <c r="F2704" s="201">
        <v>8</v>
      </c>
      <c r="G2704" s="203">
        <v>43292</v>
      </c>
    </row>
    <row r="2705" spans="2:10">
      <c r="B2705" s="267" t="s">
        <v>4003</v>
      </c>
      <c r="C2705" s="272" t="s">
        <v>544</v>
      </c>
      <c r="D2705" s="272" t="s">
        <v>1823</v>
      </c>
      <c r="E2705" s="201">
        <v>102</v>
      </c>
      <c r="F2705" s="201">
        <v>8</v>
      </c>
      <c r="G2705" s="203">
        <v>43292</v>
      </c>
    </row>
    <row r="2706" spans="2:10">
      <c r="B2706" s="267"/>
      <c r="C2706" s="272" t="s">
        <v>544</v>
      </c>
      <c r="D2706" s="272" t="s">
        <v>1823</v>
      </c>
      <c r="E2706" s="201">
        <v>112</v>
      </c>
      <c r="F2706" s="201">
        <f>72/8</f>
        <v>9</v>
      </c>
      <c r="G2706" s="203">
        <v>43115</v>
      </c>
    </row>
    <row r="2707" spans="2:10">
      <c r="B2707" s="267" t="s">
        <v>4008</v>
      </c>
      <c r="C2707" s="272" t="s">
        <v>544</v>
      </c>
      <c r="D2707" s="272" t="s">
        <v>1823</v>
      </c>
      <c r="E2707" s="201">
        <v>112</v>
      </c>
      <c r="F2707" s="201">
        <v>20</v>
      </c>
      <c r="G2707" s="203">
        <v>43115</v>
      </c>
    </row>
    <row r="2708" spans="2:10">
      <c r="B2708" s="267" t="s">
        <v>4004</v>
      </c>
      <c r="C2708" s="272" t="s">
        <v>544</v>
      </c>
      <c r="D2708" s="272" t="s">
        <v>1823</v>
      </c>
      <c r="E2708" s="201">
        <v>112</v>
      </c>
      <c r="F2708" s="201">
        <f>72/8</f>
        <v>9</v>
      </c>
      <c r="G2708" s="203">
        <v>43115</v>
      </c>
    </row>
    <row r="2709" spans="2:10">
      <c r="B2709" s="267" t="s">
        <v>4005</v>
      </c>
      <c r="C2709" s="272" t="s">
        <v>544</v>
      </c>
      <c r="D2709" s="272" t="s">
        <v>1823</v>
      </c>
      <c r="E2709" s="201">
        <v>112</v>
      </c>
      <c r="F2709" s="201">
        <f>72/8</f>
        <v>9</v>
      </c>
      <c r="G2709" s="203">
        <v>43115</v>
      </c>
    </row>
    <row r="2710" spans="2:10">
      <c r="B2710" s="267" t="s">
        <v>4006</v>
      </c>
      <c r="C2710" s="272" t="s">
        <v>544</v>
      </c>
      <c r="D2710" s="272" t="s">
        <v>1823</v>
      </c>
      <c r="E2710" s="201">
        <v>112</v>
      </c>
      <c r="F2710" s="201">
        <f>72/8</f>
        <v>9</v>
      </c>
      <c r="G2710" s="203">
        <v>43115</v>
      </c>
    </row>
    <row r="2711" spans="2:10">
      <c r="B2711" s="267" t="s">
        <v>4007</v>
      </c>
      <c r="C2711" s="272" t="s">
        <v>544</v>
      </c>
      <c r="D2711" s="272" t="s">
        <v>1823</v>
      </c>
      <c r="E2711" s="201">
        <v>112</v>
      </c>
      <c r="F2711" s="201">
        <f>72/8</f>
        <v>9</v>
      </c>
      <c r="G2711" s="203">
        <v>43115</v>
      </c>
    </row>
    <row r="2712" spans="2:10">
      <c r="B2712" s="267"/>
      <c r="C2712" s="272"/>
      <c r="D2712" s="272"/>
      <c r="G2712" s="203"/>
    </row>
    <row r="2713" spans="2:10">
      <c r="B2713" s="267" t="s">
        <v>4013</v>
      </c>
      <c r="C2713" s="272" t="s">
        <v>813</v>
      </c>
      <c r="D2713" s="272" t="s">
        <v>1824</v>
      </c>
      <c r="E2713" s="201">
        <v>200</v>
      </c>
      <c r="F2713" s="201">
        <v>50</v>
      </c>
      <c r="G2713" s="203">
        <v>44907</v>
      </c>
      <c r="I2713" s="199">
        <v>3500</v>
      </c>
    </row>
    <row r="2714" spans="2:10">
      <c r="B2714" s="267"/>
      <c r="C2714" s="274" t="s">
        <v>738</v>
      </c>
      <c r="D2714" s="272" t="s">
        <v>1824</v>
      </c>
      <c r="E2714" s="201">
        <v>400</v>
      </c>
      <c r="F2714" s="201">
        <f t="shared" ref="F2714" si="29">320/9</f>
        <v>35.555555555555557</v>
      </c>
      <c r="G2714" s="203">
        <v>44413</v>
      </c>
      <c r="I2714" s="199">
        <v>4200</v>
      </c>
    </row>
    <row r="2715" spans="2:10">
      <c r="B2715" s="267"/>
      <c r="C2715" s="282" t="s">
        <v>565</v>
      </c>
      <c r="D2715" s="282" t="s">
        <v>1941</v>
      </c>
      <c r="E2715" s="201">
        <v>230</v>
      </c>
      <c r="F2715" s="201">
        <v>40</v>
      </c>
      <c r="G2715" s="203">
        <v>43634</v>
      </c>
      <c r="I2715" s="199">
        <v>770</v>
      </c>
      <c r="J2715" s="199">
        <v>770</v>
      </c>
    </row>
    <row r="2716" spans="2:10">
      <c r="B2716" s="267"/>
      <c r="C2716" s="274"/>
      <c r="D2716" s="272"/>
      <c r="G2716" s="203"/>
    </row>
    <row r="2717" spans="2:10">
      <c r="B2717" s="275" t="s">
        <v>4016</v>
      </c>
      <c r="C2717" s="274" t="s">
        <v>738</v>
      </c>
      <c r="D2717" s="272" t="s">
        <v>1824</v>
      </c>
      <c r="E2717" s="201">
        <v>400</v>
      </c>
      <c r="F2717" s="201">
        <f>320/9</f>
        <v>35.555555555555557</v>
      </c>
      <c r="G2717" s="203">
        <v>44413</v>
      </c>
      <c r="I2717" s="199">
        <v>4200</v>
      </c>
    </row>
    <row r="2718" spans="2:10">
      <c r="B2718" s="275"/>
      <c r="C2718" s="274"/>
      <c r="D2718" s="272"/>
      <c r="G2718" s="203"/>
    </row>
    <row r="2719" spans="2:10">
      <c r="B2719" s="275" t="s">
        <v>4017</v>
      </c>
      <c r="C2719" s="274" t="s">
        <v>738</v>
      </c>
      <c r="D2719" s="272" t="s">
        <v>1824</v>
      </c>
      <c r="E2719" s="201">
        <v>400</v>
      </c>
      <c r="F2719" s="201">
        <f t="shared" ref="F2719" si="30">320/9</f>
        <v>35.555555555555557</v>
      </c>
      <c r="G2719" s="203">
        <v>44413</v>
      </c>
      <c r="I2719" s="199">
        <v>4200</v>
      </c>
    </row>
    <row r="2720" spans="2:10">
      <c r="B2720" s="275"/>
      <c r="C2720" s="274" t="s">
        <v>755</v>
      </c>
      <c r="D2720" s="272" t="s">
        <v>1824</v>
      </c>
      <c r="E2720" s="201">
        <v>100</v>
      </c>
      <c r="F2720" s="201">
        <f>75/6</f>
        <v>12.5</v>
      </c>
      <c r="G2720" s="203">
        <v>44067</v>
      </c>
    </row>
    <row r="2721" spans="2:7">
      <c r="B2721" s="275"/>
      <c r="C2721" s="274" t="s">
        <v>565</v>
      </c>
      <c r="D2721" s="272" t="s">
        <v>1824</v>
      </c>
      <c r="E2721" s="201">
        <v>101</v>
      </c>
      <c r="F2721" s="201">
        <f>60/4</f>
        <v>15</v>
      </c>
      <c r="G2721" s="203">
        <v>43453</v>
      </c>
    </row>
    <row r="2722" spans="2:7">
      <c r="B2722" s="275"/>
      <c r="C2722" s="282" t="s">
        <v>402</v>
      </c>
      <c r="D2722" s="282" t="s">
        <v>1920</v>
      </c>
      <c r="E2722" s="201">
        <v>37</v>
      </c>
      <c r="F2722" s="201">
        <v>12</v>
      </c>
      <c r="G2722" s="203">
        <v>43783</v>
      </c>
    </row>
    <row r="2723" spans="2:7">
      <c r="B2723" s="275"/>
      <c r="C2723" s="274"/>
      <c r="D2723" s="272"/>
      <c r="G2723" s="203"/>
    </row>
    <row r="2724" spans="2:7">
      <c r="B2724" s="275" t="s">
        <v>4022</v>
      </c>
      <c r="C2724" s="274" t="s">
        <v>755</v>
      </c>
      <c r="D2724" s="272" t="s">
        <v>1824</v>
      </c>
      <c r="E2724" s="201">
        <v>100</v>
      </c>
      <c r="F2724" s="201">
        <v>25</v>
      </c>
      <c r="G2724" s="203">
        <v>44067</v>
      </c>
    </row>
    <row r="2725" spans="2:7">
      <c r="B2725" s="275"/>
      <c r="C2725" s="274"/>
      <c r="D2725" s="272"/>
      <c r="G2725" s="203"/>
    </row>
    <row r="2726" spans="2:7">
      <c r="B2726" s="275" t="s">
        <v>4024</v>
      </c>
      <c r="C2726" s="274" t="s">
        <v>565</v>
      </c>
      <c r="D2726" s="272" t="s">
        <v>1824</v>
      </c>
      <c r="E2726" s="201">
        <v>101</v>
      </c>
      <c r="F2726" s="201">
        <v>25</v>
      </c>
      <c r="G2726" s="203">
        <v>44067</v>
      </c>
    </row>
    <row r="2727" spans="2:7">
      <c r="C2727" s="274" t="s">
        <v>549</v>
      </c>
      <c r="D2727" s="272" t="s">
        <v>1824</v>
      </c>
      <c r="E2727" s="201">
        <v>4</v>
      </c>
      <c r="F2727" s="201">
        <v>1.5</v>
      </c>
      <c r="G2727" s="203">
        <v>42023</v>
      </c>
    </row>
    <row r="2728" spans="2:7">
      <c r="C2728" s="282" t="s">
        <v>565</v>
      </c>
      <c r="D2728" s="282" t="s">
        <v>1941</v>
      </c>
      <c r="E2728" s="201">
        <v>230</v>
      </c>
      <c r="F2728" s="201">
        <f>110/7</f>
        <v>15.714285714285714</v>
      </c>
      <c r="G2728" s="203">
        <v>43634</v>
      </c>
    </row>
    <row r="2729" spans="2:7">
      <c r="C2729" s="282" t="s">
        <v>402</v>
      </c>
      <c r="D2729" s="282" t="s">
        <v>1941</v>
      </c>
      <c r="E2729" s="201">
        <v>45</v>
      </c>
      <c r="F2729" s="201">
        <v>11</v>
      </c>
      <c r="G2729" s="203">
        <v>43263</v>
      </c>
    </row>
    <row r="2730" spans="2:7">
      <c r="C2730" s="282" t="s">
        <v>544</v>
      </c>
      <c r="D2730" s="282" t="s">
        <v>1941</v>
      </c>
      <c r="E2730" s="201">
        <v>18</v>
      </c>
      <c r="F2730" s="201">
        <v>5</v>
      </c>
      <c r="G2730" s="203">
        <v>42983</v>
      </c>
    </row>
    <row r="2731" spans="2:7">
      <c r="C2731" s="274"/>
      <c r="D2731" s="272"/>
      <c r="G2731" s="203"/>
    </row>
    <row r="2732" spans="2:7">
      <c r="B2732" s="275" t="s">
        <v>4026</v>
      </c>
      <c r="C2732" s="274" t="s">
        <v>549</v>
      </c>
      <c r="D2732" s="272" t="s">
        <v>1824</v>
      </c>
      <c r="E2732" s="201">
        <v>4</v>
      </c>
      <c r="F2732" s="201">
        <v>1</v>
      </c>
      <c r="G2732" s="203">
        <v>42023</v>
      </c>
    </row>
    <row r="2733" spans="2:7">
      <c r="B2733" s="275"/>
      <c r="C2733" s="282" t="s">
        <v>549</v>
      </c>
      <c r="D2733" s="282" t="s">
        <v>1945</v>
      </c>
      <c r="E2733" s="201">
        <v>0.1</v>
      </c>
      <c r="F2733" s="201">
        <v>0.1</v>
      </c>
      <c r="G2733" s="203">
        <v>42370</v>
      </c>
    </row>
    <row r="2734" spans="2:7">
      <c r="B2734" s="275"/>
      <c r="C2734" s="282" t="s">
        <v>549</v>
      </c>
      <c r="D2734" s="282" t="s">
        <v>1945</v>
      </c>
      <c r="E2734" s="201">
        <v>0.1</v>
      </c>
      <c r="F2734" s="201">
        <v>0.1</v>
      </c>
      <c r="G2734" s="203">
        <v>41549</v>
      </c>
    </row>
    <row r="2735" spans="2:7">
      <c r="B2735" s="275"/>
      <c r="C2735" s="282"/>
      <c r="D2735" s="282"/>
      <c r="G2735" s="203"/>
    </row>
    <row r="2736" spans="2:7">
      <c r="B2736" s="275" t="s">
        <v>4044</v>
      </c>
      <c r="C2736" s="274" t="s">
        <v>755</v>
      </c>
      <c r="D2736" s="274" t="s">
        <v>1828</v>
      </c>
      <c r="E2736" s="201">
        <v>38</v>
      </c>
      <c r="F2736" s="280" t="s">
        <v>4055</v>
      </c>
      <c r="G2736" s="203">
        <v>43266</v>
      </c>
    </row>
    <row r="2737" spans="2:10">
      <c r="B2737" s="275" t="s">
        <v>4047</v>
      </c>
      <c r="C2737" s="274" t="s">
        <v>402</v>
      </c>
      <c r="D2737" s="274" t="s">
        <v>1828</v>
      </c>
      <c r="E2737" s="201">
        <v>10</v>
      </c>
      <c r="F2737" s="280" t="s">
        <v>4056</v>
      </c>
      <c r="G2737" s="203">
        <v>42355</v>
      </c>
    </row>
    <row r="2738" spans="2:10">
      <c r="B2738" s="275" t="s">
        <v>4048</v>
      </c>
      <c r="C2738" s="274" t="s">
        <v>402</v>
      </c>
      <c r="D2738" s="274" t="s">
        <v>1828</v>
      </c>
      <c r="E2738" s="201">
        <v>10</v>
      </c>
      <c r="F2738" s="280" t="s">
        <v>4057</v>
      </c>
      <c r="G2738" s="203">
        <v>42355</v>
      </c>
    </row>
    <row r="2739" spans="2:10">
      <c r="B2739" s="275" t="s">
        <v>4063</v>
      </c>
      <c r="C2739" s="274" t="s">
        <v>549</v>
      </c>
      <c r="D2739" s="274" t="s">
        <v>1832</v>
      </c>
      <c r="E2739" s="201">
        <v>1.6</v>
      </c>
      <c r="F2739" s="201">
        <f>E2739/4</f>
        <v>0.4</v>
      </c>
      <c r="G2739" s="203">
        <v>43060</v>
      </c>
    </row>
    <row r="2740" spans="2:10">
      <c r="B2740" s="275" t="s">
        <v>4064</v>
      </c>
      <c r="C2740" s="274" t="s">
        <v>549</v>
      </c>
      <c r="D2740" s="274" t="s">
        <v>1832</v>
      </c>
      <c r="E2740" s="201">
        <v>1.6</v>
      </c>
      <c r="F2740" s="201">
        <f>E2740/4</f>
        <v>0.4</v>
      </c>
      <c r="G2740" s="203">
        <v>43060</v>
      </c>
    </row>
    <row r="2741" spans="2:10">
      <c r="B2741" s="275"/>
      <c r="C2741" s="282" t="s">
        <v>544</v>
      </c>
      <c r="D2741" s="282" t="s">
        <v>1935</v>
      </c>
      <c r="E2741" s="201">
        <v>50</v>
      </c>
      <c r="F2741" s="201">
        <v>5</v>
      </c>
      <c r="G2741" s="203">
        <v>44165</v>
      </c>
    </row>
    <row r="2742" spans="2:10">
      <c r="B2742" s="275"/>
      <c r="C2742" s="274"/>
      <c r="D2742" s="274"/>
      <c r="G2742" s="203"/>
    </row>
    <row r="2743" spans="2:10">
      <c r="B2743" s="275" t="s">
        <v>4071</v>
      </c>
      <c r="C2743" s="274" t="s">
        <v>755</v>
      </c>
      <c r="D2743" s="274" t="s">
        <v>4072</v>
      </c>
      <c r="E2743" s="201">
        <v>135</v>
      </c>
      <c r="F2743" s="201">
        <v>20</v>
      </c>
      <c r="G2743" s="203">
        <v>44880</v>
      </c>
    </row>
    <row r="2744" spans="2:10">
      <c r="B2744" s="275" t="s">
        <v>4073</v>
      </c>
      <c r="C2744" s="274" t="s">
        <v>755</v>
      </c>
      <c r="D2744" s="274" t="s">
        <v>4072</v>
      </c>
      <c r="E2744" s="201">
        <v>135</v>
      </c>
      <c r="F2744" s="201">
        <v>8</v>
      </c>
      <c r="G2744" s="203">
        <v>44880</v>
      </c>
    </row>
    <row r="2745" spans="2:10">
      <c r="B2745" s="275" t="s">
        <v>4074</v>
      </c>
      <c r="C2745" s="274" t="s">
        <v>755</v>
      </c>
      <c r="D2745" s="274" t="s">
        <v>4072</v>
      </c>
      <c r="E2745" s="201">
        <v>135</v>
      </c>
      <c r="F2745" s="201">
        <v>8</v>
      </c>
      <c r="G2745" s="203">
        <v>44880</v>
      </c>
    </row>
    <row r="2746" spans="2:10">
      <c r="B2746" s="275" t="s">
        <v>4075</v>
      </c>
      <c r="C2746" s="274" t="s">
        <v>755</v>
      </c>
      <c r="D2746" s="274" t="s">
        <v>4072</v>
      </c>
      <c r="E2746" s="201">
        <v>135</v>
      </c>
      <c r="F2746" s="201">
        <v>8</v>
      </c>
      <c r="G2746" s="203">
        <v>44880</v>
      </c>
    </row>
    <row r="2747" spans="2:10">
      <c r="B2747" s="275"/>
      <c r="C2747" s="274" t="s">
        <v>565</v>
      </c>
      <c r="D2747" s="274" t="s">
        <v>4072</v>
      </c>
      <c r="E2747" s="201">
        <v>73</v>
      </c>
      <c r="F2747" s="201">
        <v>20</v>
      </c>
      <c r="G2747" s="203">
        <v>44565</v>
      </c>
    </row>
    <row r="2748" spans="2:10">
      <c r="B2748" s="275" t="s">
        <v>4076</v>
      </c>
      <c r="C2748" s="274" t="s">
        <v>755</v>
      </c>
      <c r="D2748" s="274" t="s">
        <v>4072</v>
      </c>
      <c r="E2748" s="201">
        <v>135</v>
      </c>
      <c r="F2748" s="201">
        <v>8</v>
      </c>
      <c r="G2748" s="203">
        <v>44880</v>
      </c>
    </row>
    <row r="2749" spans="2:10">
      <c r="B2749" s="275"/>
      <c r="C2749" s="274" t="s">
        <v>402</v>
      </c>
      <c r="D2749" s="274" t="s">
        <v>4072</v>
      </c>
      <c r="E2749" s="201">
        <v>32</v>
      </c>
      <c r="F2749" s="201">
        <v>5</v>
      </c>
      <c r="G2749" s="203">
        <v>42528</v>
      </c>
    </row>
    <row r="2750" spans="2:10">
      <c r="B2750" s="275" t="s">
        <v>4077</v>
      </c>
      <c r="C2750" s="274" t="s">
        <v>755</v>
      </c>
      <c r="D2750" s="274" t="s">
        <v>4072</v>
      </c>
      <c r="E2750" s="201">
        <v>135</v>
      </c>
      <c r="F2750" s="201">
        <v>8</v>
      </c>
      <c r="G2750" s="203">
        <v>44880</v>
      </c>
    </row>
    <row r="2751" spans="2:10">
      <c r="B2751" s="275" t="s">
        <v>4079</v>
      </c>
      <c r="C2751" s="274" t="s">
        <v>565</v>
      </c>
      <c r="D2751" s="274" t="s">
        <v>4072</v>
      </c>
      <c r="E2751" s="201">
        <v>73</v>
      </c>
      <c r="F2751" s="201">
        <v>20</v>
      </c>
      <c r="G2751" s="203">
        <v>44565</v>
      </c>
      <c r="J2751" s="199">
        <v>615</v>
      </c>
    </row>
    <row r="2752" spans="2:10">
      <c r="B2752" s="275" t="s">
        <v>4080</v>
      </c>
      <c r="C2752" s="274" t="s">
        <v>565</v>
      </c>
      <c r="D2752" s="274" t="s">
        <v>4072</v>
      </c>
      <c r="E2752" s="201">
        <v>73</v>
      </c>
      <c r="F2752" s="201">
        <v>20</v>
      </c>
      <c r="G2752" s="203">
        <v>44565</v>
      </c>
    </row>
    <row r="2753" spans="2:7">
      <c r="B2753" s="275" t="s">
        <v>4081</v>
      </c>
      <c r="C2753" s="274" t="s">
        <v>565</v>
      </c>
      <c r="D2753" s="274" t="s">
        <v>4072</v>
      </c>
      <c r="E2753" s="201">
        <v>31.7</v>
      </c>
      <c r="F2753" s="201">
        <f>18/4</f>
        <v>4.5</v>
      </c>
      <c r="G2753" s="203">
        <v>43599</v>
      </c>
    </row>
    <row r="2754" spans="2:7">
      <c r="B2754" s="275" t="s">
        <v>4082</v>
      </c>
      <c r="C2754" s="274" t="s">
        <v>565</v>
      </c>
      <c r="D2754" s="274" t="s">
        <v>4072</v>
      </c>
      <c r="E2754" s="201">
        <v>31.7</v>
      </c>
      <c r="F2754" s="201">
        <f>18/4</f>
        <v>4.5</v>
      </c>
      <c r="G2754" s="203">
        <v>43599</v>
      </c>
    </row>
    <row r="2755" spans="2:7">
      <c r="B2755" s="275" t="s">
        <v>4083</v>
      </c>
      <c r="C2755" s="274" t="s">
        <v>565</v>
      </c>
      <c r="D2755" s="274" t="s">
        <v>4072</v>
      </c>
      <c r="E2755" s="201">
        <v>31.7</v>
      </c>
      <c r="F2755" s="201">
        <f>18/4</f>
        <v>4.5</v>
      </c>
      <c r="G2755" s="203">
        <v>43599</v>
      </c>
    </row>
    <row r="2756" spans="2:7">
      <c r="B2756" s="275" t="s">
        <v>4085</v>
      </c>
      <c r="C2756" s="274" t="s">
        <v>402</v>
      </c>
      <c r="D2756" s="274" t="s">
        <v>4072</v>
      </c>
      <c r="E2756" s="201">
        <v>32</v>
      </c>
      <c r="F2756" s="201">
        <v>5</v>
      </c>
      <c r="G2756" s="203">
        <v>42528</v>
      </c>
    </row>
    <row r="2757" spans="2:7">
      <c r="B2757" s="275" t="s">
        <v>4094</v>
      </c>
      <c r="C2757" s="274" t="s">
        <v>402</v>
      </c>
      <c r="D2757" s="274" t="s">
        <v>1858</v>
      </c>
      <c r="E2757" s="201">
        <v>23.5</v>
      </c>
      <c r="F2757" s="201">
        <v>10</v>
      </c>
      <c r="G2757" s="203">
        <v>45008</v>
      </c>
    </row>
    <row r="2758" spans="2:7">
      <c r="B2758" s="275" t="s">
        <v>4095</v>
      </c>
      <c r="C2758" s="274" t="s">
        <v>402</v>
      </c>
      <c r="D2758" s="274" t="s">
        <v>1858</v>
      </c>
      <c r="E2758" s="201">
        <v>23.5</v>
      </c>
      <c r="F2758" s="201">
        <f>14/4</f>
        <v>3.5</v>
      </c>
      <c r="G2758" s="203">
        <v>45008</v>
      </c>
    </row>
    <row r="2759" spans="2:7">
      <c r="B2759" s="275" t="s">
        <v>4105</v>
      </c>
      <c r="C2759" s="274" t="s">
        <v>549</v>
      </c>
      <c r="D2759" s="274" t="s">
        <v>1874</v>
      </c>
      <c r="E2759" s="201">
        <v>2</v>
      </c>
      <c r="F2759" s="201">
        <v>1</v>
      </c>
      <c r="G2759" s="203">
        <v>44658</v>
      </c>
    </row>
    <row r="2760" spans="2:7">
      <c r="B2760" s="275" t="s">
        <v>4106</v>
      </c>
      <c r="C2760" s="274" t="s">
        <v>549</v>
      </c>
      <c r="D2760" s="274" t="s">
        <v>1874</v>
      </c>
      <c r="E2760" s="201">
        <v>2</v>
      </c>
      <c r="F2760" s="201">
        <v>0.5</v>
      </c>
      <c r="G2760" s="203">
        <v>44658</v>
      </c>
    </row>
    <row r="2761" spans="2:7">
      <c r="B2761" s="275" t="s">
        <v>2225</v>
      </c>
      <c r="C2761" s="274" t="s">
        <v>549</v>
      </c>
      <c r="D2761" s="274" t="s">
        <v>1874</v>
      </c>
      <c r="E2761" s="201">
        <v>2</v>
      </c>
      <c r="F2761" s="201">
        <v>0.5</v>
      </c>
      <c r="G2761" s="203">
        <v>44658</v>
      </c>
    </row>
    <row r="2762" spans="2:7">
      <c r="B2762" s="275" t="s">
        <v>338</v>
      </c>
      <c r="C2762" s="274" t="s">
        <v>549</v>
      </c>
      <c r="D2762" s="274" t="s">
        <v>1874</v>
      </c>
      <c r="E2762" s="201">
        <v>4.5</v>
      </c>
      <c r="F2762" s="201">
        <v>2</v>
      </c>
      <c r="G2762" s="203">
        <v>44434</v>
      </c>
    </row>
    <row r="2763" spans="2:7">
      <c r="B2763" s="275" t="s">
        <v>4109</v>
      </c>
      <c r="C2763" s="274" t="s">
        <v>549</v>
      </c>
      <c r="D2763" s="274" t="s">
        <v>1874</v>
      </c>
      <c r="E2763" s="201">
        <v>0.35</v>
      </c>
      <c r="F2763" s="201">
        <v>0.35</v>
      </c>
      <c r="G2763" s="203">
        <v>43864</v>
      </c>
    </row>
    <row r="2764" spans="2:7">
      <c r="B2764" s="281" t="s">
        <v>4132</v>
      </c>
      <c r="C2764" s="282" t="s">
        <v>544</v>
      </c>
      <c r="D2764" s="282" t="s">
        <v>1913</v>
      </c>
      <c r="E2764" s="201">
        <v>25</v>
      </c>
      <c r="F2764" s="201">
        <v>8</v>
      </c>
      <c r="G2764" s="203">
        <v>44510</v>
      </c>
    </row>
    <row r="2765" spans="2:7">
      <c r="B2765" s="281" t="s">
        <v>4134</v>
      </c>
      <c r="C2765" s="282" t="s">
        <v>544</v>
      </c>
      <c r="D2765" s="282" t="s">
        <v>1913</v>
      </c>
      <c r="E2765" s="201">
        <v>25</v>
      </c>
      <c r="F2765" s="201">
        <f>17/6</f>
        <v>2.8333333333333335</v>
      </c>
      <c r="G2765" s="203">
        <v>44510</v>
      </c>
    </row>
    <row r="2766" spans="2:7">
      <c r="B2766" s="281" t="s">
        <v>4133</v>
      </c>
      <c r="C2766" s="282" t="s">
        <v>544</v>
      </c>
      <c r="D2766" s="282" t="s">
        <v>1913</v>
      </c>
      <c r="E2766" s="201">
        <v>25</v>
      </c>
      <c r="F2766" s="201">
        <f>17/6</f>
        <v>2.8333333333333335</v>
      </c>
      <c r="G2766" s="203">
        <v>44510</v>
      </c>
    </row>
    <row r="2767" spans="2:7">
      <c r="B2767" s="281" t="s">
        <v>4135</v>
      </c>
      <c r="C2767" s="282" t="s">
        <v>544</v>
      </c>
      <c r="D2767" s="282" t="s">
        <v>1913</v>
      </c>
      <c r="E2767" s="201">
        <v>25</v>
      </c>
      <c r="F2767" s="201">
        <f>17/6</f>
        <v>2.8333333333333335</v>
      </c>
      <c r="G2767" s="203">
        <v>44510</v>
      </c>
    </row>
    <row r="2768" spans="2:7">
      <c r="B2768" s="281"/>
      <c r="C2768" s="282" t="s">
        <v>549</v>
      </c>
      <c r="D2768" s="282" t="s">
        <v>1913</v>
      </c>
      <c r="E2768" s="201">
        <v>8</v>
      </c>
      <c r="F2768" s="201">
        <v>1.5</v>
      </c>
      <c r="G2768" s="203">
        <v>44063</v>
      </c>
    </row>
    <row r="2769" spans="2:9">
      <c r="B2769" s="281" t="s">
        <v>4136</v>
      </c>
      <c r="C2769" s="282" t="s">
        <v>544</v>
      </c>
      <c r="D2769" s="282" t="s">
        <v>1913</v>
      </c>
      <c r="E2769" s="201">
        <v>25</v>
      </c>
      <c r="F2769" s="201">
        <f>17/6</f>
        <v>2.8333333333333335</v>
      </c>
      <c r="G2769" s="203">
        <v>44510</v>
      </c>
    </row>
    <row r="2770" spans="2:9">
      <c r="B2770" s="281"/>
      <c r="C2770" s="282" t="s">
        <v>549</v>
      </c>
      <c r="D2770" s="282" t="s">
        <v>1913</v>
      </c>
      <c r="E2770" s="201">
        <v>8</v>
      </c>
      <c r="F2770" s="201">
        <f t="shared" ref="F2770" si="31">5/8</f>
        <v>0.625</v>
      </c>
      <c r="G2770" s="203">
        <v>44063</v>
      </c>
    </row>
    <row r="2771" spans="2:9">
      <c r="B2771" s="281" t="s">
        <v>4138</v>
      </c>
      <c r="C2771" s="282" t="s">
        <v>549</v>
      </c>
      <c r="D2771" s="282" t="s">
        <v>1913</v>
      </c>
      <c r="E2771" s="201">
        <v>8</v>
      </c>
      <c r="F2771" s="201">
        <f t="shared" ref="F2771:F2776" si="32">5/8</f>
        <v>0.625</v>
      </c>
      <c r="G2771" s="203">
        <v>44063</v>
      </c>
    </row>
    <row r="2772" spans="2:9">
      <c r="B2772" s="281" t="s">
        <v>4139</v>
      </c>
      <c r="C2772" s="282" t="s">
        <v>549</v>
      </c>
      <c r="D2772" s="282" t="s">
        <v>1913</v>
      </c>
      <c r="E2772" s="201">
        <v>8</v>
      </c>
      <c r="F2772" s="201">
        <f t="shared" si="32"/>
        <v>0.625</v>
      </c>
      <c r="G2772" s="203">
        <v>44063</v>
      </c>
    </row>
    <row r="2773" spans="2:9">
      <c r="B2773" s="281" t="s">
        <v>4141</v>
      </c>
      <c r="C2773" s="282" t="s">
        <v>549</v>
      </c>
      <c r="D2773" s="282" t="s">
        <v>1913</v>
      </c>
      <c r="E2773" s="201">
        <v>8</v>
      </c>
      <c r="F2773" s="201">
        <f t="shared" si="32"/>
        <v>0.625</v>
      </c>
      <c r="G2773" s="203">
        <v>44063</v>
      </c>
    </row>
    <row r="2774" spans="2:9">
      <c r="B2774" s="281" t="s">
        <v>4142</v>
      </c>
      <c r="C2774" s="282" t="s">
        <v>549</v>
      </c>
      <c r="D2774" s="282" t="s">
        <v>1913</v>
      </c>
      <c r="E2774" s="201">
        <v>8</v>
      </c>
      <c r="F2774" s="201">
        <f t="shared" si="32"/>
        <v>0.625</v>
      </c>
      <c r="G2774" s="203">
        <v>44063</v>
      </c>
    </row>
    <row r="2775" spans="2:9">
      <c r="B2775" s="281" t="s">
        <v>4143</v>
      </c>
      <c r="C2775" s="282" t="s">
        <v>549</v>
      </c>
      <c r="D2775" s="282" t="s">
        <v>1913</v>
      </c>
      <c r="E2775" s="201">
        <v>8</v>
      </c>
      <c r="F2775" s="201">
        <f t="shared" si="32"/>
        <v>0.625</v>
      </c>
      <c r="G2775" s="203">
        <v>44063</v>
      </c>
    </row>
    <row r="2776" spans="2:9">
      <c r="B2776" s="281" t="s">
        <v>4144</v>
      </c>
      <c r="C2776" s="282" t="s">
        <v>549</v>
      </c>
      <c r="D2776" s="282" t="s">
        <v>1913</v>
      </c>
      <c r="E2776" s="201">
        <v>8</v>
      </c>
      <c r="F2776" s="201">
        <f t="shared" si="32"/>
        <v>0.625</v>
      </c>
      <c r="G2776" s="203">
        <v>44063</v>
      </c>
    </row>
    <row r="2777" spans="2:9">
      <c r="B2777" s="281" t="s">
        <v>4160</v>
      </c>
      <c r="C2777" s="282" t="s">
        <v>402</v>
      </c>
      <c r="D2777" s="282" t="s">
        <v>1920</v>
      </c>
      <c r="E2777" s="201">
        <v>37</v>
      </c>
      <c r="F2777" s="201">
        <v>12</v>
      </c>
      <c r="G2777" s="203">
        <v>43783</v>
      </c>
      <c r="I2777" s="199">
        <v>113</v>
      </c>
    </row>
    <row r="2778" spans="2:9">
      <c r="B2778" s="281"/>
      <c r="C2778" s="282" t="s">
        <v>544</v>
      </c>
      <c r="D2778" s="282" t="s">
        <v>1936</v>
      </c>
      <c r="E2778" s="201">
        <v>29.5</v>
      </c>
      <c r="F2778" s="201">
        <v>12</v>
      </c>
      <c r="G2778" s="203">
        <v>43410</v>
      </c>
    </row>
    <row r="2779" spans="2:9">
      <c r="B2779" s="281"/>
      <c r="C2779" s="282"/>
      <c r="D2779" s="282"/>
      <c r="G2779" s="203"/>
    </row>
    <row r="2780" spans="2:9">
      <c r="B2780" s="281" t="s">
        <v>4169</v>
      </c>
      <c r="C2780" s="282" t="s">
        <v>755</v>
      </c>
      <c r="D2780" s="282" t="s">
        <v>1921</v>
      </c>
      <c r="E2780" s="201">
        <v>30</v>
      </c>
      <c r="F2780" s="201">
        <v>10</v>
      </c>
      <c r="G2780" s="203">
        <v>43178</v>
      </c>
    </row>
    <row r="2781" spans="2:9">
      <c r="B2781" s="281" t="s">
        <v>4170</v>
      </c>
      <c r="C2781" s="282" t="s">
        <v>755</v>
      </c>
      <c r="D2781" s="282" t="s">
        <v>1921</v>
      </c>
      <c r="E2781" s="201">
        <v>30</v>
      </c>
      <c r="F2781" s="201">
        <f>20/7</f>
        <v>2.8571428571428572</v>
      </c>
      <c r="G2781" s="203">
        <v>43178</v>
      </c>
    </row>
    <row r="2782" spans="2:9">
      <c r="B2782" s="281" t="s">
        <v>4171</v>
      </c>
      <c r="C2782" s="282" t="s">
        <v>755</v>
      </c>
      <c r="D2782" s="282" t="s">
        <v>1921</v>
      </c>
      <c r="E2782" s="201">
        <v>30</v>
      </c>
      <c r="F2782" s="201">
        <f>20/7</f>
        <v>2.8571428571428572</v>
      </c>
      <c r="G2782" s="203">
        <v>43178</v>
      </c>
    </row>
    <row r="2783" spans="2:9">
      <c r="B2783" s="281" t="s">
        <v>315</v>
      </c>
      <c r="C2783" s="282" t="s">
        <v>755</v>
      </c>
      <c r="D2783" s="282" t="s">
        <v>1921</v>
      </c>
      <c r="E2783" s="201">
        <v>30</v>
      </c>
      <c r="F2783" s="201">
        <f>20/7</f>
        <v>2.8571428571428572</v>
      </c>
      <c r="G2783" s="203">
        <v>43178</v>
      </c>
    </row>
    <row r="2784" spans="2:9">
      <c r="B2784" s="281"/>
      <c r="C2784" s="282" t="s">
        <v>755</v>
      </c>
      <c r="D2784" s="282" t="s">
        <v>1921</v>
      </c>
      <c r="E2784" s="201">
        <v>40</v>
      </c>
      <c r="F2784" s="201">
        <v>13</v>
      </c>
      <c r="G2784" s="203">
        <v>42493</v>
      </c>
    </row>
    <row r="2785" spans="2:7">
      <c r="B2785" s="281" t="s">
        <v>4172</v>
      </c>
      <c r="C2785" s="282" t="s">
        <v>755</v>
      </c>
      <c r="D2785" s="282" t="s">
        <v>1921</v>
      </c>
      <c r="E2785" s="201">
        <v>30</v>
      </c>
      <c r="F2785" s="201">
        <f>20/7</f>
        <v>2.8571428571428572</v>
      </c>
      <c r="G2785" s="203">
        <v>43178</v>
      </c>
    </row>
    <row r="2786" spans="2:7">
      <c r="B2786" s="281"/>
      <c r="C2786" s="282" t="s">
        <v>755</v>
      </c>
      <c r="D2786" s="282" t="s">
        <v>1921</v>
      </c>
      <c r="E2786" s="201">
        <v>40</v>
      </c>
      <c r="F2786" s="201">
        <v>13</v>
      </c>
      <c r="G2786" s="203">
        <v>42493</v>
      </c>
    </row>
    <row r="2787" spans="2:7">
      <c r="B2787" s="281" t="s">
        <v>4173</v>
      </c>
      <c r="C2787" s="282" t="s">
        <v>755</v>
      </c>
      <c r="D2787" s="282" t="s">
        <v>1921</v>
      </c>
      <c r="E2787" s="201">
        <v>30</v>
      </c>
      <c r="F2787" s="201">
        <f>20/7</f>
        <v>2.8571428571428572</v>
      </c>
      <c r="G2787" s="203">
        <v>43178</v>
      </c>
    </row>
    <row r="2788" spans="2:7">
      <c r="B2788" s="281"/>
      <c r="C2788" s="282" t="s">
        <v>755</v>
      </c>
      <c r="D2788" s="282" t="s">
        <v>1921</v>
      </c>
      <c r="E2788" s="201">
        <v>40</v>
      </c>
      <c r="F2788" s="201">
        <v>7</v>
      </c>
      <c r="G2788" s="203">
        <v>42493</v>
      </c>
    </row>
    <row r="2789" spans="2:7">
      <c r="B2789" s="281"/>
      <c r="C2789" s="282" t="s">
        <v>755</v>
      </c>
      <c r="D2789" s="282" t="s">
        <v>1921</v>
      </c>
      <c r="E2789" s="201">
        <v>5</v>
      </c>
      <c r="F2789" s="201">
        <v>5</v>
      </c>
      <c r="G2789" s="203">
        <v>42356</v>
      </c>
    </row>
    <row r="2790" spans="2:7">
      <c r="B2790" s="281" t="s">
        <v>4174</v>
      </c>
      <c r="C2790" s="282" t="s">
        <v>755</v>
      </c>
      <c r="D2790" s="282" t="s">
        <v>1921</v>
      </c>
      <c r="E2790" s="201">
        <v>30</v>
      </c>
      <c r="F2790" s="201">
        <f>20/7</f>
        <v>2.8571428571428572</v>
      </c>
      <c r="G2790" s="203">
        <v>43178</v>
      </c>
    </row>
    <row r="2791" spans="2:7">
      <c r="B2791" s="281" t="s">
        <v>4175</v>
      </c>
      <c r="C2791" s="282" t="s">
        <v>755</v>
      </c>
      <c r="D2791" s="282" t="s">
        <v>1921</v>
      </c>
      <c r="E2791" s="201">
        <v>10</v>
      </c>
      <c r="F2791" s="201">
        <v>10</v>
      </c>
      <c r="G2791" s="203">
        <v>43726</v>
      </c>
    </row>
    <row r="2792" spans="2:7">
      <c r="B2792" s="281" t="s">
        <v>4181</v>
      </c>
      <c r="C2792" s="282" t="s">
        <v>402</v>
      </c>
      <c r="D2792" s="282" t="s">
        <v>1922</v>
      </c>
      <c r="E2792" s="201">
        <v>25</v>
      </c>
      <c r="F2792" s="201">
        <v>10</v>
      </c>
      <c r="G2792" s="203">
        <v>43783</v>
      </c>
    </row>
    <row r="2793" spans="2:7">
      <c r="B2793" s="281" t="s">
        <v>4182</v>
      </c>
      <c r="C2793" s="282" t="s">
        <v>402</v>
      </c>
      <c r="D2793" s="282" t="s">
        <v>1922</v>
      </c>
      <c r="E2793" s="201">
        <v>25</v>
      </c>
      <c r="F2793" s="201">
        <f>15/5</f>
        <v>3</v>
      </c>
      <c r="G2793" s="203">
        <v>43783</v>
      </c>
    </row>
    <row r="2794" spans="2:7">
      <c r="B2794" s="281" t="s">
        <v>4183</v>
      </c>
      <c r="C2794" s="282" t="s">
        <v>402</v>
      </c>
      <c r="D2794" s="282" t="s">
        <v>1922</v>
      </c>
      <c r="E2794" s="201">
        <v>25</v>
      </c>
      <c r="F2794" s="201">
        <f>15/5</f>
        <v>3</v>
      </c>
      <c r="G2794" s="203">
        <v>43783</v>
      </c>
    </row>
    <row r="2795" spans="2:7">
      <c r="B2795" s="281"/>
      <c r="C2795" s="282"/>
      <c r="D2795" s="282"/>
      <c r="G2795" s="203"/>
    </row>
    <row r="2796" spans="2:7">
      <c r="B2796" s="281" t="s">
        <v>4184</v>
      </c>
      <c r="C2796" s="282" t="s">
        <v>402</v>
      </c>
      <c r="D2796" s="282" t="s">
        <v>1922</v>
      </c>
      <c r="E2796" s="201">
        <v>25</v>
      </c>
      <c r="F2796" s="201">
        <f>15/5</f>
        <v>3</v>
      </c>
      <c r="G2796" s="203">
        <v>43783</v>
      </c>
    </row>
    <row r="2797" spans="2:7">
      <c r="B2797" s="281"/>
      <c r="C2797" s="282" t="s">
        <v>402</v>
      </c>
      <c r="D2797" s="282" t="s">
        <v>1922</v>
      </c>
      <c r="E2797" s="201">
        <v>15</v>
      </c>
      <c r="F2797" s="201">
        <v>7.5</v>
      </c>
      <c r="G2797" s="203">
        <v>43559</v>
      </c>
    </row>
    <row r="2798" spans="2:7">
      <c r="B2798" s="281"/>
      <c r="C2798" s="282" t="s">
        <v>402</v>
      </c>
      <c r="D2798" s="282" t="s">
        <v>4200</v>
      </c>
      <c r="E2798" s="201">
        <v>25</v>
      </c>
      <c r="F2798" s="201">
        <f>15/6</f>
        <v>2.5</v>
      </c>
      <c r="G2798" s="203">
        <v>44642</v>
      </c>
    </row>
    <row r="2799" spans="2:7">
      <c r="B2799" s="281"/>
      <c r="C2799" s="282"/>
      <c r="D2799" s="282"/>
      <c r="G2799" s="203"/>
    </row>
    <row r="2800" spans="2:7">
      <c r="B2800" s="281" t="s">
        <v>4185</v>
      </c>
      <c r="C2800" s="282" t="s">
        <v>402</v>
      </c>
      <c r="D2800" s="282" t="s">
        <v>1922</v>
      </c>
      <c r="E2800" s="201">
        <v>25</v>
      </c>
      <c r="F2800" s="201">
        <f>15/5</f>
        <v>3</v>
      </c>
      <c r="G2800" s="203">
        <v>43783</v>
      </c>
    </row>
    <row r="2801" spans="2:7">
      <c r="C2801" s="282" t="s">
        <v>402</v>
      </c>
      <c r="D2801" s="282" t="s">
        <v>1922</v>
      </c>
      <c r="E2801" s="201">
        <v>15</v>
      </c>
      <c r="F2801" s="201">
        <v>3.2</v>
      </c>
      <c r="G2801" s="203">
        <v>43559</v>
      </c>
    </row>
    <row r="2802" spans="2:7">
      <c r="C2802" s="282" t="s">
        <v>544</v>
      </c>
      <c r="D2802" s="282" t="s">
        <v>1922</v>
      </c>
      <c r="E2802" s="201">
        <v>10</v>
      </c>
      <c r="F2802" s="201">
        <v>5</v>
      </c>
      <c r="G2802" s="203">
        <v>42304</v>
      </c>
    </row>
    <row r="2803" spans="2:7">
      <c r="C2803" s="282"/>
      <c r="D2803" s="282"/>
      <c r="G2803" s="203"/>
    </row>
    <row r="2804" spans="2:7">
      <c r="B2804" s="281" t="s">
        <v>4187</v>
      </c>
      <c r="C2804" s="282" t="s">
        <v>402</v>
      </c>
      <c r="D2804" s="282" t="s">
        <v>1922</v>
      </c>
      <c r="E2804" s="201">
        <v>15</v>
      </c>
      <c r="F2804" s="201">
        <v>3.2</v>
      </c>
      <c r="G2804" s="203">
        <v>43559</v>
      </c>
    </row>
    <row r="2805" spans="2:7">
      <c r="B2805" s="281"/>
      <c r="C2805" s="282"/>
      <c r="D2805" s="282"/>
      <c r="G2805" s="203"/>
    </row>
    <row r="2806" spans="2:7">
      <c r="B2806" s="281" t="s">
        <v>4202</v>
      </c>
      <c r="C2806" s="282" t="s">
        <v>402</v>
      </c>
      <c r="D2806" s="282" t="s">
        <v>4200</v>
      </c>
      <c r="E2806" s="201">
        <v>25</v>
      </c>
      <c r="F2806" s="201">
        <f>15/6</f>
        <v>2.5</v>
      </c>
      <c r="G2806" s="203">
        <v>44642</v>
      </c>
    </row>
    <row r="2807" spans="2:7">
      <c r="B2807" s="281"/>
      <c r="C2807" s="282"/>
      <c r="D2807" s="282"/>
      <c r="G2807" s="203"/>
    </row>
    <row r="2808" spans="2:7">
      <c r="B2808" s="281" t="s">
        <v>4203</v>
      </c>
      <c r="C2808" s="282" t="s">
        <v>402</v>
      </c>
      <c r="D2808" s="282" t="s">
        <v>4200</v>
      </c>
      <c r="E2808" s="201">
        <v>25</v>
      </c>
      <c r="F2808" s="201">
        <f>15/6</f>
        <v>2.5</v>
      </c>
      <c r="G2808" s="203">
        <v>44642</v>
      </c>
    </row>
    <row r="2809" spans="2:7">
      <c r="B2809" s="281"/>
      <c r="C2809" s="282" t="s">
        <v>544</v>
      </c>
      <c r="D2809" s="282" t="s">
        <v>4200</v>
      </c>
      <c r="E2809" s="201">
        <v>13.5</v>
      </c>
      <c r="F2809" s="201">
        <f>10/6</f>
        <v>1.6666666666666667</v>
      </c>
      <c r="G2809" s="203">
        <v>43978</v>
      </c>
    </row>
    <row r="2810" spans="2:7">
      <c r="B2810" s="281"/>
      <c r="C2810" s="282" t="s">
        <v>549</v>
      </c>
      <c r="D2810" s="282" t="s">
        <v>4200</v>
      </c>
      <c r="E2810" s="201">
        <v>5.3</v>
      </c>
      <c r="F2810" s="201">
        <f>4/7</f>
        <v>0.5714285714285714</v>
      </c>
      <c r="G2810" s="203">
        <v>43398</v>
      </c>
    </row>
    <row r="2811" spans="2:7">
      <c r="B2811" s="281"/>
      <c r="C2811" s="282" t="s">
        <v>549</v>
      </c>
      <c r="D2811" s="282" t="s">
        <v>4200</v>
      </c>
      <c r="E2811" s="201">
        <v>4</v>
      </c>
      <c r="F2811" s="201">
        <f>2.5/4</f>
        <v>0.625</v>
      </c>
      <c r="G2811" s="203">
        <v>43122</v>
      </c>
    </row>
    <row r="2812" spans="2:7">
      <c r="B2812" s="281"/>
      <c r="C2812" s="282"/>
      <c r="D2812" s="282"/>
      <c r="G2812" s="203"/>
    </row>
    <row r="2813" spans="2:7">
      <c r="B2813" s="281" t="s">
        <v>4204</v>
      </c>
      <c r="C2813" s="282" t="s">
        <v>402</v>
      </c>
      <c r="D2813" s="282" t="s">
        <v>4200</v>
      </c>
      <c r="E2813" s="201">
        <v>25</v>
      </c>
      <c r="F2813" s="201">
        <f>15/6</f>
        <v>2.5</v>
      </c>
      <c r="G2813" s="203">
        <v>44642</v>
      </c>
    </row>
    <row r="2814" spans="2:7">
      <c r="C2814" s="282" t="s">
        <v>544</v>
      </c>
      <c r="D2814" s="282" t="s">
        <v>4200</v>
      </c>
      <c r="E2814" s="201">
        <v>13.5</v>
      </c>
      <c r="F2814" s="201">
        <v>4</v>
      </c>
      <c r="G2814" s="203">
        <v>43978</v>
      </c>
    </row>
    <row r="2815" spans="2:7">
      <c r="C2815" s="282"/>
      <c r="D2815" s="282"/>
      <c r="G2815" s="203"/>
    </row>
    <row r="2816" spans="2:7">
      <c r="B2816" s="281" t="s">
        <v>4206</v>
      </c>
      <c r="C2816" s="282" t="s">
        <v>544</v>
      </c>
      <c r="D2816" s="282" t="s">
        <v>4200</v>
      </c>
      <c r="E2816" s="201">
        <v>13.5</v>
      </c>
      <c r="F2816" s="201">
        <f>10/6</f>
        <v>1.6666666666666667</v>
      </c>
      <c r="G2816" s="203">
        <v>43978</v>
      </c>
    </row>
    <row r="2817" spans="2:9">
      <c r="B2817" s="281"/>
      <c r="C2817" s="282" t="s">
        <v>549</v>
      </c>
      <c r="D2817" s="282" t="s">
        <v>4200</v>
      </c>
      <c r="E2817" s="201">
        <v>5.3</v>
      </c>
      <c r="F2817" s="201">
        <f>4/7</f>
        <v>0.5714285714285714</v>
      </c>
      <c r="G2817" s="203">
        <v>43398</v>
      </c>
    </row>
    <row r="2818" spans="2:9">
      <c r="B2818" s="281"/>
      <c r="C2818" s="282"/>
      <c r="D2818" s="282"/>
      <c r="G2818" s="203"/>
    </row>
    <row r="2819" spans="2:9">
      <c r="B2819" s="281" t="s">
        <v>4207</v>
      </c>
      <c r="C2819" s="282" t="s">
        <v>544</v>
      </c>
      <c r="D2819" s="282" t="s">
        <v>4200</v>
      </c>
      <c r="E2819" s="201">
        <v>13.5</v>
      </c>
      <c r="F2819" s="201">
        <f t="shared" ref="F2819:F2822" si="33">10/6</f>
        <v>1.6666666666666667</v>
      </c>
      <c r="G2819" s="203">
        <v>43978</v>
      </c>
    </row>
    <row r="2820" spans="2:9">
      <c r="B2820" s="281"/>
      <c r="C2820" s="282" t="s">
        <v>549</v>
      </c>
      <c r="D2820" s="282" t="s">
        <v>4200</v>
      </c>
      <c r="E2820" s="201">
        <v>5.3</v>
      </c>
      <c r="F2820" s="201">
        <f>4/7</f>
        <v>0.5714285714285714</v>
      </c>
      <c r="G2820" s="203">
        <v>43398</v>
      </c>
    </row>
    <row r="2821" spans="2:9">
      <c r="B2821" s="281"/>
      <c r="C2821" s="282"/>
      <c r="D2821" s="282"/>
      <c r="G2821" s="203"/>
    </row>
    <row r="2822" spans="2:9">
      <c r="B2822" s="281" t="s">
        <v>4208</v>
      </c>
      <c r="C2822" s="282" t="s">
        <v>544</v>
      </c>
      <c r="D2822" s="282" t="s">
        <v>4200</v>
      </c>
      <c r="E2822" s="201">
        <v>13.5</v>
      </c>
      <c r="F2822" s="201">
        <f t="shared" si="33"/>
        <v>1.6666666666666667</v>
      </c>
      <c r="G2822" s="203">
        <v>43978</v>
      </c>
    </row>
    <row r="2823" spans="2:9">
      <c r="B2823" s="281"/>
      <c r="C2823" s="282"/>
      <c r="D2823" s="282"/>
      <c r="G2823" s="203"/>
    </row>
    <row r="2824" spans="2:9">
      <c r="B2824" s="281" t="s">
        <v>4210</v>
      </c>
      <c r="C2824" s="282" t="s">
        <v>549</v>
      </c>
      <c r="D2824" s="282" t="s">
        <v>4200</v>
      </c>
      <c r="E2824" s="201">
        <v>5.3</v>
      </c>
      <c r="F2824" s="201">
        <f>4/7</f>
        <v>0.5714285714285714</v>
      </c>
      <c r="G2824" s="203">
        <v>43398</v>
      </c>
    </row>
    <row r="2825" spans="2:9">
      <c r="C2825" s="282" t="s">
        <v>549</v>
      </c>
      <c r="D2825" s="282" t="s">
        <v>4200</v>
      </c>
      <c r="E2825" s="201">
        <v>4</v>
      </c>
      <c r="F2825" s="201">
        <f>2.5/4</f>
        <v>0.625</v>
      </c>
      <c r="G2825" s="203">
        <v>43122</v>
      </c>
    </row>
    <row r="2826" spans="2:9">
      <c r="C2826" s="282"/>
      <c r="D2826" s="282"/>
      <c r="G2826" s="203"/>
    </row>
    <row r="2827" spans="2:9">
      <c r="B2827" s="281" t="s">
        <v>4226</v>
      </c>
      <c r="C2827" s="282" t="s">
        <v>565</v>
      </c>
      <c r="D2827" s="282" t="s">
        <v>1933</v>
      </c>
      <c r="E2827" s="201">
        <v>257</v>
      </c>
      <c r="F2827" s="201">
        <v>50</v>
      </c>
      <c r="G2827" s="203">
        <v>44201</v>
      </c>
      <c r="I2827" s="212">
        <v>1286</v>
      </c>
    </row>
    <row r="2828" spans="2:9">
      <c r="B2828" s="281"/>
      <c r="C2828" s="282"/>
      <c r="D2828" s="282"/>
      <c r="G2828" s="203"/>
      <c r="I2828" s="212"/>
    </row>
    <row r="2829" spans="2:9">
      <c r="B2829" s="281" t="s">
        <v>4227</v>
      </c>
      <c r="C2829" s="282" t="s">
        <v>565</v>
      </c>
      <c r="D2829" s="282" t="s">
        <v>1933</v>
      </c>
      <c r="E2829" s="201">
        <v>257</v>
      </c>
      <c r="F2829" s="201">
        <f>107/3</f>
        <v>35.666666666666664</v>
      </c>
      <c r="G2829" s="203">
        <v>44201</v>
      </c>
      <c r="I2829" s="212">
        <v>1286</v>
      </c>
    </row>
    <row r="2830" spans="2:9">
      <c r="C2830" s="282" t="s">
        <v>402</v>
      </c>
      <c r="D2830" s="282" t="s">
        <v>1933</v>
      </c>
      <c r="E2830" s="201">
        <v>100</v>
      </c>
      <c r="F2830" s="201">
        <v>40</v>
      </c>
      <c r="G2830" s="203">
        <v>43958</v>
      </c>
      <c r="I2830" s="212">
        <f>4500/7</f>
        <v>642.85714285714289</v>
      </c>
    </row>
    <row r="2831" spans="2:9">
      <c r="C2831" s="282" t="s">
        <v>549</v>
      </c>
      <c r="D2831" s="282" t="s">
        <v>1933</v>
      </c>
      <c r="E2831" s="201">
        <v>49</v>
      </c>
      <c r="F2831" s="201">
        <v>7.5</v>
      </c>
      <c r="G2831" s="203">
        <v>43319</v>
      </c>
      <c r="I2831" s="212"/>
    </row>
    <row r="2832" spans="2:9">
      <c r="C2832" s="282"/>
      <c r="D2832" s="282"/>
      <c r="G2832" s="203"/>
      <c r="I2832" s="212"/>
    </row>
    <row r="2833" spans="2:11">
      <c r="B2833" s="281" t="s">
        <v>4229</v>
      </c>
      <c r="C2833" s="282" t="s">
        <v>402</v>
      </c>
      <c r="D2833" s="282" t="s">
        <v>1933</v>
      </c>
      <c r="E2833" s="201">
        <v>100</v>
      </c>
      <c r="F2833" s="201">
        <v>20</v>
      </c>
      <c r="G2833" s="203">
        <v>43958</v>
      </c>
      <c r="I2833" s="212">
        <f>4500/7</f>
        <v>642.85714285714289</v>
      </c>
    </row>
    <row r="2834" spans="2:11">
      <c r="B2834" s="281"/>
      <c r="C2834" s="282" t="s">
        <v>549</v>
      </c>
      <c r="D2834" s="282" t="s">
        <v>1933</v>
      </c>
      <c r="E2834" s="201">
        <v>49</v>
      </c>
      <c r="F2834" s="201">
        <v>7.5</v>
      </c>
      <c r="G2834" s="203">
        <v>43319</v>
      </c>
      <c r="I2834" s="212"/>
    </row>
    <row r="2835" spans="2:11">
      <c r="B2835" s="281"/>
      <c r="C2835" s="282"/>
      <c r="D2835" s="282"/>
      <c r="G2835" s="203"/>
      <c r="I2835" s="212"/>
    </row>
    <row r="2836" spans="2:11">
      <c r="B2836" s="281" t="s">
        <v>4231</v>
      </c>
      <c r="C2836" s="282" t="s">
        <v>544</v>
      </c>
      <c r="D2836" s="282" t="s">
        <v>1933</v>
      </c>
      <c r="E2836" s="201">
        <v>43</v>
      </c>
      <c r="F2836" s="201">
        <f>+E2836/6</f>
        <v>7.166666666666667</v>
      </c>
      <c r="G2836" s="203">
        <v>43622</v>
      </c>
    </row>
    <row r="2837" spans="2:11">
      <c r="B2837" s="281"/>
      <c r="C2837" s="282" t="s">
        <v>549</v>
      </c>
      <c r="D2837" s="282" t="s">
        <v>1933</v>
      </c>
      <c r="E2837" s="201">
        <v>49</v>
      </c>
      <c r="F2837" s="201">
        <v>7.5</v>
      </c>
      <c r="G2837" s="203">
        <v>43319</v>
      </c>
    </row>
    <row r="2838" spans="2:11">
      <c r="B2838" s="281"/>
      <c r="C2838" s="282"/>
      <c r="D2838" s="282"/>
      <c r="G2838" s="203"/>
    </row>
    <row r="2839" spans="2:11">
      <c r="B2839" s="281" t="s">
        <v>4232</v>
      </c>
      <c r="C2839" s="282" t="s">
        <v>544</v>
      </c>
      <c r="D2839" s="282" t="s">
        <v>1933</v>
      </c>
      <c r="E2839" s="201">
        <v>43</v>
      </c>
      <c r="F2839" s="201">
        <f>+E2839/6</f>
        <v>7.166666666666667</v>
      </c>
      <c r="G2839" s="203">
        <v>43622</v>
      </c>
    </row>
    <row r="2840" spans="2:11">
      <c r="B2840" s="281" t="s">
        <v>4233</v>
      </c>
      <c r="C2840" s="282" t="s">
        <v>544</v>
      </c>
      <c r="D2840" s="282" t="s">
        <v>1933</v>
      </c>
      <c r="E2840" s="201">
        <v>43</v>
      </c>
      <c r="F2840" s="201">
        <f>+E2840/6</f>
        <v>7.166666666666667</v>
      </c>
      <c r="G2840" s="203">
        <v>43622</v>
      </c>
    </row>
    <row r="2841" spans="2:11">
      <c r="B2841" s="281" t="s">
        <v>4239</v>
      </c>
      <c r="C2841" s="282" t="s">
        <v>813</v>
      </c>
      <c r="D2841" s="282" t="s">
        <v>1934</v>
      </c>
      <c r="E2841" s="201">
        <v>250</v>
      </c>
      <c r="F2841" s="201">
        <v>150</v>
      </c>
      <c r="G2841" s="203">
        <v>44510</v>
      </c>
      <c r="I2841" s="199">
        <v>3800</v>
      </c>
      <c r="J2841" s="199">
        <v>3800</v>
      </c>
      <c r="K2841" s="212">
        <f>(E2841/(I2841+E2841))*J2841*(F2841/E2841)</f>
        <v>140.74074074074073</v>
      </c>
    </row>
    <row r="2842" spans="2:11">
      <c r="B2842" s="281"/>
      <c r="C2842" s="282"/>
      <c r="D2842" s="282"/>
      <c r="G2842" s="203"/>
      <c r="K2842" s="212"/>
    </row>
    <row r="2843" spans="2:11">
      <c r="B2843" s="281" t="s">
        <v>4240</v>
      </c>
      <c r="C2843" s="282" t="s">
        <v>813</v>
      </c>
      <c r="D2843" s="282" t="s">
        <v>1934</v>
      </c>
      <c r="E2843" s="201">
        <v>250</v>
      </c>
      <c r="F2843" s="201">
        <v>50</v>
      </c>
      <c r="G2843" s="203">
        <v>44510</v>
      </c>
      <c r="I2843" s="199">
        <v>3800</v>
      </c>
      <c r="J2843" s="199">
        <v>3800</v>
      </c>
      <c r="K2843" s="212">
        <f>(E2843/(I2843+E2843))*J2843*(F2843/E2843)</f>
        <v>46.913580246913583</v>
      </c>
    </row>
    <row r="2844" spans="2:11">
      <c r="B2844" s="281"/>
      <c r="C2844" s="282" t="s">
        <v>738</v>
      </c>
      <c r="D2844" s="282" t="s">
        <v>1938</v>
      </c>
      <c r="E2844" s="201">
        <v>248</v>
      </c>
      <c r="F2844" s="201">
        <f>150/4</f>
        <v>37.5</v>
      </c>
      <c r="G2844" s="290">
        <v>43678</v>
      </c>
      <c r="I2844" s="199">
        <v>1700</v>
      </c>
      <c r="J2844" s="199">
        <v>4100</v>
      </c>
      <c r="K2844" s="212">
        <f>(E2844/(I2844+E2844))*J2844*(F2844/E2844)</f>
        <v>78.927104722792606</v>
      </c>
    </row>
    <row r="2845" spans="2:11">
      <c r="B2845" s="281"/>
      <c r="C2845" s="282"/>
      <c r="D2845" s="282"/>
      <c r="G2845" s="203"/>
      <c r="K2845" s="212"/>
    </row>
    <row r="2846" spans="2:11">
      <c r="B2846" s="281" t="s">
        <v>4246</v>
      </c>
      <c r="C2846" s="282" t="s">
        <v>755</v>
      </c>
      <c r="D2846" s="282" t="s">
        <v>1934</v>
      </c>
      <c r="E2846" s="201">
        <v>81</v>
      </c>
      <c r="F2846" s="201">
        <f>+E2846/6</f>
        <v>13.5</v>
      </c>
      <c r="G2846" s="203">
        <v>43418</v>
      </c>
      <c r="I2846" s="199">
        <v>1700</v>
      </c>
      <c r="J2846" s="199">
        <v>3800</v>
      </c>
      <c r="K2846" s="212">
        <f t="shared" ref="K2846" si="34">(E2846/(I2846+E2846))*J2846*(F2846/E2846)</f>
        <v>28.804042672655811</v>
      </c>
    </row>
    <row r="2847" spans="2:11">
      <c r="B2847" s="281"/>
      <c r="C2847" s="282"/>
      <c r="D2847" s="282"/>
      <c r="G2847" s="203"/>
      <c r="K2847" s="212"/>
    </row>
    <row r="2848" spans="2:11">
      <c r="B2848" s="281" t="s">
        <v>4247</v>
      </c>
      <c r="C2848" s="282" t="s">
        <v>755</v>
      </c>
      <c r="D2848" s="282" t="s">
        <v>1934</v>
      </c>
      <c r="E2848" s="201">
        <v>81</v>
      </c>
      <c r="F2848" s="201">
        <f>+E2848/6</f>
        <v>13.5</v>
      </c>
      <c r="G2848" s="203">
        <v>43418</v>
      </c>
      <c r="I2848" s="199">
        <v>1700</v>
      </c>
      <c r="J2848" s="199">
        <v>3800</v>
      </c>
      <c r="K2848" s="212">
        <f t="shared" ref="K2848:K2850" si="35">(E2848/(I2848+E2848))*J2848*(F2848/E2848)</f>
        <v>28.804042672655811</v>
      </c>
    </row>
    <row r="2849" spans="2:11">
      <c r="B2849" s="281"/>
      <c r="C2849" s="282" t="s">
        <v>565</v>
      </c>
      <c r="D2849" s="282" t="s">
        <v>1934</v>
      </c>
      <c r="E2849" s="201">
        <v>60</v>
      </c>
      <c r="F2849" s="201">
        <f>+E2849/5</f>
        <v>12</v>
      </c>
      <c r="G2849" s="203">
        <v>42736</v>
      </c>
      <c r="I2849" s="199">
        <v>800</v>
      </c>
      <c r="J2849" s="199">
        <v>3800</v>
      </c>
      <c r="K2849" s="212">
        <f t="shared" si="35"/>
        <v>53.023255813953483</v>
      </c>
    </row>
    <row r="2850" spans="2:11">
      <c r="B2850" s="281"/>
      <c r="C2850" s="282" t="s">
        <v>402</v>
      </c>
      <c r="D2850" s="282" t="s">
        <v>1934</v>
      </c>
      <c r="E2850" s="201">
        <v>25</v>
      </c>
      <c r="F2850" s="201">
        <v>15</v>
      </c>
      <c r="G2850" s="203">
        <v>42723</v>
      </c>
      <c r="I2850" s="199">
        <v>245</v>
      </c>
      <c r="J2850" s="199">
        <v>3800</v>
      </c>
      <c r="K2850" s="212">
        <f t="shared" si="35"/>
        <v>211.11111111111111</v>
      </c>
    </row>
    <row r="2851" spans="2:11">
      <c r="B2851" s="281"/>
      <c r="C2851" s="282" t="s">
        <v>544</v>
      </c>
      <c r="D2851" s="282" t="s">
        <v>1934</v>
      </c>
      <c r="E2851" s="201">
        <v>27</v>
      </c>
      <c r="F2851" s="201">
        <v>27</v>
      </c>
      <c r="G2851" s="203">
        <v>42495</v>
      </c>
      <c r="I2851" s="212">
        <v>62.5</v>
      </c>
      <c r="J2851" s="199">
        <v>3800</v>
      </c>
      <c r="K2851" s="212">
        <f>(E2851/(I2851+E2851))*J2851*(F2851/E2851)</f>
        <v>1146.3687150837989</v>
      </c>
    </row>
    <row r="2852" spans="2:11">
      <c r="B2852" s="281"/>
      <c r="C2852" s="282"/>
      <c r="D2852" s="282"/>
      <c r="G2852" s="203"/>
      <c r="I2852" s="212"/>
      <c r="K2852" s="212"/>
    </row>
    <row r="2853" spans="2:11">
      <c r="B2853" s="281" t="s">
        <v>993</v>
      </c>
      <c r="C2853" s="282" t="s">
        <v>755</v>
      </c>
      <c r="D2853" s="282" t="s">
        <v>1934</v>
      </c>
      <c r="E2853" s="201">
        <v>81</v>
      </c>
      <c r="F2853" s="201">
        <f>+E2853/6</f>
        <v>13.5</v>
      </c>
      <c r="G2853" s="203">
        <v>43418</v>
      </c>
      <c r="I2853" s="199">
        <v>1700</v>
      </c>
      <c r="J2853" s="199">
        <v>3800</v>
      </c>
      <c r="K2853" s="212">
        <f t="shared" ref="K2853:K2855" si="36">(E2853/(I2853+E2853))*J2853*(F2853/E2853)</f>
        <v>28.804042672655811</v>
      </c>
    </row>
    <row r="2854" spans="2:11">
      <c r="C2854" s="282" t="s">
        <v>565</v>
      </c>
      <c r="D2854" s="282" t="s">
        <v>1934</v>
      </c>
      <c r="E2854" s="201">
        <v>60</v>
      </c>
      <c r="F2854" s="201">
        <f>+E2854/5</f>
        <v>12</v>
      </c>
      <c r="G2854" s="203">
        <v>42736</v>
      </c>
      <c r="I2854" s="199">
        <v>800</v>
      </c>
      <c r="J2854" s="199">
        <v>3800</v>
      </c>
      <c r="K2854" s="212">
        <f t="shared" si="36"/>
        <v>53.023255813953483</v>
      </c>
    </row>
    <row r="2855" spans="2:11">
      <c r="C2855" s="282" t="s">
        <v>402</v>
      </c>
      <c r="D2855" s="282" t="s">
        <v>1934</v>
      </c>
      <c r="E2855" s="201">
        <v>25</v>
      </c>
      <c r="F2855" s="201">
        <v>15</v>
      </c>
      <c r="G2855" s="203">
        <v>42723</v>
      </c>
      <c r="I2855" s="199">
        <v>245</v>
      </c>
      <c r="J2855" s="199">
        <v>3800</v>
      </c>
      <c r="K2855" s="212">
        <f t="shared" si="36"/>
        <v>211.11111111111111</v>
      </c>
    </row>
    <row r="2856" spans="2:11">
      <c r="C2856" s="282"/>
      <c r="D2856" s="282"/>
      <c r="G2856" s="203"/>
      <c r="K2856" s="212"/>
    </row>
    <row r="2857" spans="2:11">
      <c r="B2857" s="281" t="s">
        <v>4257</v>
      </c>
      <c r="C2857" s="282" t="s">
        <v>402</v>
      </c>
      <c r="D2857" s="282" t="s">
        <v>1935</v>
      </c>
      <c r="E2857" s="201">
        <f>1600/7</f>
        <v>228.57142857142858</v>
      </c>
      <c r="F2857" s="201">
        <v>30</v>
      </c>
      <c r="G2857" s="203">
        <v>44550</v>
      </c>
    </row>
    <row r="2858" spans="2:11">
      <c r="B2858" s="281"/>
      <c r="C2858" s="282"/>
      <c r="D2858" s="282"/>
      <c r="G2858" s="203"/>
    </row>
    <row r="2859" spans="2:11">
      <c r="B2859" s="281" t="s">
        <v>4258</v>
      </c>
      <c r="C2859" s="222" t="s">
        <v>544</v>
      </c>
      <c r="D2859" s="222" t="s">
        <v>1880</v>
      </c>
      <c r="E2859" s="201">
        <v>10</v>
      </c>
      <c r="F2859" s="201">
        <v>6</v>
      </c>
      <c r="G2859" s="203">
        <v>44825</v>
      </c>
    </row>
    <row r="2860" spans="2:11">
      <c r="C2860" s="282" t="s">
        <v>402</v>
      </c>
      <c r="D2860" s="282" t="s">
        <v>1935</v>
      </c>
      <c r="E2860" s="201">
        <f>1600/7</f>
        <v>228.57142857142858</v>
      </c>
      <c r="F2860" s="201">
        <v>30</v>
      </c>
      <c r="G2860" s="203">
        <v>44550</v>
      </c>
    </row>
    <row r="2861" spans="2:11">
      <c r="C2861" s="282" t="s">
        <v>544</v>
      </c>
      <c r="D2861" s="282" t="s">
        <v>1935</v>
      </c>
      <c r="E2861" s="201">
        <f>500/7</f>
        <v>71.428571428571431</v>
      </c>
      <c r="F2861" s="201">
        <f>E2861/2</f>
        <v>35.714285714285715</v>
      </c>
      <c r="G2861" s="203">
        <v>44315</v>
      </c>
    </row>
    <row r="2863" spans="2:11">
      <c r="B2863" s="281" t="s">
        <v>4259</v>
      </c>
      <c r="C2863" s="282" t="s">
        <v>402</v>
      </c>
      <c r="D2863" s="282" t="s">
        <v>1935</v>
      </c>
      <c r="E2863" s="201">
        <f>1600/7</f>
        <v>228.57142857142858</v>
      </c>
      <c r="F2863" s="201">
        <v>30</v>
      </c>
      <c r="G2863" s="203">
        <v>44550</v>
      </c>
    </row>
    <row r="2864" spans="2:11">
      <c r="B2864" s="281" t="s">
        <v>4260</v>
      </c>
      <c r="C2864" s="282" t="s">
        <v>402</v>
      </c>
      <c r="D2864" s="282" t="s">
        <v>1935</v>
      </c>
      <c r="E2864" s="201">
        <f>1600/7</f>
        <v>228.57142857142858</v>
      </c>
      <c r="F2864" s="201">
        <v>30</v>
      </c>
      <c r="G2864" s="203">
        <v>44550</v>
      </c>
    </row>
    <row r="2865" spans="2:10">
      <c r="B2865" s="281"/>
      <c r="C2865" s="282"/>
      <c r="D2865" s="282" t="s">
        <v>1935</v>
      </c>
      <c r="E2865" s="201">
        <v>50</v>
      </c>
      <c r="F2865" s="201">
        <f>20/4</f>
        <v>5</v>
      </c>
      <c r="G2865" s="203">
        <v>44165</v>
      </c>
    </row>
    <row r="2866" spans="2:10">
      <c r="B2866" s="281" t="s">
        <v>4261</v>
      </c>
      <c r="C2866" s="282" t="s">
        <v>402</v>
      </c>
      <c r="D2866" s="282" t="s">
        <v>1935</v>
      </c>
      <c r="E2866" s="201">
        <f>1600/7</f>
        <v>228.57142857142858</v>
      </c>
      <c r="F2866" s="201">
        <v>30</v>
      </c>
      <c r="G2866" s="203">
        <v>44550</v>
      </c>
    </row>
    <row r="2867" spans="2:10">
      <c r="B2867" s="281" t="s">
        <v>4262</v>
      </c>
      <c r="C2867" s="282" t="s">
        <v>544</v>
      </c>
      <c r="D2867" s="282" t="s">
        <v>1935</v>
      </c>
      <c r="E2867" s="201">
        <f>500/7</f>
        <v>71.428571428571431</v>
      </c>
      <c r="F2867" s="201">
        <f>E2867/2</f>
        <v>35.714285714285715</v>
      </c>
      <c r="G2867" s="203">
        <v>44315</v>
      </c>
    </row>
    <row r="2868" spans="2:10">
      <c r="B2868" s="281" t="s">
        <v>289</v>
      </c>
      <c r="C2868" s="282" t="s">
        <v>544</v>
      </c>
      <c r="D2868" s="282" t="s">
        <v>1935</v>
      </c>
      <c r="E2868" s="201">
        <v>50</v>
      </c>
      <c r="F2868" s="201">
        <v>10</v>
      </c>
      <c r="G2868" s="203">
        <v>44165</v>
      </c>
    </row>
    <row r="2869" spans="2:10">
      <c r="B2869" s="281" t="s">
        <v>4263</v>
      </c>
      <c r="C2869" s="282" t="s">
        <v>544</v>
      </c>
      <c r="D2869" s="282" t="s">
        <v>1935</v>
      </c>
      <c r="E2869" s="201">
        <v>50</v>
      </c>
      <c r="F2869" s="201">
        <f>20/4</f>
        <v>5</v>
      </c>
      <c r="G2869" s="203">
        <v>44165</v>
      </c>
    </row>
    <row r="2870" spans="2:10">
      <c r="B2870" s="281" t="s">
        <v>4271</v>
      </c>
      <c r="C2870" s="282" t="s">
        <v>755</v>
      </c>
      <c r="D2870" s="282" t="s">
        <v>1936</v>
      </c>
      <c r="E2870" s="201">
        <v>250</v>
      </c>
      <c r="F2870" s="201">
        <v>100</v>
      </c>
      <c r="G2870" s="203">
        <v>45069</v>
      </c>
    </row>
    <row r="2871" spans="2:10">
      <c r="B2871" s="281" t="s">
        <v>4272</v>
      </c>
      <c r="C2871" s="282" t="s">
        <v>755</v>
      </c>
      <c r="D2871" s="282" t="s">
        <v>1936</v>
      </c>
      <c r="E2871" s="201">
        <v>250</v>
      </c>
      <c r="F2871" s="201">
        <f>150/4</f>
        <v>37.5</v>
      </c>
      <c r="G2871" s="203">
        <v>45069</v>
      </c>
    </row>
    <row r="2872" spans="2:10">
      <c r="B2872" s="281"/>
      <c r="C2872" s="282" t="s">
        <v>565</v>
      </c>
      <c r="D2872" s="282" t="s">
        <v>1936</v>
      </c>
      <c r="E2872" s="201">
        <v>100</v>
      </c>
      <c r="F2872" s="201">
        <f>75/5</f>
        <v>15</v>
      </c>
      <c r="G2872" s="203">
        <v>44650</v>
      </c>
    </row>
    <row r="2873" spans="2:10">
      <c r="B2873" s="281"/>
      <c r="C2873" s="282" t="s">
        <v>544</v>
      </c>
      <c r="D2873" s="282" t="s">
        <v>1936</v>
      </c>
      <c r="E2873" s="201">
        <v>29.5</v>
      </c>
      <c r="F2873" s="201">
        <v>12</v>
      </c>
      <c r="G2873" s="203">
        <v>43410</v>
      </c>
    </row>
    <row r="2874" spans="2:10">
      <c r="B2874" s="281" t="s">
        <v>4273</v>
      </c>
      <c r="C2874" s="282" t="s">
        <v>755</v>
      </c>
      <c r="D2874" s="282" t="s">
        <v>1936</v>
      </c>
      <c r="E2874" s="201">
        <v>250</v>
      </c>
      <c r="F2874" s="201">
        <f>150/4</f>
        <v>37.5</v>
      </c>
      <c r="G2874" s="203">
        <v>45069</v>
      </c>
    </row>
    <row r="2875" spans="2:10">
      <c r="B2875" s="281"/>
      <c r="C2875" s="282" t="s">
        <v>565</v>
      </c>
      <c r="D2875" s="282" t="s">
        <v>1936</v>
      </c>
      <c r="E2875" s="201">
        <v>100</v>
      </c>
      <c r="F2875" s="201">
        <f>75/5</f>
        <v>15</v>
      </c>
      <c r="G2875" s="203">
        <v>44650</v>
      </c>
    </row>
    <row r="2876" spans="2:10">
      <c r="B2876" s="281" t="s">
        <v>4276</v>
      </c>
      <c r="C2876" s="282" t="s">
        <v>565</v>
      </c>
      <c r="D2876" s="282" t="s">
        <v>1936</v>
      </c>
      <c r="E2876" s="201">
        <v>100</v>
      </c>
      <c r="F2876" s="201">
        <f t="shared" ref="F2876:F2877" si="37">75/5</f>
        <v>15</v>
      </c>
      <c r="G2876" s="203">
        <v>44650</v>
      </c>
    </row>
    <row r="2877" spans="2:10">
      <c r="B2877" s="281" t="s">
        <v>4277</v>
      </c>
      <c r="C2877" s="282" t="s">
        <v>565</v>
      </c>
      <c r="D2877" s="282" t="s">
        <v>1936</v>
      </c>
      <c r="E2877" s="201">
        <v>100</v>
      </c>
      <c r="F2877" s="201">
        <f t="shared" si="37"/>
        <v>15</v>
      </c>
      <c r="G2877" s="203">
        <v>44650</v>
      </c>
    </row>
    <row r="2878" spans="2:10">
      <c r="B2878" s="281" t="s">
        <v>4280</v>
      </c>
      <c r="C2878" s="282" t="s">
        <v>544</v>
      </c>
      <c r="D2878" s="282" t="s">
        <v>1936</v>
      </c>
      <c r="E2878" s="201">
        <v>29.5</v>
      </c>
      <c r="F2878" s="201">
        <f>E2878-24</f>
        <v>5.5</v>
      </c>
      <c r="G2878" s="203">
        <v>43410</v>
      </c>
    </row>
    <row r="2879" spans="2:10">
      <c r="B2879" s="281"/>
      <c r="C2879" s="282"/>
      <c r="D2879" s="282"/>
      <c r="G2879" s="203"/>
    </row>
    <row r="2880" spans="2:10">
      <c r="B2880" s="281" t="s">
        <v>4288</v>
      </c>
      <c r="C2880" s="282" t="s">
        <v>755</v>
      </c>
      <c r="D2880" s="282" t="s">
        <v>4285</v>
      </c>
      <c r="E2880" s="201">
        <v>200</v>
      </c>
      <c r="F2880" s="201">
        <v>18.75</v>
      </c>
      <c r="G2880" s="203">
        <v>44055</v>
      </c>
      <c r="I2880" s="199">
        <v>2000</v>
      </c>
      <c r="J2880" s="199">
        <v>7000</v>
      </c>
    </row>
    <row r="2881" spans="2:10">
      <c r="C2881" s="282" t="s">
        <v>565</v>
      </c>
      <c r="D2881" s="282" t="s">
        <v>4285</v>
      </c>
      <c r="E2881" s="201">
        <v>65</v>
      </c>
      <c r="F2881" s="201">
        <v>8</v>
      </c>
      <c r="G2881" s="203">
        <v>43802</v>
      </c>
      <c r="I2881" s="199">
        <v>685</v>
      </c>
      <c r="J2881" s="199">
        <v>7000</v>
      </c>
    </row>
    <row r="2882" spans="2:10">
      <c r="C2882" s="282" t="s">
        <v>402</v>
      </c>
      <c r="D2882" s="282" t="s">
        <v>4285</v>
      </c>
      <c r="E2882" s="201">
        <v>20</v>
      </c>
      <c r="F2882" s="201">
        <v>5</v>
      </c>
      <c r="G2882" s="203">
        <v>42898</v>
      </c>
      <c r="J2882" s="199">
        <v>7000</v>
      </c>
    </row>
    <row r="2883" spans="2:10">
      <c r="C2883" s="282"/>
      <c r="D2883" s="282"/>
      <c r="G2883" s="203"/>
    </row>
    <row r="2884" spans="2:10">
      <c r="B2884" s="281" t="s">
        <v>4297</v>
      </c>
      <c r="C2884" s="282" t="s">
        <v>813</v>
      </c>
      <c r="D2884" s="282" t="s">
        <v>1938</v>
      </c>
      <c r="E2884" s="201">
        <v>100</v>
      </c>
      <c r="F2884" s="201">
        <v>11</v>
      </c>
      <c r="G2884" s="203">
        <v>44515</v>
      </c>
      <c r="I2884" s="199">
        <v>4100</v>
      </c>
      <c r="J2884" s="199">
        <v>4100</v>
      </c>
    </row>
    <row r="2885" spans="2:10">
      <c r="B2885" s="281"/>
      <c r="C2885" s="282" t="s">
        <v>565</v>
      </c>
      <c r="D2885" s="282" t="s">
        <v>1938</v>
      </c>
      <c r="E2885" s="201">
        <v>60</v>
      </c>
      <c r="F2885" s="201">
        <v>20</v>
      </c>
      <c r="G2885" s="203">
        <v>42964</v>
      </c>
      <c r="J2885" s="199">
        <v>4100</v>
      </c>
    </row>
    <row r="2886" spans="2:10">
      <c r="B2886" s="281"/>
      <c r="C2886" s="282" t="s">
        <v>738</v>
      </c>
      <c r="D2886" s="282" t="s">
        <v>4410</v>
      </c>
      <c r="E2886" s="201">
        <v>220</v>
      </c>
      <c r="F2886" s="201">
        <v>28</v>
      </c>
      <c r="G2886" s="203">
        <v>44357</v>
      </c>
      <c r="I2886" s="199">
        <v>1900</v>
      </c>
      <c r="J2886" s="199">
        <v>1900</v>
      </c>
    </row>
    <row r="2887" spans="2:10">
      <c r="B2887" s="281"/>
      <c r="C2887" s="282" t="s">
        <v>755</v>
      </c>
      <c r="D2887" s="282" t="s">
        <v>4410</v>
      </c>
      <c r="E2887" s="201">
        <v>125</v>
      </c>
      <c r="F2887" s="201">
        <v>18.75</v>
      </c>
      <c r="G2887" s="203">
        <v>44131</v>
      </c>
      <c r="I2887" s="199">
        <v>875</v>
      </c>
      <c r="J2887" s="199">
        <v>1900</v>
      </c>
    </row>
    <row r="2888" spans="2:10">
      <c r="B2888" s="281"/>
      <c r="C2888" s="282"/>
      <c r="D2888" s="282"/>
      <c r="G2888" s="203"/>
    </row>
    <row r="2889" spans="2:10">
      <c r="B2889" s="281" t="s">
        <v>4302</v>
      </c>
      <c r="C2889" s="282" t="s">
        <v>755</v>
      </c>
      <c r="D2889" s="282" t="s">
        <v>1938</v>
      </c>
      <c r="E2889" s="201">
        <v>145</v>
      </c>
      <c r="F2889" s="201">
        <f>85/6</f>
        <v>14.166666666666666</v>
      </c>
      <c r="G2889" s="203">
        <v>43228</v>
      </c>
      <c r="I2889" s="199">
        <v>855</v>
      </c>
      <c r="J2889" s="199">
        <v>4100</v>
      </c>
    </row>
    <row r="2890" spans="2:10">
      <c r="B2890" s="281" t="s">
        <v>4303</v>
      </c>
      <c r="C2890" s="282" t="s">
        <v>755</v>
      </c>
      <c r="D2890" s="282" t="s">
        <v>1938</v>
      </c>
      <c r="E2890" s="201">
        <v>145</v>
      </c>
      <c r="F2890" s="201">
        <f>85/6</f>
        <v>14.166666666666666</v>
      </c>
      <c r="G2890" s="203">
        <v>43228</v>
      </c>
      <c r="I2890" s="199">
        <v>855</v>
      </c>
      <c r="J2890" s="199">
        <v>4100</v>
      </c>
    </row>
    <row r="2891" spans="2:10">
      <c r="B2891" s="281" t="s">
        <v>29</v>
      </c>
      <c r="C2891" s="282" t="s">
        <v>544</v>
      </c>
      <c r="D2891" s="282" t="s">
        <v>1938</v>
      </c>
      <c r="E2891" s="201">
        <v>10.7</v>
      </c>
      <c r="F2891" s="201">
        <v>2.5</v>
      </c>
      <c r="G2891" s="203">
        <v>41076</v>
      </c>
      <c r="J2891" s="199">
        <v>4100</v>
      </c>
    </row>
    <row r="2892" spans="2:10">
      <c r="B2892" s="281" t="s">
        <v>4306</v>
      </c>
      <c r="C2892" s="282" t="s">
        <v>544</v>
      </c>
      <c r="D2892" s="282" t="s">
        <v>1938</v>
      </c>
      <c r="E2892" s="201">
        <v>10.7</v>
      </c>
      <c r="F2892" s="201">
        <v>2.5</v>
      </c>
      <c r="G2892" s="203">
        <v>41076</v>
      </c>
      <c r="J2892" s="199">
        <v>4100</v>
      </c>
    </row>
    <row r="2893" spans="2:10">
      <c r="B2893" s="281" t="s">
        <v>4329</v>
      </c>
      <c r="C2893" s="282" t="s">
        <v>738</v>
      </c>
      <c r="D2893" s="282" t="s">
        <v>1940</v>
      </c>
      <c r="E2893" s="201">
        <v>230</v>
      </c>
      <c r="F2893" s="201">
        <v>60</v>
      </c>
      <c r="G2893" s="203">
        <v>44984</v>
      </c>
      <c r="I2893" s="199">
        <v>2000</v>
      </c>
      <c r="J2893" s="199">
        <v>2000</v>
      </c>
    </row>
    <row r="2894" spans="2:10">
      <c r="B2894" s="281"/>
      <c r="C2894" s="282" t="s">
        <v>755</v>
      </c>
      <c r="D2894" s="282" t="s">
        <v>1940</v>
      </c>
      <c r="E2894" s="201">
        <v>170</v>
      </c>
      <c r="F2894" s="201">
        <v>22</v>
      </c>
      <c r="G2894" s="203">
        <v>44255</v>
      </c>
      <c r="I2894" s="199">
        <v>830</v>
      </c>
      <c r="J2894" s="199">
        <v>2000</v>
      </c>
    </row>
    <row r="2895" spans="2:10">
      <c r="B2895" s="281" t="s">
        <v>4330</v>
      </c>
      <c r="C2895" s="282" t="s">
        <v>738</v>
      </c>
      <c r="D2895" s="282" t="s">
        <v>1940</v>
      </c>
      <c r="E2895" s="201">
        <v>230</v>
      </c>
      <c r="F2895" s="201">
        <f>170/7</f>
        <v>24.285714285714285</v>
      </c>
      <c r="G2895" s="203">
        <v>44984</v>
      </c>
      <c r="I2895" s="199">
        <v>2000</v>
      </c>
      <c r="J2895" s="199">
        <v>2000</v>
      </c>
    </row>
    <row r="2896" spans="2:10">
      <c r="B2896" s="281"/>
      <c r="C2896" s="282" t="s">
        <v>755</v>
      </c>
      <c r="D2896" s="282" t="s">
        <v>1940</v>
      </c>
      <c r="E2896" s="201">
        <v>170</v>
      </c>
      <c r="F2896" s="201">
        <v>22</v>
      </c>
      <c r="G2896" s="203">
        <v>44255</v>
      </c>
      <c r="I2896" s="199">
        <v>830</v>
      </c>
      <c r="J2896" s="199">
        <v>2000</v>
      </c>
    </row>
    <row r="2897" spans="2:10">
      <c r="B2897" s="281" t="s">
        <v>4331</v>
      </c>
      <c r="C2897" s="282" t="s">
        <v>738</v>
      </c>
      <c r="D2897" s="282" t="s">
        <v>1940</v>
      </c>
      <c r="E2897" s="201">
        <v>230</v>
      </c>
      <c r="F2897" s="201">
        <f>170/7</f>
        <v>24.285714285714285</v>
      </c>
      <c r="G2897" s="203">
        <v>44984</v>
      </c>
      <c r="I2897" s="199">
        <v>2000</v>
      </c>
      <c r="J2897" s="199">
        <v>2000</v>
      </c>
    </row>
    <row r="2898" spans="2:10">
      <c r="B2898" s="281" t="s">
        <v>4332</v>
      </c>
      <c r="C2898" s="282" t="s">
        <v>738</v>
      </c>
      <c r="D2898" s="282" t="s">
        <v>1940</v>
      </c>
      <c r="E2898" s="201">
        <v>230</v>
      </c>
      <c r="F2898" s="201">
        <f>170/7</f>
        <v>24.285714285714285</v>
      </c>
      <c r="G2898" s="203">
        <v>44984</v>
      </c>
      <c r="I2898" s="199">
        <v>2000</v>
      </c>
      <c r="J2898" s="199">
        <v>2000</v>
      </c>
    </row>
    <row r="2899" spans="2:10">
      <c r="B2899" s="281" t="s">
        <v>4336</v>
      </c>
      <c r="C2899" s="282" t="s">
        <v>565</v>
      </c>
      <c r="D2899" s="282" t="s">
        <v>1940</v>
      </c>
      <c r="E2899" s="201">
        <v>100</v>
      </c>
      <c r="F2899" s="201">
        <v>15</v>
      </c>
      <c r="G2899" s="203">
        <v>44025</v>
      </c>
      <c r="J2899" s="199">
        <v>2000</v>
      </c>
    </row>
    <row r="2900" spans="2:10">
      <c r="B2900" s="281" t="s">
        <v>4337</v>
      </c>
      <c r="C2900" s="282" t="s">
        <v>402</v>
      </c>
      <c r="D2900" s="282" t="s">
        <v>1940</v>
      </c>
      <c r="E2900" s="201">
        <v>42</v>
      </c>
      <c r="F2900" s="201">
        <f>22/3</f>
        <v>7.333333333333333</v>
      </c>
      <c r="G2900" s="203">
        <v>43144</v>
      </c>
      <c r="J2900" s="199">
        <v>2000</v>
      </c>
    </row>
    <row r="2901" spans="2:10">
      <c r="B2901" s="281" t="s">
        <v>4340</v>
      </c>
      <c r="C2901" s="282" t="s">
        <v>544</v>
      </c>
      <c r="D2901" s="282" t="s">
        <v>1940</v>
      </c>
      <c r="E2901" s="201">
        <v>25</v>
      </c>
      <c r="F2901" s="201">
        <v>5</v>
      </c>
      <c r="G2901" s="203">
        <v>42374</v>
      </c>
      <c r="J2901" s="199">
        <v>2000</v>
      </c>
    </row>
    <row r="2902" spans="2:10">
      <c r="B2902" s="281"/>
      <c r="C2902" s="282"/>
      <c r="D2902" s="282"/>
      <c r="G2902" s="203"/>
    </row>
    <row r="2903" spans="2:10">
      <c r="B2903" s="281" t="s">
        <v>4345</v>
      </c>
      <c r="C2903" s="282" t="s">
        <v>565</v>
      </c>
      <c r="D2903" s="282" t="s">
        <v>1941</v>
      </c>
      <c r="E2903" s="201">
        <v>230</v>
      </c>
      <c r="F2903" s="201">
        <v>40</v>
      </c>
      <c r="G2903" s="203">
        <v>43634</v>
      </c>
      <c r="I2903" s="199">
        <v>770</v>
      </c>
      <c r="J2903" s="199">
        <v>770</v>
      </c>
    </row>
    <row r="2904" spans="2:10">
      <c r="B2904" s="281"/>
      <c r="C2904" s="282" t="s">
        <v>755</v>
      </c>
      <c r="D2904" s="282" t="s">
        <v>1945</v>
      </c>
      <c r="E2904" s="201">
        <v>220</v>
      </c>
      <c r="F2904" s="201">
        <v>27</v>
      </c>
      <c r="G2904" s="203">
        <v>44322</v>
      </c>
      <c r="I2904" s="199">
        <v>780</v>
      </c>
      <c r="J2904" s="199">
        <v>780</v>
      </c>
    </row>
    <row r="2905" spans="2:10">
      <c r="B2905" s="281"/>
      <c r="C2905" s="282"/>
      <c r="D2905" s="282"/>
      <c r="G2905" s="203"/>
    </row>
    <row r="2906" spans="2:10">
      <c r="B2906" s="281" t="s">
        <v>4346</v>
      </c>
      <c r="C2906" s="282" t="s">
        <v>565</v>
      </c>
      <c r="D2906" s="282" t="s">
        <v>1941</v>
      </c>
      <c r="E2906" s="201">
        <v>230</v>
      </c>
      <c r="F2906" s="201">
        <f>110/7</f>
        <v>15.714285714285714</v>
      </c>
      <c r="G2906" s="203">
        <v>43634</v>
      </c>
      <c r="I2906" s="199">
        <v>770</v>
      </c>
      <c r="J2906" s="199">
        <v>770</v>
      </c>
    </row>
    <row r="2907" spans="2:10">
      <c r="B2907" s="281"/>
      <c r="C2907" s="282" t="s">
        <v>402</v>
      </c>
      <c r="D2907" s="282" t="s">
        <v>1941</v>
      </c>
      <c r="E2907" s="201">
        <v>45</v>
      </c>
      <c r="F2907" s="201">
        <v>11</v>
      </c>
      <c r="G2907" s="203">
        <v>43293</v>
      </c>
      <c r="J2907" s="199">
        <v>770</v>
      </c>
    </row>
    <row r="2908" spans="2:10">
      <c r="B2908" s="281"/>
      <c r="C2908" s="282" t="s">
        <v>544</v>
      </c>
      <c r="D2908" s="282" t="s">
        <v>1941</v>
      </c>
      <c r="E2908" s="201">
        <v>18</v>
      </c>
      <c r="F2908" s="201">
        <v>3</v>
      </c>
      <c r="G2908" s="203">
        <v>42983</v>
      </c>
      <c r="J2908" s="199">
        <v>770</v>
      </c>
    </row>
    <row r="2909" spans="2:10">
      <c r="B2909" s="281"/>
      <c r="C2909" s="282"/>
      <c r="D2909" s="282"/>
      <c r="G2909" s="203"/>
    </row>
    <row r="2910" spans="2:10">
      <c r="B2910" s="281" t="s">
        <v>4347</v>
      </c>
      <c r="C2910" s="282" t="s">
        <v>565</v>
      </c>
      <c r="D2910" s="282" t="s">
        <v>1941</v>
      </c>
      <c r="E2910" s="201">
        <v>230</v>
      </c>
      <c r="F2910" s="201">
        <f t="shared" ref="F2910:F2914" si="38">110/7</f>
        <v>15.714285714285714</v>
      </c>
      <c r="G2910" s="203">
        <v>43634</v>
      </c>
      <c r="I2910" s="199">
        <v>770</v>
      </c>
      <c r="J2910" s="199">
        <v>770</v>
      </c>
    </row>
    <row r="2911" spans="2:10">
      <c r="B2911" s="281"/>
      <c r="C2911" s="282" t="s">
        <v>402</v>
      </c>
      <c r="D2911" s="282" t="s">
        <v>1941</v>
      </c>
      <c r="E2911" s="201">
        <v>45</v>
      </c>
      <c r="F2911" s="201">
        <v>11</v>
      </c>
      <c r="G2911" s="203">
        <v>43293</v>
      </c>
      <c r="J2911" s="199">
        <v>770</v>
      </c>
    </row>
    <row r="2912" spans="2:10">
      <c r="B2912" s="281" t="s">
        <v>4348</v>
      </c>
      <c r="C2912" s="282" t="s">
        <v>565</v>
      </c>
      <c r="D2912" s="282" t="s">
        <v>1941</v>
      </c>
      <c r="E2912" s="201">
        <v>230</v>
      </c>
      <c r="F2912" s="201">
        <f t="shared" si="38"/>
        <v>15.714285714285714</v>
      </c>
      <c r="G2912" s="203">
        <v>43634</v>
      </c>
      <c r="I2912" s="199">
        <v>770</v>
      </c>
      <c r="J2912" s="199">
        <v>770</v>
      </c>
    </row>
    <row r="2913" spans="2:10">
      <c r="B2913" s="281" t="s">
        <v>4349</v>
      </c>
      <c r="C2913" s="282" t="s">
        <v>565</v>
      </c>
      <c r="D2913" s="282" t="s">
        <v>1941</v>
      </c>
      <c r="E2913" s="201">
        <v>230</v>
      </c>
      <c r="F2913" s="201">
        <f t="shared" si="38"/>
        <v>15.714285714285714</v>
      </c>
      <c r="G2913" s="203">
        <v>43634</v>
      </c>
      <c r="I2913" s="199">
        <v>770</v>
      </c>
      <c r="J2913" s="199">
        <v>770</v>
      </c>
    </row>
    <row r="2914" spans="2:10">
      <c r="B2914" s="281" t="s">
        <v>4350</v>
      </c>
      <c r="C2914" s="282" t="s">
        <v>565</v>
      </c>
      <c r="D2914" s="282" t="s">
        <v>1941</v>
      </c>
      <c r="E2914" s="201">
        <v>230</v>
      </c>
      <c r="F2914" s="201">
        <f t="shared" si="38"/>
        <v>15.714285714285714</v>
      </c>
      <c r="G2914" s="203">
        <v>43634</v>
      </c>
      <c r="I2914" s="199">
        <v>770</v>
      </c>
      <c r="J2914" s="199">
        <v>770</v>
      </c>
    </row>
    <row r="2915" spans="2:10">
      <c r="C2915" s="282" t="s">
        <v>402</v>
      </c>
      <c r="D2915" s="282" t="s">
        <v>1941</v>
      </c>
      <c r="E2915" s="201">
        <v>45</v>
      </c>
      <c r="F2915" s="201">
        <v>6</v>
      </c>
      <c r="G2915" s="203">
        <v>43293</v>
      </c>
      <c r="J2915" s="199">
        <v>770</v>
      </c>
    </row>
    <row r="2916" spans="2:10">
      <c r="C2916" s="282" t="s">
        <v>544</v>
      </c>
      <c r="D2916" s="282" t="s">
        <v>1941</v>
      </c>
      <c r="E2916" s="201">
        <v>18</v>
      </c>
      <c r="F2916" s="201">
        <v>5</v>
      </c>
      <c r="G2916" s="203">
        <v>42983</v>
      </c>
      <c r="J2916" s="199">
        <v>770</v>
      </c>
    </row>
    <row r="2917" spans="2:10">
      <c r="B2917" s="281" t="s">
        <v>4358</v>
      </c>
      <c r="C2917" s="282" t="s">
        <v>544</v>
      </c>
      <c r="D2917" s="282" t="s">
        <v>1942</v>
      </c>
      <c r="E2917" s="201">
        <f>1600/7</f>
        <v>228.57142857142858</v>
      </c>
      <c r="F2917" s="201">
        <v>160</v>
      </c>
      <c r="G2917" s="203">
        <v>45078</v>
      </c>
      <c r="I2917" s="199">
        <v>1000</v>
      </c>
      <c r="J2917" s="199">
        <v>1000</v>
      </c>
    </row>
    <row r="2918" spans="2:10">
      <c r="B2918" s="281" t="s">
        <v>4359</v>
      </c>
      <c r="C2918" s="282" t="s">
        <v>544</v>
      </c>
      <c r="D2918" s="282" t="s">
        <v>1942</v>
      </c>
      <c r="E2918" s="201">
        <f>1600/7</f>
        <v>228.57142857142858</v>
      </c>
      <c r="F2918" s="201">
        <f>109/2</f>
        <v>54.5</v>
      </c>
      <c r="G2918" s="203">
        <v>45078</v>
      </c>
      <c r="I2918" s="199">
        <v>1000</v>
      </c>
      <c r="J2918" s="199">
        <v>1000</v>
      </c>
    </row>
    <row r="2919" spans="2:10">
      <c r="B2919" s="281" t="s">
        <v>4371</v>
      </c>
      <c r="C2919" s="282" t="s">
        <v>738</v>
      </c>
      <c r="D2919" s="282" t="s">
        <v>4370</v>
      </c>
      <c r="E2919" s="201">
        <v>222</v>
      </c>
      <c r="F2919" s="201">
        <f>200/21</f>
        <v>9.5238095238095237</v>
      </c>
      <c r="G2919" s="203">
        <v>44194</v>
      </c>
      <c r="I2919" s="199">
        <v>2500</v>
      </c>
      <c r="J2919" s="199">
        <v>2500</v>
      </c>
    </row>
    <row r="2920" spans="2:10">
      <c r="B2920" s="281" t="s">
        <v>4372</v>
      </c>
      <c r="C2920" s="282" t="s">
        <v>738</v>
      </c>
      <c r="D2920" s="282" t="s">
        <v>4370</v>
      </c>
      <c r="E2920" s="201">
        <v>222</v>
      </c>
      <c r="F2920" s="201">
        <f t="shared" ref="F2920:F2936" si="39">200/21</f>
        <v>9.5238095238095237</v>
      </c>
      <c r="G2920" s="203">
        <v>44194</v>
      </c>
      <c r="I2920" s="199">
        <v>2500</v>
      </c>
      <c r="J2920" s="199">
        <v>2500</v>
      </c>
    </row>
    <row r="2921" spans="2:10">
      <c r="B2921" s="281"/>
      <c r="C2921" s="282" t="s">
        <v>755</v>
      </c>
      <c r="D2921" s="282" t="s">
        <v>4370</v>
      </c>
      <c r="E2921" s="201">
        <v>200</v>
      </c>
      <c r="F2921" s="201">
        <v>13</v>
      </c>
      <c r="G2921" s="203">
        <v>43452</v>
      </c>
      <c r="I2921" s="199">
        <v>1500</v>
      </c>
      <c r="J2921" s="199">
        <v>2500</v>
      </c>
    </row>
    <row r="2922" spans="2:10">
      <c r="B2922" s="281"/>
      <c r="C2922" s="282" t="s">
        <v>565</v>
      </c>
      <c r="D2922" s="282" t="s">
        <v>4370</v>
      </c>
      <c r="E2922" s="201">
        <v>50</v>
      </c>
      <c r="F2922" s="201">
        <v>5</v>
      </c>
      <c r="G2922" s="203">
        <v>43051</v>
      </c>
      <c r="J2922" s="199">
        <v>2500</v>
      </c>
    </row>
    <row r="2923" spans="2:10">
      <c r="B2923" s="281"/>
      <c r="C2923" s="282" t="s">
        <v>402</v>
      </c>
      <c r="D2923" s="282" t="s">
        <v>4370</v>
      </c>
      <c r="E2923" s="201">
        <v>30</v>
      </c>
      <c r="F2923" s="201">
        <v>3</v>
      </c>
      <c r="G2923" s="203">
        <v>42936</v>
      </c>
      <c r="J2923" s="199">
        <v>2500</v>
      </c>
    </row>
    <row r="2924" spans="2:10">
      <c r="B2924" s="281" t="s">
        <v>4373</v>
      </c>
      <c r="C2924" s="282" t="s">
        <v>738</v>
      </c>
      <c r="D2924" s="282" t="s">
        <v>4370</v>
      </c>
      <c r="E2924" s="201">
        <v>222</v>
      </c>
      <c r="F2924" s="201">
        <f t="shared" si="39"/>
        <v>9.5238095238095237</v>
      </c>
      <c r="G2924" s="203">
        <v>44194</v>
      </c>
      <c r="I2924" s="199">
        <v>2500</v>
      </c>
      <c r="J2924" s="199">
        <v>2500</v>
      </c>
    </row>
    <row r="2925" spans="2:10">
      <c r="B2925" s="281" t="s">
        <v>4374</v>
      </c>
      <c r="C2925" s="282" t="s">
        <v>738</v>
      </c>
      <c r="D2925" s="282" t="s">
        <v>4370</v>
      </c>
      <c r="E2925" s="201">
        <v>222</v>
      </c>
      <c r="F2925" s="201">
        <f t="shared" si="39"/>
        <v>9.5238095238095237</v>
      </c>
      <c r="G2925" s="203">
        <v>44194</v>
      </c>
      <c r="I2925" s="199">
        <v>2500</v>
      </c>
      <c r="J2925" s="199">
        <v>2500</v>
      </c>
    </row>
    <row r="2926" spans="2:10">
      <c r="B2926" s="281"/>
      <c r="C2926" s="282" t="s">
        <v>755</v>
      </c>
      <c r="D2926" s="282" t="s">
        <v>4370</v>
      </c>
      <c r="E2926" s="201">
        <v>150</v>
      </c>
      <c r="F2926" s="201">
        <v>50</v>
      </c>
      <c r="G2926" s="203">
        <v>43885</v>
      </c>
      <c r="I2926" s="199">
        <v>1800</v>
      </c>
      <c r="J2926" s="199">
        <v>2500</v>
      </c>
    </row>
    <row r="2927" spans="2:10">
      <c r="B2927" s="281"/>
      <c r="C2927" s="282"/>
      <c r="D2927" s="282"/>
      <c r="G2927" s="203"/>
    </row>
    <row r="2928" spans="2:10">
      <c r="B2928" s="281" t="s">
        <v>4375</v>
      </c>
      <c r="C2928" s="282" t="s">
        <v>738</v>
      </c>
      <c r="D2928" s="282" t="s">
        <v>4370</v>
      </c>
      <c r="E2928" s="201">
        <v>222</v>
      </c>
      <c r="F2928" s="201">
        <f t="shared" si="39"/>
        <v>9.5238095238095237</v>
      </c>
      <c r="G2928" s="203">
        <v>44194</v>
      </c>
      <c r="I2928" s="199">
        <v>2500</v>
      </c>
      <c r="J2928" s="199">
        <v>2500</v>
      </c>
    </row>
    <row r="2929" spans="2:10">
      <c r="B2929" s="281"/>
      <c r="C2929" s="282" t="s">
        <v>755</v>
      </c>
      <c r="D2929" s="282" t="s">
        <v>4370</v>
      </c>
      <c r="E2929" s="201">
        <v>150</v>
      </c>
      <c r="F2929" s="201">
        <v>50</v>
      </c>
      <c r="G2929" s="203">
        <v>43885</v>
      </c>
      <c r="I2929" s="199">
        <v>1800</v>
      </c>
      <c r="J2929" s="199">
        <v>2500</v>
      </c>
    </row>
    <row r="2930" spans="2:10">
      <c r="B2930" s="281"/>
      <c r="C2930" s="282"/>
      <c r="D2930" s="282"/>
      <c r="G2930" s="203"/>
    </row>
    <row r="2931" spans="2:10">
      <c r="B2931" s="281" t="s">
        <v>4382</v>
      </c>
      <c r="C2931" s="282" t="s">
        <v>738</v>
      </c>
      <c r="D2931" s="282" t="s">
        <v>4370</v>
      </c>
      <c r="E2931" s="201">
        <v>222</v>
      </c>
      <c r="F2931" s="201">
        <f t="shared" si="39"/>
        <v>9.5238095238095237</v>
      </c>
      <c r="G2931" s="203">
        <v>44194</v>
      </c>
      <c r="I2931" s="199">
        <v>2500</v>
      </c>
      <c r="J2931" s="199">
        <v>2500</v>
      </c>
    </row>
    <row r="2932" spans="2:10">
      <c r="B2932" s="281"/>
      <c r="C2932" s="282" t="s">
        <v>755</v>
      </c>
      <c r="D2932" s="282" t="s">
        <v>4370</v>
      </c>
      <c r="E2932" s="201">
        <v>200</v>
      </c>
      <c r="F2932" s="201">
        <v>13</v>
      </c>
      <c r="G2932" s="203">
        <v>43452</v>
      </c>
      <c r="I2932" s="199">
        <v>1500</v>
      </c>
      <c r="J2932" s="199">
        <v>2500</v>
      </c>
    </row>
    <row r="2933" spans="2:10">
      <c r="B2933" s="281"/>
      <c r="C2933" s="282" t="s">
        <v>565</v>
      </c>
      <c r="D2933" s="282" t="s">
        <v>4370</v>
      </c>
      <c r="E2933" s="201">
        <v>50</v>
      </c>
      <c r="F2933" s="201">
        <v>5</v>
      </c>
      <c r="G2933" s="203">
        <v>43051</v>
      </c>
      <c r="J2933" s="199">
        <v>2500</v>
      </c>
    </row>
    <row r="2934" spans="2:10">
      <c r="B2934" s="281"/>
      <c r="C2934" s="282" t="s">
        <v>402</v>
      </c>
      <c r="D2934" s="282" t="s">
        <v>4370</v>
      </c>
      <c r="E2934" s="201">
        <v>30</v>
      </c>
      <c r="F2934" s="201">
        <v>3</v>
      </c>
      <c r="G2934" s="203">
        <v>42936</v>
      </c>
      <c r="J2934" s="199">
        <v>2500</v>
      </c>
    </row>
    <row r="2935" spans="2:10">
      <c r="B2935" s="281"/>
      <c r="C2935" s="282"/>
      <c r="D2935" s="282"/>
      <c r="G2935" s="203"/>
    </row>
    <row r="2936" spans="2:10">
      <c r="B2936" s="281" t="s">
        <v>4376</v>
      </c>
      <c r="C2936" s="282" t="s">
        <v>738</v>
      </c>
      <c r="D2936" s="282" t="s">
        <v>4370</v>
      </c>
      <c r="E2936" s="201">
        <v>222</v>
      </c>
      <c r="F2936" s="201">
        <f t="shared" si="39"/>
        <v>9.5238095238095237</v>
      </c>
      <c r="G2936" s="203">
        <v>44194</v>
      </c>
      <c r="I2936" s="199">
        <v>2500</v>
      </c>
      <c r="J2936" s="199">
        <v>2500</v>
      </c>
    </row>
    <row r="2937" spans="2:10">
      <c r="C2937" s="282" t="s">
        <v>755</v>
      </c>
      <c r="D2937" s="282" t="s">
        <v>4370</v>
      </c>
      <c r="E2937" s="201">
        <v>200</v>
      </c>
      <c r="F2937" s="201">
        <v>30</v>
      </c>
      <c r="G2937" s="203">
        <v>43452</v>
      </c>
      <c r="I2937" s="199">
        <v>1500</v>
      </c>
      <c r="J2937" s="199">
        <v>2500</v>
      </c>
    </row>
    <row r="2939" spans="2:10">
      <c r="B2939" s="281" t="s">
        <v>4389</v>
      </c>
      <c r="C2939" s="282" t="s">
        <v>755</v>
      </c>
      <c r="D2939" s="282" t="s">
        <v>1945</v>
      </c>
      <c r="E2939" s="201">
        <v>220</v>
      </c>
      <c r="F2939" s="201">
        <v>50</v>
      </c>
      <c r="G2939" s="203">
        <v>44502</v>
      </c>
      <c r="I2939" s="199">
        <v>794</v>
      </c>
      <c r="J2939" s="199">
        <v>794</v>
      </c>
    </row>
    <row r="2940" spans="2:10">
      <c r="B2940" s="281"/>
      <c r="C2940" s="282" t="s">
        <v>755</v>
      </c>
      <c r="D2940" s="282" t="s">
        <v>1945</v>
      </c>
      <c r="E2940" s="201">
        <v>220</v>
      </c>
      <c r="F2940" s="201">
        <v>26.666666666666668</v>
      </c>
      <c r="G2940" s="203">
        <v>44322</v>
      </c>
      <c r="I2940" s="199">
        <v>780</v>
      </c>
      <c r="J2940" s="199">
        <v>780</v>
      </c>
    </row>
    <row r="2941" spans="2:10">
      <c r="B2941" s="281" t="s">
        <v>4390</v>
      </c>
      <c r="C2941" s="282" t="s">
        <v>755</v>
      </c>
      <c r="D2941" s="282" t="s">
        <v>1945</v>
      </c>
      <c r="E2941" s="201">
        <v>220</v>
      </c>
      <c r="F2941" s="201">
        <v>30</v>
      </c>
      <c r="G2941" s="203">
        <v>44502</v>
      </c>
      <c r="I2941" s="199">
        <v>794</v>
      </c>
      <c r="J2941" s="199">
        <v>794</v>
      </c>
    </row>
    <row r="2942" spans="2:10">
      <c r="B2942" s="281"/>
      <c r="C2942" s="282"/>
      <c r="D2942" s="282"/>
      <c r="G2942" s="203"/>
    </row>
    <row r="2943" spans="2:10">
      <c r="B2943" s="281" t="s">
        <v>4391</v>
      </c>
      <c r="C2943" s="282" t="s">
        <v>755</v>
      </c>
      <c r="D2943" s="282" t="s">
        <v>1945</v>
      </c>
      <c r="E2943" s="201">
        <v>220</v>
      </c>
      <c r="F2943" s="201">
        <v>50</v>
      </c>
      <c r="G2943" s="203">
        <v>44502</v>
      </c>
      <c r="I2943" s="199">
        <v>794</v>
      </c>
      <c r="J2943" s="199">
        <v>794</v>
      </c>
    </row>
    <row r="2944" spans="2:10">
      <c r="C2944" s="282" t="s">
        <v>755</v>
      </c>
      <c r="D2944" s="282" t="s">
        <v>1945</v>
      </c>
      <c r="E2944" s="201">
        <v>220</v>
      </c>
      <c r="F2944" s="201">
        <v>60</v>
      </c>
      <c r="G2944" s="203">
        <v>44322</v>
      </c>
      <c r="I2944" s="199">
        <v>780</v>
      </c>
      <c r="J2944" s="199">
        <v>780</v>
      </c>
    </row>
    <row r="2945" spans="2:10">
      <c r="C2945" s="282"/>
      <c r="D2945" s="282"/>
      <c r="G2945" s="203"/>
    </row>
    <row r="2946" spans="2:10">
      <c r="B2946" s="281" t="s">
        <v>4394</v>
      </c>
      <c r="C2946" s="282" t="s">
        <v>755</v>
      </c>
      <c r="D2946" s="282" t="s">
        <v>1945</v>
      </c>
      <c r="E2946" s="201">
        <v>220</v>
      </c>
      <c r="F2946" s="201">
        <v>26.666666666666668</v>
      </c>
      <c r="G2946" s="203">
        <v>44322</v>
      </c>
      <c r="I2946" s="199">
        <v>780</v>
      </c>
      <c r="J2946" s="199">
        <v>780</v>
      </c>
    </row>
    <row r="2947" spans="2:10">
      <c r="C2947" s="282" t="s">
        <v>565</v>
      </c>
      <c r="D2947" s="282" t="s">
        <v>1945</v>
      </c>
      <c r="E2947" s="201">
        <v>60</v>
      </c>
      <c r="F2947" s="201">
        <v>10</v>
      </c>
      <c r="G2947" s="203">
        <v>43528</v>
      </c>
    </row>
    <row r="2948" spans="2:10">
      <c r="C2948" s="282" t="s">
        <v>402</v>
      </c>
      <c r="D2948" s="282" t="s">
        <v>1945</v>
      </c>
      <c r="E2948" s="201">
        <v>28</v>
      </c>
      <c r="F2948" s="201">
        <v>4</v>
      </c>
      <c r="G2948" s="203">
        <v>43031</v>
      </c>
    </row>
    <row r="2949" spans="2:10">
      <c r="C2949" s="282" t="s">
        <v>544</v>
      </c>
      <c r="D2949" s="282" t="s">
        <v>1945</v>
      </c>
      <c r="E2949" s="201">
        <v>10</v>
      </c>
      <c r="F2949" s="201">
        <v>2</v>
      </c>
      <c r="G2949" s="203">
        <v>42508</v>
      </c>
    </row>
    <row r="2950" spans="2:10">
      <c r="C2950" s="282" t="s">
        <v>549</v>
      </c>
      <c r="D2950" s="282" t="s">
        <v>1945</v>
      </c>
      <c r="E2950" s="201">
        <v>1.8</v>
      </c>
      <c r="F2950" s="201">
        <v>1</v>
      </c>
      <c r="G2950" s="203">
        <v>41976</v>
      </c>
    </row>
    <row r="2951" spans="2:10">
      <c r="C2951" s="282"/>
      <c r="D2951" s="282"/>
      <c r="G2951" s="203"/>
    </row>
    <row r="2952" spans="2:10">
      <c r="B2952" s="281" t="s">
        <v>4397</v>
      </c>
      <c r="C2952" s="282" t="s">
        <v>402</v>
      </c>
      <c r="D2952" s="282" t="s">
        <v>1945</v>
      </c>
      <c r="E2952" s="201">
        <v>28</v>
      </c>
      <c r="F2952" s="201">
        <v>4</v>
      </c>
      <c r="G2952" s="203">
        <v>43031</v>
      </c>
    </row>
    <row r="2953" spans="2:10">
      <c r="B2953" s="281"/>
      <c r="C2953" s="282" t="s">
        <v>544</v>
      </c>
      <c r="D2953" s="282" t="s">
        <v>1945</v>
      </c>
      <c r="E2953" s="201">
        <v>10</v>
      </c>
      <c r="F2953" s="201">
        <v>2</v>
      </c>
      <c r="G2953" s="203">
        <v>42508</v>
      </c>
    </row>
    <row r="2954" spans="2:10">
      <c r="B2954" s="281"/>
      <c r="C2954" s="282" t="s">
        <v>549</v>
      </c>
      <c r="D2954" s="282" t="s">
        <v>1945</v>
      </c>
      <c r="E2954" s="201">
        <v>1.8</v>
      </c>
      <c r="F2954" s="201">
        <v>0.4</v>
      </c>
      <c r="G2954" s="203">
        <v>41976</v>
      </c>
    </row>
    <row r="2955" spans="2:10">
      <c r="B2955" s="281"/>
      <c r="C2955" s="282"/>
      <c r="D2955" s="282"/>
      <c r="G2955" s="203"/>
    </row>
    <row r="2956" spans="2:10">
      <c r="B2956" s="281" t="s">
        <v>4399</v>
      </c>
      <c r="C2956" s="282" t="s">
        <v>544</v>
      </c>
      <c r="D2956" s="282" t="s">
        <v>1945</v>
      </c>
      <c r="E2956" s="201">
        <v>10</v>
      </c>
      <c r="F2956" s="201">
        <v>2</v>
      </c>
      <c r="G2956" s="203">
        <v>42508</v>
      </c>
    </row>
    <row r="2957" spans="2:10">
      <c r="B2957" s="281" t="s">
        <v>4420</v>
      </c>
      <c r="C2957" s="282" t="s">
        <v>738</v>
      </c>
      <c r="D2957" s="282" t="s">
        <v>1949</v>
      </c>
      <c r="E2957" s="201">
        <v>90</v>
      </c>
      <c r="F2957" s="201">
        <v>20</v>
      </c>
      <c r="G2957" s="203">
        <v>44721</v>
      </c>
      <c r="I2957" s="199">
        <v>2200</v>
      </c>
      <c r="J2957" s="199">
        <v>2200</v>
      </c>
    </row>
    <row r="2958" spans="2:10">
      <c r="B2958" s="281" t="s">
        <v>4422</v>
      </c>
      <c r="C2958" s="282" t="s">
        <v>738</v>
      </c>
      <c r="D2958" s="282" t="s">
        <v>1949</v>
      </c>
      <c r="E2958" s="201">
        <v>90</v>
      </c>
      <c r="F2958" s="201">
        <v>10</v>
      </c>
      <c r="G2958" s="203">
        <v>44721</v>
      </c>
      <c r="I2958" s="199">
        <v>2200</v>
      </c>
      <c r="J2958" s="199">
        <v>2200</v>
      </c>
    </row>
    <row r="2959" spans="2:10">
      <c r="B2959" s="281"/>
      <c r="C2959" s="282" t="s">
        <v>402</v>
      </c>
      <c r="D2959" s="282" t="s">
        <v>1949</v>
      </c>
      <c r="E2959" s="201">
        <v>25</v>
      </c>
      <c r="F2959" s="201">
        <v>3.75</v>
      </c>
      <c r="G2959" s="203">
        <v>43697</v>
      </c>
      <c r="J2959" s="199">
        <v>2200</v>
      </c>
    </row>
    <row r="2960" spans="2:10">
      <c r="B2960" s="281" t="s">
        <v>4423</v>
      </c>
      <c r="C2960" s="282" t="s">
        <v>738</v>
      </c>
      <c r="D2960" s="282" t="s">
        <v>1949</v>
      </c>
      <c r="E2960" s="201">
        <v>90</v>
      </c>
      <c r="F2960" s="201">
        <v>10</v>
      </c>
      <c r="G2960" s="203">
        <v>44721</v>
      </c>
      <c r="I2960" s="199">
        <v>2200</v>
      </c>
      <c r="J2960" s="199">
        <v>2200</v>
      </c>
    </row>
    <row r="2961" spans="2:10">
      <c r="B2961" s="281"/>
      <c r="C2961" s="282" t="s">
        <v>402</v>
      </c>
      <c r="D2961" s="282" t="s">
        <v>1949</v>
      </c>
      <c r="E2961" s="201">
        <v>25</v>
      </c>
      <c r="F2961" s="201">
        <v>3.75</v>
      </c>
      <c r="G2961" s="203">
        <v>43697</v>
      </c>
      <c r="J2961" s="199">
        <v>2200</v>
      </c>
    </row>
    <row r="2962" spans="2:10">
      <c r="B2962" s="281"/>
      <c r="C2962" s="282" t="s">
        <v>544</v>
      </c>
      <c r="D2962" s="282" t="s">
        <v>1949</v>
      </c>
      <c r="E2962" s="201">
        <v>10</v>
      </c>
      <c r="F2962" s="201">
        <v>2.5</v>
      </c>
      <c r="G2962" s="203">
        <v>43456</v>
      </c>
      <c r="J2962" s="199">
        <v>2200</v>
      </c>
    </row>
    <row r="2963" spans="2:10">
      <c r="B2963" s="281"/>
      <c r="C2963" s="282" t="s">
        <v>544</v>
      </c>
      <c r="D2963" s="282" t="s">
        <v>1949</v>
      </c>
      <c r="E2963" s="201">
        <v>10.5</v>
      </c>
      <c r="F2963" s="201">
        <v>2</v>
      </c>
      <c r="G2963" s="203">
        <v>42828</v>
      </c>
      <c r="J2963" s="199">
        <v>2200</v>
      </c>
    </row>
    <row r="2964" spans="2:10">
      <c r="B2964" s="281"/>
      <c r="C2964" s="282" t="s">
        <v>549</v>
      </c>
      <c r="D2964" s="282" t="s">
        <v>1949</v>
      </c>
      <c r="E2964" s="201">
        <v>2</v>
      </c>
      <c r="F2964" s="201">
        <f>+E2964/3</f>
        <v>0.66666666666666663</v>
      </c>
      <c r="G2964" s="203">
        <v>42521</v>
      </c>
      <c r="J2964" s="199">
        <v>2200</v>
      </c>
    </row>
    <row r="2965" spans="2:10">
      <c r="B2965" s="281" t="s">
        <v>4424</v>
      </c>
      <c r="C2965" s="282" t="s">
        <v>738</v>
      </c>
      <c r="D2965" s="282" t="s">
        <v>1949</v>
      </c>
      <c r="E2965" s="201">
        <v>90</v>
      </c>
      <c r="F2965" s="201">
        <v>10</v>
      </c>
      <c r="G2965" s="203">
        <v>44721</v>
      </c>
      <c r="I2965" s="199">
        <v>2200</v>
      </c>
      <c r="J2965" s="199">
        <v>2200</v>
      </c>
    </row>
    <row r="2966" spans="2:10">
      <c r="B2966" s="281"/>
      <c r="C2966" s="282" t="s">
        <v>755</v>
      </c>
      <c r="D2966" s="282" t="s">
        <v>1949</v>
      </c>
      <c r="E2966" s="201">
        <v>210</v>
      </c>
      <c r="F2966" s="201">
        <v>110</v>
      </c>
      <c r="G2966" s="203">
        <v>44432</v>
      </c>
      <c r="I2966" s="199">
        <v>1000</v>
      </c>
      <c r="J2966" s="199">
        <v>2200</v>
      </c>
    </row>
    <row r="2967" spans="2:10">
      <c r="B2967" s="281" t="s">
        <v>4425</v>
      </c>
      <c r="C2967" s="282" t="s">
        <v>738</v>
      </c>
      <c r="D2967" s="282" t="s">
        <v>1949</v>
      </c>
      <c r="E2967" s="201">
        <v>90</v>
      </c>
      <c r="F2967" s="201">
        <v>10</v>
      </c>
      <c r="G2967" s="203">
        <v>44721</v>
      </c>
      <c r="I2967" s="199">
        <v>2200</v>
      </c>
      <c r="J2967" s="199">
        <v>2200</v>
      </c>
    </row>
    <row r="2968" spans="2:10">
      <c r="C2968" s="282" t="s">
        <v>755</v>
      </c>
      <c r="D2968" s="282" t="s">
        <v>1949</v>
      </c>
      <c r="E2968" s="201">
        <v>210</v>
      </c>
      <c r="F2968" s="201">
        <v>33.333333333333336</v>
      </c>
      <c r="G2968" s="203">
        <v>44432</v>
      </c>
      <c r="I2968" s="199">
        <v>1000</v>
      </c>
      <c r="J2968" s="199">
        <v>2200</v>
      </c>
    </row>
    <row r="2969" spans="2:10">
      <c r="C2969" s="282" t="s">
        <v>402</v>
      </c>
      <c r="D2969" s="282" t="s">
        <v>1949</v>
      </c>
      <c r="E2969" s="201">
        <v>25</v>
      </c>
      <c r="F2969" s="201">
        <v>3.75</v>
      </c>
      <c r="G2969" s="203">
        <v>43697</v>
      </c>
      <c r="J2969" s="199">
        <v>2200</v>
      </c>
    </row>
    <row r="2970" spans="2:10">
      <c r="C2970" s="282" t="s">
        <v>544</v>
      </c>
      <c r="D2970" s="282" t="s">
        <v>1949</v>
      </c>
      <c r="E2970" s="201">
        <v>10</v>
      </c>
      <c r="F2970" s="201">
        <v>5</v>
      </c>
      <c r="G2970" s="203">
        <v>43456</v>
      </c>
      <c r="J2970" s="199">
        <v>2200</v>
      </c>
    </row>
    <row r="2971" spans="2:10">
      <c r="B2971" s="281" t="s">
        <v>4431</v>
      </c>
      <c r="C2971" s="282" t="s">
        <v>544</v>
      </c>
      <c r="D2971" s="282" t="s">
        <v>1949</v>
      </c>
      <c r="E2971" s="201">
        <v>10.5</v>
      </c>
      <c r="F2971" s="201">
        <v>2</v>
      </c>
      <c r="G2971" s="203">
        <v>42828</v>
      </c>
      <c r="J2971" s="199">
        <v>2200</v>
      </c>
    </row>
    <row r="2972" spans="2:10">
      <c r="C2972" s="282" t="s">
        <v>549</v>
      </c>
      <c r="D2972" s="282" t="s">
        <v>1949</v>
      </c>
      <c r="E2972" s="201">
        <v>2</v>
      </c>
      <c r="F2972" s="201">
        <f>+E2972/3</f>
        <v>0.66666666666666663</v>
      </c>
      <c r="G2972" s="203">
        <v>42521</v>
      </c>
      <c r="J2972" s="199">
        <v>2200</v>
      </c>
    </row>
  </sheetData>
  <sortState xmlns:xlrd2="http://schemas.microsoft.com/office/spreadsheetml/2017/richdata2" ref="B1514:G1767">
    <sortCondition descending="1" ref="F1514:F1767"/>
  </sortState>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C89C9-C58C-431A-80D5-5C7D568EC13B}">
  <dimension ref="A1:AD1305"/>
  <sheetViews>
    <sheetView tabSelected="1" zoomScale="145" zoomScaleNormal="145" workbookViewId="0">
      <pane xSplit="2" ySplit="2" topLeftCell="C75" activePane="bottomRight" state="frozen"/>
      <selection pane="topRight" activeCell="C1" sqref="C1"/>
      <selection pane="bottomLeft" activeCell="A3" sqref="A3"/>
      <selection pane="bottomRight" activeCell="H87" sqref="H87"/>
    </sheetView>
  </sheetViews>
  <sheetFormatPr defaultColWidth="9.140625" defaultRowHeight="12.75"/>
  <cols>
    <col min="1" max="1" width="5" style="250" bestFit="1" customWidth="1"/>
    <col min="2" max="2" width="25.140625" style="250" customWidth="1"/>
    <col min="3" max="3" width="10.85546875" style="254" customWidth="1"/>
    <col min="4" max="4" width="10.28515625" style="255" customWidth="1"/>
    <col min="5" max="5" width="11" style="250" customWidth="1"/>
    <col min="6" max="6" width="9.140625" style="255"/>
    <col min="7" max="7" width="11.28515625" style="252" customWidth="1"/>
    <col min="8" max="8" width="23.42578125" style="250" customWidth="1"/>
    <col min="9" max="9" width="20.7109375" style="250" customWidth="1"/>
    <col min="10" max="10" width="10.140625" style="250" bestFit="1" customWidth="1"/>
    <col min="11" max="11" width="11.42578125" style="250" customWidth="1"/>
    <col min="12" max="12" width="11.7109375" style="250" customWidth="1"/>
    <col min="13" max="13" width="14.85546875" style="250" customWidth="1"/>
    <col min="14" max="14" width="9.140625" style="250"/>
    <col min="15" max="26" width="9.140625" style="251"/>
    <col min="27" max="27" width="16" style="250" customWidth="1"/>
    <col min="28" max="28" width="9.140625" style="250"/>
    <col min="29" max="29" width="10.28515625" style="250" customWidth="1"/>
    <col min="30" max="16384" width="9.140625" style="250"/>
  </cols>
  <sheetData>
    <row r="1" spans="1:30">
      <c r="A1" s="5" t="s">
        <v>146</v>
      </c>
    </row>
    <row r="2" spans="1:30">
      <c r="B2" s="250" t="s">
        <v>0</v>
      </c>
      <c r="C2" s="254" t="s">
        <v>1</v>
      </c>
      <c r="D2" s="255" t="s">
        <v>3</v>
      </c>
      <c r="E2" s="250" t="s">
        <v>411</v>
      </c>
      <c r="F2" s="255" t="s">
        <v>412</v>
      </c>
      <c r="G2" s="252" t="s">
        <v>753</v>
      </c>
      <c r="H2" s="250" t="s">
        <v>413</v>
      </c>
      <c r="I2" s="250" t="s">
        <v>414</v>
      </c>
      <c r="J2" s="250" t="s">
        <v>612</v>
      </c>
      <c r="K2" s="250" t="s">
        <v>641</v>
      </c>
      <c r="L2" s="252" t="s">
        <v>222</v>
      </c>
      <c r="M2" s="250" t="s">
        <v>429</v>
      </c>
      <c r="N2" s="250" t="s">
        <v>248</v>
      </c>
      <c r="O2" s="251" t="s">
        <v>600</v>
      </c>
      <c r="P2" s="251" t="s">
        <v>412</v>
      </c>
      <c r="Q2" s="251" t="s">
        <v>248</v>
      </c>
      <c r="R2" s="251" t="s">
        <v>600</v>
      </c>
      <c r="S2" s="251" t="s">
        <v>412</v>
      </c>
      <c r="T2" s="251" t="s">
        <v>248</v>
      </c>
      <c r="U2" s="251" t="s">
        <v>600</v>
      </c>
      <c r="V2" s="251" t="s">
        <v>412</v>
      </c>
      <c r="W2" s="251" t="s">
        <v>248</v>
      </c>
      <c r="X2" s="251" t="s">
        <v>600</v>
      </c>
      <c r="Y2" s="251" t="s">
        <v>412</v>
      </c>
      <c r="Z2" s="251" t="s">
        <v>248</v>
      </c>
      <c r="AA2" s="250" t="s">
        <v>820</v>
      </c>
      <c r="AB2" s="267" t="s">
        <v>3785</v>
      </c>
    </row>
    <row r="3" spans="1:30">
      <c r="A3" s="250">
        <v>3</v>
      </c>
      <c r="B3" s="250" t="s">
        <v>7</v>
      </c>
      <c r="C3" s="254" t="s">
        <v>8</v>
      </c>
      <c r="D3" s="255">
        <v>2000000</v>
      </c>
      <c r="E3" s="250" t="s">
        <v>496</v>
      </c>
      <c r="F3" s="255" t="s">
        <v>496</v>
      </c>
      <c r="G3" s="252" t="s">
        <v>496</v>
      </c>
      <c r="H3" s="250" t="s">
        <v>775</v>
      </c>
      <c r="I3" s="250" t="s">
        <v>736</v>
      </c>
      <c r="J3" s="250" t="s">
        <v>614</v>
      </c>
      <c r="K3" s="250" t="s">
        <v>636</v>
      </c>
      <c r="L3" s="250">
        <v>1975</v>
      </c>
      <c r="N3" s="250" t="s">
        <v>496</v>
      </c>
      <c r="O3" s="251" t="s">
        <v>496</v>
      </c>
      <c r="P3" s="251" t="s">
        <v>496</v>
      </c>
      <c r="Q3" s="251" t="s">
        <v>496</v>
      </c>
      <c r="R3" s="251" t="s">
        <v>496</v>
      </c>
      <c r="S3" s="251" t="s">
        <v>496</v>
      </c>
      <c r="T3" s="251" t="s">
        <v>496</v>
      </c>
      <c r="U3" s="251" t="s">
        <v>496</v>
      </c>
      <c r="V3" s="251" t="s">
        <v>496</v>
      </c>
      <c r="W3" s="251" t="s">
        <v>496</v>
      </c>
      <c r="X3" s="251" t="s">
        <v>496</v>
      </c>
      <c r="Y3" s="251" t="s">
        <v>496</v>
      </c>
      <c r="Z3" s="251" t="s">
        <v>496</v>
      </c>
      <c r="AA3" s="250" t="s">
        <v>843</v>
      </c>
      <c r="AC3" s="256" t="s">
        <v>3236</v>
      </c>
      <c r="AD3" s="250">
        <v>14000</v>
      </c>
    </row>
    <row r="4" spans="1:30">
      <c r="A4" s="250">
        <v>4</v>
      </c>
      <c r="B4" s="250" t="s">
        <v>9</v>
      </c>
      <c r="C4" s="254" t="s">
        <v>10</v>
      </c>
      <c r="D4" s="255">
        <v>1000000</v>
      </c>
      <c r="E4" s="250" t="s">
        <v>496</v>
      </c>
      <c r="F4" s="255" t="s">
        <v>496</v>
      </c>
      <c r="G4" s="252" t="s">
        <v>496</v>
      </c>
      <c r="H4" s="250" t="s">
        <v>776</v>
      </c>
      <c r="I4" s="250" t="s">
        <v>737</v>
      </c>
      <c r="J4" s="250" t="s">
        <v>613</v>
      </c>
      <c r="K4" s="250" t="s">
        <v>459</v>
      </c>
      <c r="L4" s="250">
        <v>1998</v>
      </c>
      <c r="N4" s="250" t="s">
        <v>496</v>
      </c>
      <c r="O4" s="251" t="s">
        <v>496</v>
      </c>
      <c r="P4" s="251" t="s">
        <v>496</v>
      </c>
      <c r="Q4" s="251" t="s">
        <v>496</v>
      </c>
      <c r="R4" s="251" t="s">
        <v>496</v>
      </c>
      <c r="S4" s="251" t="s">
        <v>496</v>
      </c>
      <c r="T4" s="251" t="s">
        <v>496</v>
      </c>
      <c r="U4" s="251" t="s">
        <v>496</v>
      </c>
      <c r="V4" s="251" t="s">
        <v>496</v>
      </c>
      <c r="W4" s="251" t="s">
        <v>496</v>
      </c>
      <c r="X4" s="251" t="s">
        <v>496</v>
      </c>
      <c r="Y4" s="251" t="s">
        <v>496</v>
      </c>
      <c r="Z4" s="251" t="s">
        <v>496</v>
      </c>
      <c r="AA4" s="250" t="s">
        <v>837</v>
      </c>
      <c r="AC4" s="256" t="s">
        <v>3237</v>
      </c>
      <c r="AD4" s="250">
        <v>600</v>
      </c>
    </row>
    <row r="5" spans="1:30">
      <c r="A5" s="250">
        <v>6</v>
      </c>
      <c r="B5" s="250" t="s">
        <v>427</v>
      </c>
      <c r="C5" s="254" t="s">
        <v>494</v>
      </c>
      <c r="D5" s="255">
        <v>1000000</v>
      </c>
      <c r="E5" s="250" t="s">
        <v>496</v>
      </c>
      <c r="F5" s="255" t="s">
        <v>496</v>
      </c>
      <c r="G5" s="252" t="s">
        <v>496</v>
      </c>
      <c r="H5" s="250" t="s">
        <v>492</v>
      </c>
      <c r="J5" s="250" t="s">
        <v>613</v>
      </c>
      <c r="K5" s="250" t="s">
        <v>645</v>
      </c>
      <c r="L5" s="250">
        <v>2003</v>
      </c>
      <c r="N5" s="250" t="s">
        <v>496</v>
      </c>
      <c r="O5" s="251" t="s">
        <v>496</v>
      </c>
      <c r="P5" s="251" t="s">
        <v>496</v>
      </c>
      <c r="Q5" s="251" t="s">
        <v>496</v>
      </c>
      <c r="R5" s="251" t="s">
        <v>496</v>
      </c>
      <c r="S5" s="251" t="s">
        <v>496</v>
      </c>
      <c r="T5" s="251" t="s">
        <v>496</v>
      </c>
      <c r="U5" s="251" t="s">
        <v>496</v>
      </c>
      <c r="V5" s="251" t="s">
        <v>496</v>
      </c>
      <c r="W5" s="251" t="s">
        <v>496</v>
      </c>
      <c r="X5" s="251" t="s">
        <v>496</v>
      </c>
      <c r="Y5" s="251" t="s">
        <v>496</v>
      </c>
      <c r="Z5" s="251" t="s">
        <v>496</v>
      </c>
      <c r="AA5" s="250" t="s">
        <v>842</v>
      </c>
      <c r="AC5" s="250" t="s">
        <v>3238</v>
      </c>
      <c r="AD5" s="250">
        <v>250</v>
      </c>
    </row>
    <row r="6" spans="1:30">
      <c r="B6" s="250" t="s">
        <v>478</v>
      </c>
      <c r="C6" s="254" t="s">
        <v>12</v>
      </c>
      <c r="D6" s="255">
        <v>1000000</v>
      </c>
      <c r="E6" s="250" t="s">
        <v>496</v>
      </c>
      <c r="F6" s="255" t="s">
        <v>496</v>
      </c>
      <c r="G6" s="252" t="s">
        <v>496</v>
      </c>
      <c r="H6" s="250" t="s">
        <v>510</v>
      </c>
      <c r="J6" s="250" t="s">
        <v>614</v>
      </c>
      <c r="K6" s="250" t="s">
        <v>636</v>
      </c>
      <c r="L6" s="250">
        <v>2006</v>
      </c>
      <c r="N6" s="250" t="s">
        <v>496</v>
      </c>
      <c r="O6" s="251" t="s">
        <v>496</v>
      </c>
      <c r="P6" s="251" t="s">
        <v>496</v>
      </c>
      <c r="Q6" s="251" t="s">
        <v>496</v>
      </c>
      <c r="R6" s="251" t="s">
        <v>496</v>
      </c>
      <c r="S6" s="251" t="s">
        <v>496</v>
      </c>
      <c r="T6" s="251" t="s">
        <v>496</v>
      </c>
      <c r="U6" s="251" t="s">
        <v>496</v>
      </c>
      <c r="V6" s="251" t="s">
        <v>496</v>
      </c>
      <c r="W6" s="251" t="s">
        <v>496</v>
      </c>
      <c r="X6" s="251" t="s">
        <v>496</v>
      </c>
      <c r="Y6" s="251" t="s">
        <v>496</v>
      </c>
      <c r="Z6" s="251" t="s">
        <v>496</v>
      </c>
      <c r="AA6" s="250" t="s">
        <v>841</v>
      </c>
      <c r="AC6" s="5" t="s">
        <v>4408</v>
      </c>
      <c r="AD6" s="250">
        <v>50</v>
      </c>
    </row>
    <row r="7" spans="1:30">
      <c r="A7" s="250">
        <v>5</v>
      </c>
      <c r="B7" s="250" t="s">
        <v>602</v>
      </c>
      <c r="C7" s="254" t="s">
        <v>603</v>
      </c>
      <c r="D7" s="255">
        <v>1000000</v>
      </c>
      <c r="E7" s="250" t="s">
        <v>496</v>
      </c>
      <c r="F7" s="255" t="s">
        <v>496</v>
      </c>
      <c r="G7" s="252" t="s">
        <v>496</v>
      </c>
      <c r="J7" s="250" t="s">
        <v>614</v>
      </c>
      <c r="K7" s="250" t="s">
        <v>646</v>
      </c>
      <c r="L7" s="250">
        <v>1993</v>
      </c>
      <c r="N7" s="250" t="s">
        <v>496</v>
      </c>
      <c r="O7" s="251" t="s">
        <v>496</v>
      </c>
      <c r="P7" s="251" t="s">
        <v>496</v>
      </c>
      <c r="Q7" s="251" t="s">
        <v>496</v>
      </c>
      <c r="R7" s="251" t="s">
        <v>496</v>
      </c>
      <c r="S7" s="251" t="s">
        <v>496</v>
      </c>
      <c r="T7" s="251" t="s">
        <v>496</v>
      </c>
      <c r="U7" s="251" t="s">
        <v>496</v>
      </c>
      <c r="V7" s="251" t="s">
        <v>496</v>
      </c>
      <c r="W7" s="251" t="s">
        <v>496</v>
      </c>
      <c r="X7" s="251" t="s">
        <v>496</v>
      </c>
      <c r="Y7" s="251" t="s">
        <v>496</v>
      </c>
      <c r="Z7" s="251" t="s">
        <v>496</v>
      </c>
      <c r="AA7" s="250" t="s">
        <v>840</v>
      </c>
    </row>
    <row r="8" spans="1:30">
      <c r="A8" s="250">
        <v>2</v>
      </c>
      <c r="B8" s="250" t="s">
        <v>13</v>
      </c>
      <c r="C8" s="254" t="s">
        <v>497</v>
      </c>
      <c r="D8" s="255">
        <v>500000</v>
      </c>
      <c r="E8" s="250" t="s">
        <v>496</v>
      </c>
      <c r="F8" s="255" t="s">
        <v>496</v>
      </c>
      <c r="G8" s="252" t="s">
        <v>496</v>
      </c>
      <c r="H8" s="250" t="s">
        <v>498</v>
      </c>
      <c r="I8" s="250" t="s">
        <v>499</v>
      </c>
      <c r="J8" s="250" t="s">
        <v>613</v>
      </c>
      <c r="K8" s="250" t="s">
        <v>619</v>
      </c>
      <c r="L8" s="250">
        <v>2004</v>
      </c>
      <c r="N8" s="250" t="s">
        <v>496</v>
      </c>
      <c r="O8" s="251" t="s">
        <v>496</v>
      </c>
      <c r="P8" s="251" t="s">
        <v>496</v>
      </c>
      <c r="Q8" s="251" t="s">
        <v>496</v>
      </c>
      <c r="R8" s="251" t="s">
        <v>496</v>
      </c>
      <c r="S8" s="251" t="s">
        <v>496</v>
      </c>
      <c r="T8" s="251" t="s">
        <v>496</v>
      </c>
      <c r="U8" s="251" t="s">
        <v>496</v>
      </c>
      <c r="V8" s="251" t="s">
        <v>496</v>
      </c>
      <c r="W8" s="251" t="s">
        <v>496</v>
      </c>
      <c r="X8" s="251" t="s">
        <v>496</v>
      </c>
      <c r="Y8" s="251" t="s">
        <v>496</v>
      </c>
      <c r="Z8" s="251" t="s">
        <v>496</v>
      </c>
      <c r="AA8" s="250" t="s">
        <v>839</v>
      </c>
    </row>
    <row r="9" spans="1:30">
      <c r="B9" s="250" t="s">
        <v>38</v>
      </c>
      <c r="C9" s="284" t="s">
        <v>39</v>
      </c>
      <c r="D9" s="255">
        <v>50000</v>
      </c>
      <c r="E9" s="281" t="s">
        <v>811</v>
      </c>
      <c r="F9" s="255">
        <v>109</v>
      </c>
      <c r="G9" s="253">
        <v>38569</v>
      </c>
      <c r="H9" s="281" t="s">
        <v>4213</v>
      </c>
      <c r="I9" s="281" t="s">
        <v>4214</v>
      </c>
      <c r="J9" s="281" t="s">
        <v>614</v>
      </c>
      <c r="K9" s="281" t="s">
        <v>459</v>
      </c>
      <c r="L9" s="250">
        <v>1999</v>
      </c>
      <c r="N9" s="281" t="s">
        <v>496</v>
      </c>
      <c r="O9" s="281" t="s">
        <v>496</v>
      </c>
      <c r="P9" s="281" t="s">
        <v>496</v>
      </c>
      <c r="Q9" s="281" t="s">
        <v>496</v>
      </c>
      <c r="R9" s="281" t="s">
        <v>496</v>
      </c>
      <c r="S9" s="281" t="s">
        <v>496</v>
      </c>
      <c r="T9" s="281" t="s">
        <v>496</v>
      </c>
      <c r="U9" s="281" t="s">
        <v>496</v>
      </c>
      <c r="V9" s="281" t="s">
        <v>496</v>
      </c>
      <c r="W9" s="281" t="s">
        <v>496</v>
      </c>
      <c r="X9" s="281" t="s">
        <v>496</v>
      </c>
      <c r="Y9" s="281" t="s">
        <v>496</v>
      </c>
      <c r="Z9" s="281" t="s">
        <v>496</v>
      </c>
      <c r="AA9" s="281" t="s">
        <v>1924</v>
      </c>
      <c r="AB9" s="5" t="s">
        <v>4212</v>
      </c>
    </row>
    <row r="10" spans="1:30">
      <c r="A10" s="250">
        <v>1</v>
      </c>
      <c r="B10" s="64" t="s">
        <v>401</v>
      </c>
      <c r="C10" s="190" t="s">
        <v>256</v>
      </c>
      <c r="D10" s="188">
        <v>35000</v>
      </c>
      <c r="E10" s="64"/>
      <c r="F10" s="255">
        <v>10000</v>
      </c>
      <c r="H10" s="250" t="s">
        <v>500</v>
      </c>
      <c r="I10" s="250" t="s">
        <v>3060</v>
      </c>
      <c r="J10" s="250" t="s">
        <v>615</v>
      </c>
      <c r="K10" s="250" t="s">
        <v>642</v>
      </c>
      <c r="L10" s="250">
        <v>2015</v>
      </c>
      <c r="AA10" s="250" t="s">
        <v>834</v>
      </c>
    </row>
    <row r="11" spans="1:30">
      <c r="B11" s="250" t="s">
        <v>152</v>
      </c>
      <c r="C11" s="284" t="s">
        <v>153</v>
      </c>
      <c r="D11" s="255">
        <v>32480</v>
      </c>
      <c r="E11" s="281" t="s">
        <v>811</v>
      </c>
      <c r="J11" s="281" t="s">
        <v>614</v>
      </c>
      <c r="K11" s="281" t="s">
        <v>636</v>
      </c>
    </row>
    <row r="12" spans="1:30">
      <c r="B12" s="250" t="s">
        <v>426</v>
      </c>
      <c r="C12" s="254" t="s">
        <v>256</v>
      </c>
      <c r="D12" s="255">
        <v>25000</v>
      </c>
      <c r="F12" s="255">
        <v>1600</v>
      </c>
      <c r="H12" s="250" t="s">
        <v>1807</v>
      </c>
      <c r="J12" s="250" t="s">
        <v>614</v>
      </c>
      <c r="K12" s="250" t="s">
        <v>1808</v>
      </c>
      <c r="L12" s="250">
        <v>2013</v>
      </c>
      <c r="N12" s="250" t="s">
        <v>1809</v>
      </c>
      <c r="AA12" s="250" t="s">
        <v>834</v>
      </c>
    </row>
    <row r="13" spans="1:30">
      <c r="A13" s="250">
        <v>6</v>
      </c>
      <c r="B13" s="250" t="s">
        <v>425</v>
      </c>
      <c r="C13" s="254" t="s">
        <v>256</v>
      </c>
      <c r="D13" s="255">
        <v>21000</v>
      </c>
      <c r="F13" s="255" t="s">
        <v>2770</v>
      </c>
      <c r="H13" s="250" t="s">
        <v>492</v>
      </c>
      <c r="J13" s="250" t="s">
        <v>613</v>
      </c>
      <c r="K13" s="250" t="s">
        <v>645</v>
      </c>
      <c r="L13" s="250">
        <v>2013</v>
      </c>
      <c r="AA13" s="250" t="s">
        <v>834</v>
      </c>
    </row>
    <row r="14" spans="1:30">
      <c r="A14" s="250">
        <v>6</v>
      </c>
      <c r="B14" s="250" t="s">
        <v>676</v>
      </c>
      <c r="C14" s="254" t="s">
        <v>256</v>
      </c>
      <c r="D14" s="255">
        <v>30000</v>
      </c>
      <c r="E14" s="250" t="s">
        <v>402</v>
      </c>
      <c r="F14" s="255">
        <v>2500</v>
      </c>
      <c r="G14" s="253">
        <v>44363</v>
      </c>
      <c r="H14" s="250" t="s">
        <v>492</v>
      </c>
      <c r="I14" s="250" t="s">
        <v>949</v>
      </c>
      <c r="J14" s="250" t="s">
        <v>613</v>
      </c>
      <c r="K14" s="250" t="s">
        <v>645</v>
      </c>
      <c r="L14" s="250">
        <v>2009</v>
      </c>
      <c r="M14" s="250" t="s">
        <v>947</v>
      </c>
      <c r="N14" s="250" t="s">
        <v>937</v>
      </c>
      <c r="O14" s="251" t="s">
        <v>544</v>
      </c>
      <c r="P14" s="251">
        <v>3000</v>
      </c>
      <c r="Q14" s="251" t="s">
        <v>948</v>
      </c>
      <c r="R14" s="251" t="s">
        <v>496</v>
      </c>
      <c r="S14" s="251" t="s">
        <v>496</v>
      </c>
      <c r="T14" s="251" t="s">
        <v>496</v>
      </c>
      <c r="U14" s="251" t="s">
        <v>496</v>
      </c>
      <c r="V14" s="251" t="s">
        <v>496</v>
      </c>
      <c r="W14" s="251" t="s">
        <v>496</v>
      </c>
      <c r="X14" s="251" t="s">
        <v>496</v>
      </c>
      <c r="Y14" s="251" t="s">
        <v>496</v>
      </c>
      <c r="Z14" s="251" t="s">
        <v>496</v>
      </c>
      <c r="AA14" s="250" t="s">
        <v>837</v>
      </c>
    </row>
    <row r="15" spans="1:30">
      <c r="A15" s="250">
        <v>7</v>
      </c>
      <c r="B15" s="250" t="s">
        <v>519</v>
      </c>
      <c r="C15" s="254" t="s">
        <v>520</v>
      </c>
      <c r="D15" s="255">
        <v>20000</v>
      </c>
      <c r="E15" s="250" t="s">
        <v>811</v>
      </c>
      <c r="F15" s="255" t="s">
        <v>496</v>
      </c>
      <c r="G15" s="253">
        <v>39591</v>
      </c>
      <c r="H15" s="250" t="s">
        <v>904</v>
      </c>
      <c r="I15" s="250" t="s">
        <v>905</v>
      </c>
      <c r="J15" s="250" t="s">
        <v>613</v>
      </c>
      <c r="K15" s="250" t="s">
        <v>644</v>
      </c>
      <c r="L15" s="250">
        <v>1999</v>
      </c>
      <c r="M15" s="250" t="s">
        <v>606</v>
      </c>
      <c r="N15" s="250" t="s">
        <v>811</v>
      </c>
      <c r="O15" s="251" t="s">
        <v>496</v>
      </c>
      <c r="P15" s="251" t="s">
        <v>496</v>
      </c>
      <c r="Q15" s="251" t="s">
        <v>496</v>
      </c>
      <c r="R15" s="251" t="s">
        <v>496</v>
      </c>
      <c r="S15" s="251" t="s">
        <v>496</v>
      </c>
      <c r="T15" s="251" t="s">
        <v>496</v>
      </c>
      <c r="U15" s="251" t="s">
        <v>496</v>
      </c>
      <c r="V15" s="251" t="s">
        <v>496</v>
      </c>
      <c r="W15" s="251" t="s">
        <v>496</v>
      </c>
      <c r="X15" s="251" t="s">
        <v>496</v>
      </c>
      <c r="Y15" s="251" t="s">
        <v>496</v>
      </c>
      <c r="Z15" s="251" t="s">
        <v>496</v>
      </c>
      <c r="AA15" s="250" t="s">
        <v>836</v>
      </c>
    </row>
    <row r="16" spans="1:30">
      <c r="B16" s="281" t="s">
        <v>4190</v>
      </c>
      <c r="C16" s="284" t="s">
        <v>94</v>
      </c>
      <c r="D16" s="255">
        <v>12570</v>
      </c>
      <c r="E16" s="281" t="s">
        <v>496</v>
      </c>
      <c r="F16" s="281" t="s">
        <v>496</v>
      </c>
      <c r="G16" s="281" t="s">
        <v>496</v>
      </c>
      <c r="H16" s="281" t="s">
        <v>4192</v>
      </c>
      <c r="J16" s="281" t="s">
        <v>614</v>
      </c>
      <c r="K16" s="281" t="s">
        <v>2591</v>
      </c>
      <c r="L16" s="250">
        <v>1986</v>
      </c>
      <c r="M16" s="281" t="s">
        <v>4193</v>
      </c>
      <c r="N16" s="281" t="s">
        <v>496</v>
      </c>
      <c r="O16" s="281" t="s">
        <v>496</v>
      </c>
      <c r="P16" s="281" t="s">
        <v>496</v>
      </c>
      <c r="Q16" s="281" t="s">
        <v>496</v>
      </c>
      <c r="R16" s="281" t="s">
        <v>496</v>
      </c>
      <c r="S16" s="281" t="s">
        <v>496</v>
      </c>
      <c r="T16" s="281" t="s">
        <v>496</v>
      </c>
      <c r="U16" s="281" t="s">
        <v>496</v>
      </c>
      <c r="V16" s="281" t="s">
        <v>496</v>
      </c>
      <c r="W16" s="281" t="s">
        <v>496</v>
      </c>
      <c r="X16" s="281" t="s">
        <v>496</v>
      </c>
      <c r="Y16" s="281" t="s">
        <v>496</v>
      </c>
      <c r="Z16" s="281" t="s">
        <v>496</v>
      </c>
      <c r="AA16" s="281" t="s">
        <v>4191</v>
      </c>
      <c r="AB16" s="5" t="s">
        <v>4194</v>
      </c>
    </row>
    <row r="17" spans="1:28">
      <c r="A17" s="250">
        <v>8</v>
      </c>
      <c r="B17" s="250" t="s">
        <v>530</v>
      </c>
      <c r="C17" s="254" t="s">
        <v>529</v>
      </c>
      <c r="D17" s="255">
        <v>11000</v>
      </c>
      <c r="E17" s="250" t="s">
        <v>811</v>
      </c>
      <c r="F17" s="255">
        <v>740</v>
      </c>
      <c r="G17" s="253">
        <v>44560</v>
      </c>
      <c r="H17" s="250" t="s">
        <v>643</v>
      </c>
      <c r="I17" s="250" t="s">
        <v>889</v>
      </c>
      <c r="J17" s="250" t="s">
        <v>614</v>
      </c>
      <c r="K17" s="250" t="s">
        <v>643</v>
      </c>
      <c r="L17" s="257">
        <v>41913</v>
      </c>
      <c r="M17" s="250" t="s">
        <v>606</v>
      </c>
      <c r="N17" s="250" t="s">
        <v>811</v>
      </c>
      <c r="O17" s="251" t="s">
        <v>884</v>
      </c>
      <c r="P17" s="251">
        <v>1000</v>
      </c>
      <c r="Q17" s="251" t="s">
        <v>883</v>
      </c>
      <c r="R17" s="251" t="s">
        <v>885</v>
      </c>
      <c r="S17" s="251">
        <v>320</v>
      </c>
      <c r="T17" s="251" t="s">
        <v>886</v>
      </c>
      <c r="U17" s="251" t="s">
        <v>565</v>
      </c>
      <c r="V17" s="251">
        <v>600</v>
      </c>
      <c r="W17" s="251" t="s">
        <v>887</v>
      </c>
      <c r="X17" s="251" t="s">
        <v>402</v>
      </c>
      <c r="Y17" s="251">
        <v>410</v>
      </c>
      <c r="Z17" s="251" t="s">
        <v>888</v>
      </c>
      <c r="AA17" s="250" t="s">
        <v>835</v>
      </c>
    </row>
    <row r="18" spans="1:28">
      <c r="B18" s="250" t="s">
        <v>1823</v>
      </c>
      <c r="C18" s="268" t="s">
        <v>256</v>
      </c>
      <c r="D18" s="255">
        <v>8500</v>
      </c>
      <c r="E18" s="267" t="s">
        <v>755</v>
      </c>
      <c r="F18" s="269" t="s">
        <v>496</v>
      </c>
      <c r="G18" s="253">
        <v>44626</v>
      </c>
      <c r="H18" s="250" t="s">
        <v>1821</v>
      </c>
      <c r="I18" s="267" t="s">
        <v>3987</v>
      </c>
      <c r="J18" s="281" t="s">
        <v>613</v>
      </c>
      <c r="K18" s="281" t="s">
        <v>645</v>
      </c>
      <c r="L18" s="250">
        <v>2016</v>
      </c>
      <c r="N18" s="267" t="s">
        <v>496</v>
      </c>
      <c r="O18" s="271" t="s">
        <v>565</v>
      </c>
      <c r="P18" s="271" t="s">
        <v>3996</v>
      </c>
      <c r="Q18" s="271" t="s">
        <v>3988</v>
      </c>
      <c r="R18" s="271" t="s">
        <v>565</v>
      </c>
      <c r="S18" s="271" t="s">
        <v>3995</v>
      </c>
      <c r="T18" s="271" t="s">
        <v>3993</v>
      </c>
      <c r="U18" s="271" t="s">
        <v>402</v>
      </c>
      <c r="V18" s="271" t="s">
        <v>3997</v>
      </c>
      <c r="W18" s="271" t="s">
        <v>3998</v>
      </c>
      <c r="X18" s="271" t="s">
        <v>544</v>
      </c>
      <c r="Y18" s="251">
        <v>102</v>
      </c>
      <c r="Z18" s="271" t="s">
        <v>4000</v>
      </c>
      <c r="AA18" s="267" t="s">
        <v>3985</v>
      </c>
      <c r="AB18" s="5" t="s">
        <v>3986</v>
      </c>
    </row>
    <row r="19" spans="1:28">
      <c r="B19" s="250" t="s">
        <v>1813</v>
      </c>
      <c r="C19" s="268" t="s">
        <v>256</v>
      </c>
      <c r="D19" s="269">
        <v>8000</v>
      </c>
      <c r="E19" s="267" t="s">
        <v>755</v>
      </c>
      <c r="F19" s="255">
        <v>600</v>
      </c>
      <c r="G19" s="253">
        <v>44502</v>
      </c>
      <c r="H19" s="267" t="s">
        <v>3838</v>
      </c>
      <c r="I19" s="267" t="s">
        <v>3837</v>
      </c>
      <c r="J19" s="267" t="s">
        <v>614</v>
      </c>
      <c r="K19" s="281" t="s">
        <v>645</v>
      </c>
      <c r="L19" s="250">
        <v>2016</v>
      </c>
      <c r="M19" s="267" t="s">
        <v>3849</v>
      </c>
      <c r="N19" s="267" t="s">
        <v>3839</v>
      </c>
      <c r="O19" s="271" t="s">
        <v>3843</v>
      </c>
      <c r="P19" s="251">
        <v>500</v>
      </c>
      <c r="Q19" s="271" t="s">
        <v>3844</v>
      </c>
      <c r="R19" s="271" t="s">
        <v>3846</v>
      </c>
      <c r="S19" s="251">
        <v>940</v>
      </c>
      <c r="T19" s="271" t="s">
        <v>3847</v>
      </c>
      <c r="U19" s="271" t="s">
        <v>544</v>
      </c>
      <c r="V19" s="251">
        <v>92</v>
      </c>
      <c r="W19" s="271" t="s">
        <v>3848</v>
      </c>
      <c r="X19" s="271" t="s">
        <v>544</v>
      </c>
      <c r="Y19" s="251">
        <v>1</v>
      </c>
      <c r="Z19" s="271" t="s">
        <v>1027</v>
      </c>
      <c r="AA19" s="267" t="s">
        <v>837</v>
      </c>
      <c r="AB19" s="5" t="s">
        <v>3836</v>
      </c>
    </row>
    <row r="20" spans="1:28">
      <c r="A20" s="250">
        <v>9</v>
      </c>
      <c r="B20" s="250" t="s">
        <v>677</v>
      </c>
      <c r="C20" s="254" t="s">
        <v>256</v>
      </c>
      <c r="D20" s="255">
        <v>7000</v>
      </c>
      <c r="E20" s="250" t="s">
        <v>738</v>
      </c>
      <c r="F20" s="255">
        <v>325</v>
      </c>
      <c r="G20" s="253">
        <v>44299</v>
      </c>
      <c r="H20" s="250" t="s">
        <v>739</v>
      </c>
      <c r="I20" s="250" t="s">
        <v>754</v>
      </c>
      <c r="J20" s="250" t="s">
        <v>615</v>
      </c>
      <c r="K20" s="250" t="s">
        <v>636</v>
      </c>
      <c r="L20" s="257">
        <v>42522</v>
      </c>
      <c r="M20" s="250" t="s">
        <v>757</v>
      </c>
      <c r="N20" s="250" t="s">
        <v>794</v>
      </c>
      <c r="O20" s="251" t="s">
        <v>758</v>
      </c>
      <c r="P20" s="251">
        <v>155</v>
      </c>
      <c r="Q20" s="251" t="s">
        <v>756</v>
      </c>
      <c r="R20" s="251" t="s">
        <v>565</v>
      </c>
      <c r="S20" s="251">
        <v>100</v>
      </c>
      <c r="T20" s="251" t="s">
        <v>760</v>
      </c>
      <c r="U20" s="251" t="s">
        <v>402</v>
      </c>
      <c r="V20" s="251">
        <v>18</v>
      </c>
      <c r="W20" s="251" t="s">
        <v>766</v>
      </c>
      <c r="X20" s="251" t="s">
        <v>544</v>
      </c>
      <c r="Y20" s="251">
        <v>4.5</v>
      </c>
      <c r="Z20" s="251" t="s">
        <v>767</v>
      </c>
      <c r="AA20" s="250" t="s">
        <v>834</v>
      </c>
    </row>
    <row r="21" spans="1:28" s="281" customFormat="1">
      <c r="B21" s="281" t="s">
        <v>1937</v>
      </c>
      <c r="C21" s="284" t="s">
        <v>256</v>
      </c>
      <c r="D21" s="285">
        <v>7000</v>
      </c>
      <c r="E21" s="281" t="s">
        <v>738</v>
      </c>
      <c r="F21" s="285">
        <v>250</v>
      </c>
      <c r="G21" s="290">
        <v>44350</v>
      </c>
      <c r="H21" s="281" t="s">
        <v>4283</v>
      </c>
      <c r="I21" s="281" t="s">
        <v>4282</v>
      </c>
      <c r="J21" s="281" t="s">
        <v>614</v>
      </c>
      <c r="K21" s="281" t="s">
        <v>721</v>
      </c>
      <c r="L21" s="281">
        <v>2015</v>
      </c>
      <c r="M21" s="281" t="s">
        <v>4287</v>
      </c>
      <c r="N21" s="281" t="s">
        <v>4284</v>
      </c>
      <c r="O21" s="283" t="s">
        <v>755</v>
      </c>
      <c r="P21" s="283">
        <v>200</v>
      </c>
      <c r="Q21" s="283" t="s">
        <v>4286</v>
      </c>
      <c r="R21" s="283" t="s">
        <v>565</v>
      </c>
      <c r="S21" s="283" t="s">
        <v>4290</v>
      </c>
      <c r="T21" s="283" t="s">
        <v>4289</v>
      </c>
      <c r="U21" s="283" t="s">
        <v>402</v>
      </c>
      <c r="V21" s="283">
        <v>40</v>
      </c>
      <c r="W21" s="283" t="s">
        <v>4291</v>
      </c>
      <c r="X21" s="283" t="s">
        <v>544</v>
      </c>
      <c r="Y21" s="283">
        <v>22</v>
      </c>
      <c r="Z21" s="283" t="s">
        <v>4292</v>
      </c>
      <c r="AA21" s="281" t="s">
        <v>1848</v>
      </c>
      <c r="AB21" s="5" t="s">
        <v>4281</v>
      </c>
    </row>
    <row r="22" spans="1:28">
      <c r="B22" s="64" t="s">
        <v>709</v>
      </c>
      <c r="C22" s="254" t="s">
        <v>256</v>
      </c>
      <c r="D22" s="255">
        <v>6000</v>
      </c>
      <c r="E22" s="250" t="s">
        <v>2426</v>
      </c>
      <c r="F22" s="255">
        <v>250</v>
      </c>
      <c r="G22" s="253">
        <v>44376</v>
      </c>
      <c r="H22" s="250" t="s">
        <v>916</v>
      </c>
      <c r="I22" s="250" t="s">
        <v>2425</v>
      </c>
      <c r="J22" s="250" t="s">
        <v>614</v>
      </c>
      <c r="K22" s="250" t="s">
        <v>636</v>
      </c>
      <c r="L22" s="250">
        <v>2012</v>
      </c>
      <c r="N22" s="250" t="s">
        <v>2427</v>
      </c>
      <c r="O22" s="251" t="s">
        <v>813</v>
      </c>
      <c r="P22" s="251">
        <v>270</v>
      </c>
      <c r="Q22" s="251" t="s">
        <v>2437</v>
      </c>
      <c r="R22" s="251" t="s">
        <v>738</v>
      </c>
      <c r="S22" s="251">
        <v>206</v>
      </c>
      <c r="T22" s="251" t="s">
        <v>2440</v>
      </c>
      <c r="U22" s="251" t="s">
        <v>755</v>
      </c>
      <c r="V22" s="251">
        <v>100</v>
      </c>
      <c r="W22" s="251" t="s">
        <v>2448</v>
      </c>
      <c r="X22" s="251" t="s">
        <v>565</v>
      </c>
      <c r="Y22" s="251">
        <v>67.2</v>
      </c>
      <c r="Z22" s="251" t="s">
        <v>2449</v>
      </c>
      <c r="AA22" s="250" t="s">
        <v>2376</v>
      </c>
    </row>
    <row r="23" spans="1:28">
      <c r="B23" s="250" t="s">
        <v>1818</v>
      </c>
      <c r="C23" s="268" t="s">
        <v>256</v>
      </c>
      <c r="D23" s="255">
        <v>4400</v>
      </c>
      <c r="E23" s="267" t="s">
        <v>755</v>
      </c>
      <c r="F23" s="255">
        <v>676</v>
      </c>
      <c r="G23" s="253">
        <v>44299</v>
      </c>
      <c r="H23" s="267" t="s">
        <v>3919</v>
      </c>
      <c r="I23" s="267" t="s">
        <v>3920</v>
      </c>
      <c r="J23" s="267" t="s">
        <v>614</v>
      </c>
      <c r="K23" s="267" t="s">
        <v>1007</v>
      </c>
      <c r="L23" s="250">
        <v>2017</v>
      </c>
      <c r="N23" s="267" t="s">
        <v>3921</v>
      </c>
      <c r="O23" s="271" t="s">
        <v>3925</v>
      </c>
      <c r="P23" s="251">
        <v>250</v>
      </c>
      <c r="Q23" s="271" t="s">
        <v>3926</v>
      </c>
      <c r="R23" s="271" t="s">
        <v>402</v>
      </c>
      <c r="S23" s="251">
        <v>150</v>
      </c>
      <c r="T23" s="271" t="s">
        <v>3927</v>
      </c>
      <c r="U23" s="271" t="s">
        <v>544</v>
      </c>
      <c r="V23" s="251">
        <v>56</v>
      </c>
      <c r="W23" s="271" t="s">
        <v>3929</v>
      </c>
      <c r="X23" s="271" t="s">
        <v>549</v>
      </c>
      <c r="Y23" s="251">
        <v>2</v>
      </c>
      <c r="Z23" s="271" t="s">
        <v>3923</v>
      </c>
      <c r="AA23" s="267" t="s">
        <v>844</v>
      </c>
      <c r="AB23" s="5" t="s">
        <v>3918</v>
      </c>
    </row>
    <row r="24" spans="1:28">
      <c r="B24" s="250" t="s">
        <v>1814</v>
      </c>
      <c r="C24" s="268" t="s">
        <v>256</v>
      </c>
      <c r="D24" s="255">
        <v>4200</v>
      </c>
      <c r="E24" s="267" t="s">
        <v>565</v>
      </c>
      <c r="F24" s="255">
        <v>820</v>
      </c>
      <c r="G24" s="273">
        <v>43223</v>
      </c>
      <c r="H24" s="250" t="s">
        <v>1815</v>
      </c>
      <c r="I24" s="267" t="s">
        <v>3855</v>
      </c>
      <c r="J24" s="267" t="s">
        <v>614</v>
      </c>
      <c r="K24" s="267" t="s">
        <v>658</v>
      </c>
      <c r="L24" s="250">
        <v>2012</v>
      </c>
      <c r="N24" s="267" t="s">
        <v>3856</v>
      </c>
      <c r="O24" s="271" t="s">
        <v>3863</v>
      </c>
      <c r="P24" s="251">
        <v>100</v>
      </c>
      <c r="Q24" s="271" t="s">
        <v>3864</v>
      </c>
      <c r="R24" s="271" t="s">
        <v>544</v>
      </c>
      <c r="S24" s="251">
        <v>20</v>
      </c>
      <c r="T24" s="271" t="s">
        <v>3730</v>
      </c>
      <c r="U24" s="271" t="s">
        <v>496</v>
      </c>
      <c r="V24" s="271" t="s">
        <v>496</v>
      </c>
      <c r="W24" s="271" t="s">
        <v>496</v>
      </c>
      <c r="X24" s="271" t="s">
        <v>496</v>
      </c>
      <c r="Y24" s="271" t="s">
        <v>496</v>
      </c>
      <c r="Z24" s="271" t="s">
        <v>496</v>
      </c>
      <c r="AA24" s="267" t="s">
        <v>3853</v>
      </c>
      <c r="AB24" s="5" t="s">
        <v>3852</v>
      </c>
    </row>
    <row r="25" spans="1:28">
      <c r="A25" s="250">
        <v>17</v>
      </c>
      <c r="B25" s="250" t="s">
        <v>144</v>
      </c>
      <c r="C25" s="254" t="s">
        <v>256</v>
      </c>
      <c r="D25" s="255">
        <v>4100</v>
      </c>
      <c r="E25" s="250" t="s">
        <v>565</v>
      </c>
      <c r="F25" s="255">
        <v>450</v>
      </c>
      <c r="G25" s="253">
        <v>45069</v>
      </c>
      <c r="H25" s="250" t="s">
        <v>403</v>
      </c>
      <c r="I25" s="250" t="s">
        <v>1409</v>
      </c>
      <c r="J25" s="250" t="s">
        <v>615</v>
      </c>
      <c r="K25" s="250" t="s">
        <v>642</v>
      </c>
      <c r="L25" s="250">
        <v>2021</v>
      </c>
      <c r="M25" s="250" t="s">
        <v>862</v>
      </c>
      <c r="N25" s="250" t="s">
        <v>769</v>
      </c>
      <c r="O25" s="251" t="s">
        <v>774</v>
      </c>
      <c r="P25" s="251">
        <v>300</v>
      </c>
      <c r="Q25" s="251" t="s">
        <v>9</v>
      </c>
      <c r="R25" s="251" t="s">
        <v>402</v>
      </c>
      <c r="S25" s="251">
        <v>580</v>
      </c>
      <c r="T25" s="251" t="s">
        <v>59</v>
      </c>
      <c r="U25" s="251" t="s">
        <v>544</v>
      </c>
      <c r="V25" s="251">
        <v>124</v>
      </c>
      <c r="W25" s="251" t="s">
        <v>777</v>
      </c>
      <c r="X25" s="251" t="s">
        <v>496</v>
      </c>
      <c r="Y25" s="251" t="s">
        <v>496</v>
      </c>
      <c r="Z25" s="251" t="s">
        <v>496</v>
      </c>
      <c r="AA25" s="250" t="s">
        <v>834</v>
      </c>
    </row>
    <row r="26" spans="1:28">
      <c r="B26" s="250" t="s">
        <v>1938</v>
      </c>
      <c r="C26" s="284" t="s">
        <v>256</v>
      </c>
      <c r="D26" s="255">
        <v>4100</v>
      </c>
      <c r="E26" s="281" t="s">
        <v>813</v>
      </c>
      <c r="F26" s="255">
        <v>100</v>
      </c>
      <c r="G26" s="253">
        <v>44515</v>
      </c>
      <c r="I26" s="281" t="s">
        <v>4294</v>
      </c>
      <c r="J26" s="281" t="s">
        <v>614</v>
      </c>
      <c r="K26" s="281" t="s">
        <v>3738</v>
      </c>
      <c r="L26" s="250">
        <v>2012</v>
      </c>
      <c r="N26" s="281" t="s">
        <v>4296</v>
      </c>
      <c r="O26" s="283" t="s">
        <v>738</v>
      </c>
      <c r="P26" s="283" t="s">
        <v>4298</v>
      </c>
      <c r="Q26" s="283" t="s">
        <v>4299</v>
      </c>
      <c r="R26" s="283" t="s">
        <v>755</v>
      </c>
      <c r="S26" s="283" t="s">
        <v>4300</v>
      </c>
      <c r="T26" s="283" t="s">
        <v>4301</v>
      </c>
      <c r="U26" s="283" t="s">
        <v>565</v>
      </c>
      <c r="V26" s="251">
        <v>60</v>
      </c>
      <c r="W26" s="283" t="s">
        <v>4304</v>
      </c>
      <c r="X26" s="283" t="s">
        <v>565</v>
      </c>
      <c r="Y26" s="251">
        <v>50</v>
      </c>
      <c r="Z26" s="283" t="s">
        <v>4305</v>
      </c>
      <c r="AA26" s="281" t="s">
        <v>837</v>
      </c>
      <c r="AB26" s="5" t="s">
        <v>4293</v>
      </c>
    </row>
    <row r="27" spans="1:28">
      <c r="A27" s="250">
        <f>A47+1</f>
        <v>14</v>
      </c>
      <c r="B27" s="250" t="s">
        <v>432</v>
      </c>
      <c r="C27" s="254" t="s">
        <v>256</v>
      </c>
      <c r="D27" s="255">
        <v>4000</v>
      </c>
      <c r="E27" s="250" t="s">
        <v>544</v>
      </c>
      <c r="F27" s="289">
        <v>1300</v>
      </c>
      <c r="G27" s="253">
        <v>44694</v>
      </c>
      <c r="H27" s="250" t="s">
        <v>560</v>
      </c>
      <c r="I27" s="250" t="s">
        <v>845</v>
      </c>
      <c r="J27" s="250" t="s">
        <v>613</v>
      </c>
      <c r="K27" s="250" t="s">
        <v>561</v>
      </c>
      <c r="L27" s="250">
        <v>2022</v>
      </c>
      <c r="M27" s="250" t="s">
        <v>847</v>
      </c>
      <c r="N27" s="250" t="s">
        <v>2828</v>
      </c>
      <c r="O27" s="251" t="s">
        <v>544</v>
      </c>
      <c r="P27" s="251">
        <v>225</v>
      </c>
      <c r="Q27" s="250" t="s">
        <v>846</v>
      </c>
      <c r="R27" s="251" t="s">
        <v>496</v>
      </c>
      <c r="S27" s="251" t="s">
        <v>496</v>
      </c>
      <c r="T27" s="251" t="s">
        <v>496</v>
      </c>
      <c r="U27" s="251" t="s">
        <v>496</v>
      </c>
      <c r="V27" s="251" t="s">
        <v>496</v>
      </c>
      <c r="W27" s="251" t="s">
        <v>496</v>
      </c>
      <c r="X27" s="251" t="s">
        <v>496</v>
      </c>
      <c r="Y27" s="251" t="s">
        <v>496</v>
      </c>
      <c r="Z27" s="251" t="s">
        <v>496</v>
      </c>
      <c r="AA27" s="250" t="s">
        <v>844</v>
      </c>
    </row>
    <row r="28" spans="1:28">
      <c r="B28" s="250" t="s">
        <v>1934</v>
      </c>
      <c r="C28" s="284" t="s">
        <v>256</v>
      </c>
      <c r="D28" s="255">
        <v>3800</v>
      </c>
      <c r="E28" s="281" t="s">
        <v>813</v>
      </c>
      <c r="F28" s="255">
        <v>250</v>
      </c>
      <c r="G28" s="253">
        <v>44510</v>
      </c>
      <c r="H28" s="281" t="s">
        <v>4250</v>
      </c>
      <c r="I28" s="281" t="s">
        <v>4236</v>
      </c>
      <c r="J28" s="281" t="s">
        <v>646</v>
      </c>
      <c r="K28" s="281" t="s">
        <v>4237</v>
      </c>
      <c r="L28" s="250">
        <v>2016</v>
      </c>
      <c r="N28" s="281" t="s">
        <v>4238</v>
      </c>
      <c r="O28" s="283" t="s">
        <v>738</v>
      </c>
      <c r="P28" s="283" t="s">
        <v>4243</v>
      </c>
      <c r="Q28" s="283" t="s">
        <v>496</v>
      </c>
      <c r="R28" s="283" t="s">
        <v>755</v>
      </c>
      <c r="S28" s="283" t="s">
        <v>4244</v>
      </c>
      <c r="T28" s="283" t="s">
        <v>4245</v>
      </c>
      <c r="U28" s="283" t="s">
        <v>565</v>
      </c>
      <c r="V28" s="251">
        <v>60</v>
      </c>
      <c r="W28" s="283" t="s">
        <v>4248</v>
      </c>
      <c r="X28" s="283" t="s">
        <v>402</v>
      </c>
      <c r="Y28" s="251">
        <v>25</v>
      </c>
      <c r="Z28" s="283" t="s">
        <v>4249</v>
      </c>
      <c r="AA28" s="281" t="s">
        <v>1667</v>
      </c>
      <c r="AB28" s="5" t="s">
        <v>4235</v>
      </c>
    </row>
    <row r="29" spans="1:28">
      <c r="B29" s="250" t="s">
        <v>1822</v>
      </c>
      <c r="C29" s="268" t="s">
        <v>256</v>
      </c>
      <c r="D29" s="255">
        <v>3600</v>
      </c>
      <c r="E29" s="267" t="s">
        <v>813</v>
      </c>
      <c r="F29" s="255">
        <v>475</v>
      </c>
      <c r="G29" s="253">
        <v>44278</v>
      </c>
      <c r="H29" s="267" t="s">
        <v>3956</v>
      </c>
      <c r="I29" s="267" t="s">
        <v>3954</v>
      </c>
      <c r="J29" s="267" t="s">
        <v>614</v>
      </c>
      <c r="K29" s="267" t="s">
        <v>3957</v>
      </c>
      <c r="L29" s="250">
        <v>2009</v>
      </c>
      <c r="N29" s="267" t="s">
        <v>3958</v>
      </c>
      <c r="O29" s="271" t="s">
        <v>3967</v>
      </c>
      <c r="P29" s="251">
        <v>392</v>
      </c>
      <c r="Q29" s="271" t="s">
        <v>3968</v>
      </c>
      <c r="R29" s="271" t="s">
        <v>3973</v>
      </c>
      <c r="S29" s="271">
        <v>130</v>
      </c>
      <c r="T29" s="271" t="s">
        <v>3974</v>
      </c>
      <c r="U29" s="271" t="s">
        <v>565</v>
      </c>
      <c r="V29" s="251">
        <v>34</v>
      </c>
      <c r="W29" s="271" t="s">
        <v>3978</v>
      </c>
      <c r="X29" s="271" t="s">
        <v>402</v>
      </c>
      <c r="Y29" s="251">
        <v>16.5</v>
      </c>
      <c r="Z29" s="271" t="s">
        <v>3982</v>
      </c>
      <c r="AA29" s="267" t="s">
        <v>1108</v>
      </c>
      <c r="AB29" s="5" t="s">
        <v>3955</v>
      </c>
    </row>
    <row r="30" spans="1:28">
      <c r="B30" s="250" t="s">
        <v>1816</v>
      </c>
      <c r="C30" s="268" t="s">
        <v>256</v>
      </c>
      <c r="D30" s="255">
        <v>3300</v>
      </c>
      <c r="E30" s="267" t="s">
        <v>755</v>
      </c>
      <c r="F30" s="255">
        <v>750</v>
      </c>
      <c r="G30" s="253">
        <v>43593</v>
      </c>
      <c r="H30" s="267" t="s">
        <v>3869</v>
      </c>
      <c r="I30" s="267" t="s">
        <v>3866</v>
      </c>
      <c r="J30" s="267" t="s">
        <v>614</v>
      </c>
      <c r="K30" s="267" t="s">
        <v>643</v>
      </c>
      <c r="L30" s="250">
        <v>2011</v>
      </c>
      <c r="M30" s="267" t="s">
        <v>3873</v>
      </c>
      <c r="N30" s="267" t="s">
        <v>3870</v>
      </c>
      <c r="O30" s="271" t="s">
        <v>565</v>
      </c>
      <c r="P30" s="251">
        <v>460</v>
      </c>
      <c r="Q30" s="271" t="s">
        <v>3874</v>
      </c>
      <c r="R30" s="271" t="s">
        <v>565</v>
      </c>
      <c r="S30" s="251">
        <v>100</v>
      </c>
      <c r="T30" s="271" t="s">
        <v>3881</v>
      </c>
      <c r="U30" s="271" t="s">
        <v>402</v>
      </c>
      <c r="V30" s="251">
        <v>22</v>
      </c>
      <c r="W30" s="271" t="s">
        <v>3885</v>
      </c>
      <c r="X30" s="271" t="s">
        <v>544</v>
      </c>
      <c r="Y30" s="271" t="s">
        <v>496</v>
      </c>
      <c r="Z30" s="271" t="s">
        <v>3886</v>
      </c>
      <c r="AA30" s="267" t="s">
        <v>1924</v>
      </c>
      <c r="AB30" s="5" t="s">
        <v>3865</v>
      </c>
    </row>
    <row r="31" spans="1:28" s="267" customFormat="1">
      <c r="B31" s="267" t="s">
        <v>1824</v>
      </c>
      <c r="C31" s="268" t="s">
        <v>256</v>
      </c>
      <c r="D31" s="269">
        <v>3500</v>
      </c>
      <c r="E31" s="267" t="s">
        <v>813</v>
      </c>
      <c r="F31" s="269">
        <v>200</v>
      </c>
      <c r="G31" s="273">
        <v>44907</v>
      </c>
      <c r="H31" s="267" t="s">
        <v>4011</v>
      </c>
      <c r="I31" s="267" t="s">
        <v>4010</v>
      </c>
      <c r="J31" s="267" t="s">
        <v>614</v>
      </c>
      <c r="K31" s="267" t="s">
        <v>1007</v>
      </c>
      <c r="L31" s="267">
        <v>2013</v>
      </c>
      <c r="N31" s="267" t="s">
        <v>4012</v>
      </c>
      <c r="O31" s="271" t="s">
        <v>738</v>
      </c>
      <c r="P31" s="271" t="s">
        <v>4014</v>
      </c>
      <c r="Q31" s="271" t="s">
        <v>4015</v>
      </c>
      <c r="R31" s="276" t="s">
        <v>755</v>
      </c>
      <c r="S31" s="271">
        <v>100</v>
      </c>
      <c r="T31" s="276" t="s">
        <v>4021</v>
      </c>
      <c r="U31" s="276" t="s">
        <v>565</v>
      </c>
      <c r="V31" s="271">
        <v>101</v>
      </c>
      <c r="W31" s="276" t="s">
        <v>4023</v>
      </c>
      <c r="X31" s="276" t="s">
        <v>402</v>
      </c>
      <c r="Y31" s="271">
        <v>28</v>
      </c>
      <c r="Z31" s="276" t="s">
        <v>4025</v>
      </c>
      <c r="AA31" s="267" t="s">
        <v>3930</v>
      </c>
      <c r="AB31" s="256" t="s">
        <v>4009</v>
      </c>
    </row>
    <row r="32" spans="1:28">
      <c r="A32" s="250">
        <v>12</v>
      </c>
      <c r="B32" s="250" t="s">
        <v>416</v>
      </c>
      <c r="C32" s="254" t="s">
        <v>214</v>
      </c>
      <c r="D32" s="255">
        <v>3500</v>
      </c>
      <c r="E32" s="250" t="s">
        <v>811</v>
      </c>
      <c r="F32" s="255">
        <v>651</v>
      </c>
      <c r="G32" s="253">
        <v>44174</v>
      </c>
      <c r="H32" s="250" t="s">
        <v>614</v>
      </c>
      <c r="I32" s="250" t="s">
        <v>812</v>
      </c>
      <c r="J32" s="250" t="s">
        <v>614</v>
      </c>
      <c r="K32" s="250" t="s">
        <v>640</v>
      </c>
      <c r="L32" s="250">
        <v>2009</v>
      </c>
      <c r="N32" s="250" t="s">
        <v>811</v>
      </c>
      <c r="O32" s="251" t="s">
        <v>813</v>
      </c>
      <c r="P32" s="251">
        <v>106</v>
      </c>
      <c r="Q32" s="251" t="s">
        <v>814</v>
      </c>
      <c r="S32" s="251" t="s">
        <v>496</v>
      </c>
      <c r="T32" s="251" t="s">
        <v>496</v>
      </c>
      <c r="U32" s="251" t="s">
        <v>496</v>
      </c>
      <c r="V32" s="251" t="s">
        <v>496</v>
      </c>
      <c r="W32" s="251" t="s">
        <v>496</v>
      </c>
      <c r="X32" s="251" t="s">
        <v>496</v>
      </c>
      <c r="Y32" s="251" t="s">
        <v>496</v>
      </c>
      <c r="Z32" s="251" t="s">
        <v>496</v>
      </c>
      <c r="AA32" s="250" t="s">
        <v>838</v>
      </c>
    </row>
    <row r="33" spans="1:28">
      <c r="B33" s="250" t="s">
        <v>1817</v>
      </c>
      <c r="C33" s="268" t="s">
        <v>256</v>
      </c>
      <c r="D33" s="255">
        <v>3500</v>
      </c>
      <c r="E33" s="267" t="s">
        <v>755</v>
      </c>
      <c r="F33" s="255">
        <v>700</v>
      </c>
      <c r="G33" s="253">
        <v>44218</v>
      </c>
      <c r="H33" s="267" t="s">
        <v>3889</v>
      </c>
      <c r="I33" s="267" t="s">
        <v>3888</v>
      </c>
      <c r="J33" s="250" t="s">
        <v>614</v>
      </c>
      <c r="K33" s="281" t="s">
        <v>636</v>
      </c>
      <c r="L33" s="250">
        <v>2014</v>
      </c>
      <c r="M33" s="267" t="s">
        <v>3890</v>
      </c>
      <c r="N33" s="267" t="s">
        <v>3891</v>
      </c>
      <c r="O33" s="271" t="s">
        <v>565</v>
      </c>
      <c r="P33" s="271" t="s">
        <v>3903</v>
      </c>
      <c r="Q33" s="271" t="s">
        <v>3904</v>
      </c>
      <c r="R33" s="271" t="s">
        <v>565</v>
      </c>
      <c r="S33" s="251">
        <v>140</v>
      </c>
      <c r="T33" s="271" t="s">
        <v>3908</v>
      </c>
      <c r="U33" s="271" t="s">
        <v>402</v>
      </c>
      <c r="V33" s="271" t="s">
        <v>496</v>
      </c>
      <c r="W33" s="271" t="s">
        <v>3916</v>
      </c>
      <c r="X33" s="271" t="s">
        <v>544</v>
      </c>
      <c r="Y33" s="271" t="s">
        <v>496</v>
      </c>
      <c r="Z33" s="271" t="s">
        <v>3917</v>
      </c>
      <c r="AA33" s="267" t="s">
        <v>1924</v>
      </c>
      <c r="AB33" s="5" t="s">
        <v>3887</v>
      </c>
    </row>
    <row r="34" spans="1:28">
      <c r="B34" s="250" t="s">
        <v>1891</v>
      </c>
      <c r="C34" s="278" t="s">
        <v>256</v>
      </c>
      <c r="D34" s="255">
        <v>3000</v>
      </c>
      <c r="E34" s="275" t="s">
        <v>496</v>
      </c>
      <c r="F34" s="279" t="s">
        <v>496</v>
      </c>
      <c r="G34" s="279" t="s">
        <v>496</v>
      </c>
      <c r="H34" s="275" t="s">
        <v>4122</v>
      </c>
      <c r="I34" s="275" t="s">
        <v>4110</v>
      </c>
      <c r="J34" s="275" t="s">
        <v>614</v>
      </c>
      <c r="K34" s="275" t="s">
        <v>3738</v>
      </c>
      <c r="L34" s="250">
        <v>2017</v>
      </c>
      <c r="M34" s="275" t="s">
        <v>4120</v>
      </c>
      <c r="N34" s="275" t="s">
        <v>496</v>
      </c>
      <c r="O34" s="275" t="s">
        <v>496</v>
      </c>
      <c r="P34" s="275" t="s">
        <v>496</v>
      </c>
      <c r="Q34" s="275" t="s">
        <v>496</v>
      </c>
      <c r="R34" s="275" t="s">
        <v>496</v>
      </c>
      <c r="S34" s="275" t="s">
        <v>496</v>
      </c>
      <c r="T34" s="275" t="s">
        <v>496</v>
      </c>
      <c r="U34" s="275" t="s">
        <v>496</v>
      </c>
      <c r="V34" s="275" t="s">
        <v>496</v>
      </c>
      <c r="W34" s="275" t="s">
        <v>496</v>
      </c>
      <c r="X34" s="275" t="s">
        <v>496</v>
      </c>
      <c r="Y34" s="275" t="s">
        <v>496</v>
      </c>
      <c r="Z34" s="275" t="s">
        <v>496</v>
      </c>
      <c r="AA34" s="275" t="s">
        <v>844</v>
      </c>
      <c r="AB34" s="5" t="s">
        <v>4123</v>
      </c>
    </row>
    <row r="35" spans="1:28">
      <c r="A35" s="250">
        <v>11</v>
      </c>
      <c r="B35" s="250" t="s">
        <v>415</v>
      </c>
      <c r="C35" s="254" t="s">
        <v>256</v>
      </c>
      <c r="D35" s="255">
        <v>3000</v>
      </c>
      <c r="E35" s="250" t="s">
        <v>549</v>
      </c>
      <c r="F35" s="255">
        <v>100</v>
      </c>
      <c r="G35" s="253">
        <v>44846</v>
      </c>
      <c r="H35" s="250" t="s">
        <v>552</v>
      </c>
      <c r="I35" s="250" t="s">
        <v>553</v>
      </c>
      <c r="J35" s="250" t="s">
        <v>613</v>
      </c>
      <c r="K35" s="250" t="s">
        <v>619</v>
      </c>
      <c r="L35" s="250">
        <v>2019</v>
      </c>
      <c r="M35" s="250" t="s">
        <v>779</v>
      </c>
      <c r="N35" s="250" t="s">
        <v>778</v>
      </c>
      <c r="O35" s="251" t="s">
        <v>496</v>
      </c>
      <c r="P35" s="251" t="s">
        <v>496</v>
      </c>
      <c r="Q35" s="251" t="s">
        <v>496</v>
      </c>
      <c r="R35" s="251" t="s">
        <v>496</v>
      </c>
      <c r="S35" s="251" t="s">
        <v>496</v>
      </c>
      <c r="T35" s="251" t="s">
        <v>496</v>
      </c>
      <c r="U35" s="251" t="s">
        <v>496</v>
      </c>
      <c r="V35" s="251" t="s">
        <v>496</v>
      </c>
      <c r="W35" s="251" t="s">
        <v>496</v>
      </c>
      <c r="X35" s="251" t="s">
        <v>496</v>
      </c>
      <c r="Y35" s="251" t="s">
        <v>496</v>
      </c>
      <c r="Z35" s="251" t="s">
        <v>496</v>
      </c>
      <c r="AA35" s="250" t="s">
        <v>833</v>
      </c>
    </row>
    <row r="36" spans="1:28" s="267" customFormat="1">
      <c r="B36" s="267" t="s">
        <v>1820</v>
      </c>
      <c r="C36" s="268" t="s">
        <v>256</v>
      </c>
      <c r="D36" s="269">
        <v>2500</v>
      </c>
      <c r="E36" s="267" t="s">
        <v>565</v>
      </c>
      <c r="F36" s="269">
        <v>500</v>
      </c>
      <c r="G36" s="273">
        <v>44274</v>
      </c>
      <c r="H36" s="267" t="s">
        <v>1821</v>
      </c>
      <c r="J36" s="267" t="s">
        <v>614</v>
      </c>
      <c r="K36" s="267" t="s">
        <v>728</v>
      </c>
      <c r="L36" s="267">
        <v>2016</v>
      </c>
      <c r="N36" s="267" t="s">
        <v>3943</v>
      </c>
      <c r="O36" s="271" t="s">
        <v>402</v>
      </c>
      <c r="P36" s="271" t="s">
        <v>3944</v>
      </c>
      <c r="Q36" s="271" t="s">
        <v>3945</v>
      </c>
      <c r="R36" s="271" t="s">
        <v>402</v>
      </c>
      <c r="S36" s="271">
        <v>32</v>
      </c>
      <c r="T36" s="271" t="s">
        <v>1190</v>
      </c>
      <c r="U36" s="271" t="s">
        <v>402</v>
      </c>
      <c r="V36" s="271">
        <v>46</v>
      </c>
      <c r="W36" s="271" t="s">
        <v>3950</v>
      </c>
      <c r="X36" s="271" t="s">
        <v>544</v>
      </c>
      <c r="Y36" s="271" t="s">
        <v>496</v>
      </c>
      <c r="Z36" s="271" t="s">
        <v>3952</v>
      </c>
      <c r="AA36" s="267" t="s">
        <v>1924</v>
      </c>
      <c r="AB36" s="256" t="s">
        <v>3935</v>
      </c>
    </row>
    <row r="37" spans="1:28">
      <c r="B37" s="250" t="s">
        <v>1944</v>
      </c>
      <c r="C37" s="284" t="s">
        <v>256</v>
      </c>
      <c r="D37" s="255">
        <v>2500</v>
      </c>
      <c r="E37" s="281" t="s">
        <v>738</v>
      </c>
      <c r="F37" s="255">
        <v>222</v>
      </c>
      <c r="G37" s="253">
        <v>44194</v>
      </c>
      <c r="I37" s="281" t="s">
        <v>4367</v>
      </c>
      <c r="J37" s="281" t="s">
        <v>646</v>
      </c>
      <c r="K37" s="281" t="s">
        <v>4368</v>
      </c>
      <c r="L37" s="250">
        <v>2016</v>
      </c>
      <c r="N37" s="281" t="s">
        <v>4369</v>
      </c>
      <c r="O37" s="283" t="s">
        <v>755</v>
      </c>
      <c r="P37" s="283" t="s">
        <v>4377</v>
      </c>
      <c r="Q37" s="283" t="s">
        <v>4378</v>
      </c>
      <c r="R37" s="283" t="s">
        <v>755</v>
      </c>
      <c r="S37" s="283" t="s">
        <v>4380</v>
      </c>
      <c r="T37" s="283" t="s">
        <v>4381</v>
      </c>
      <c r="U37" s="283" t="s">
        <v>565</v>
      </c>
      <c r="V37" s="251">
        <v>50</v>
      </c>
      <c r="W37" s="283" t="s">
        <v>4383</v>
      </c>
      <c r="X37" s="283" t="s">
        <v>544</v>
      </c>
      <c r="Y37" s="251">
        <v>30</v>
      </c>
      <c r="Z37" s="283" t="s">
        <v>4384</v>
      </c>
      <c r="AA37" s="281" t="s">
        <v>4365</v>
      </c>
      <c r="AB37" s="5" t="s">
        <v>4366</v>
      </c>
    </row>
    <row r="38" spans="1:28">
      <c r="B38" s="250" t="s">
        <v>1949</v>
      </c>
      <c r="C38" s="284" t="s">
        <v>256</v>
      </c>
      <c r="D38" s="255">
        <v>2200</v>
      </c>
      <c r="E38" s="281" t="s">
        <v>738</v>
      </c>
      <c r="F38" s="255">
        <v>90</v>
      </c>
      <c r="G38" s="253">
        <v>44721</v>
      </c>
      <c r="H38" s="281" t="s">
        <v>4418</v>
      </c>
      <c r="I38" s="281" t="s">
        <v>4416</v>
      </c>
      <c r="J38" s="281" t="s">
        <v>3126</v>
      </c>
      <c r="K38" s="281" t="s">
        <v>4417</v>
      </c>
      <c r="L38" s="250">
        <v>2015</v>
      </c>
      <c r="N38" s="281" t="s">
        <v>4419</v>
      </c>
      <c r="O38" s="283" t="s">
        <v>755</v>
      </c>
      <c r="P38" s="283" t="s">
        <v>4426</v>
      </c>
      <c r="Q38" s="283" t="s">
        <v>4427</v>
      </c>
      <c r="R38" s="283" t="s">
        <v>565</v>
      </c>
      <c r="S38" s="251">
        <v>70</v>
      </c>
      <c r="T38" s="283" t="s">
        <v>4428</v>
      </c>
      <c r="U38" s="283" t="s">
        <v>402</v>
      </c>
      <c r="V38" s="251">
        <v>25</v>
      </c>
      <c r="W38" s="283" t="s">
        <v>4429</v>
      </c>
      <c r="X38" s="283" t="s">
        <v>544</v>
      </c>
      <c r="Y38" s="251">
        <v>10</v>
      </c>
      <c r="Z38" s="283" t="s">
        <v>4430</v>
      </c>
      <c r="AA38" s="281" t="s">
        <v>2649</v>
      </c>
      <c r="AB38" s="5" t="s">
        <v>4415</v>
      </c>
    </row>
    <row r="39" spans="1:28" s="267" customFormat="1">
      <c r="B39" s="267" t="s">
        <v>2588</v>
      </c>
      <c r="C39" s="268" t="s">
        <v>256</v>
      </c>
      <c r="D39" s="269">
        <v>2100</v>
      </c>
      <c r="E39" s="267" t="s">
        <v>738</v>
      </c>
      <c r="F39" s="269">
        <v>400</v>
      </c>
      <c r="G39" s="273">
        <v>44608</v>
      </c>
      <c r="H39" s="267" t="s">
        <v>2796</v>
      </c>
      <c r="I39" s="267" t="s">
        <v>2794</v>
      </c>
      <c r="J39" s="267" t="s">
        <v>614</v>
      </c>
      <c r="K39" s="267" t="s">
        <v>644</v>
      </c>
      <c r="L39" s="267">
        <v>2008</v>
      </c>
      <c r="N39" s="267" t="s">
        <v>2795</v>
      </c>
      <c r="O39" s="271" t="s">
        <v>755</v>
      </c>
      <c r="P39" s="271">
        <v>140</v>
      </c>
      <c r="Q39" s="271" t="s">
        <v>2799</v>
      </c>
      <c r="R39" s="271" t="s">
        <v>565</v>
      </c>
      <c r="S39" s="271">
        <v>110</v>
      </c>
      <c r="T39" s="271" t="s">
        <v>2813</v>
      </c>
      <c r="U39" s="271" t="s">
        <v>402</v>
      </c>
      <c r="V39" s="271">
        <v>9.4</v>
      </c>
      <c r="W39" s="271" t="s">
        <v>2814</v>
      </c>
      <c r="X39" s="271" t="s">
        <v>544</v>
      </c>
      <c r="Y39" s="271">
        <v>5.5</v>
      </c>
      <c r="Z39" s="271" t="s">
        <v>2815</v>
      </c>
      <c r="AA39" s="267" t="s">
        <v>844</v>
      </c>
    </row>
    <row r="40" spans="1:28" s="64" customFormat="1">
      <c r="B40" s="64" t="s">
        <v>433</v>
      </c>
      <c r="C40" s="190" t="s">
        <v>256</v>
      </c>
      <c r="D40" s="188">
        <v>2100</v>
      </c>
      <c r="E40" s="64" t="s">
        <v>565</v>
      </c>
      <c r="F40" s="188">
        <v>200</v>
      </c>
      <c r="G40" s="209">
        <v>44377</v>
      </c>
      <c r="H40" s="64" t="s">
        <v>1473</v>
      </c>
      <c r="I40" s="64" t="s">
        <v>1650</v>
      </c>
      <c r="J40" s="64" t="s">
        <v>614</v>
      </c>
      <c r="K40" s="64" t="s">
        <v>1657</v>
      </c>
      <c r="L40" s="64">
        <v>2016</v>
      </c>
      <c r="N40" s="64" t="s">
        <v>1652</v>
      </c>
      <c r="O40" s="204" t="s">
        <v>402</v>
      </c>
      <c r="P40" s="204">
        <v>75</v>
      </c>
      <c r="Q40" s="204" t="s">
        <v>1654</v>
      </c>
      <c r="R40" s="204" t="s">
        <v>544</v>
      </c>
      <c r="S40" s="204">
        <v>30</v>
      </c>
      <c r="T40" s="204" t="s">
        <v>1656</v>
      </c>
      <c r="U40" s="204" t="s">
        <v>496</v>
      </c>
      <c r="V40" s="204" t="s">
        <v>496</v>
      </c>
      <c r="W40" s="204" t="s">
        <v>496</v>
      </c>
      <c r="X40" s="204" t="s">
        <v>496</v>
      </c>
      <c r="Y40" s="204" t="s">
        <v>496</v>
      </c>
      <c r="Z40" s="204" t="s">
        <v>496</v>
      </c>
      <c r="AA40" s="64" t="s">
        <v>834</v>
      </c>
    </row>
    <row r="41" spans="1:28">
      <c r="A41" s="250">
        <v>18</v>
      </c>
      <c r="B41" s="250" t="s">
        <v>404</v>
      </c>
      <c r="C41" s="254" t="s">
        <v>256</v>
      </c>
      <c r="D41" s="255">
        <v>2000</v>
      </c>
      <c r="E41" s="250" t="s">
        <v>565</v>
      </c>
      <c r="F41" s="255">
        <v>270</v>
      </c>
      <c r="G41" s="253">
        <v>45048</v>
      </c>
      <c r="H41" s="250" t="s">
        <v>493</v>
      </c>
      <c r="I41" s="250" t="s">
        <v>554</v>
      </c>
      <c r="J41" s="250" t="s">
        <v>615</v>
      </c>
      <c r="K41" s="250" t="s">
        <v>642</v>
      </c>
      <c r="L41" s="250">
        <v>2019</v>
      </c>
      <c r="M41" s="250" t="s">
        <v>863</v>
      </c>
      <c r="N41" s="250" t="s">
        <v>784</v>
      </c>
      <c r="O41" s="251" t="s">
        <v>402</v>
      </c>
      <c r="P41" s="251">
        <v>130</v>
      </c>
      <c r="Q41" s="251" t="s">
        <v>790</v>
      </c>
      <c r="R41" s="251" t="s">
        <v>544</v>
      </c>
      <c r="S41" s="251">
        <v>40</v>
      </c>
      <c r="T41" s="251" t="s">
        <v>793</v>
      </c>
      <c r="U41" s="251" t="s">
        <v>496</v>
      </c>
      <c r="V41" s="251" t="s">
        <v>496</v>
      </c>
      <c r="W41" s="251" t="s">
        <v>496</v>
      </c>
      <c r="X41" s="251" t="s">
        <v>496</v>
      </c>
      <c r="Y41" s="251" t="s">
        <v>496</v>
      </c>
      <c r="Z41" s="251" t="s">
        <v>496</v>
      </c>
      <c r="AA41" s="250" t="s">
        <v>832</v>
      </c>
    </row>
    <row r="42" spans="1:28">
      <c r="A42" s="250">
        <v>10</v>
      </c>
      <c r="B42" s="250" t="s">
        <v>419</v>
      </c>
      <c r="C42" s="254" t="s">
        <v>256</v>
      </c>
      <c r="D42" s="255">
        <v>2000</v>
      </c>
      <c r="E42" s="250" t="s">
        <v>565</v>
      </c>
      <c r="F42" s="255">
        <v>100</v>
      </c>
      <c r="G42" s="253">
        <v>44690</v>
      </c>
      <c r="H42" s="250" t="s">
        <v>507</v>
      </c>
      <c r="I42" s="250" t="s">
        <v>508</v>
      </c>
      <c r="J42" s="250" t="s">
        <v>615</v>
      </c>
      <c r="K42" s="250" t="s">
        <v>636</v>
      </c>
      <c r="L42" s="250">
        <v>2016</v>
      </c>
      <c r="M42" s="178" t="s">
        <v>509</v>
      </c>
      <c r="N42" s="250" t="s">
        <v>795</v>
      </c>
      <c r="O42" s="251" t="s">
        <v>402</v>
      </c>
      <c r="P42" s="251">
        <v>40</v>
      </c>
      <c r="Q42" s="251" t="s">
        <v>806</v>
      </c>
      <c r="R42" s="251" t="s">
        <v>544</v>
      </c>
      <c r="S42" s="251">
        <v>15</v>
      </c>
      <c r="T42" s="251" t="s">
        <v>807</v>
      </c>
      <c r="U42" s="251" t="s">
        <v>549</v>
      </c>
      <c r="V42" s="251">
        <v>4</v>
      </c>
      <c r="W42" s="251" t="s">
        <v>808</v>
      </c>
      <c r="X42" s="251" t="s">
        <v>669</v>
      </c>
      <c r="Y42" s="251">
        <v>1.2</v>
      </c>
      <c r="Z42" s="251" t="s">
        <v>809</v>
      </c>
      <c r="AA42" s="250" t="s">
        <v>1108</v>
      </c>
    </row>
    <row r="43" spans="1:28">
      <c r="B43" s="250" t="s">
        <v>2116</v>
      </c>
      <c r="C43" s="254" t="s">
        <v>256</v>
      </c>
      <c r="D43" s="255">
        <v>2000</v>
      </c>
      <c r="E43" s="250" t="s">
        <v>402</v>
      </c>
      <c r="F43" s="255">
        <v>138</v>
      </c>
      <c r="G43" s="253">
        <v>44872</v>
      </c>
      <c r="H43" s="250" t="s">
        <v>2117</v>
      </c>
      <c r="J43" s="250" t="s">
        <v>614</v>
      </c>
      <c r="K43" s="250" t="s">
        <v>628</v>
      </c>
      <c r="L43" s="250">
        <v>2014</v>
      </c>
      <c r="M43" s="250" t="s">
        <v>2119</v>
      </c>
      <c r="N43" s="250" t="s">
        <v>496</v>
      </c>
      <c r="O43" s="251" t="s">
        <v>544</v>
      </c>
      <c r="P43" s="251" t="s">
        <v>496</v>
      </c>
      <c r="Q43" s="251" t="s">
        <v>2118</v>
      </c>
      <c r="AA43" s="250" t="s">
        <v>1924</v>
      </c>
    </row>
    <row r="44" spans="1:28">
      <c r="B44" s="250" t="s">
        <v>1642</v>
      </c>
      <c r="C44" s="254" t="s">
        <v>256</v>
      </c>
      <c r="D44" s="255">
        <v>2000</v>
      </c>
      <c r="E44" s="250" t="s">
        <v>565</v>
      </c>
      <c r="F44" s="255">
        <v>50</v>
      </c>
      <c r="G44" s="253">
        <v>44380</v>
      </c>
      <c r="I44" s="250" t="s">
        <v>3209</v>
      </c>
      <c r="J44" s="281" t="s">
        <v>613</v>
      </c>
      <c r="K44" s="281" t="s">
        <v>1641</v>
      </c>
      <c r="L44" s="250">
        <v>2014</v>
      </c>
      <c r="N44" s="250" t="s">
        <v>3210</v>
      </c>
      <c r="O44" s="251" t="s">
        <v>402</v>
      </c>
      <c r="P44" s="251">
        <v>150</v>
      </c>
      <c r="Q44" s="251" t="s">
        <v>3211</v>
      </c>
      <c r="R44" s="251" t="s">
        <v>544</v>
      </c>
      <c r="S44" s="251">
        <f>150/6</f>
        <v>25</v>
      </c>
      <c r="T44" s="251" t="s">
        <v>3212</v>
      </c>
      <c r="U44" s="251" t="s">
        <v>496</v>
      </c>
      <c r="V44" s="251" t="s">
        <v>496</v>
      </c>
      <c r="W44" s="251" t="s">
        <v>496</v>
      </c>
      <c r="X44" s="251" t="s">
        <v>496</v>
      </c>
      <c r="Y44" s="251" t="s">
        <v>496</v>
      </c>
      <c r="Z44" s="251" t="s">
        <v>496</v>
      </c>
      <c r="AA44" s="250" t="s">
        <v>3208</v>
      </c>
    </row>
    <row r="45" spans="1:28" s="281" customFormat="1">
      <c r="B45" s="281" t="s">
        <v>1940</v>
      </c>
      <c r="C45" s="284" t="s">
        <v>256</v>
      </c>
      <c r="D45" s="285">
        <v>2000</v>
      </c>
      <c r="E45" s="281" t="s">
        <v>738</v>
      </c>
      <c r="F45" s="285">
        <v>230</v>
      </c>
      <c r="G45" s="290">
        <v>44984</v>
      </c>
      <c r="H45" s="281" t="s">
        <v>4326</v>
      </c>
      <c r="I45" s="281" t="s">
        <v>4325</v>
      </c>
      <c r="J45" s="281" t="s">
        <v>646</v>
      </c>
      <c r="K45" s="281" t="s">
        <v>4326</v>
      </c>
      <c r="L45" s="281">
        <v>2014</v>
      </c>
      <c r="M45" s="281" t="s">
        <v>4324</v>
      </c>
      <c r="N45" s="281" t="s">
        <v>4328</v>
      </c>
      <c r="O45" s="283" t="s">
        <v>755</v>
      </c>
      <c r="P45" s="283" t="s">
        <v>4333</v>
      </c>
      <c r="Q45" s="283" t="s">
        <v>4334</v>
      </c>
      <c r="R45" s="283" t="s">
        <v>565</v>
      </c>
      <c r="S45" s="283">
        <v>100</v>
      </c>
      <c r="T45" s="283" t="s">
        <v>4335</v>
      </c>
      <c r="U45" s="283" t="s">
        <v>402</v>
      </c>
      <c r="V45" s="283">
        <v>42</v>
      </c>
      <c r="W45" s="283" t="s">
        <v>4338</v>
      </c>
      <c r="X45" s="283" t="s">
        <v>544</v>
      </c>
      <c r="Y45" s="283">
        <v>25</v>
      </c>
      <c r="Z45" s="283" t="s">
        <v>4339</v>
      </c>
      <c r="AA45" s="281" t="s">
        <v>838</v>
      </c>
      <c r="AB45" s="5" t="s">
        <v>4323</v>
      </c>
    </row>
    <row r="46" spans="1:28">
      <c r="B46" s="250" t="s">
        <v>1947</v>
      </c>
      <c r="C46" s="284" t="s">
        <v>256</v>
      </c>
      <c r="D46" s="255">
        <v>1900</v>
      </c>
      <c r="E46" s="281" t="s">
        <v>738</v>
      </c>
      <c r="F46" s="255">
        <v>220</v>
      </c>
      <c r="G46" s="253">
        <v>44357</v>
      </c>
      <c r="H46" s="281" t="s">
        <v>4409</v>
      </c>
      <c r="I46" s="281" t="s">
        <v>4406</v>
      </c>
      <c r="J46" s="281" t="s">
        <v>614</v>
      </c>
      <c r="K46" s="281" t="s">
        <v>694</v>
      </c>
      <c r="L46" s="250">
        <v>2016</v>
      </c>
      <c r="N46" s="281" t="s">
        <v>4407</v>
      </c>
      <c r="O46" s="283" t="s">
        <v>755</v>
      </c>
      <c r="P46" s="283" t="s">
        <v>4411</v>
      </c>
      <c r="Q46" s="283" t="s">
        <v>4412</v>
      </c>
      <c r="R46" s="283" t="s">
        <v>565</v>
      </c>
      <c r="S46" s="251">
        <v>28</v>
      </c>
      <c r="T46" s="283" t="s">
        <v>4413</v>
      </c>
      <c r="U46" s="283" t="s">
        <v>402</v>
      </c>
      <c r="V46" s="251">
        <v>18</v>
      </c>
      <c r="W46" s="283" t="s">
        <v>4414</v>
      </c>
      <c r="X46" s="283" t="s">
        <v>544</v>
      </c>
      <c r="Y46" s="251">
        <v>5.8</v>
      </c>
      <c r="Z46" s="283" t="s">
        <v>496</v>
      </c>
      <c r="AA46" s="281" t="s">
        <v>840</v>
      </c>
      <c r="AB46" s="5" t="s">
        <v>4405</v>
      </c>
    </row>
    <row r="47" spans="1:28">
      <c r="A47" s="250">
        <f>A32+1</f>
        <v>13</v>
      </c>
      <c r="B47" s="250" t="s">
        <v>420</v>
      </c>
      <c r="C47" s="254" t="s">
        <v>256</v>
      </c>
      <c r="D47" s="255">
        <v>1500</v>
      </c>
      <c r="E47" s="250" t="s">
        <v>544</v>
      </c>
      <c r="F47" s="255">
        <v>125</v>
      </c>
      <c r="G47" s="253">
        <v>44852</v>
      </c>
      <c r="H47" s="250" t="s">
        <v>821</v>
      </c>
      <c r="I47" s="250" t="s">
        <v>815</v>
      </c>
      <c r="J47" s="250" t="s">
        <v>613</v>
      </c>
      <c r="K47" s="250" t="s">
        <v>619</v>
      </c>
      <c r="L47" s="250">
        <v>2021</v>
      </c>
      <c r="M47" s="250" t="s">
        <v>861</v>
      </c>
      <c r="N47" s="250" t="s">
        <v>816</v>
      </c>
      <c r="O47" s="251" t="s">
        <v>549</v>
      </c>
      <c r="P47" s="251">
        <v>6</v>
      </c>
      <c r="Q47" s="251" t="s">
        <v>818</v>
      </c>
      <c r="R47" s="251" t="s">
        <v>669</v>
      </c>
      <c r="S47" s="251">
        <v>1</v>
      </c>
      <c r="T47" s="251" t="s">
        <v>817</v>
      </c>
      <c r="U47" s="251" t="s">
        <v>496</v>
      </c>
      <c r="V47" s="251" t="s">
        <v>496</v>
      </c>
      <c r="W47" s="251" t="s">
        <v>496</v>
      </c>
      <c r="X47" s="251" t="s">
        <v>496</v>
      </c>
      <c r="Y47" s="251" t="s">
        <v>496</v>
      </c>
      <c r="Z47" s="251" t="s">
        <v>496</v>
      </c>
      <c r="AA47" s="250" t="s">
        <v>819</v>
      </c>
    </row>
    <row r="48" spans="1:28">
      <c r="B48" s="250" t="s">
        <v>1936</v>
      </c>
      <c r="C48" s="284" t="s">
        <v>256</v>
      </c>
      <c r="D48" s="255">
        <v>1500</v>
      </c>
      <c r="E48" s="281" t="s">
        <v>755</v>
      </c>
      <c r="F48" s="255">
        <v>250</v>
      </c>
      <c r="G48" s="253">
        <v>45069</v>
      </c>
      <c r="H48" s="281" t="s">
        <v>4270</v>
      </c>
      <c r="I48" s="281" t="s">
        <v>4268</v>
      </c>
      <c r="J48" s="281" t="s">
        <v>614</v>
      </c>
      <c r="K48" s="281" t="s">
        <v>461</v>
      </c>
      <c r="L48" s="250">
        <v>2016</v>
      </c>
      <c r="M48" s="281" t="s">
        <v>4274</v>
      </c>
      <c r="N48" s="281" t="s">
        <v>4269</v>
      </c>
      <c r="O48" s="283" t="s">
        <v>565</v>
      </c>
      <c r="P48" s="251">
        <v>100</v>
      </c>
      <c r="Q48" s="283" t="s">
        <v>4275</v>
      </c>
      <c r="R48" s="283" t="s">
        <v>402</v>
      </c>
      <c r="S48" s="283" t="s">
        <v>496</v>
      </c>
      <c r="T48" s="283" t="s">
        <v>4278</v>
      </c>
      <c r="U48" s="283" t="s">
        <v>544</v>
      </c>
      <c r="V48" s="251">
        <v>29.5</v>
      </c>
      <c r="W48" s="283" t="s">
        <v>4279</v>
      </c>
      <c r="X48" s="283" t="s">
        <v>496</v>
      </c>
      <c r="Y48" s="283" t="s">
        <v>496</v>
      </c>
      <c r="Z48" s="283" t="s">
        <v>496</v>
      </c>
      <c r="AA48" s="281" t="s">
        <v>833</v>
      </c>
      <c r="AB48" s="5" t="s">
        <v>4267</v>
      </c>
    </row>
    <row r="49" spans="1:28">
      <c r="A49" s="250">
        <v>20</v>
      </c>
      <c r="B49" s="250" t="s">
        <v>864</v>
      </c>
      <c r="C49" s="254" t="s">
        <v>256</v>
      </c>
      <c r="D49" s="255">
        <v>1400</v>
      </c>
      <c r="E49" s="250" t="s">
        <v>755</v>
      </c>
      <c r="F49" s="255">
        <v>100</v>
      </c>
      <c r="G49" s="253">
        <v>45051</v>
      </c>
      <c r="H49" s="250" t="s">
        <v>865</v>
      </c>
      <c r="I49" s="250" t="s">
        <v>899</v>
      </c>
      <c r="J49" s="250" t="s">
        <v>613</v>
      </c>
      <c r="K49" s="250" t="s">
        <v>639</v>
      </c>
      <c r="L49" s="257">
        <v>43101</v>
      </c>
      <c r="M49" s="250" t="s">
        <v>900</v>
      </c>
      <c r="N49" s="250" t="s">
        <v>890</v>
      </c>
      <c r="O49" s="251" t="s">
        <v>565</v>
      </c>
      <c r="P49" s="251">
        <v>50</v>
      </c>
      <c r="Q49" s="251" t="s">
        <v>895</v>
      </c>
      <c r="R49" s="251" t="s">
        <v>402</v>
      </c>
      <c r="S49" s="251">
        <v>35</v>
      </c>
      <c r="T49" s="251" t="s">
        <v>896</v>
      </c>
      <c r="U49" s="251" t="s">
        <v>544</v>
      </c>
      <c r="V49" s="251">
        <v>8.5</v>
      </c>
      <c r="W49" s="251" t="s">
        <v>898</v>
      </c>
      <c r="X49" s="251" t="s">
        <v>549</v>
      </c>
      <c r="Y49" s="251">
        <v>2</v>
      </c>
      <c r="Z49" s="251" t="s">
        <v>897</v>
      </c>
      <c r="AA49" s="250" t="s">
        <v>1108</v>
      </c>
    </row>
    <row r="50" spans="1:28">
      <c r="B50" s="250" t="s">
        <v>441</v>
      </c>
      <c r="C50" s="254" t="s">
        <v>256</v>
      </c>
      <c r="D50" s="255">
        <v>1300</v>
      </c>
      <c r="E50" s="250" t="s">
        <v>738</v>
      </c>
      <c r="F50" s="255">
        <v>132</v>
      </c>
      <c r="G50" s="253">
        <v>44215</v>
      </c>
      <c r="H50" s="250" t="s">
        <v>2122</v>
      </c>
      <c r="I50" s="250" t="s">
        <v>2121</v>
      </c>
      <c r="J50" s="250" t="s">
        <v>613</v>
      </c>
      <c r="K50" s="250" t="s">
        <v>430</v>
      </c>
      <c r="L50" s="250">
        <v>2016</v>
      </c>
      <c r="N50" s="250" t="s">
        <v>2123</v>
      </c>
      <c r="O50" s="251" t="s">
        <v>755</v>
      </c>
      <c r="P50" s="251">
        <v>42</v>
      </c>
      <c r="Q50" s="251" t="s">
        <v>2140</v>
      </c>
      <c r="R50" s="251" t="s">
        <v>565</v>
      </c>
      <c r="S50" s="251">
        <v>48</v>
      </c>
      <c r="T50" s="251" t="s">
        <v>2141</v>
      </c>
      <c r="U50" s="251" t="s">
        <v>402</v>
      </c>
      <c r="V50" s="251">
        <v>25</v>
      </c>
      <c r="W50" s="251" t="s">
        <v>2142</v>
      </c>
      <c r="X50" s="251" t="s">
        <v>544</v>
      </c>
      <c r="Y50" s="251">
        <v>5.8</v>
      </c>
      <c r="Z50" s="251" t="s">
        <v>2143</v>
      </c>
      <c r="AA50" s="250" t="s">
        <v>1108</v>
      </c>
    </row>
    <row r="51" spans="1:28">
      <c r="B51" s="250" t="s">
        <v>1933</v>
      </c>
      <c r="C51" s="284" t="s">
        <v>256</v>
      </c>
      <c r="D51" s="255">
        <v>1285.7142857142858</v>
      </c>
      <c r="E51" s="281" t="s">
        <v>565</v>
      </c>
      <c r="F51" s="255">
        <v>257.14285714285717</v>
      </c>
      <c r="G51" s="253">
        <v>44201</v>
      </c>
      <c r="H51" s="281" t="s">
        <v>4030</v>
      </c>
      <c r="I51" s="281" t="s">
        <v>4224</v>
      </c>
      <c r="J51" s="281" t="s">
        <v>614</v>
      </c>
      <c r="K51" s="281" t="s">
        <v>646</v>
      </c>
      <c r="L51" s="250">
        <v>2018</v>
      </c>
      <c r="N51" s="281" t="s">
        <v>4223</v>
      </c>
      <c r="O51" s="283" t="s">
        <v>402</v>
      </c>
      <c r="P51" s="283">
        <v>100</v>
      </c>
      <c r="Q51" s="283" t="s">
        <v>4228</v>
      </c>
      <c r="R51" s="283" t="s">
        <v>544</v>
      </c>
      <c r="S51" s="283">
        <v>43</v>
      </c>
      <c r="T51" s="283" t="s">
        <v>4230</v>
      </c>
      <c r="U51" s="283" t="s">
        <v>549</v>
      </c>
      <c r="V51" s="288">
        <f>340/7</f>
        <v>48.571428571428569</v>
      </c>
      <c r="W51" s="283" t="s">
        <v>4234</v>
      </c>
      <c r="X51" s="283" t="s">
        <v>496</v>
      </c>
      <c r="Y51" s="283" t="s">
        <v>496</v>
      </c>
      <c r="Z51" s="283" t="s">
        <v>496</v>
      </c>
      <c r="AA51" s="281" t="s">
        <v>3208</v>
      </c>
      <c r="AB51" s="5" t="s">
        <v>4222</v>
      </c>
    </row>
    <row r="52" spans="1:28">
      <c r="B52" s="250" t="s">
        <v>2849</v>
      </c>
      <c r="C52" s="254" t="s">
        <v>256</v>
      </c>
      <c r="D52" s="255">
        <v>1100</v>
      </c>
      <c r="E52" s="250" t="s">
        <v>565</v>
      </c>
      <c r="F52" s="255">
        <v>130</v>
      </c>
      <c r="G52" s="253">
        <v>44323</v>
      </c>
      <c r="H52" s="250" t="s">
        <v>2850</v>
      </c>
      <c r="I52" s="250" t="s">
        <v>2851</v>
      </c>
      <c r="J52" s="250" t="s">
        <v>614</v>
      </c>
      <c r="K52" s="250" t="s">
        <v>698</v>
      </c>
      <c r="L52" s="250">
        <v>2016</v>
      </c>
      <c r="N52" s="250" t="s">
        <v>2852</v>
      </c>
      <c r="O52" s="251" t="s">
        <v>402</v>
      </c>
      <c r="P52" s="251">
        <v>44</v>
      </c>
      <c r="Q52" s="251" t="s">
        <v>2859</v>
      </c>
      <c r="R52" s="251" t="s">
        <v>544</v>
      </c>
      <c r="S52" s="251">
        <v>15</v>
      </c>
      <c r="T52" s="251" t="s">
        <v>2860</v>
      </c>
      <c r="U52" s="251" t="s">
        <v>549</v>
      </c>
      <c r="V52" s="251">
        <v>2.5</v>
      </c>
      <c r="W52" s="251" t="s">
        <v>2862</v>
      </c>
      <c r="X52" s="251" t="s">
        <v>669</v>
      </c>
      <c r="Y52" s="251" t="s">
        <v>496</v>
      </c>
      <c r="Z52" s="251" t="s">
        <v>2863</v>
      </c>
      <c r="AA52" s="250" t="s">
        <v>832</v>
      </c>
    </row>
    <row r="53" spans="1:28">
      <c r="A53" s="250">
        <f>A27+1</f>
        <v>15</v>
      </c>
      <c r="B53" s="250" t="s">
        <v>422</v>
      </c>
      <c r="C53" s="254" t="s">
        <v>256</v>
      </c>
      <c r="D53" s="255">
        <v>1000</v>
      </c>
      <c r="E53" s="250" t="s">
        <v>565</v>
      </c>
      <c r="F53" s="255">
        <v>135</v>
      </c>
      <c r="G53" s="253">
        <v>44482</v>
      </c>
      <c r="H53" s="250" t="s">
        <v>848</v>
      </c>
      <c r="I53" s="250" t="s">
        <v>859</v>
      </c>
      <c r="J53" s="250" t="s">
        <v>615</v>
      </c>
      <c r="K53" s="250" t="s">
        <v>636</v>
      </c>
      <c r="L53" s="250">
        <v>2017</v>
      </c>
      <c r="M53" s="250" t="s">
        <v>860</v>
      </c>
      <c r="N53" s="250" t="s">
        <v>849</v>
      </c>
      <c r="O53" s="251" t="s">
        <v>402</v>
      </c>
      <c r="P53" s="251">
        <v>45</v>
      </c>
      <c r="Q53" s="251" t="s">
        <v>853</v>
      </c>
      <c r="R53" s="251" t="s">
        <v>544</v>
      </c>
      <c r="S53" s="251">
        <v>5</v>
      </c>
      <c r="T53" s="251" t="s">
        <v>856</v>
      </c>
      <c r="U53" s="251" t="s">
        <v>496</v>
      </c>
      <c r="V53" s="251" t="s">
        <v>496</v>
      </c>
      <c r="W53" s="251" t="s">
        <v>496</v>
      </c>
      <c r="X53" s="251" t="s">
        <v>496</v>
      </c>
      <c r="Y53" s="251" t="s">
        <v>496</v>
      </c>
      <c r="Z53" s="251" t="s">
        <v>496</v>
      </c>
      <c r="AA53" s="250" t="s">
        <v>834</v>
      </c>
    </row>
    <row r="54" spans="1:28">
      <c r="A54" s="64">
        <f>A53+1</f>
        <v>16</v>
      </c>
      <c r="B54" s="64" t="s">
        <v>418</v>
      </c>
      <c r="C54" s="190" t="s">
        <v>256</v>
      </c>
      <c r="D54" s="188">
        <v>1000</v>
      </c>
      <c r="E54" s="64" t="s">
        <v>544</v>
      </c>
      <c r="F54" s="188">
        <v>150</v>
      </c>
      <c r="G54" s="202">
        <v>45008</v>
      </c>
      <c r="H54" s="64" t="s">
        <v>601</v>
      </c>
      <c r="I54" s="64" t="s">
        <v>448</v>
      </c>
      <c r="J54" s="64" t="s">
        <v>613</v>
      </c>
      <c r="K54" s="64" t="s">
        <v>561</v>
      </c>
      <c r="L54" s="64">
        <v>2021</v>
      </c>
      <c r="M54" s="250" t="s">
        <v>867</v>
      </c>
      <c r="N54" s="250" t="s">
        <v>866</v>
      </c>
      <c r="O54" s="251" t="s">
        <v>549</v>
      </c>
      <c r="P54" s="251" t="s">
        <v>496</v>
      </c>
      <c r="Q54" s="251" t="s">
        <v>871</v>
      </c>
      <c r="R54" s="251" t="s">
        <v>496</v>
      </c>
      <c r="S54" s="251" t="s">
        <v>496</v>
      </c>
      <c r="T54" s="251" t="s">
        <v>496</v>
      </c>
      <c r="U54" s="251" t="s">
        <v>496</v>
      </c>
      <c r="V54" s="251" t="s">
        <v>496</v>
      </c>
      <c r="W54" s="251" t="s">
        <v>496</v>
      </c>
      <c r="X54" s="251" t="s">
        <v>496</v>
      </c>
      <c r="Y54" s="251" t="s">
        <v>496</v>
      </c>
      <c r="Z54" s="251" t="s">
        <v>496</v>
      </c>
      <c r="AA54" s="250" t="s">
        <v>839</v>
      </c>
    </row>
    <row r="55" spans="1:28">
      <c r="A55" s="250">
        <v>25</v>
      </c>
      <c r="B55" s="250" t="s">
        <v>431</v>
      </c>
      <c r="C55" s="254" t="s">
        <v>256</v>
      </c>
      <c r="D55" s="255">
        <v>1000</v>
      </c>
      <c r="E55" s="250" t="s">
        <v>402</v>
      </c>
      <c r="F55" s="255">
        <v>350</v>
      </c>
      <c r="G55" s="253">
        <v>44999</v>
      </c>
      <c r="H55" s="250" t="s">
        <v>496</v>
      </c>
      <c r="I55" s="250" t="s">
        <v>872</v>
      </c>
      <c r="J55" s="196" t="s">
        <v>614</v>
      </c>
      <c r="K55" s="196" t="s">
        <v>559</v>
      </c>
      <c r="L55" s="250">
        <v>2022</v>
      </c>
      <c r="M55" s="250" t="s">
        <v>873</v>
      </c>
      <c r="N55" s="250" t="s">
        <v>875</v>
      </c>
      <c r="O55" s="251" t="s">
        <v>544</v>
      </c>
      <c r="P55" s="251">
        <v>65</v>
      </c>
      <c r="Q55" s="251" t="s">
        <v>874</v>
      </c>
      <c r="R55" s="251" t="s">
        <v>496</v>
      </c>
      <c r="S55" s="251" t="s">
        <v>496</v>
      </c>
      <c r="T55" s="251" t="s">
        <v>496</v>
      </c>
      <c r="U55" s="251" t="s">
        <v>496</v>
      </c>
      <c r="V55" s="251" t="s">
        <v>496</v>
      </c>
      <c r="W55" s="251" t="s">
        <v>496</v>
      </c>
      <c r="X55" s="251" t="s">
        <v>496</v>
      </c>
      <c r="Y55" s="251" t="s">
        <v>496</v>
      </c>
      <c r="Z55" s="251" t="s">
        <v>496</v>
      </c>
      <c r="AA55" s="250" t="s">
        <v>834</v>
      </c>
    </row>
    <row r="56" spans="1:28">
      <c r="A56" s="250">
        <f t="shared" ref="A56" si="0">A55+1</f>
        <v>26</v>
      </c>
      <c r="B56" s="250" t="s">
        <v>495</v>
      </c>
      <c r="C56" s="254" t="s">
        <v>256</v>
      </c>
      <c r="D56" s="255">
        <v>1000</v>
      </c>
      <c r="E56" s="250" t="s">
        <v>501</v>
      </c>
      <c r="F56" s="255">
        <v>0</v>
      </c>
      <c r="G56" s="252" t="s">
        <v>496</v>
      </c>
      <c r="H56" s="250" t="s">
        <v>879</v>
      </c>
      <c r="I56" s="250" t="s">
        <v>880</v>
      </c>
      <c r="J56" s="250" t="s">
        <v>613</v>
      </c>
      <c r="K56" s="250" t="s">
        <v>619</v>
      </c>
      <c r="L56" s="257">
        <v>44754</v>
      </c>
      <c r="M56" s="250" t="s">
        <v>881</v>
      </c>
      <c r="N56" s="250" t="s">
        <v>496</v>
      </c>
      <c r="O56" s="251" t="s">
        <v>496</v>
      </c>
      <c r="P56" s="251" t="s">
        <v>496</v>
      </c>
      <c r="Q56" s="251" t="s">
        <v>496</v>
      </c>
      <c r="R56" s="251" t="s">
        <v>496</v>
      </c>
      <c r="S56" s="251" t="s">
        <v>496</v>
      </c>
      <c r="T56" s="251" t="s">
        <v>496</v>
      </c>
      <c r="U56" s="251" t="s">
        <v>496</v>
      </c>
      <c r="V56" s="251" t="s">
        <v>496</v>
      </c>
      <c r="W56" s="251" t="s">
        <v>496</v>
      </c>
      <c r="X56" s="251" t="s">
        <v>496</v>
      </c>
      <c r="Y56" s="251" t="s">
        <v>496</v>
      </c>
      <c r="Z56" s="251" t="s">
        <v>496</v>
      </c>
      <c r="AA56" s="250" t="s">
        <v>882</v>
      </c>
    </row>
    <row r="57" spans="1:28">
      <c r="B57" s="250" t="s">
        <v>604</v>
      </c>
      <c r="C57" s="254" t="s">
        <v>256</v>
      </c>
      <c r="D57" s="255">
        <v>1000</v>
      </c>
      <c r="E57" s="250" t="s">
        <v>402</v>
      </c>
      <c r="F57" s="255">
        <v>300</v>
      </c>
      <c r="G57" s="253">
        <v>44453</v>
      </c>
      <c r="H57" s="250" t="s">
        <v>605</v>
      </c>
      <c r="I57" s="250" t="s">
        <v>903</v>
      </c>
      <c r="J57" s="250" t="s">
        <v>613</v>
      </c>
      <c r="K57" s="250" t="s">
        <v>606</v>
      </c>
      <c r="L57" s="257">
        <v>43817</v>
      </c>
      <c r="M57" s="250" t="s">
        <v>606</v>
      </c>
      <c r="N57" s="250" t="s">
        <v>901</v>
      </c>
      <c r="O57" s="251" t="s">
        <v>496</v>
      </c>
      <c r="P57" s="251" t="s">
        <v>496</v>
      </c>
      <c r="Q57" s="251" t="s">
        <v>496</v>
      </c>
      <c r="R57" s="251" t="s">
        <v>496</v>
      </c>
      <c r="S57" s="251" t="s">
        <v>496</v>
      </c>
      <c r="T57" s="251" t="s">
        <v>496</v>
      </c>
      <c r="U57" s="251" t="s">
        <v>496</v>
      </c>
      <c r="V57" s="251" t="s">
        <v>496</v>
      </c>
      <c r="W57" s="251" t="s">
        <v>496</v>
      </c>
      <c r="X57" s="251" t="s">
        <v>496</v>
      </c>
      <c r="Y57" s="251" t="s">
        <v>496</v>
      </c>
      <c r="Z57" s="251" t="s">
        <v>496</v>
      </c>
      <c r="AA57" s="250" t="s">
        <v>902</v>
      </c>
    </row>
    <row r="58" spans="1:28">
      <c r="B58" s="250" t="s">
        <v>1935</v>
      </c>
      <c r="C58" s="284" t="s">
        <v>256</v>
      </c>
      <c r="D58" s="255">
        <v>1000</v>
      </c>
      <c r="E58" s="281" t="s">
        <v>402</v>
      </c>
      <c r="F58" s="255">
        <f>1600/7</f>
        <v>228.57142857142858</v>
      </c>
      <c r="G58" s="253">
        <v>44550</v>
      </c>
      <c r="H58" s="281" t="s">
        <v>4254</v>
      </c>
      <c r="I58" s="281" t="s">
        <v>4253</v>
      </c>
      <c r="J58" s="281" t="s">
        <v>646</v>
      </c>
      <c r="K58" s="281" t="s">
        <v>4255</v>
      </c>
      <c r="L58" s="250">
        <v>2018</v>
      </c>
      <c r="N58" s="281" t="s">
        <v>4256</v>
      </c>
      <c r="O58" s="283" t="s">
        <v>544</v>
      </c>
      <c r="P58" s="287">
        <f>500/7</f>
        <v>71.428571428571431</v>
      </c>
      <c r="Q58" s="283" t="s">
        <v>4264</v>
      </c>
      <c r="R58" s="283" t="s">
        <v>544</v>
      </c>
      <c r="S58" s="251">
        <v>50</v>
      </c>
      <c r="T58" s="283" t="s">
        <v>4265</v>
      </c>
      <c r="U58" s="283" t="s">
        <v>496</v>
      </c>
      <c r="V58" s="283" t="s">
        <v>496</v>
      </c>
      <c r="W58" s="283" t="s">
        <v>496</v>
      </c>
      <c r="X58" s="283" t="s">
        <v>496</v>
      </c>
      <c r="Y58" s="283" t="s">
        <v>496</v>
      </c>
      <c r="Z58" s="283" t="s">
        <v>496</v>
      </c>
      <c r="AA58" s="281" t="s">
        <v>3208</v>
      </c>
      <c r="AB58" s="5" t="s">
        <v>4252</v>
      </c>
    </row>
    <row r="59" spans="1:28" s="281" customFormat="1">
      <c r="B59" s="281" t="s">
        <v>4307</v>
      </c>
      <c r="C59" s="284" t="s">
        <v>256</v>
      </c>
      <c r="D59" s="285">
        <v>1000</v>
      </c>
      <c r="E59" s="281" t="s">
        <v>565</v>
      </c>
      <c r="F59" s="285">
        <v>235</v>
      </c>
      <c r="G59" s="290">
        <v>44384</v>
      </c>
      <c r="H59" s="281" t="s">
        <v>4311</v>
      </c>
      <c r="I59" s="281" t="s">
        <v>4309</v>
      </c>
      <c r="J59" s="281" t="s">
        <v>614</v>
      </c>
      <c r="K59" s="281" t="s">
        <v>643</v>
      </c>
      <c r="L59" s="281">
        <v>2015</v>
      </c>
      <c r="N59" s="281" t="s">
        <v>4312</v>
      </c>
      <c r="O59" s="283" t="s">
        <v>402</v>
      </c>
      <c r="P59" s="283">
        <v>43</v>
      </c>
      <c r="Q59" s="283" t="s">
        <v>4314</v>
      </c>
      <c r="R59" s="283" t="s">
        <v>544</v>
      </c>
      <c r="S59" s="283">
        <v>31</v>
      </c>
      <c r="T59" s="283" t="s">
        <v>2446</v>
      </c>
      <c r="U59" s="283" t="s">
        <v>544</v>
      </c>
      <c r="V59" s="283">
        <v>15</v>
      </c>
      <c r="W59" s="283" t="s">
        <v>4315</v>
      </c>
      <c r="X59" s="283" t="s">
        <v>544</v>
      </c>
      <c r="Y59" s="283">
        <v>28</v>
      </c>
      <c r="Z59" s="283" t="s">
        <v>4316</v>
      </c>
      <c r="AA59" s="281" t="s">
        <v>932</v>
      </c>
      <c r="AB59" s="5" t="s">
        <v>4308</v>
      </c>
    </row>
    <row r="60" spans="1:28">
      <c r="A60" s="250">
        <f>A77+1</f>
        <v>26</v>
      </c>
      <c r="B60" s="250" t="s">
        <v>423</v>
      </c>
      <c r="C60" s="254" t="s">
        <v>256</v>
      </c>
      <c r="D60" s="255">
        <v>1000</v>
      </c>
      <c r="E60" s="250" t="s">
        <v>565</v>
      </c>
      <c r="F60" s="255">
        <v>100</v>
      </c>
      <c r="G60" s="253">
        <v>44699</v>
      </c>
      <c r="H60" s="250" t="s">
        <v>958</v>
      </c>
      <c r="I60" s="250" t="s">
        <v>960</v>
      </c>
      <c r="J60" s="250" t="s">
        <v>614</v>
      </c>
      <c r="K60" s="250" t="s">
        <v>640</v>
      </c>
      <c r="L60" s="250">
        <v>2019</v>
      </c>
      <c r="M60" s="250" t="s">
        <v>966</v>
      </c>
      <c r="N60" s="250" t="s">
        <v>959</v>
      </c>
      <c r="O60" s="251" t="s">
        <v>402</v>
      </c>
      <c r="P60" s="251">
        <v>40</v>
      </c>
      <c r="Q60" s="251" t="s">
        <v>963</v>
      </c>
      <c r="R60" s="251" t="s">
        <v>544</v>
      </c>
      <c r="S60" s="251">
        <v>15</v>
      </c>
      <c r="T60" s="251" t="s">
        <v>964</v>
      </c>
      <c r="U60" s="251" t="s">
        <v>496</v>
      </c>
      <c r="V60" s="251" t="s">
        <v>496</v>
      </c>
      <c r="W60" s="251" t="s">
        <v>496</v>
      </c>
      <c r="X60" s="251" t="s">
        <v>496</v>
      </c>
      <c r="Y60" s="251" t="s">
        <v>496</v>
      </c>
      <c r="Z60" s="251" t="s">
        <v>496</v>
      </c>
      <c r="AA60" s="250" t="s">
        <v>844</v>
      </c>
    </row>
    <row r="61" spans="1:28">
      <c r="B61" s="250" t="s">
        <v>445</v>
      </c>
      <c r="C61" s="254" t="s">
        <v>256</v>
      </c>
      <c r="D61" s="255">
        <v>1000</v>
      </c>
      <c r="E61" s="250" t="s">
        <v>755</v>
      </c>
      <c r="F61" s="255">
        <v>100</v>
      </c>
      <c r="G61" s="253">
        <v>44419</v>
      </c>
      <c r="H61" s="250" t="s">
        <v>2326</v>
      </c>
      <c r="I61" s="250" t="s">
        <v>2325</v>
      </c>
      <c r="J61" s="250" t="s">
        <v>614</v>
      </c>
      <c r="K61" s="250" t="s">
        <v>22</v>
      </c>
      <c r="L61" s="250">
        <v>2016</v>
      </c>
      <c r="N61" s="250" t="s">
        <v>2327</v>
      </c>
      <c r="O61" s="251" t="s">
        <v>565</v>
      </c>
      <c r="P61" s="251">
        <v>60</v>
      </c>
      <c r="Q61" s="251" t="s">
        <v>2328</v>
      </c>
      <c r="R61" s="251" t="s">
        <v>402</v>
      </c>
      <c r="S61" s="251">
        <v>30</v>
      </c>
      <c r="T61" s="251" t="s">
        <v>2333</v>
      </c>
      <c r="U61" s="251" t="s">
        <v>544</v>
      </c>
      <c r="V61" s="251">
        <v>7</v>
      </c>
      <c r="W61" s="251" t="s">
        <v>2334</v>
      </c>
      <c r="X61" s="251" t="s">
        <v>549</v>
      </c>
      <c r="Y61" s="251">
        <v>3</v>
      </c>
      <c r="Z61" s="251" t="s">
        <v>2336</v>
      </c>
      <c r="AA61" s="250" t="s">
        <v>1848</v>
      </c>
    </row>
    <row r="62" spans="1:28">
      <c r="A62" s="250">
        <f>A60+1</f>
        <v>27</v>
      </c>
      <c r="B62" s="250" t="s">
        <v>611</v>
      </c>
      <c r="C62" s="254" t="s">
        <v>256</v>
      </c>
      <c r="D62" s="255">
        <v>1000</v>
      </c>
      <c r="E62" s="250" t="s">
        <v>565</v>
      </c>
      <c r="F62" s="255">
        <v>100</v>
      </c>
      <c r="G62" s="253">
        <v>44754</v>
      </c>
      <c r="H62" s="250" t="s">
        <v>967</v>
      </c>
      <c r="I62" s="250" t="s">
        <v>978</v>
      </c>
      <c r="J62" s="250" t="s">
        <v>615</v>
      </c>
      <c r="K62" s="250" t="s">
        <v>636</v>
      </c>
      <c r="L62" s="250">
        <v>2019</v>
      </c>
      <c r="M62" s="250" t="s">
        <v>969</v>
      </c>
      <c r="N62" s="250" t="s">
        <v>968</v>
      </c>
      <c r="O62" s="251" t="s">
        <v>402</v>
      </c>
      <c r="P62" s="251">
        <v>35</v>
      </c>
      <c r="Q62" s="251" t="s">
        <v>971</v>
      </c>
      <c r="R62" s="251" t="s">
        <v>544</v>
      </c>
      <c r="S62" s="251">
        <v>20</v>
      </c>
      <c r="T62" s="251" t="s">
        <v>972</v>
      </c>
      <c r="U62" s="251" t="s">
        <v>549</v>
      </c>
      <c r="V62" s="251">
        <v>5</v>
      </c>
      <c r="W62" s="251" t="s">
        <v>973</v>
      </c>
      <c r="X62" s="251" t="s">
        <v>496</v>
      </c>
      <c r="Y62" s="251" t="s">
        <v>496</v>
      </c>
      <c r="Z62" s="251" t="s">
        <v>496</v>
      </c>
      <c r="AA62" s="250" t="s">
        <v>834</v>
      </c>
    </row>
    <row r="63" spans="1:28">
      <c r="A63" s="64">
        <f>A62+1</f>
        <v>28</v>
      </c>
      <c r="B63" s="64" t="s">
        <v>444</v>
      </c>
      <c r="C63" s="190" t="s">
        <v>256</v>
      </c>
      <c r="D63" s="188">
        <v>1000</v>
      </c>
      <c r="E63" s="64" t="s">
        <v>402</v>
      </c>
      <c r="F63" s="188">
        <v>100</v>
      </c>
      <c r="G63" s="202">
        <v>44565</v>
      </c>
      <c r="H63" s="64" t="s">
        <v>976</v>
      </c>
      <c r="I63" s="64" t="s">
        <v>977</v>
      </c>
      <c r="J63" s="64" t="s">
        <v>613</v>
      </c>
      <c r="K63" s="64" t="s">
        <v>446</v>
      </c>
      <c r="L63" s="257">
        <v>43466</v>
      </c>
      <c r="M63" s="250" t="s">
        <v>606</v>
      </c>
      <c r="N63" s="196" t="s">
        <v>974</v>
      </c>
      <c r="O63" s="251" t="s">
        <v>544</v>
      </c>
      <c r="P63" s="251">
        <v>30</v>
      </c>
      <c r="Q63" s="251" t="s">
        <v>975</v>
      </c>
      <c r="R63" s="251" t="s">
        <v>496</v>
      </c>
      <c r="S63" s="251" t="s">
        <v>496</v>
      </c>
      <c r="T63" s="251" t="s">
        <v>496</v>
      </c>
      <c r="U63" s="251" t="s">
        <v>496</v>
      </c>
      <c r="V63" s="251" t="s">
        <v>496</v>
      </c>
      <c r="W63" s="251" t="s">
        <v>496</v>
      </c>
      <c r="X63" s="251" t="s">
        <v>496</v>
      </c>
      <c r="Y63" s="251" t="s">
        <v>496</v>
      </c>
      <c r="Z63" s="251" t="s">
        <v>496</v>
      </c>
      <c r="AA63" s="250" t="s">
        <v>902</v>
      </c>
    </row>
    <row r="64" spans="1:28">
      <c r="A64" s="250">
        <f>A63+1</f>
        <v>29</v>
      </c>
      <c r="B64" s="250" t="s">
        <v>616</v>
      </c>
      <c r="C64" s="254" t="s">
        <v>256</v>
      </c>
      <c r="D64" s="255">
        <v>1000</v>
      </c>
      <c r="E64" s="250" t="s">
        <v>565</v>
      </c>
      <c r="F64" s="255">
        <v>99</v>
      </c>
      <c r="G64" s="253">
        <v>44796</v>
      </c>
      <c r="H64" s="250" t="s">
        <v>1007</v>
      </c>
      <c r="I64" s="250" t="s">
        <v>985</v>
      </c>
      <c r="J64" s="250" t="s">
        <v>615</v>
      </c>
      <c r="K64" s="250" t="s">
        <v>636</v>
      </c>
      <c r="L64" s="250">
        <v>2019</v>
      </c>
      <c r="M64" s="250" t="s">
        <v>984</v>
      </c>
      <c r="N64" s="250" t="s">
        <v>986</v>
      </c>
      <c r="O64" s="251" t="s">
        <v>982</v>
      </c>
      <c r="P64" s="251">
        <v>100</v>
      </c>
      <c r="Q64" s="251" t="s">
        <v>987</v>
      </c>
      <c r="R64" s="251" t="s">
        <v>402</v>
      </c>
      <c r="S64" s="251">
        <v>40</v>
      </c>
      <c r="T64" s="251" t="s">
        <v>988</v>
      </c>
      <c r="U64" s="251" t="s">
        <v>544</v>
      </c>
      <c r="V64" s="251">
        <v>20</v>
      </c>
      <c r="W64" s="251" t="s">
        <v>989</v>
      </c>
      <c r="X64" s="251" t="s">
        <v>496</v>
      </c>
      <c r="Y64" s="251" t="s">
        <v>496</v>
      </c>
      <c r="Z64" s="251" t="s">
        <v>496</v>
      </c>
      <c r="AA64" s="250" t="s">
        <v>834</v>
      </c>
    </row>
    <row r="65" spans="1:28">
      <c r="A65" s="250">
        <v>19</v>
      </c>
      <c r="B65" s="250" t="s">
        <v>1981</v>
      </c>
      <c r="C65" s="254" t="s">
        <v>256</v>
      </c>
      <c r="D65" s="255">
        <v>1000</v>
      </c>
      <c r="E65" s="250" t="s">
        <v>565</v>
      </c>
      <c r="F65" s="255">
        <v>90</v>
      </c>
      <c r="G65" s="253">
        <v>45090</v>
      </c>
      <c r="I65" s="250" t="s">
        <v>2722</v>
      </c>
      <c r="J65" s="250" t="s">
        <v>614</v>
      </c>
      <c r="K65" s="250" t="s">
        <v>639</v>
      </c>
      <c r="L65" s="250">
        <v>2017</v>
      </c>
      <c r="N65" s="250" t="s">
        <v>2723</v>
      </c>
      <c r="O65" s="251" t="s">
        <v>402</v>
      </c>
      <c r="P65" s="251">
        <v>50</v>
      </c>
      <c r="Q65" s="251" t="s">
        <v>2726</v>
      </c>
      <c r="R65" s="251" t="s">
        <v>544</v>
      </c>
      <c r="S65" s="251">
        <v>12.5</v>
      </c>
      <c r="T65" s="251" t="s">
        <v>2730</v>
      </c>
      <c r="U65" s="251" t="s">
        <v>549</v>
      </c>
      <c r="V65" s="251">
        <v>3.1</v>
      </c>
      <c r="W65" s="251" t="s">
        <v>2731</v>
      </c>
      <c r="X65" s="251" t="s">
        <v>669</v>
      </c>
      <c r="Y65" s="251">
        <v>1</v>
      </c>
      <c r="Z65" s="251" t="s">
        <v>2734</v>
      </c>
      <c r="AA65" s="250" t="s">
        <v>2227</v>
      </c>
    </row>
    <row r="66" spans="1:28">
      <c r="A66" s="250">
        <v>23</v>
      </c>
      <c r="B66" s="250" t="s">
        <v>618</v>
      </c>
      <c r="C66" s="254" t="s">
        <v>256</v>
      </c>
      <c r="D66" s="255">
        <v>1000</v>
      </c>
      <c r="E66" s="250" t="s">
        <v>565</v>
      </c>
      <c r="F66" s="255">
        <v>85</v>
      </c>
      <c r="G66" s="253">
        <v>44417</v>
      </c>
      <c r="H66" s="250" t="s">
        <v>923</v>
      </c>
      <c r="I66" s="250" t="s">
        <v>921</v>
      </c>
      <c r="J66" s="250" t="s">
        <v>614</v>
      </c>
      <c r="K66" s="250" t="s">
        <v>636</v>
      </c>
      <c r="L66" s="250">
        <v>2019</v>
      </c>
      <c r="M66" s="250" t="s">
        <v>922</v>
      </c>
      <c r="N66" s="250" t="s">
        <v>920</v>
      </c>
      <c r="O66" s="251" t="s">
        <v>402</v>
      </c>
      <c r="P66" s="251">
        <v>35</v>
      </c>
      <c r="Q66" s="251" t="s">
        <v>927</v>
      </c>
      <c r="R66" s="251" t="s">
        <v>544</v>
      </c>
      <c r="S66" s="251">
        <v>12</v>
      </c>
      <c r="T66" s="251" t="s">
        <v>930</v>
      </c>
      <c r="U66" s="251" t="s">
        <v>549</v>
      </c>
      <c r="V66" s="251">
        <v>3.3</v>
      </c>
      <c r="W66" s="251" t="s">
        <v>931</v>
      </c>
      <c r="X66" s="251" t="s">
        <v>496</v>
      </c>
      <c r="Y66" s="251" t="s">
        <v>496</v>
      </c>
      <c r="Z66" s="251" t="s">
        <v>496</v>
      </c>
      <c r="AA66" s="250" t="s">
        <v>838</v>
      </c>
    </row>
    <row r="67" spans="1:28">
      <c r="A67" s="250">
        <f>A109+1</f>
        <v>35</v>
      </c>
      <c r="B67" s="250" t="s">
        <v>424</v>
      </c>
      <c r="C67" s="254" t="s">
        <v>256</v>
      </c>
      <c r="D67" s="255">
        <v>1000</v>
      </c>
      <c r="E67" s="250" t="s">
        <v>544</v>
      </c>
      <c r="F67" s="255">
        <v>100</v>
      </c>
      <c r="G67" s="253">
        <v>45106</v>
      </c>
      <c r="I67" s="250" t="s">
        <v>1031</v>
      </c>
      <c r="J67" s="250" t="s">
        <v>615</v>
      </c>
      <c r="K67" s="250" t="s">
        <v>619</v>
      </c>
      <c r="L67" s="250">
        <v>2022</v>
      </c>
      <c r="N67" s="250" t="s">
        <v>2827</v>
      </c>
      <c r="O67" s="251" t="s">
        <v>544</v>
      </c>
      <c r="P67" s="251">
        <v>65</v>
      </c>
      <c r="Q67" s="250" t="s">
        <v>557</v>
      </c>
      <c r="R67" s="251" t="s">
        <v>496</v>
      </c>
      <c r="S67" s="251" t="s">
        <v>496</v>
      </c>
      <c r="T67" s="251" t="s">
        <v>496</v>
      </c>
      <c r="U67" s="251" t="s">
        <v>496</v>
      </c>
      <c r="V67" s="251" t="s">
        <v>496</v>
      </c>
      <c r="W67" s="251" t="s">
        <v>496</v>
      </c>
      <c r="X67" s="251" t="s">
        <v>496</v>
      </c>
      <c r="Y67" s="251" t="s">
        <v>496</v>
      </c>
      <c r="Z67" s="251" t="s">
        <v>496</v>
      </c>
      <c r="AA67" s="250" t="s">
        <v>834</v>
      </c>
    </row>
    <row r="68" spans="1:28">
      <c r="B68" s="250" t="s">
        <v>442</v>
      </c>
      <c r="C68" s="254" t="s">
        <v>256</v>
      </c>
      <c r="D68" s="255">
        <v>800</v>
      </c>
      <c r="E68" s="250" t="s">
        <v>565</v>
      </c>
      <c r="F68" s="255">
        <v>125</v>
      </c>
      <c r="G68" s="253">
        <v>44663</v>
      </c>
      <c r="H68" s="250" t="s">
        <v>2144</v>
      </c>
      <c r="I68" s="250" t="s">
        <v>2146</v>
      </c>
      <c r="J68" s="250" t="s">
        <v>614</v>
      </c>
      <c r="K68" s="250" t="s">
        <v>2147</v>
      </c>
      <c r="L68" s="250">
        <v>2017</v>
      </c>
      <c r="N68" s="250" t="s">
        <v>2148</v>
      </c>
      <c r="O68" s="251" t="s">
        <v>402</v>
      </c>
      <c r="P68" s="251">
        <v>54</v>
      </c>
      <c r="Q68" s="251" t="s">
        <v>2154</v>
      </c>
      <c r="R68" s="251" t="s">
        <v>544</v>
      </c>
      <c r="S68" s="251">
        <v>26</v>
      </c>
      <c r="T68" s="251" t="s">
        <v>2155</v>
      </c>
      <c r="U68" s="251" t="s">
        <v>544</v>
      </c>
      <c r="V68" s="251">
        <v>8</v>
      </c>
      <c r="W68" s="251" t="s">
        <v>2157</v>
      </c>
      <c r="X68" s="251" t="s">
        <v>544</v>
      </c>
      <c r="Y68" s="251">
        <v>26</v>
      </c>
      <c r="Z68" s="251" t="s">
        <v>2160</v>
      </c>
      <c r="AA68" s="250" t="s">
        <v>1848</v>
      </c>
    </row>
    <row r="69" spans="1:28">
      <c r="B69" s="250" t="s">
        <v>1798</v>
      </c>
      <c r="C69" s="268" t="s">
        <v>256</v>
      </c>
      <c r="D69" s="255">
        <v>800</v>
      </c>
      <c r="E69" s="267" t="s">
        <v>755</v>
      </c>
      <c r="F69" s="255">
        <v>111</v>
      </c>
      <c r="G69" s="253">
        <v>44782</v>
      </c>
      <c r="H69" s="267" t="s">
        <v>3806</v>
      </c>
      <c r="I69" s="267" t="s">
        <v>3805</v>
      </c>
      <c r="J69" s="267" t="s">
        <v>614</v>
      </c>
      <c r="K69" s="267" t="s">
        <v>3743</v>
      </c>
      <c r="L69" s="250">
        <v>2017</v>
      </c>
      <c r="N69" s="267" t="s">
        <v>3807</v>
      </c>
      <c r="O69" s="271" t="s">
        <v>565</v>
      </c>
      <c r="P69" s="251">
        <v>55</v>
      </c>
      <c r="Q69" s="271" t="s">
        <v>3816</v>
      </c>
      <c r="R69" s="271" t="s">
        <v>402</v>
      </c>
      <c r="S69" s="251">
        <v>16</v>
      </c>
      <c r="T69" s="271" t="s">
        <v>3820</v>
      </c>
      <c r="U69" s="271" t="s">
        <v>544</v>
      </c>
      <c r="V69" s="251">
        <v>14</v>
      </c>
      <c r="W69" s="271" t="s">
        <v>3821</v>
      </c>
      <c r="X69" s="271" t="s">
        <v>549</v>
      </c>
      <c r="Y69" s="271">
        <v>3.5</v>
      </c>
      <c r="Z69" s="271" t="s">
        <v>3825</v>
      </c>
      <c r="AA69" s="267" t="s">
        <v>1848</v>
      </c>
      <c r="AB69" s="5" t="s">
        <v>3804</v>
      </c>
    </row>
    <row r="70" spans="1:28">
      <c r="B70" s="250" t="s">
        <v>1945</v>
      </c>
      <c r="C70" s="284" t="s">
        <v>256</v>
      </c>
      <c r="D70" s="255">
        <v>794</v>
      </c>
      <c r="E70" s="281" t="s">
        <v>755</v>
      </c>
      <c r="F70" s="255">
        <v>220</v>
      </c>
      <c r="G70" s="253">
        <v>44502</v>
      </c>
      <c r="H70" s="281" t="s">
        <v>4387</v>
      </c>
      <c r="I70" s="281" t="s">
        <v>4386</v>
      </c>
      <c r="J70" s="281" t="s">
        <v>614</v>
      </c>
      <c r="K70" s="281" t="s">
        <v>731</v>
      </c>
      <c r="L70" s="250">
        <v>2013</v>
      </c>
      <c r="N70" s="281" t="s">
        <v>4388</v>
      </c>
      <c r="O70" s="283" t="s">
        <v>755</v>
      </c>
      <c r="P70" s="283" t="s">
        <v>4392</v>
      </c>
      <c r="Q70" s="283" t="s">
        <v>4393</v>
      </c>
      <c r="R70" s="283" t="s">
        <v>565</v>
      </c>
      <c r="S70" s="251">
        <v>60</v>
      </c>
      <c r="T70" s="283" t="s">
        <v>4395</v>
      </c>
      <c r="U70" s="283" t="s">
        <v>402</v>
      </c>
      <c r="V70" s="251">
        <v>28</v>
      </c>
      <c r="W70" s="283" t="s">
        <v>4396</v>
      </c>
      <c r="X70" s="283" t="s">
        <v>544</v>
      </c>
      <c r="Y70" s="251">
        <v>10</v>
      </c>
      <c r="Z70" s="283" t="s">
        <v>4398</v>
      </c>
      <c r="AA70" s="281" t="s">
        <v>3930</v>
      </c>
      <c r="AB70" s="5" t="s">
        <v>4385</v>
      </c>
    </row>
    <row r="71" spans="1:28">
      <c r="B71" s="250" t="s">
        <v>1941</v>
      </c>
      <c r="C71" s="284" t="s">
        <v>256</v>
      </c>
      <c r="D71" s="255">
        <v>770</v>
      </c>
      <c r="E71" s="281" t="s">
        <v>565</v>
      </c>
      <c r="F71" s="255">
        <v>230</v>
      </c>
      <c r="G71" s="253">
        <v>43634</v>
      </c>
      <c r="H71" s="281" t="s">
        <v>2323</v>
      </c>
      <c r="I71" s="281" t="s">
        <v>4342</v>
      </c>
      <c r="J71" s="281" t="s">
        <v>614</v>
      </c>
      <c r="K71" s="281" t="s">
        <v>657</v>
      </c>
      <c r="L71" s="250">
        <v>2016</v>
      </c>
      <c r="N71" s="281" t="s">
        <v>4344</v>
      </c>
      <c r="O71" s="283" t="s">
        <v>402</v>
      </c>
      <c r="P71" s="251">
        <v>45</v>
      </c>
      <c r="Q71" s="283" t="s">
        <v>4351</v>
      </c>
      <c r="R71" s="283" t="s">
        <v>544</v>
      </c>
      <c r="S71" s="251">
        <v>18</v>
      </c>
      <c r="T71" s="283" t="s">
        <v>4352</v>
      </c>
      <c r="U71" s="283" t="s">
        <v>549</v>
      </c>
      <c r="V71" s="283" t="s">
        <v>496</v>
      </c>
      <c r="W71" s="283" t="s">
        <v>4353</v>
      </c>
      <c r="X71" s="283" t="s">
        <v>669</v>
      </c>
      <c r="Y71" s="251">
        <v>0.5</v>
      </c>
      <c r="Z71" s="259">
        <v>42430</v>
      </c>
      <c r="AA71" s="281" t="s">
        <v>3930</v>
      </c>
      <c r="AB71" s="5" t="s">
        <v>4341</v>
      </c>
    </row>
    <row r="72" spans="1:28">
      <c r="A72" s="250">
        <f>A56+1</f>
        <v>27</v>
      </c>
      <c r="B72" s="250" t="s">
        <v>409</v>
      </c>
      <c r="C72" s="254" t="s">
        <v>256</v>
      </c>
      <c r="D72" s="255">
        <v>750</v>
      </c>
      <c r="E72" s="250" t="s">
        <v>402</v>
      </c>
      <c r="F72" s="255">
        <v>100</v>
      </c>
      <c r="G72" s="253">
        <v>45042</v>
      </c>
      <c r="H72" s="250" t="s">
        <v>906</v>
      </c>
      <c r="I72" s="250" t="s">
        <v>907</v>
      </c>
      <c r="J72" s="250" t="s">
        <v>615</v>
      </c>
      <c r="K72" s="250" t="s">
        <v>558</v>
      </c>
      <c r="L72" s="250">
        <v>2019</v>
      </c>
      <c r="M72" s="250" t="s">
        <v>908</v>
      </c>
      <c r="N72" s="250" t="s">
        <v>909</v>
      </c>
      <c r="O72" s="251" t="s">
        <v>544</v>
      </c>
      <c r="P72" s="251">
        <v>28</v>
      </c>
      <c r="Q72" s="251" t="s">
        <v>911</v>
      </c>
      <c r="R72" s="251" t="s">
        <v>549</v>
      </c>
      <c r="S72" s="251">
        <v>10</v>
      </c>
      <c r="T72" s="251" t="s">
        <v>912</v>
      </c>
      <c r="U72" s="251" t="s">
        <v>496</v>
      </c>
      <c r="V72" s="251" t="s">
        <v>496</v>
      </c>
      <c r="W72" s="251" t="s">
        <v>496</v>
      </c>
      <c r="X72" s="251" t="s">
        <v>496</v>
      </c>
      <c r="Y72" s="251" t="s">
        <v>496</v>
      </c>
      <c r="Z72" s="251" t="s">
        <v>496</v>
      </c>
      <c r="AA72" s="250" t="s">
        <v>1108</v>
      </c>
    </row>
    <row r="73" spans="1:28">
      <c r="A73" s="250">
        <v>22</v>
      </c>
      <c r="B73" s="250" t="s">
        <v>617</v>
      </c>
      <c r="C73" s="254" t="s">
        <v>256</v>
      </c>
      <c r="D73" s="255">
        <v>750</v>
      </c>
      <c r="E73" s="250" t="s">
        <v>565</v>
      </c>
      <c r="F73" s="255">
        <v>85</v>
      </c>
      <c r="G73" s="253">
        <v>44501</v>
      </c>
      <c r="H73" s="250" t="s">
        <v>916</v>
      </c>
      <c r="I73" s="250" t="s">
        <v>914</v>
      </c>
      <c r="J73" s="250" t="s">
        <v>615</v>
      </c>
      <c r="K73" s="250" t="s">
        <v>636</v>
      </c>
      <c r="L73" s="257">
        <v>43670</v>
      </c>
      <c r="M73" s="250" t="s">
        <v>915</v>
      </c>
      <c r="N73" s="250" t="s">
        <v>913</v>
      </c>
      <c r="O73" s="251" t="s">
        <v>402</v>
      </c>
      <c r="P73" s="251">
        <v>28</v>
      </c>
      <c r="Q73" s="251" t="s">
        <v>917</v>
      </c>
      <c r="R73" s="251" t="s">
        <v>544</v>
      </c>
      <c r="S73" s="251">
        <v>15</v>
      </c>
      <c r="T73" s="251" t="s">
        <v>918</v>
      </c>
      <c r="U73" s="251" t="s">
        <v>549</v>
      </c>
      <c r="V73" s="251">
        <v>3.9</v>
      </c>
      <c r="W73" s="251" t="s">
        <v>919</v>
      </c>
      <c r="X73" s="251" t="s">
        <v>496</v>
      </c>
      <c r="Y73" s="251" t="s">
        <v>496</v>
      </c>
      <c r="Z73" s="251" t="s">
        <v>496</v>
      </c>
      <c r="AA73" s="250" t="s">
        <v>841</v>
      </c>
    </row>
    <row r="74" spans="1:28">
      <c r="B74" s="250" t="s">
        <v>1833</v>
      </c>
      <c r="C74" s="278" t="s">
        <v>256</v>
      </c>
      <c r="D74" s="255">
        <v>615</v>
      </c>
      <c r="E74" s="275" t="s">
        <v>755</v>
      </c>
      <c r="F74" s="255">
        <v>135</v>
      </c>
      <c r="G74" s="253">
        <v>44880</v>
      </c>
      <c r="H74" s="275" t="s">
        <v>4066</v>
      </c>
      <c r="I74" s="275" t="s">
        <v>4068</v>
      </c>
      <c r="J74" s="275" t="s">
        <v>614</v>
      </c>
      <c r="K74" s="275" t="s">
        <v>636</v>
      </c>
      <c r="L74" s="250">
        <v>2013</v>
      </c>
      <c r="N74" s="275" t="s">
        <v>4070</v>
      </c>
      <c r="O74" s="276" t="s">
        <v>565</v>
      </c>
      <c r="P74" s="251">
        <v>73</v>
      </c>
      <c r="Q74" s="276" t="s">
        <v>4078</v>
      </c>
      <c r="R74" s="276" t="s">
        <v>402</v>
      </c>
      <c r="S74" s="251">
        <v>32</v>
      </c>
      <c r="T74" s="276" t="s">
        <v>4086</v>
      </c>
      <c r="U74" s="276" t="s">
        <v>496</v>
      </c>
      <c r="V74" s="276" t="s">
        <v>496</v>
      </c>
      <c r="W74" s="276" t="s">
        <v>496</v>
      </c>
      <c r="X74" s="276" t="s">
        <v>496</v>
      </c>
      <c r="Y74" s="276" t="s">
        <v>496</v>
      </c>
      <c r="Z74" s="276" t="s">
        <v>496</v>
      </c>
      <c r="AA74" s="275" t="s">
        <v>1467</v>
      </c>
      <c r="AB74" s="5" t="s">
        <v>4067</v>
      </c>
    </row>
    <row r="75" spans="1:28">
      <c r="A75" s="250">
        <v>24</v>
      </c>
      <c r="B75" s="250" t="s">
        <v>405</v>
      </c>
      <c r="C75" s="254" t="s">
        <v>256</v>
      </c>
      <c r="D75" s="255">
        <v>600</v>
      </c>
      <c r="E75" s="250" t="s">
        <v>402</v>
      </c>
      <c r="F75" s="255">
        <v>64</v>
      </c>
      <c r="G75" s="253">
        <v>44754</v>
      </c>
      <c r="H75" s="250" t="s">
        <v>505</v>
      </c>
      <c r="I75" s="250" t="s">
        <v>933</v>
      </c>
      <c r="J75" s="250" t="s">
        <v>615</v>
      </c>
      <c r="K75" s="250" t="s">
        <v>642</v>
      </c>
      <c r="L75" s="250">
        <v>2017</v>
      </c>
      <c r="M75" s="5" t="s">
        <v>347</v>
      </c>
      <c r="N75" s="196" t="s">
        <v>934</v>
      </c>
      <c r="O75" s="251" t="s">
        <v>402</v>
      </c>
      <c r="P75" s="251">
        <v>20</v>
      </c>
      <c r="Q75" s="251" t="s">
        <v>935</v>
      </c>
      <c r="R75" s="251" t="s">
        <v>544</v>
      </c>
      <c r="S75" s="251">
        <v>34.5</v>
      </c>
      <c r="T75" s="251" t="s">
        <v>936</v>
      </c>
      <c r="U75" s="251" t="s">
        <v>549</v>
      </c>
      <c r="V75" s="251" t="s">
        <v>496</v>
      </c>
      <c r="W75" s="251" t="s">
        <v>936</v>
      </c>
      <c r="X75" s="251" t="s">
        <v>496</v>
      </c>
      <c r="Y75" s="251" t="s">
        <v>496</v>
      </c>
      <c r="Z75" s="251" t="s">
        <v>496</v>
      </c>
      <c r="AA75" s="250" t="s">
        <v>932</v>
      </c>
    </row>
    <row r="76" spans="1:28">
      <c r="B76" s="250" t="s">
        <v>545</v>
      </c>
      <c r="C76" s="254" t="s">
        <v>256</v>
      </c>
      <c r="D76" s="255">
        <v>550</v>
      </c>
      <c r="E76" s="250" t="s">
        <v>565</v>
      </c>
      <c r="F76" s="255">
        <v>50</v>
      </c>
      <c r="G76" s="253">
        <v>44861</v>
      </c>
      <c r="H76" s="250" t="s">
        <v>950</v>
      </c>
      <c r="I76" s="250" t="s">
        <v>566</v>
      </c>
      <c r="J76" s="250" t="s">
        <v>613</v>
      </c>
      <c r="K76" s="250" t="s">
        <v>639</v>
      </c>
      <c r="L76" s="250">
        <v>2017</v>
      </c>
      <c r="M76" s="250" t="s">
        <v>965</v>
      </c>
      <c r="N76" s="250" t="s">
        <v>951</v>
      </c>
      <c r="O76" s="251" t="s">
        <v>402</v>
      </c>
      <c r="P76" s="251">
        <v>30</v>
      </c>
      <c r="Q76" s="251" t="s">
        <v>952</v>
      </c>
      <c r="R76" s="251" t="s">
        <v>544</v>
      </c>
      <c r="S76" s="251">
        <v>15</v>
      </c>
      <c r="T76" s="251" t="s">
        <v>953</v>
      </c>
      <c r="U76" s="251" t="s">
        <v>549</v>
      </c>
      <c r="V76" s="251">
        <v>5</v>
      </c>
      <c r="W76" s="251" t="s">
        <v>868</v>
      </c>
      <c r="X76" s="251" t="s">
        <v>496</v>
      </c>
      <c r="Y76" s="251" t="s">
        <v>496</v>
      </c>
      <c r="Z76" s="251" t="s">
        <v>496</v>
      </c>
      <c r="AA76" s="250" t="s">
        <v>834</v>
      </c>
    </row>
    <row r="77" spans="1:28">
      <c r="A77" s="250">
        <v>25</v>
      </c>
      <c r="B77" s="250" t="s">
        <v>610</v>
      </c>
      <c r="C77" s="254" t="s">
        <v>256</v>
      </c>
      <c r="D77" s="255">
        <v>500</v>
      </c>
      <c r="E77" s="250" t="s">
        <v>402</v>
      </c>
      <c r="F77" s="255">
        <v>140</v>
      </c>
      <c r="G77" s="205">
        <v>44393</v>
      </c>
      <c r="H77" s="250" t="s">
        <v>954</v>
      </c>
      <c r="I77" s="250" t="s">
        <v>955</v>
      </c>
      <c r="J77" s="250" t="s">
        <v>614</v>
      </c>
      <c r="K77" s="250" t="s">
        <v>636</v>
      </c>
      <c r="L77" s="250">
        <v>2019</v>
      </c>
      <c r="M77" s="250" t="s">
        <v>957</v>
      </c>
      <c r="N77" s="250" t="s">
        <v>956</v>
      </c>
      <c r="O77" s="251" t="s">
        <v>549</v>
      </c>
      <c r="P77" s="251">
        <v>50</v>
      </c>
      <c r="Q77" s="251" t="s">
        <v>496</v>
      </c>
      <c r="R77" s="251" t="s">
        <v>496</v>
      </c>
      <c r="S77" s="251" t="s">
        <v>496</v>
      </c>
      <c r="T77" s="251" t="s">
        <v>496</v>
      </c>
      <c r="U77" s="251" t="s">
        <v>496</v>
      </c>
      <c r="V77" s="251" t="s">
        <v>496</v>
      </c>
      <c r="W77" s="251" t="s">
        <v>496</v>
      </c>
      <c r="X77" s="251" t="s">
        <v>496</v>
      </c>
      <c r="Y77" s="251" t="s">
        <v>496</v>
      </c>
      <c r="Z77" s="251" t="s">
        <v>496</v>
      </c>
      <c r="AA77" s="250" t="s">
        <v>844</v>
      </c>
    </row>
    <row r="78" spans="1:28">
      <c r="B78" s="250" t="s">
        <v>1329</v>
      </c>
      <c r="C78" s="254" t="s">
        <v>256</v>
      </c>
      <c r="D78" s="255">
        <v>500</v>
      </c>
      <c r="E78" s="250" t="s">
        <v>402</v>
      </c>
      <c r="F78" s="255">
        <v>93</v>
      </c>
      <c r="G78" s="205">
        <v>43018</v>
      </c>
      <c r="H78" s="250" t="s">
        <v>2640</v>
      </c>
      <c r="I78" s="250" t="s">
        <v>2639</v>
      </c>
      <c r="J78" s="250" t="s">
        <v>614</v>
      </c>
      <c r="K78" s="250" t="s">
        <v>2532</v>
      </c>
      <c r="L78" s="250">
        <v>2016</v>
      </c>
      <c r="M78" s="250" t="s">
        <v>2647</v>
      </c>
      <c r="N78" s="250" t="s">
        <v>2641</v>
      </c>
      <c r="O78" s="251" t="s">
        <v>544</v>
      </c>
      <c r="P78" s="251">
        <v>15</v>
      </c>
      <c r="Q78" s="251" t="s">
        <v>2643</v>
      </c>
      <c r="R78" s="251" t="s">
        <v>496</v>
      </c>
      <c r="S78" s="251" t="s">
        <v>496</v>
      </c>
      <c r="T78" s="251" t="s">
        <v>496</v>
      </c>
      <c r="U78" s="251" t="s">
        <v>496</v>
      </c>
      <c r="V78" s="251" t="s">
        <v>496</v>
      </c>
      <c r="W78" s="251" t="s">
        <v>496</v>
      </c>
      <c r="X78" s="251" t="s">
        <v>496</v>
      </c>
      <c r="Y78" s="251" t="s">
        <v>496</v>
      </c>
      <c r="Z78" s="251" t="s">
        <v>496</v>
      </c>
      <c r="AA78" s="250" t="s">
        <v>2638</v>
      </c>
    </row>
    <row r="79" spans="1:28">
      <c r="B79" s="250" t="s">
        <v>1599</v>
      </c>
      <c r="C79" s="254" t="s">
        <v>256</v>
      </c>
      <c r="D79" s="255">
        <v>500</v>
      </c>
      <c r="E79" s="250" t="s">
        <v>565</v>
      </c>
      <c r="F79" s="255">
        <v>91</v>
      </c>
      <c r="G79" s="253">
        <v>44867</v>
      </c>
      <c r="H79" s="250" t="s">
        <v>3162</v>
      </c>
      <c r="I79" s="250" t="s">
        <v>3161</v>
      </c>
      <c r="J79" s="250" t="s">
        <v>614</v>
      </c>
      <c r="K79" s="250" t="s">
        <v>3159</v>
      </c>
      <c r="L79" s="250">
        <v>2015</v>
      </c>
      <c r="N79" s="250" t="s">
        <v>3163</v>
      </c>
      <c r="O79" s="251" t="s">
        <v>402</v>
      </c>
      <c r="P79" s="251">
        <v>55</v>
      </c>
      <c r="Q79" s="251" t="s">
        <v>3171</v>
      </c>
      <c r="R79" s="251" t="s">
        <v>544</v>
      </c>
      <c r="S79" s="251">
        <v>16</v>
      </c>
      <c r="T79" s="251" t="s">
        <v>3172</v>
      </c>
      <c r="U79" s="251" t="s">
        <v>549</v>
      </c>
      <c r="V79" s="251">
        <v>3.2</v>
      </c>
      <c r="W79" s="251" t="s">
        <v>3173</v>
      </c>
      <c r="X79" s="251" t="s">
        <v>496</v>
      </c>
      <c r="Y79" s="251" t="s">
        <v>496</v>
      </c>
      <c r="Z79" s="251" t="s">
        <v>496</v>
      </c>
      <c r="AA79" s="250" t="s">
        <v>3160</v>
      </c>
    </row>
    <row r="80" spans="1:28">
      <c r="B80" s="250" t="s">
        <v>1254</v>
      </c>
      <c r="C80" s="254" t="s">
        <v>256</v>
      </c>
      <c r="D80" s="255">
        <v>500</v>
      </c>
      <c r="E80" s="250" t="s">
        <v>755</v>
      </c>
      <c r="F80" s="255">
        <v>90</v>
      </c>
      <c r="G80" s="253">
        <v>44776</v>
      </c>
      <c r="H80" s="250" t="s">
        <v>2571</v>
      </c>
      <c r="I80" s="250" t="s">
        <v>2569</v>
      </c>
      <c r="J80" s="250" t="s">
        <v>614</v>
      </c>
      <c r="K80" s="250" t="s">
        <v>2572</v>
      </c>
      <c r="L80" s="250">
        <v>2017</v>
      </c>
      <c r="N80" s="250" t="s">
        <v>2570</v>
      </c>
      <c r="O80" s="251" t="s">
        <v>565</v>
      </c>
      <c r="P80" s="251">
        <v>40</v>
      </c>
      <c r="Q80" s="251" t="s">
        <v>2580</v>
      </c>
      <c r="R80" s="251" t="s">
        <v>402</v>
      </c>
      <c r="S80" s="251">
        <v>20</v>
      </c>
      <c r="T80" s="251" t="s">
        <v>2581</v>
      </c>
      <c r="U80" s="251" t="s">
        <v>402</v>
      </c>
      <c r="V80" s="251">
        <v>14.5</v>
      </c>
      <c r="W80" s="251" t="s">
        <v>1589</v>
      </c>
      <c r="X80" s="251" t="s">
        <v>496</v>
      </c>
      <c r="Y80" s="251" t="s">
        <v>496</v>
      </c>
      <c r="Z80" s="251" t="s">
        <v>496</v>
      </c>
      <c r="AA80" s="250" t="s">
        <v>1848</v>
      </c>
    </row>
    <row r="81" spans="1:27">
      <c r="B81" s="250" t="s">
        <v>621</v>
      </c>
      <c r="C81" s="254" t="s">
        <v>256</v>
      </c>
      <c r="D81" s="255">
        <v>500</v>
      </c>
      <c r="E81" s="250" t="s">
        <v>565</v>
      </c>
      <c r="F81" s="255">
        <v>80</v>
      </c>
      <c r="G81" s="253">
        <v>44782</v>
      </c>
      <c r="J81" s="250" t="s">
        <v>614</v>
      </c>
      <c r="K81" s="250" t="s">
        <v>622</v>
      </c>
      <c r="L81" s="258">
        <v>43497</v>
      </c>
      <c r="M81" s="250" t="s">
        <v>606</v>
      </c>
      <c r="N81" s="250" t="s">
        <v>1681</v>
      </c>
      <c r="O81" s="251" t="s">
        <v>549</v>
      </c>
      <c r="P81" s="251">
        <v>14</v>
      </c>
      <c r="Q81" s="251" t="s">
        <v>1682</v>
      </c>
      <c r="R81" s="251" t="s">
        <v>810</v>
      </c>
      <c r="S81" s="251">
        <v>10</v>
      </c>
      <c r="T81" s="251" t="s">
        <v>1683</v>
      </c>
      <c r="U81" s="251" t="s">
        <v>496</v>
      </c>
      <c r="V81" s="251" t="s">
        <v>496</v>
      </c>
      <c r="W81" s="251" t="s">
        <v>496</v>
      </c>
      <c r="X81" s="251" t="s">
        <v>496</v>
      </c>
      <c r="Y81" s="251" t="s">
        <v>496</v>
      </c>
      <c r="Z81" s="251" t="s">
        <v>496</v>
      </c>
      <c r="AA81" s="250" t="s">
        <v>1680</v>
      </c>
    </row>
    <row r="82" spans="1:27">
      <c r="B82" s="250" t="s">
        <v>1686</v>
      </c>
      <c r="C82" s="254" t="s">
        <v>256</v>
      </c>
      <c r="D82" s="255">
        <v>500</v>
      </c>
      <c r="E82" s="250" t="s">
        <v>402</v>
      </c>
      <c r="F82" s="255" t="s">
        <v>496</v>
      </c>
      <c r="G82" s="253">
        <v>44616</v>
      </c>
      <c r="H82" s="250" t="s">
        <v>3731</v>
      </c>
      <c r="J82" s="250" t="s">
        <v>614</v>
      </c>
      <c r="K82" s="250" t="s">
        <v>1563</v>
      </c>
      <c r="L82" s="250">
        <v>2019</v>
      </c>
      <c r="M82" s="250" t="s">
        <v>3732</v>
      </c>
      <c r="N82" s="250" t="s">
        <v>3730</v>
      </c>
      <c r="O82" s="251" t="s">
        <v>496</v>
      </c>
      <c r="P82" s="251" t="s">
        <v>496</v>
      </c>
      <c r="Q82" s="251" t="s">
        <v>496</v>
      </c>
      <c r="R82" s="251" t="s">
        <v>496</v>
      </c>
      <c r="S82" s="251" t="s">
        <v>496</v>
      </c>
      <c r="T82" s="251" t="s">
        <v>496</v>
      </c>
      <c r="U82" s="251" t="s">
        <v>496</v>
      </c>
      <c r="V82" s="251" t="s">
        <v>496</v>
      </c>
      <c r="W82" s="251" t="s">
        <v>496</v>
      </c>
      <c r="X82" s="251" t="s">
        <v>496</v>
      </c>
      <c r="Y82" s="251" t="s">
        <v>496</v>
      </c>
      <c r="Z82" s="251" t="s">
        <v>496</v>
      </c>
      <c r="AA82" s="250" t="s">
        <v>1924</v>
      </c>
    </row>
    <row r="83" spans="1:27">
      <c r="B83" s="250" t="s">
        <v>1576</v>
      </c>
      <c r="C83" s="254" t="s">
        <v>256</v>
      </c>
      <c r="D83" s="255">
        <v>500</v>
      </c>
      <c r="E83" s="250" t="s">
        <v>565</v>
      </c>
      <c r="F83" s="255">
        <v>75</v>
      </c>
      <c r="G83" s="253">
        <v>45020</v>
      </c>
      <c r="H83" s="250" t="s">
        <v>2659</v>
      </c>
      <c r="I83" s="250" t="s">
        <v>2660</v>
      </c>
      <c r="J83" s="250" t="s">
        <v>614</v>
      </c>
      <c r="K83" s="250" t="s">
        <v>658</v>
      </c>
      <c r="L83" s="250">
        <v>2017</v>
      </c>
      <c r="N83" s="250" t="s">
        <v>2661</v>
      </c>
      <c r="O83" s="251" t="s">
        <v>565</v>
      </c>
      <c r="P83" s="251">
        <v>80</v>
      </c>
      <c r="Q83" s="251" t="s">
        <v>2664</v>
      </c>
      <c r="R83" s="251" t="s">
        <v>402</v>
      </c>
      <c r="S83" s="251">
        <v>40</v>
      </c>
      <c r="T83" s="251" t="s">
        <v>2666</v>
      </c>
      <c r="U83" s="251" t="s">
        <v>544</v>
      </c>
      <c r="V83" s="251">
        <v>20</v>
      </c>
      <c r="W83" s="251" t="s">
        <v>2667</v>
      </c>
      <c r="X83" s="251" t="s">
        <v>549</v>
      </c>
      <c r="Y83" s="251">
        <v>7</v>
      </c>
      <c r="Z83" s="251" t="s">
        <v>2668</v>
      </c>
      <c r="AA83" s="250" t="s">
        <v>2658</v>
      </c>
    </row>
    <row r="84" spans="1:27">
      <c r="B84" s="250" t="s">
        <v>1628</v>
      </c>
      <c r="C84" s="254" t="s">
        <v>256</v>
      </c>
      <c r="D84" s="255">
        <v>500</v>
      </c>
      <c r="E84" s="250" t="s">
        <v>755</v>
      </c>
      <c r="F84" s="255">
        <v>69</v>
      </c>
      <c r="G84" s="253">
        <v>45091</v>
      </c>
      <c r="H84" s="250" t="s">
        <v>3200</v>
      </c>
      <c r="I84" s="250" t="s">
        <v>3198</v>
      </c>
      <c r="J84" s="250" t="s">
        <v>614</v>
      </c>
      <c r="K84" s="250" t="s">
        <v>3199</v>
      </c>
      <c r="L84" s="250">
        <v>2015</v>
      </c>
      <c r="N84" s="250" t="s">
        <v>3201</v>
      </c>
      <c r="O84" s="251" t="s">
        <v>565</v>
      </c>
      <c r="P84" s="251">
        <v>110</v>
      </c>
      <c r="Q84" s="251" t="s">
        <v>3202</v>
      </c>
      <c r="R84" s="251" t="s">
        <v>402</v>
      </c>
      <c r="S84" s="251">
        <v>40</v>
      </c>
      <c r="T84" s="251" t="s">
        <v>3205</v>
      </c>
      <c r="U84" s="251" t="s">
        <v>544</v>
      </c>
      <c r="V84" s="251">
        <v>14.7</v>
      </c>
      <c r="W84" s="251" t="s">
        <v>3206</v>
      </c>
      <c r="X84" s="251" t="s">
        <v>549</v>
      </c>
      <c r="Y84" s="251" t="s">
        <v>496</v>
      </c>
      <c r="Z84" s="251" t="s">
        <v>3207</v>
      </c>
      <c r="AA84" s="250" t="s">
        <v>1848</v>
      </c>
    </row>
    <row r="85" spans="1:27">
      <c r="B85" s="250" t="s">
        <v>1330</v>
      </c>
      <c r="C85" s="254" t="s">
        <v>256</v>
      </c>
      <c r="D85" s="255">
        <v>400</v>
      </c>
      <c r="E85" s="250" t="s">
        <v>565</v>
      </c>
      <c r="F85" s="255">
        <v>65</v>
      </c>
      <c r="G85" s="253">
        <v>43789</v>
      </c>
      <c r="H85" s="250" t="s">
        <v>739</v>
      </c>
      <c r="I85" s="250" t="s">
        <v>2699</v>
      </c>
      <c r="J85" s="250" t="s">
        <v>614</v>
      </c>
      <c r="K85" s="250" t="s">
        <v>739</v>
      </c>
      <c r="L85" s="250">
        <v>2010</v>
      </c>
      <c r="N85" s="250" t="s">
        <v>2702</v>
      </c>
      <c r="O85" s="251" t="s">
        <v>402</v>
      </c>
      <c r="P85" s="251">
        <v>7.3</v>
      </c>
      <c r="Q85" s="251" t="s">
        <v>2704</v>
      </c>
      <c r="R85" s="251" t="s">
        <v>544</v>
      </c>
      <c r="S85" s="251">
        <v>2</v>
      </c>
      <c r="T85" s="259" t="s">
        <v>2705</v>
      </c>
      <c r="U85" s="251" t="s">
        <v>496</v>
      </c>
      <c r="V85" s="251" t="s">
        <v>496</v>
      </c>
      <c r="W85" s="251" t="s">
        <v>496</v>
      </c>
      <c r="X85" s="251" t="s">
        <v>496</v>
      </c>
      <c r="Y85" s="251" t="s">
        <v>496</v>
      </c>
      <c r="Z85" s="251" t="s">
        <v>496</v>
      </c>
      <c r="AA85" s="250" t="s">
        <v>2698</v>
      </c>
    </row>
    <row r="86" spans="1:27">
      <c r="B86" s="250" t="s">
        <v>2318</v>
      </c>
      <c r="C86" s="254" t="s">
        <v>256</v>
      </c>
      <c r="D86" s="255">
        <v>400</v>
      </c>
      <c r="E86" s="250" t="s">
        <v>544</v>
      </c>
      <c r="F86" s="255">
        <v>90</v>
      </c>
      <c r="G86" s="253">
        <v>45006</v>
      </c>
      <c r="H86" s="250" t="s">
        <v>2320</v>
      </c>
      <c r="I86" s="250" t="s">
        <v>2319</v>
      </c>
      <c r="J86" s="250" t="s">
        <v>614</v>
      </c>
      <c r="K86" s="250" t="s">
        <v>430</v>
      </c>
      <c r="L86" s="250">
        <v>2021</v>
      </c>
      <c r="N86" s="250" t="s">
        <v>2321</v>
      </c>
      <c r="O86" s="251" t="s">
        <v>496</v>
      </c>
      <c r="P86" s="251" t="s">
        <v>496</v>
      </c>
      <c r="Q86" s="251" t="s">
        <v>496</v>
      </c>
      <c r="R86" s="251" t="s">
        <v>496</v>
      </c>
      <c r="S86" s="251" t="s">
        <v>496</v>
      </c>
      <c r="T86" s="251" t="s">
        <v>496</v>
      </c>
      <c r="U86" s="251" t="s">
        <v>496</v>
      </c>
      <c r="V86" s="251" t="s">
        <v>496</v>
      </c>
      <c r="W86" s="251" t="s">
        <v>496</v>
      </c>
      <c r="X86" s="251" t="s">
        <v>496</v>
      </c>
      <c r="Y86" s="251" t="s">
        <v>496</v>
      </c>
      <c r="Z86" s="251" t="s">
        <v>496</v>
      </c>
      <c r="AA86" s="250" t="s">
        <v>2263</v>
      </c>
    </row>
    <row r="87" spans="1:27">
      <c r="B87" s="250" t="s">
        <v>3009</v>
      </c>
      <c r="C87" s="254" t="s">
        <v>256</v>
      </c>
      <c r="D87" s="255">
        <v>300</v>
      </c>
      <c r="E87" s="250" t="s">
        <v>402</v>
      </c>
      <c r="F87" s="255">
        <v>120</v>
      </c>
      <c r="G87" s="253">
        <v>44602</v>
      </c>
      <c r="H87" s="250" t="s">
        <v>3013</v>
      </c>
      <c r="I87" s="250" t="s">
        <v>3010</v>
      </c>
      <c r="J87" s="250" t="s">
        <v>614</v>
      </c>
      <c r="K87" s="250" t="s">
        <v>567</v>
      </c>
      <c r="L87" s="250">
        <v>2011</v>
      </c>
      <c r="N87" s="250" t="s">
        <v>3011</v>
      </c>
      <c r="O87" s="251" t="s">
        <v>544</v>
      </c>
      <c r="P87" s="251">
        <v>50</v>
      </c>
      <c r="Q87" s="251" t="s">
        <v>3012</v>
      </c>
      <c r="R87" s="251" t="s">
        <v>549</v>
      </c>
      <c r="S87" s="251">
        <v>20</v>
      </c>
      <c r="T87" s="251" t="s">
        <v>496</v>
      </c>
      <c r="U87" s="251" t="s">
        <v>496</v>
      </c>
      <c r="V87" s="251" t="s">
        <v>496</v>
      </c>
      <c r="W87" s="251" t="s">
        <v>496</v>
      </c>
      <c r="X87" s="251" t="s">
        <v>496</v>
      </c>
      <c r="Y87" s="251" t="s">
        <v>496</v>
      </c>
      <c r="Z87" s="251" t="s">
        <v>496</v>
      </c>
      <c r="AA87" s="250" t="s">
        <v>1181</v>
      </c>
    </row>
    <row r="88" spans="1:27">
      <c r="B88" s="250" t="s">
        <v>443</v>
      </c>
      <c r="C88" s="254" t="s">
        <v>256</v>
      </c>
      <c r="D88" s="255">
        <v>300</v>
      </c>
      <c r="E88" s="250" t="s">
        <v>544</v>
      </c>
      <c r="F88" s="255">
        <v>100</v>
      </c>
      <c r="G88" s="205">
        <v>44349</v>
      </c>
      <c r="H88" s="250" t="s">
        <v>2165</v>
      </c>
      <c r="I88" s="250" t="s">
        <v>2163</v>
      </c>
      <c r="J88" s="250" t="s">
        <v>614</v>
      </c>
      <c r="K88" s="250" t="s">
        <v>2162</v>
      </c>
      <c r="L88" s="250">
        <v>2020</v>
      </c>
      <c r="N88" s="250" t="s">
        <v>2164</v>
      </c>
      <c r="O88" s="251" t="s">
        <v>496</v>
      </c>
      <c r="P88" s="251" t="s">
        <v>496</v>
      </c>
      <c r="Q88" s="251" t="s">
        <v>496</v>
      </c>
      <c r="R88" s="251" t="s">
        <v>496</v>
      </c>
      <c r="S88" s="251" t="s">
        <v>496</v>
      </c>
      <c r="T88" s="251" t="s">
        <v>496</v>
      </c>
      <c r="U88" s="251" t="s">
        <v>496</v>
      </c>
      <c r="V88" s="251" t="s">
        <v>496</v>
      </c>
      <c r="W88" s="251" t="s">
        <v>496</v>
      </c>
      <c r="X88" s="251" t="s">
        <v>496</v>
      </c>
      <c r="Y88" s="251" t="s">
        <v>496</v>
      </c>
      <c r="Z88" s="251" t="s">
        <v>496</v>
      </c>
      <c r="AA88" s="250" t="s">
        <v>2161</v>
      </c>
    </row>
    <row r="89" spans="1:27">
      <c r="B89" s="250" t="s">
        <v>1461</v>
      </c>
      <c r="C89" s="254" t="s">
        <v>256</v>
      </c>
      <c r="D89" s="255">
        <v>300</v>
      </c>
      <c r="E89" s="250" t="s">
        <v>544</v>
      </c>
      <c r="F89" s="255">
        <f>72*1.2</f>
        <v>86.399999999999991</v>
      </c>
      <c r="G89" s="253">
        <v>44488</v>
      </c>
      <c r="H89" s="250" t="s">
        <v>2839</v>
      </c>
      <c r="I89" s="250" t="s">
        <v>2836</v>
      </c>
      <c r="J89" s="250" t="s">
        <v>614</v>
      </c>
      <c r="K89" s="250" t="s">
        <v>2840</v>
      </c>
      <c r="L89" s="250">
        <v>2017</v>
      </c>
      <c r="M89" s="250" t="s">
        <v>2841</v>
      </c>
      <c r="N89" s="250" t="s">
        <v>2838</v>
      </c>
      <c r="O89" s="251" t="s">
        <v>549</v>
      </c>
      <c r="P89" s="251">
        <v>8.5</v>
      </c>
      <c r="Q89" s="251" t="s">
        <v>2845</v>
      </c>
      <c r="R89" s="251" t="s">
        <v>549</v>
      </c>
      <c r="S89" s="251">
        <v>0.75</v>
      </c>
      <c r="T89" s="251" t="s">
        <v>2847</v>
      </c>
      <c r="U89" s="251" t="s">
        <v>496</v>
      </c>
      <c r="V89" s="251" t="s">
        <v>496</v>
      </c>
      <c r="W89" s="251" t="s">
        <v>496</v>
      </c>
      <c r="X89" s="251" t="s">
        <v>496</v>
      </c>
      <c r="Y89" s="251" t="s">
        <v>496</v>
      </c>
      <c r="Z89" s="251" t="s">
        <v>496</v>
      </c>
      <c r="AA89" s="250" t="s">
        <v>833</v>
      </c>
    </row>
    <row r="90" spans="1:27">
      <c r="B90" s="250" t="s">
        <v>1522</v>
      </c>
      <c r="C90" s="254" t="s">
        <v>256</v>
      </c>
      <c r="D90" s="255">
        <v>260</v>
      </c>
      <c r="E90" s="250" t="s">
        <v>544</v>
      </c>
      <c r="F90" s="255">
        <v>40</v>
      </c>
      <c r="G90" s="253">
        <v>44811</v>
      </c>
      <c r="H90" s="250" t="s">
        <v>698</v>
      </c>
      <c r="J90" s="250" t="s">
        <v>614</v>
      </c>
      <c r="K90" s="250" t="s">
        <v>698</v>
      </c>
      <c r="L90" s="250">
        <v>2017</v>
      </c>
      <c r="N90" s="250" t="s">
        <v>2295</v>
      </c>
      <c r="O90" s="251" t="s">
        <v>544</v>
      </c>
      <c r="P90" s="251">
        <v>14</v>
      </c>
      <c r="Q90" s="251" t="s">
        <v>2297</v>
      </c>
      <c r="R90" s="251" t="s">
        <v>544</v>
      </c>
      <c r="S90" s="251">
        <v>12</v>
      </c>
      <c r="T90" s="251" t="s">
        <v>2300</v>
      </c>
      <c r="U90" s="251" t="s">
        <v>549</v>
      </c>
      <c r="V90" s="251" t="s">
        <v>496</v>
      </c>
      <c r="W90" s="251" t="s">
        <v>2298</v>
      </c>
      <c r="X90" s="251" t="s">
        <v>496</v>
      </c>
      <c r="Y90" s="251" t="s">
        <v>496</v>
      </c>
      <c r="Z90" s="251" t="s">
        <v>496</v>
      </c>
      <c r="AA90" s="250" t="s">
        <v>2227</v>
      </c>
    </row>
    <row r="91" spans="1:27">
      <c r="A91" s="250">
        <f>A118+1</f>
        <v>38</v>
      </c>
      <c r="B91" s="250" t="s">
        <v>647</v>
      </c>
      <c r="C91" s="254" t="s">
        <v>256</v>
      </c>
      <c r="D91" s="255">
        <v>257</v>
      </c>
      <c r="E91" s="250" t="s">
        <v>402</v>
      </c>
      <c r="F91" s="255">
        <v>43</v>
      </c>
      <c r="G91" s="253">
        <v>44978</v>
      </c>
      <c r="H91" s="250" t="s">
        <v>1060</v>
      </c>
      <c r="J91" s="250" t="s">
        <v>614</v>
      </c>
      <c r="K91" s="250" t="s">
        <v>619</v>
      </c>
      <c r="L91" s="260" t="s">
        <v>648</v>
      </c>
      <c r="N91" s="250" t="s">
        <v>1055</v>
      </c>
      <c r="O91" s="251" t="s">
        <v>544</v>
      </c>
      <c r="P91" s="251">
        <v>26</v>
      </c>
      <c r="Q91" s="251" t="s">
        <v>1058</v>
      </c>
      <c r="R91" s="251" t="s">
        <v>549</v>
      </c>
      <c r="S91" s="251" t="s">
        <v>496</v>
      </c>
      <c r="T91" s="251" t="s">
        <v>1059</v>
      </c>
      <c r="U91" s="251" t="s">
        <v>496</v>
      </c>
      <c r="V91" s="251" t="s">
        <v>496</v>
      </c>
      <c r="W91" s="251" t="s">
        <v>496</v>
      </c>
      <c r="X91" s="251" t="s">
        <v>496</v>
      </c>
      <c r="Y91" s="251" t="s">
        <v>496</v>
      </c>
      <c r="Z91" s="251" t="s">
        <v>496</v>
      </c>
      <c r="AA91" s="250" t="s">
        <v>834</v>
      </c>
    </row>
    <row r="92" spans="1:27">
      <c r="A92" s="250">
        <f>A93+1</f>
        <v>32</v>
      </c>
      <c r="B92" s="250" t="s">
        <v>635</v>
      </c>
      <c r="C92" s="254" t="s">
        <v>256</v>
      </c>
      <c r="D92" s="255">
        <v>250</v>
      </c>
      <c r="E92" s="250" t="s">
        <v>544</v>
      </c>
      <c r="F92" s="255">
        <v>50</v>
      </c>
      <c r="G92" s="253">
        <v>44655</v>
      </c>
      <c r="H92" s="250" t="s">
        <v>1009</v>
      </c>
      <c r="J92" s="196" t="s">
        <v>614</v>
      </c>
      <c r="K92" s="196" t="s">
        <v>637</v>
      </c>
      <c r="L92" s="258">
        <v>44075</v>
      </c>
      <c r="N92" s="250" t="s">
        <v>1011</v>
      </c>
      <c r="O92" s="251" t="s">
        <v>549</v>
      </c>
      <c r="P92" s="251">
        <v>6</v>
      </c>
      <c r="Q92" s="251" t="s">
        <v>1012</v>
      </c>
      <c r="R92" s="251" t="s">
        <v>496</v>
      </c>
      <c r="S92" s="251" t="s">
        <v>496</v>
      </c>
      <c r="T92" s="251" t="s">
        <v>496</v>
      </c>
      <c r="U92" s="251" t="s">
        <v>496</v>
      </c>
      <c r="V92" s="251" t="s">
        <v>496</v>
      </c>
      <c r="W92" s="251" t="s">
        <v>496</v>
      </c>
      <c r="X92" s="251" t="s">
        <v>496</v>
      </c>
      <c r="Y92" s="251" t="s">
        <v>496</v>
      </c>
      <c r="Z92" s="251" t="s">
        <v>496</v>
      </c>
      <c r="AA92" s="250" t="s">
        <v>1010</v>
      </c>
    </row>
    <row r="93" spans="1:27">
      <c r="A93" s="250">
        <f>A106+1</f>
        <v>31</v>
      </c>
      <c r="B93" s="250" t="s">
        <v>626</v>
      </c>
      <c r="C93" s="254" t="s">
        <v>256</v>
      </c>
      <c r="D93" s="255">
        <v>250</v>
      </c>
      <c r="E93" s="250" t="s">
        <v>565</v>
      </c>
      <c r="F93" s="255">
        <v>50</v>
      </c>
      <c r="G93" s="205">
        <v>44496</v>
      </c>
      <c r="H93" s="250" t="s">
        <v>1005</v>
      </c>
      <c r="I93" s="250" t="s">
        <v>996</v>
      </c>
      <c r="J93" s="250" t="s">
        <v>615</v>
      </c>
      <c r="K93" s="250" t="s">
        <v>636</v>
      </c>
      <c r="L93" s="258">
        <v>43556</v>
      </c>
      <c r="N93" s="250" t="s">
        <v>997</v>
      </c>
      <c r="O93" s="251" t="s">
        <v>402</v>
      </c>
      <c r="P93" s="251">
        <v>22</v>
      </c>
      <c r="Q93" s="251" t="s">
        <v>999</v>
      </c>
      <c r="R93" s="251" t="s">
        <v>1001</v>
      </c>
      <c r="S93" s="251">
        <v>13</v>
      </c>
      <c r="T93" s="251" t="s">
        <v>1002</v>
      </c>
      <c r="U93" s="251" t="s">
        <v>1003</v>
      </c>
      <c r="V93" s="251">
        <v>5.3</v>
      </c>
      <c r="W93" s="251" t="s">
        <v>1004</v>
      </c>
      <c r="X93" s="251" t="s">
        <v>496</v>
      </c>
      <c r="Y93" s="251" t="s">
        <v>496</v>
      </c>
      <c r="Z93" s="251" t="s">
        <v>496</v>
      </c>
      <c r="AA93" s="250" t="s">
        <v>834</v>
      </c>
    </row>
    <row r="94" spans="1:27">
      <c r="B94" s="250" t="s">
        <v>421</v>
      </c>
      <c r="C94" s="254" t="s">
        <v>256</v>
      </c>
      <c r="D94" s="255">
        <v>250</v>
      </c>
      <c r="E94" s="250" t="s">
        <v>544</v>
      </c>
      <c r="F94" s="255">
        <v>40</v>
      </c>
      <c r="G94" s="253">
        <v>45014</v>
      </c>
      <c r="H94" s="250" t="s">
        <v>2419</v>
      </c>
      <c r="I94" s="250" t="s">
        <v>2420</v>
      </c>
      <c r="J94" s="250" t="s">
        <v>613</v>
      </c>
      <c r="K94" s="250" t="s">
        <v>555</v>
      </c>
      <c r="L94" s="250">
        <v>2017</v>
      </c>
      <c r="M94" s="250" t="s">
        <v>2423</v>
      </c>
      <c r="N94" s="250" t="s">
        <v>556</v>
      </c>
      <c r="O94" s="251" t="s">
        <v>549</v>
      </c>
      <c r="P94" s="251">
        <v>5</v>
      </c>
      <c r="Q94" s="251" t="s">
        <v>2421</v>
      </c>
      <c r="R94" s="251" t="s">
        <v>549</v>
      </c>
      <c r="S94" s="251">
        <v>15</v>
      </c>
      <c r="T94" s="251" t="s">
        <v>2422</v>
      </c>
      <c r="U94" s="251" t="s">
        <v>496</v>
      </c>
      <c r="V94" s="251" t="s">
        <v>496</v>
      </c>
      <c r="W94" s="251" t="s">
        <v>496</v>
      </c>
      <c r="X94" s="251" t="s">
        <v>496</v>
      </c>
      <c r="Y94" s="251" t="s">
        <v>496</v>
      </c>
      <c r="Z94" s="251" t="s">
        <v>496</v>
      </c>
      <c r="AA94" s="250" t="s">
        <v>2418</v>
      </c>
    </row>
    <row r="95" spans="1:27">
      <c r="B95" s="250" t="s">
        <v>1158</v>
      </c>
      <c r="C95" s="254" t="s">
        <v>256</v>
      </c>
      <c r="D95" s="255">
        <v>245</v>
      </c>
      <c r="E95" s="250" t="s">
        <v>402</v>
      </c>
      <c r="F95" s="255">
        <v>30</v>
      </c>
      <c r="G95" s="205">
        <v>44510</v>
      </c>
      <c r="H95" s="250" t="s">
        <v>1159</v>
      </c>
      <c r="J95" s="250" t="s">
        <v>614</v>
      </c>
      <c r="K95" s="197" t="s">
        <v>430</v>
      </c>
      <c r="L95" s="198">
        <v>43497</v>
      </c>
      <c r="M95" s="196" t="s">
        <v>430</v>
      </c>
      <c r="N95" s="250" t="s">
        <v>1160</v>
      </c>
      <c r="O95" s="251" t="s">
        <v>544</v>
      </c>
      <c r="P95" s="251">
        <v>21.4</v>
      </c>
      <c r="Q95" s="251" t="s">
        <v>1162</v>
      </c>
      <c r="R95" s="251" t="s">
        <v>1168</v>
      </c>
      <c r="S95" s="251" t="s">
        <v>496</v>
      </c>
      <c r="T95" s="251" t="s">
        <v>1166</v>
      </c>
      <c r="U95" s="251" t="s">
        <v>496</v>
      </c>
      <c r="V95" s="251" t="s">
        <v>496</v>
      </c>
      <c r="W95" s="251" t="s">
        <v>496</v>
      </c>
      <c r="X95" s="251" t="s">
        <v>496</v>
      </c>
      <c r="Y95" s="251" t="s">
        <v>496</v>
      </c>
      <c r="Z95" s="251" t="s">
        <v>496</v>
      </c>
      <c r="AA95" s="250" t="s">
        <v>834</v>
      </c>
    </row>
    <row r="96" spans="1:27">
      <c r="B96" s="250" t="s">
        <v>1149</v>
      </c>
      <c r="C96" s="254" t="s">
        <v>256</v>
      </c>
      <c r="D96" s="255">
        <v>240</v>
      </c>
      <c r="E96" s="250" t="s">
        <v>549</v>
      </c>
      <c r="F96" s="255">
        <v>120</v>
      </c>
      <c r="G96" s="253">
        <v>45090</v>
      </c>
      <c r="H96" s="250" t="s">
        <v>1563</v>
      </c>
      <c r="I96" s="250" t="s">
        <v>1565</v>
      </c>
      <c r="J96" s="250" t="s">
        <v>615</v>
      </c>
      <c r="K96" s="250" t="s">
        <v>642</v>
      </c>
      <c r="L96" s="261" t="s">
        <v>1562</v>
      </c>
      <c r="M96" s="250" t="s">
        <v>1566</v>
      </c>
      <c r="N96" s="250" t="s">
        <v>1564</v>
      </c>
      <c r="O96" s="251" t="s">
        <v>496</v>
      </c>
      <c r="P96" s="251" t="s">
        <v>496</v>
      </c>
      <c r="Q96" s="251" t="s">
        <v>496</v>
      </c>
      <c r="R96" s="251" t="s">
        <v>496</v>
      </c>
      <c r="S96" s="251" t="s">
        <v>496</v>
      </c>
      <c r="T96" s="251" t="s">
        <v>496</v>
      </c>
      <c r="U96" s="251" t="s">
        <v>496</v>
      </c>
      <c r="V96" s="251" t="s">
        <v>496</v>
      </c>
      <c r="W96" s="251" t="s">
        <v>496</v>
      </c>
      <c r="X96" s="251" t="s">
        <v>496</v>
      </c>
      <c r="Y96" s="251" t="s">
        <v>496</v>
      </c>
      <c r="Z96" s="251" t="s">
        <v>496</v>
      </c>
      <c r="AA96" s="250" t="s">
        <v>1302</v>
      </c>
    </row>
    <row r="97" spans="1:28" s="64" customFormat="1">
      <c r="B97" s="64" t="s">
        <v>1518</v>
      </c>
      <c r="C97" s="190" t="s">
        <v>256</v>
      </c>
      <c r="D97" s="188">
        <v>200</v>
      </c>
      <c r="E97" s="64" t="s">
        <v>402</v>
      </c>
      <c r="F97" s="188">
        <v>90</v>
      </c>
      <c r="G97" s="202">
        <v>44398</v>
      </c>
      <c r="H97" s="64" t="s">
        <v>1795</v>
      </c>
      <c r="I97" s="64" t="s">
        <v>2478</v>
      </c>
      <c r="J97" s="64" t="s">
        <v>613</v>
      </c>
      <c r="K97" s="64" t="s">
        <v>430</v>
      </c>
      <c r="L97" s="64">
        <v>2017</v>
      </c>
      <c r="N97" s="64" t="s">
        <v>2481</v>
      </c>
      <c r="O97" s="204" t="s">
        <v>2479</v>
      </c>
      <c r="P97" s="204">
        <v>9.5</v>
      </c>
      <c r="Q97" s="204" t="s">
        <v>2480</v>
      </c>
      <c r="R97" s="204" t="s">
        <v>544</v>
      </c>
      <c r="S97" s="204">
        <v>22.8</v>
      </c>
      <c r="T97" s="204" t="s">
        <v>2486</v>
      </c>
      <c r="U97" s="204" t="s">
        <v>496</v>
      </c>
      <c r="V97" s="204" t="s">
        <v>496</v>
      </c>
      <c r="W97" s="204" t="s">
        <v>496</v>
      </c>
      <c r="X97" s="204" t="s">
        <v>496</v>
      </c>
      <c r="Y97" s="204" t="s">
        <v>496</v>
      </c>
      <c r="Z97" s="204" t="s">
        <v>496</v>
      </c>
      <c r="AA97" s="64" t="s">
        <v>1848</v>
      </c>
    </row>
    <row r="98" spans="1:28">
      <c r="B98" s="250" t="s">
        <v>447</v>
      </c>
      <c r="C98" s="254" t="s">
        <v>256</v>
      </c>
      <c r="D98" s="255">
        <v>200</v>
      </c>
      <c r="E98" s="250" t="s">
        <v>549</v>
      </c>
      <c r="F98" s="255">
        <v>100</v>
      </c>
      <c r="G98" s="253">
        <v>44663</v>
      </c>
      <c r="H98" s="250" t="s">
        <v>2345</v>
      </c>
      <c r="J98" s="250" t="s">
        <v>614</v>
      </c>
      <c r="K98" s="250" t="s">
        <v>430</v>
      </c>
      <c r="L98" s="250">
        <v>2022</v>
      </c>
      <c r="N98" s="250" t="s">
        <v>2344</v>
      </c>
      <c r="O98" s="251" t="s">
        <v>496</v>
      </c>
      <c r="P98" s="251" t="s">
        <v>496</v>
      </c>
      <c r="Q98" s="251" t="s">
        <v>496</v>
      </c>
      <c r="R98" s="251" t="s">
        <v>496</v>
      </c>
      <c r="S98" s="251" t="s">
        <v>496</v>
      </c>
      <c r="T98" s="251" t="s">
        <v>496</v>
      </c>
      <c r="U98" s="251" t="s">
        <v>496</v>
      </c>
      <c r="V98" s="251" t="s">
        <v>496</v>
      </c>
      <c r="W98" s="251" t="s">
        <v>496</v>
      </c>
      <c r="X98" s="251" t="s">
        <v>496</v>
      </c>
      <c r="Y98" s="251" t="s">
        <v>496</v>
      </c>
      <c r="Z98" s="251" t="s">
        <v>496</v>
      </c>
      <c r="AA98" s="250" t="s">
        <v>1108</v>
      </c>
    </row>
    <row r="99" spans="1:28">
      <c r="B99" s="250" t="s">
        <v>2270</v>
      </c>
      <c r="C99" s="254" t="s">
        <v>256</v>
      </c>
      <c r="D99" s="255">
        <v>200</v>
      </c>
      <c r="E99" s="250" t="s">
        <v>544</v>
      </c>
      <c r="F99" s="255">
        <v>58</v>
      </c>
      <c r="G99" s="253">
        <v>45104</v>
      </c>
      <c r="H99" s="250" t="s">
        <v>2294</v>
      </c>
      <c r="J99" s="250" t="s">
        <v>614</v>
      </c>
      <c r="K99" s="250" t="s">
        <v>642</v>
      </c>
      <c r="L99" s="252" t="s">
        <v>2291</v>
      </c>
      <c r="N99" s="250" t="s">
        <v>2288</v>
      </c>
      <c r="O99" s="251" t="s">
        <v>496</v>
      </c>
      <c r="P99" s="251" t="s">
        <v>496</v>
      </c>
      <c r="Q99" s="251" t="s">
        <v>496</v>
      </c>
      <c r="R99" s="251" t="s">
        <v>496</v>
      </c>
      <c r="S99" s="251" t="s">
        <v>496</v>
      </c>
      <c r="T99" s="251" t="s">
        <v>496</v>
      </c>
      <c r="U99" s="251" t="s">
        <v>496</v>
      </c>
      <c r="V99" s="251" t="s">
        <v>496</v>
      </c>
      <c r="W99" s="251" t="s">
        <v>496</v>
      </c>
      <c r="X99" s="251" t="s">
        <v>496</v>
      </c>
      <c r="Y99" s="251" t="s">
        <v>496</v>
      </c>
      <c r="Z99" s="251" t="s">
        <v>496</v>
      </c>
      <c r="AA99" s="250" t="s">
        <v>1667</v>
      </c>
    </row>
    <row r="100" spans="1:28">
      <c r="B100" s="250" t="s">
        <v>2315</v>
      </c>
      <c r="C100" s="254" t="s">
        <v>256</v>
      </c>
      <c r="D100" s="255">
        <v>200</v>
      </c>
      <c r="E100" s="250" t="s">
        <v>565</v>
      </c>
      <c r="F100" s="255">
        <v>45</v>
      </c>
      <c r="G100" s="205">
        <v>44159</v>
      </c>
      <c r="H100" s="250" t="s">
        <v>2302</v>
      </c>
      <c r="I100" s="250" t="s">
        <v>2316</v>
      </c>
      <c r="J100" s="250" t="s">
        <v>614</v>
      </c>
      <c r="K100" s="250" t="s">
        <v>430</v>
      </c>
      <c r="L100" s="250">
        <v>2015</v>
      </c>
      <c r="N100" s="250" t="s">
        <v>2303</v>
      </c>
      <c r="O100" s="251" t="s">
        <v>402</v>
      </c>
      <c r="P100" s="251" t="s">
        <v>496</v>
      </c>
      <c r="Q100" s="251" t="s">
        <v>2311</v>
      </c>
      <c r="R100" s="251" t="s">
        <v>544</v>
      </c>
      <c r="S100" s="251" t="s">
        <v>496</v>
      </c>
      <c r="T100" s="251" t="s">
        <v>2312</v>
      </c>
      <c r="U100" s="251" t="s">
        <v>549</v>
      </c>
      <c r="V100" s="251" t="s">
        <v>496</v>
      </c>
      <c r="W100" s="251" t="s">
        <v>2313</v>
      </c>
      <c r="X100" s="251" t="s">
        <v>549</v>
      </c>
      <c r="Y100" s="251" t="s">
        <v>496</v>
      </c>
      <c r="Z100" s="251" t="s">
        <v>2314</v>
      </c>
      <c r="AA100" s="250" t="s">
        <v>2317</v>
      </c>
    </row>
    <row r="101" spans="1:28">
      <c r="B101" s="250" t="s">
        <v>2098</v>
      </c>
      <c r="C101" s="292" t="s">
        <v>256</v>
      </c>
      <c r="D101" s="255">
        <v>200</v>
      </c>
      <c r="E101" s="291" t="s">
        <v>544</v>
      </c>
      <c r="F101" s="255">
        <v>40.799999999999997</v>
      </c>
      <c r="G101" s="253">
        <v>45112</v>
      </c>
      <c r="I101" s="291" t="s">
        <v>4510</v>
      </c>
      <c r="J101" s="291" t="s">
        <v>614</v>
      </c>
      <c r="K101" s="291" t="s">
        <v>4509</v>
      </c>
      <c r="M101" s="291" t="s">
        <v>1410</v>
      </c>
      <c r="N101" s="291" t="s">
        <v>4511</v>
      </c>
    </row>
    <row r="102" spans="1:28">
      <c r="B102" s="250" t="s">
        <v>1754</v>
      </c>
      <c r="C102" s="268" t="s">
        <v>256</v>
      </c>
      <c r="D102" s="255">
        <v>200</v>
      </c>
      <c r="E102" s="267" t="s">
        <v>565</v>
      </c>
      <c r="F102" s="255">
        <v>40</v>
      </c>
      <c r="G102" s="252">
        <v>2016</v>
      </c>
      <c r="H102" s="267" t="s">
        <v>3778</v>
      </c>
      <c r="I102" s="267" t="s">
        <v>3777</v>
      </c>
      <c r="J102" s="267" t="s">
        <v>614</v>
      </c>
      <c r="K102" s="267" t="s">
        <v>430</v>
      </c>
      <c r="L102" s="250">
        <v>2016</v>
      </c>
      <c r="M102" s="267" t="s">
        <v>3101</v>
      </c>
      <c r="N102" s="267" t="s">
        <v>3780</v>
      </c>
      <c r="O102" s="271" t="s">
        <v>402</v>
      </c>
      <c r="P102" s="271">
        <v>28</v>
      </c>
      <c r="Q102" s="271" t="s">
        <v>3782</v>
      </c>
      <c r="R102" s="271" t="s">
        <v>544</v>
      </c>
      <c r="S102" s="251">
        <v>9.6999999999999993</v>
      </c>
      <c r="T102" s="271" t="s">
        <v>549</v>
      </c>
      <c r="U102" s="271">
        <v>4.3</v>
      </c>
      <c r="V102" s="271" t="s">
        <v>3783</v>
      </c>
      <c r="W102" s="271" t="s">
        <v>496</v>
      </c>
      <c r="X102" s="271" t="s">
        <v>496</v>
      </c>
      <c r="Y102" s="271" t="s">
        <v>496</v>
      </c>
      <c r="Z102" s="271" t="s">
        <v>496</v>
      </c>
      <c r="AA102" s="267" t="s">
        <v>1667</v>
      </c>
      <c r="AB102" s="5" t="s">
        <v>3779</v>
      </c>
    </row>
    <row r="103" spans="1:28">
      <c r="B103" s="250" t="s">
        <v>1755</v>
      </c>
      <c r="C103" s="268" t="s">
        <v>256</v>
      </c>
      <c r="D103" s="255">
        <v>200</v>
      </c>
      <c r="E103" s="267" t="s">
        <v>544</v>
      </c>
      <c r="F103" s="255">
        <v>32</v>
      </c>
      <c r="G103" s="253">
        <v>44851</v>
      </c>
      <c r="H103" s="267" t="s">
        <v>3787</v>
      </c>
      <c r="I103" s="267" t="s">
        <v>3786</v>
      </c>
      <c r="J103" s="281" t="s">
        <v>646</v>
      </c>
      <c r="K103" s="281" t="s">
        <v>658</v>
      </c>
      <c r="L103" s="250">
        <v>2018</v>
      </c>
      <c r="N103" s="267" t="s">
        <v>3788</v>
      </c>
      <c r="O103" s="271" t="s">
        <v>544</v>
      </c>
      <c r="P103" s="251">
        <v>26</v>
      </c>
      <c r="Q103" s="271" t="s">
        <v>3790</v>
      </c>
      <c r="R103" s="271" t="s">
        <v>549</v>
      </c>
      <c r="S103" s="251">
        <v>6.2</v>
      </c>
      <c r="T103" s="271" t="s">
        <v>3791</v>
      </c>
      <c r="U103" s="271" t="s">
        <v>669</v>
      </c>
      <c r="V103" s="271" t="s">
        <v>496</v>
      </c>
      <c r="W103" s="271" t="s">
        <v>3792</v>
      </c>
      <c r="X103" s="271" t="s">
        <v>496</v>
      </c>
      <c r="Y103" s="271" t="s">
        <v>496</v>
      </c>
      <c r="Z103" s="271" t="s">
        <v>496</v>
      </c>
      <c r="AA103" s="267" t="s">
        <v>1120</v>
      </c>
      <c r="AB103" s="5" t="s">
        <v>3793</v>
      </c>
    </row>
    <row r="104" spans="1:28" s="64" customFormat="1">
      <c r="B104" s="64" t="s">
        <v>1931</v>
      </c>
      <c r="C104" s="190" t="s">
        <v>256</v>
      </c>
      <c r="D104" s="188">
        <v>200</v>
      </c>
      <c r="E104" s="64" t="s">
        <v>402</v>
      </c>
      <c r="F104" s="188">
        <v>25</v>
      </c>
      <c r="G104" s="202">
        <v>44642</v>
      </c>
      <c r="H104" s="64" t="s">
        <v>865</v>
      </c>
      <c r="I104" s="64" t="s">
        <v>4197</v>
      </c>
      <c r="J104" s="64" t="s">
        <v>614</v>
      </c>
      <c r="K104" s="64" t="s">
        <v>561</v>
      </c>
      <c r="L104" s="64">
        <v>2017</v>
      </c>
      <c r="M104" s="64" t="s">
        <v>4198</v>
      </c>
      <c r="N104" s="64" t="s">
        <v>4199</v>
      </c>
      <c r="O104" s="204" t="s">
        <v>544</v>
      </c>
      <c r="P104" s="204">
        <v>13.5</v>
      </c>
      <c r="Q104" s="204" t="s">
        <v>4205</v>
      </c>
      <c r="R104" s="204" t="s">
        <v>549</v>
      </c>
      <c r="S104" s="204">
        <v>5.3</v>
      </c>
      <c r="T104" s="204" t="s">
        <v>4209</v>
      </c>
      <c r="U104" s="204" t="s">
        <v>549</v>
      </c>
      <c r="V104" s="204">
        <v>4</v>
      </c>
      <c r="W104" s="204" t="s">
        <v>4211</v>
      </c>
      <c r="X104" s="204" t="s">
        <v>496</v>
      </c>
      <c r="Y104" s="204" t="s">
        <v>496</v>
      </c>
      <c r="Z104" s="204" t="s">
        <v>496</v>
      </c>
      <c r="AA104" s="64" t="s">
        <v>932</v>
      </c>
      <c r="AB104" s="286" t="s">
        <v>4196</v>
      </c>
    </row>
    <row r="105" spans="1:28" s="64" customFormat="1">
      <c r="B105" s="64" t="s">
        <v>1291</v>
      </c>
      <c r="C105" s="190" t="s">
        <v>256</v>
      </c>
      <c r="D105" s="188" t="s">
        <v>496</v>
      </c>
      <c r="E105" s="188" t="s">
        <v>2627</v>
      </c>
      <c r="F105" s="188" t="s">
        <v>496</v>
      </c>
      <c r="G105" s="188" t="s">
        <v>2627</v>
      </c>
      <c r="H105" s="64" t="s">
        <v>1075</v>
      </c>
      <c r="I105" s="64" t="s">
        <v>496</v>
      </c>
      <c r="J105" s="64" t="s">
        <v>614</v>
      </c>
      <c r="K105" s="64" t="s">
        <v>430</v>
      </c>
      <c r="L105" s="64">
        <v>2015</v>
      </c>
      <c r="M105" s="231" t="s">
        <v>2628</v>
      </c>
      <c r="N105" s="64" t="s">
        <v>496</v>
      </c>
      <c r="O105" s="64" t="s">
        <v>496</v>
      </c>
      <c r="P105" s="64" t="s">
        <v>496</v>
      </c>
      <c r="Q105" s="64" t="s">
        <v>496</v>
      </c>
      <c r="R105" s="64" t="s">
        <v>496</v>
      </c>
      <c r="S105" s="64" t="s">
        <v>496</v>
      </c>
      <c r="T105" s="64" t="s">
        <v>496</v>
      </c>
      <c r="U105" s="64" t="s">
        <v>496</v>
      </c>
      <c r="V105" s="64" t="s">
        <v>496</v>
      </c>
      <c r="W105" s="64" t="s">
        <v>496</v>
      </c>
      <c r="X105" s="64" t="s">
        <v>496</v>
      </c>
      <c r="Y105" s="64" t="s">
        <v>496</v>
      </c>
      <c r="Z105" s="64" t="s">
        <v>496</v>
      </c>
      <c r="AA105" s="64" t="s">
        <v>2626</v>
      </c>
    </row>
    <row r="106" spans="1:28">
      <c r="A106" s="250">
        <v>30</v>
      </c>
      <c r="B106" s="250" t="s">
        <v>410</v>
      </c>
      <c r="C106" s="254" t="s">
        <v>256</v>
      </c>
      <c r="D106" s="255">
        <v>200</v>
      </c>
      <c r="E106" s="250" t="s">
        <v>549</v>
      </c>
      <c r="F106" s="255">
        <v>10</v>
      </c>
      <c r="G106" s="253">
        <v>45005</v>
      </c>
      <c r="H106" s="250" t="s">
        <v>1006</v>
      </c>
      <c r="I106" s="250" t="s">
        <v>995</v>
      </c>
      <c r="J106" s="250" t="s">
        <v>615</v>
      </c>
      <c r="K106" s="250" t="s">
        <v>638</v>
      </c>
      <c r="L106" s="257">
        <v>41275</v>
      </c>
      <c r="M106" s="250" t="s">
        <v>994</v>
      </c>
      <c r="N106" s="250" t="s">
        <v>993</v>
      </c>
      <c r="O106" s="251" t="s">
        <v>496</v>
      </c>
      <c r="P106" s="251" t="s">
        <v>496</v>
      </c>
      <c r="Q106" s="251" t="s">
        <v>496</v>
      </c>
      <c r="R106" s="251" t="s">
        <v>496</v>
      </c>
      <c r="S106" s="251" t="s">
        <v>496</v>
      </c>
      <c r="T106" s="251" t="s">
        <v>496</v>
      </c>
      <c r="U106" s="251" t="s">
        <v>496</v>
      </c>
      <c r="V106" s="251" t="s">
        <v>496</v>
      </c>
      <c r="W106" s="251" t="s">
        <v>496</v>
      </c>
      <c r="X106" s="251" t="s">
        <v>496</v>
      </c>
      <c r="Y106" s="251" t="s">
        <v>496</v>
      </c>
      <c r="Z106" s="251" t="s">
        <v>496</v>
      </c>
      <c r="AA106" s="250" t="s">
        <v>834</v>
      </c>
    </row>
    <row r="107" spans="1:28">
      <c r="A107" s="64">
        <f>A92+1</f>
        <v>33</v>
      </c>
      <c r="B107" s="64" t="s">
        <v>417</v>
      </c>
      <c r="C107" s="190" t="s">
        <v>256</v>
      </c>
      <c r="D107" s="188">
        <v>150</v>
      </c>
      <c r="E107" s="64" t="s">
        <v>544</v>
      </c>
      <c r="F107" s="188">
        <v>26</v>
      </c>
      <c r="G107" s="202">
        <v>45013</v>
      </c>
      <c r="H107" s="64" t="s">
        <v>1014</v>
      </c>
      <c r="I107" s="64" t="s">
        <v>1013</v>
      </c>
      <c r="J107" s="197" t="s">
        <v>613</v>
      </c>
      <c r="K107" s="197" t="s">
        <v>459</v>
      </c>
      <c r="L107" s="64">
        <v>2022</v>
      </c>
      <c r="M107" s="64" t="s">
        <v>4448</v>
      </c>
      <c r="N107" s="64" t="s">
        <v>1015</v>
      </c>
      <c r="O107" s="204" t="s">
        <v>549</v>
      </c>
      <c r="P107" s="204">
        <v>3.1</v>
      </c>
      <c r="Q107" s="204" t="s">
        <v>1017</v>
      </c>
      <c r="R107" s="204" t="s">
        <v>496</v>
      </c>
      <c r="S107" s="204" t="s">
        <v>496</v>
      </c>
      <c r="T107" s="204" t="s">
        <v>496</v>
      </c>
      <c r="U107" s="204" t="s">
        <v>496</v>
      </c>
      <c r="V107" s="204" t="s">
        <v>496</v>
      </c>
      <c r="W107" s="204" t="s">
        <v>496</v>
      </c>
      <c r="X107" s="204" t="s">
        <v>496</v>
      </c>
      <c r="Y107" s="204" t="s">
        <v>496</v>
      </c>
      <c r="Z107" s="204" t="s">
        <v>496</v>
      </c>
      <c r="AA107" s="64" t="s">
        <v>834</v>
      </c>
    </row>
    <row r="108" spans="1:28">
      <c r="A108" s="250">
        <v>36</v>
      </c>
      <c r="B108" s="250" t="s">
        <v>623</v>
      </c>
      <c r="C108" s="254" t="s">
        <v>256</v>
      </c>
      <c r="D108" s="255">
        <v>150</v>
      </c>
      <c r="E108" s="250" t="s">
        <v>402</v>
      </c>
      <c r="F108" s="255">
        <v>60</v>
      </c>
      <c r="G108" s="253">
        <v>45036</v>
      </c>
      <c r="H108" s="250" t="s">
        <v>906</v>
      </c>
      <c r="J108" s="250" t="s">
        <v>615</v>
      </c>
      <c r="K108" s="250" t="s">
        <v>558</v>
      </c>
      <c r="L108" s="260" t="s">
        <v>624</v>
      </c>
      <c r="N108" s="250" t="s">
        <v>1037</v>
      </c>
      <c r="O108" s="251" t="s">
        <v>544</v>
      </c>
      <c r="P108" s="251">
        <v>16.5</v>
      </c>
      <c r="Q108" s="251" t="s">
        <v>1042</v>
      </c>
      <c r="R108" s="251" t="s">
        <v>549</v>
      </c>
      <c r="S108" s="251">
        <v>1.2</v>
      </c>
      <c r="T108" s="251" t="s">
        <v>1045</v>
      </c>
      <c r="U108" s="251" t="s">
        <v>496</v>
      </c>
      <c r="V108" s="251" t="s">
        <v>496</v>
      </c>
      <c r="W108" s="251" t="s">
        <v>496</v>
      </c>
      <c r="X108" s="251" t="s">
        <v>496</v>
      </c>
      <c r="Y108" s="251" t="s">
        <v>496</v>
      </c>
      <c r="Z108" s="251" t="s">
        <v>496</v>
      </c>
      <c r="AA108" s="250" t="s">
        <v>1036</v>
      </c>
    </row>
    <row r="109" spans="1:28">
      <c r="A109" s="250">
        <f>A107+1</f>
        <v>34</v>
      </c>
      <c r="B109" s="250" t="s">
        <v>630</v>
      </c>
      <c r="C109" s="254" t="s">
        <v>256</v>
      </c>
      <c r="D109" s="255">
        <v>150</v>
      </c>
      <c r="E109" s="250" t="s">
        <v>402</v>
      </c>
      <c r="F109" s="255">
        <v>50</v>
      </c>
      <c r="G109" s="253">
        <v>44628</v>
      </c>
      <c r="H109" s="250" t="s">
        <v>1018</v>
      </c>
      <c r="J109" s="250" t="s">
        <v>615</v>
      </c>
      <c r="K109" s="250" t="s">
        <v>631</v>
      </c>
      <c r="L109" s="260">
        <v>43647</v>
      </c>
      <c r="N109" s="250" t="s">
        <v>1019</v>
      </c>
      <c r="O109" s="251" t="s">
        <v>544</v>
      </c>
      <c r="P109" s="251">
        <v>10</v>
      </c>
      <c r="Q109" s="251" t="s">
        <v>1024</v>
      </c>
      <c r="R109" s="251" t="s">
        <v>549</v>
      </c>
      <c r="S109" s="251" t="s">
        <v>496</v>
      </c>
      <c r="T109" s="251" t="s">
        <v>1029</v>
      </c>
      <c r="U109" s="251" t="s">
        <v>496</v>
      </c>
      <c r="V109" s="251" t="s">
        <v>496</v>
      </c>
      <c r="W109" s="251" t="s">
        <v>496</v>
      </c>
      <c r="X109" s="251" t="s">
        <v>496</v>
      </c>
      <c r="Y109" s="251" t="s">
        <v>496</v>
      </c>
      <c r="Z109" s="251" t="s">
        <v>496</v>
      </c>
      <c r="AA109" s="250" t="s">
        <v>1030</v>
      </c>
    </row>
    <row r="110" spans="1:28">
      <c r="A110" s="250">
        <v>54</v>
      </c>
      <c r="B110" s="250" t="s">
        <v>542</v>
      </c>
      <c r="C110" s="254" t="s">
        <v>256</v>
      </c>
      <c r="D110" s="188">
        <v>150</v>
      </c>
      <c r="E110" s="250" t="s">
        <v>544</v>
      </c>
      <c r="F110" s="255">
        <v>21</v>
      </c>
      <c r="G110" s="253">
        <v>45027</v>
      </c>
      <c r="H110" s="250" t="s">
        <v>1142</v>
      </c>
      <c r="I110" s="250" t="s">
        <v>1153</v>
      </c>
      <c r="J110" s="196" t="s">
        <v>614</v>
      </c>
      <c r="K110" s="196" t="s">
        <v>543</v>
      </c>
      <c r="L110" s="258">
        <v>44562</v>
      </c>
      <c r="M110" s="250" t="s">
        <v>1155</v>
      </c>
      <c r="N110" s="250" t="s">
        <v>1154</v>
      </c>
      <c r="O110" s="251" t="s">
        <v>549</v>
      </c>
      <c r="P110" s="251">
        <v>5</v>
      </c>
      <c r="Q110" s="251" t="s">
        <v>1169</v>
      </c>
      <c r="R110" s="251" t="s">
        <v>496</v>
      </c>
      <c r="S110" s="251" t="s">
        <v>496</v>
      </c>
      <c r="T110" s="251" t="s">
        <v>496</v>
      </c>
      <c r="U110" s="251" t="s">
        <v>496</v>
      </c>
      <c r="V110" s="251" t="s">
        <v>496</v>
      </c>
      <c r="W110" s="251" t="s">
        <v>496</v>
      </c>
      <c r="X110" s="251" t="s">
        <v>496</v>
      </c>
      <c r="Y110" s="251" t="s">
        <v>496</v>
      </c>
      <c r="Z110" s="251" t="s">
        <v>496</v>
      </c>
      <c r="AA110" s="250" t="s">
        <v>834</v>
      </c>
    </row>
    <row r="111" spans="1:28">
      <c r="B111" s="250" t="s">
        <v>577</v>
      </c>
      <c r="C111" s="254" t="s">
        <v>256</v>
      </c>
      <c r="D111" s="255">
        <v>150</v>
      </c>
      <c r="E111" s="250" t="s">
        <v>402</v>
      </c>
      <c r="F111" s="255">
        <v>18</v>
      </c>
      <c r="G111" s="253">
        <v>44831</v>
      </c>
      <c r="H111" s="250" t="s">
        <v>2392</v>
      </c>
      <c r="I111" s="250" t="s">
        <v>2400</v>
      </c>
      <c r="J111" s="250" t="s">
        <v>614</v>
      </c>
      <c r="K111" s="250" t="s">
        <v>640</v>
      </c>
      <c r="L111" s="250">
        <v>2021</v>
      </c>
      <c r="N111" s="250" t="s">
        <v>2391</v>
      </c>
      <c r="O111" s="251" t="s">
        <v>544</v>
      </c>
      <c r="P111" s="251">
        <v>18.5</v>
      </c>
      <c r="Q111" s="251" t="s">
        <v>2395</v>
      </c>
      <c r="R111" s="251" t="s">
        <v>496</v>
      </c>
      <c r="S111" s="251" t="s">
        <v>496</v>
      </c>
      <c r="T111" s="251" t="s">
        <v>496</v>
      </c>
      <c r="U111" s="251" t="s">
        <v>496</v>
      </c>
      <c r="V111" s="251" t="s">
        <v>496</v>
      </c>
      <c r="W111" s="251" t="s">
        <v>496</v>
      </c>
      <c r="X111" s="251" t="s">
        <v>496</v>
      </c>
      <c r="Y111" s="251" t="s">
        <v>496</v>
      </c>
      <c r="Z111" s="251" t="s">
        <v>496</v>
      </c>
      <c r="AA111" s="250" t="s">
        <v>837</v>
      </c>
    </row>
    <row r="112" spans="1:28">
      <c r="B112" s="250" t="s">
        <v>1524</v>
      </c>
      <c r="C112" s="254" t="s">
        <v>256</v>
      </c>
      <c r="D112" s="255">
        <v>150</v>
      </c>
      <c r="E112" s="250" t="s">
        <v>402</v>
      </c>
      <c r="F112" s="255">
        <v>30</v>
      </c>
      <c r="G112" s="253">
        <v>44756</v>
      </c>
      <c r="H112" s="250" t="s">
        <v>2582</v>
      </c>
      <c r="I112" s="250" t="s">
        <v>2583</v>
      </c>
      <c r="J112" s="250" t="s">
        <v>614</v>
      </c>
      <c r="K112" s="250" t="s">
        <v>2404</v>
      </c>
      <c r="L112" s="250">
        <v>2017</v>
      </c>
      <c r="N112" s="250" t="s">
        <v>2584</v>
      </c>
      <c r="O112" s="251" t="s">
        <v>544</v>
      </c>
      <c r="P112" s="251">
        <v>28</v>
      </c>
      <c r="Q112" s="251" t="s">
        <v>2586</v>
      </c>
      <c r="R112" s="251" t="s">
        <v>549</v>
      </c>
      <c r="S112" s="251">
        <v>5</v>
      </c>
      <c r="T112" s="251" t="s">
        <v>2587</v>
      </c>
      <c r="U112" s="251" t="s">
        <v>549</v>
      </c>
      <c r="V112" s="251">
        <v>0.12</v>
      </c>
      <c r="W112" s="251" t="s">
        <v>740</v>
      </c>
      <c r="X112" s="251" t="s">
        <v>496</v>
      </c>
      <c r="Y112" s="251" t="s">
        <v>496</v>
      </c>
      <c r="Z112" s="251" t="s">
        <v>496</v>
      </c>
      <c r="AA112" s="250" t="s">
        <v>1848</v>
      </c>
    </row>
    <row r="113" spans="1:27">
      <c r="A113" s="250">
        <f>A91+1</f>
        <v>39</v>
      </c>
      <c r="B113" s="250" t="s">
        <v>649</v>
      </c>
      <c r="C113" s="254" t="s">
        <v>256</v>
      </c>
      <c r="D113" s="255">
        <v>150</v>
      </c>
      <c r="E113" s="250" t="s">
        <v>402</v>
      </c>
      <c r="F113" s="255">
        <v>40</v>
      </c>
      <c r="G113" s="253">
        <v>44728</v>
      </c>
      <c r="H113" s="250" t="s">
        <v>1061</v>
      </c>
      <c r="J113" s="250" t="s">
        <v>615</v>
      </c>
      <c r="K113" s="250" t="s">
        <v>636</v>
      </c>
      <c r="L113" s="260" t="s">
        <v>624</v>
      </c>
      <c r="N113" s="250" t="s">
        <v>1062</v>
      </c>
      <c r="O113" s="251" t="s">
        <v>544</v>
      </c>
      <c r="P113" s="251">
        <v>18.600000000000001</v>
      </c>
      <c r="Q113" s="251" t="s">
        <v>1065</v>
      </c>
      <c r="R113" s="251" t="s">
        <v>549</v>
      </c>
      <c r="S113" s="251" t="s">
        <v>496</v>
      </c>
      <c r="T113" s="251" t="s">
        <v>1066</v>
      </c>
      <c r="U113" s="251" t="s">
        <v>496</v>
      </c>
      <c r="V113" s="251" t="s">
        <v>496</v>
      </c>
      <c r="W113" s="251" t="s">
        <v>496</v>
      </c>
      <c r="X113" s="250" t="s">
        <v>496</v>
      </c>
      <c r="Y113" s="251" t="s">
        <v>496</v>
      </c>
      <c r="Z113" s="251" t="s">
        <v>496</v>
      </c>
      <c r="AA113" s="250" t="s">
        <v>1108</v>
      </c>
    </row>
    <row r="114" spans="1:27">
      <c r="A114" s="250">
        <f>A113+1</f>
        <v>40</v>
      </c>
      <c r="B114" s="250" t="s">
        <v>650</v>
      </c>
      <c r="C114" s="254" t="s">
        <v>256</v>
      </c>
      <c r="D114" s="255">
        <v>150</v>
      </c>
      <c r="E114" s="250" t="s">
        <v>402</v>
      </c>
      <c r="F114" s="255">
        <v>40</v>
      </c>
      <c r="G114" s="253">
        <v>44650</v>
      </c>
      <c r="J114" s="250" t="s">
        <v>614</v>
      </c>
      <c r="K114" s="250" t="s">
        <v>640</v>
      </c>
      <c r="L114" s="260">
        <v>43361</v>
      </c>
      <c r="N114" s="250" t="s">
        <v>1067</v>
      </c>
      <c r="O114" s="251" t="s">
        <v>544</v>
      </c>
      <c r="P114" s="251">
        <v>14</v>
      </c>
      <c r="Q114" s="251" t="s">
        <v>1073</v>
      </c>
      <c r="R114" s="251" t="s">
        <v>496</v>
      </c>
      <c r="S114" s="251" t="s">
        <v>496</v>
      </c>
      <c r="T114" s="251" t="s">
        <v>496</v>
      </c>
      <c r="U114" s="251" t="s">
        <v>496</v>
      </c>
      <c r="V114" s="251" t="s">
        <v>496</v>
      </c>
      <c r="W114" s="251" t="s">
        <v>496</v>
      </c>
      <c r="X114" s="251" t="s">
        <v>496</v>
      </c>
      <c r="Y114" s="251" t="s">
        <v>496</v>
      </c>
      <c r="Z114" s="251" t="s">
        <v>496</v>
      </c>
      <c r="AA114" s="250" t="s">
        <v>834</v>
      </c>
    </row>
    <row r="115" spans="1:27">
      <c r="B115" s="250" t="s">
        <v>653</v>
      </c>
      <c r="C115" s="254" t="s">
        <v>256</v>
      </c>
      <c r="D115" s="255">
        <v>150</v>
      </c>
      <c r="E115" s="250" t="s">
        <v>402</v>
      </c>
      <c r="F115" s="255">
        <v>13</v>
      </c>
      <c r="G115" s="253">
        <v>45090</v>
      </c>
      <c r="H115" s="250" t="s">
        <v>1128</v>
      </c>
      <c r="I115" s="250" t="s">
        <v>2766</v>
      </c>
      <c r="J115" s="250" t="s">
        <v>646</v>
      </c>
      <c r="K115" s="250" t="s">
        <v>633</v>
      </c>
      <c r="L115" s="260">
        <v>43405</v>
      </c>
      <c r="N115" s="250" t="s">
        <v>2767</v>
      </c>
      <c r="O115" s="251" t="s">
        <v>402</v>
      </c>
      <c r="P115" s="251">
        <v>37</v>
      </c>
      <c r="Q115" s="251" t="s">
        <v>2768</v>
      </c>
      <c r="R115" s="251" t="s">
        <v>402</v>
      </c>
      <c r="S115" s="251">
        <v>30</v>
      </c>
      <c r="T115" s="251" t="s">
        <v>2769</v>
      </c>
      <c r="U115" s="251" t="s">
        <v>402</v>
      </c>
      <c r="V115" s="251">
        <v>80</v>
      </c>
      <c r="W115" s="251" t="s">
        <v>2784</v>
      </c>
      <c r="X115" s="251" t="s">
        <v>544</v>
      </c>
      <c r="Y115" s="251">
        <v>30</v>
      </c>
      <c r="Z115" s="251" t="s">
        <v>2785</v>
      </c>
      <c r="AA115" s="250" t="s">
        <v>2180</v>
      </c>
    </row>
    <row r="116" spans="1:27">
      <c r="B116" s="250" t="s">
        <v>1033</v>
      </c>
      <c r="C116" s="254" t="s">
        <v>256</v>
      </c>
      <c r="D116" s="255">
        <v>125</v>
      </c>
      <c r="E116" s="250" t="s">
        <v>544</v>
      </c>
      <c r="F116" s="255">
        <v>65</v>
      </c>
      <c r="G116" s="205">
        <v>44287</v>
      </c>
      <c r="H116" s="250" t="s">
        <v>1014</v>
      </c>
      <c r="I116" s="250" t="s">
        <v>1035</v>
      </c>
      <c r="J116" s="250" t="s">
        <v>613</v>
      </c>
      <c r="K116" s="250" t="s">
        <v>459</v>
      </c>
      <c r="L116" s="258">
        <v>44228</v>
      </c>
      <c r="N116" s="250" t="s">
        <v>496</v>
      </c>
      <c r="O116" s="250" t="s">
        <v>496</v>
      </c>
      <c r="P116" s="250" t="s">
        <v>496</v>
      </c>
      <c r="Q116" s="250" t="s">
        <v>496</v>
      </c>
      <c r="R116" s="250" t="s">
        <v>496</v>
      </c>
      <c r="S116" s="250" t="s">
        <v>496</v>
      </c>
      <c r="T116" s="251" t="s">
        <v>496</v>
      </c>
      <c r="U116" s="251" t="s">
        <v>496</v>
      </c>
      <c r="V116" s="251" t="s">
        <v>496</v>
      </c>
      <c r="W116" s="251" t="s">
        <v>496</v>
      </c>
      <c r="X116" s="250" t="s">
        <v>496</v>
      </c>
      <c r="Y116" s="251" t="s">
        <v>496</v>
      </c>
      <c r="Z116" s="251" t="s">
        <v>496</v>
      </c>
      <c r="AA116" s="250" t="s">
        <v>1034</v>
      </c>
    </row>
    <row r="117" spans="1:27">
      <c r="B117" s="250" t="s">
        <v>1609</v>
      </c>
      <c r="C117" s="254" t="s">
        <v>256</v>
      </c>
      <c r="D117" s="255">
        <v>150</v>
      </c>
      <c r="E117" s="250" t="s">
        <v>544</v>
      </c>
      <c r="F117" s="255">
        <v>57</v>
      </c>
      <c r="G117" s="253">
        <v>44508</v>
      </c>
      <c r="H117" s="250" t="s">
        <v>3189</v>
      </c>
      <c r="I117" s="250" t="s">
        <v>2866</v>
      </c>
      <c r="J117" s="250" t="s">
        <v>614</v>
      </c>
      <c r="K117" s="250" t="s">
        <v>1578</v>
      </c>
      <c r="L117" s="250">
        <v>2017</v>
      </c>
      <c r="N117" s="250" t="s">
        <v>3190</v>
      </c>
      <c r="O117" s="251" t="s">
        <v>549</v>
      </c>
      <c r="P117" s="251" t="s">
        <v>496</v>
      </c>
      <c r="Q117" s="251" t="s">
        <v>3196</v>
      </c>
      <c r="R117" s="251" t="s">
        <v>496</v>
      </c>
      <c r="S117" s="251" t="s">
        <v>496</v>
      </c>
      <c r="T117" s="251" t="s">
        <v>496</v>
      </c>
      <c r="U117" s="251" t="s">
        <v>496</v>
      </c>
      <c r="V117" s="251" t="s">
        <v>496</v>
      </c>
      <c r="W117" s="251" t="s">
        <v>496</v>
      </c>
      <c r="X117" s="251" t="s">
        <v>496</v>
      </c>
      <c r="Y117" s="251" t="s">
        <v>496</v>
      </c>
      <c r="Z117" s="251" t="s">
        <v>496</v>
      </c>
      <c r="AA117" s="250" t="s">
        <v>844</v>
      </c>
    </row>
    <row r="118" spans="1:27">
      <c r="A118" s="250">
        <f>A108+1</f>
        <v>37</v>
      </c>
      <c r="B118" s="250" t="s">
        <v>632</v>
      </c>
      <c r="C118" s="254" t="s">
        <v>256</v>
      </c>
      <c r="D118" s="255">
        <v>125</v>
      </c>
      <c r="E118" s="250" t="s">
        <v>544</v>
      </c>
      <c r="F118" s="255">
        <v>44</v>
      </c>
      <c r="G118" s="253">
        <v>44671</v>
      </c>
      <c r="H118" s="250" t="s">
        <v>1053</v>
      </c>
      <c r="I118" s="250" t="s">
        <v>1054</v>
      </c>
      <c r="J118" s="250" t="s">
        <v>615</v>
      </c>
      <c r="K118" s="250" t="s">
        <v>633</v>
      </c>
      <c r="L118" s="260" t="s">
        <v>624</v>
      </c>
      <c r="M118" s="250" t="s">
        <v>1053</v>
      </c>
      <c r="N118" s="250" t="s">
        <v>1046</v>
      </c>
      <c r="O118" s="251" t="s">
        <v>1051</v>
      </c>
      <c r="P118" s="250" t="s">
        <v>496</v>
      </c>
      <c r="Q118" s="251" t="s">
        <v>1052</v>
      </c>
      <c r="R118" s="250" t="s">
        <v>496</v>
      </c>
      <c r="S118" s="250" t="s">
        <v>496</v>
      </c>
      <c r="T118" s="251" t="s">
        <v>496</v>
      </c>
      <c r="U118" s="251" t="s">
        <v>496</v>
      </c>
      <c r="V118" s="251" t="s">
        <v>496</v>
      </c>
      <c r="W118" s="251" t="s">
        <v>496</v>
      </c>
      <c r="X118" s="250" t="s">
        <v>496</v>
      </c>
      <c r="Y118" s="251" t="s">
        <v>496</v>
      </c>
      <c r="Z118" s="251" t="s">
        <v>496</v>
      </c>
      <c r="AA118" s="250" t="s">
        <v>834</v>
      </c>
    </row>
    <row r="119" spans="1:27">
      <c r="B119" s="250" t="s">
        <v>2741</v>
      </c>
      <c r="C119" s="254" t="s">
        <v>256</v>
      </c>
      <c r="D119" s="255">
        <v>125</v>
      </c>
      <c r="E119" s="250" t="s">
        <v>402</v>
      </c>
      <c r="F119" s="255">
        <v>32</v>
      </c>
      <c r="G119" s="205">
        <v>44364</v>
      </c>
      <c r="H119" s="250" t="s">
        <v>1529</v>
      </c>
      <c r="I119" s="250" t="s">
        <v>2742</v>
      </c>
      <c r="J119" s="250" t="s">
        <v>614</v>
      </c>
      <c r="K119" s="250" t="s">
        <v>636</v>
      </c>
      <c r="L119" s="250">
        <v>2018</v>
      </c>
      <c r="N119" s="250" t="s">
        <v>2745</v>
      </c>
      <c r="O119" s="251" t="s">
        <v>544</v>
      </c>
      <c r="P119" s="251">
        <v>10.199999999999999</v>
      </c>
      <c r="Q119" s="251" t="s">
        <v>2748</v>
      </c>
      <c r="R119" s="251" t="s">
        <v>549</v>
      </c>
      <c r="S119" s="251">
        <v>3</v>
      </c>
      <c r="T119" s="251" t="s">
        <v>2749</v>
      </c>
      <c r="U119" s="251" t="s">
        <v>496</v>
      </c>
      <c r="V119" s="251" t="s">
        <v>496</v>
      </c>
      <c r="W119" s="251" t="s">
        <v>496</v>
      </c>
      <c r="X119" s="251" t="s">
        <v>496</v>
      </c>
      <c r="Y119" s="251" t="s">
        <v>496</v>
      </c>
      <c r="Z119" s="251" t="s">
        <v>496</v>
      </c>
      <c r="AA119" s="250" t="s">
        <v>844</v>
      </c>
    </row>
    <row r="120" spans="1:27" s="64" customFormat="1">
      <c r="A120" s="64">
        <v>70</v>
      </c>
      <c r="B120" s="64" t="s">
        <v>464</v>
      </c>
      <c r="C120" s="190" t="s">
        <v>256</v>
      </c>
      <c r="D120" s="188">
        <v>125</v>
      </c>
      <c r="E120" s="64" t="s">
        <v>544</v>
      </c>
      <c r="F120" s="188">
        <v>20</v>
      </c>
      <c r="G120" s="202">
        <v>44854</v>
      </c>
      <c r="H120" s="64" t="s">
        <v>1405</v>
      </c>
      <c r="I120" s="64" t="s">
        <v>1406</v>
      </c>
      <c r="J120" s="64" t="s">
        <v>456</v>
      </c>
      <c r="K120" s="64" t="s">
        <v>1164</v>
      </c>
      <c r="L120" s="64">
        <v>2021</v>
      </c>
      <c r="N120" s="64" t="s">
        <v>1408</v>
      </c>
      <c r="O120" s="204" t="s">
        <v>549</v>
      </c>
      <c r="P120" s="204" t="s">
        <v>496</v>
      </c>
      <c r="Q120" s="204" t="s">
        <v>1410</v>
      </c>
      <c r="R120" s="204" t="s">
        <v>496</v>
      </c>
      <c r="S120" s="204" t="s">
        <v>496</v>
      </c>
      <c r="T120" s="204" t="s">
        <v>496</v>
      </c>
      <c r="U120" s="204" t="s">
        <v>496</v>
      </c>
      <c r="V120" s="204" t="s">
        <v>496</v>
      </c>
      <c r="W120" s="204" t="s">
        <v>496</v>
      </c>
      <c r="X120" s="204" t="s">
        <v>496</v>
      </c>
      <c r="Y120" s="204" t="s">
        <v>496</v>
      </c>
      <c r="Z120" s="204" t="s">
        <v>496</v>
      </c>
      <c r="AA120" s="64" t="s">
        <v>834</v>
      </c>
    </row>
    <row r="121" spans="1:27">
      <c r="A121" s="250">
        <f>A128+1</f>
        <v>49</v>
      </c>
      <c r="B121" s="250" t="s">
        <v>652</v>
      </c>
      <c r="C121" s="254" t="s">
        <v>256</v>
      </c>
      <c r="D121" s="255">
        <v>125</v>
      </c>
      <c r="E121" s="250" t="s">
        <v>402</v>
      </c>
      <c r="F121" s="255">
        <v>38</v>
      </c>
      <c r="G121" s="253">
        <v>44812</v>
      </c>
      <c r="H121" s="250" t="s">
        <v>1127</v>
      </c>
      <c r="I121" s="250" t="s">
        <v>1121</v>
      </c>
      <c r="J121" s="250" t="s">
        <v>615</v>
      </c>
      <c r="K121" s="250" t="s">
        <v>636</v>
      </c>
      <c r="L121" s="260" t="s">
        <v>648</v>
      </c>
      <c r="N121" s="250" t="s">
        <v>1125</v>
      </c>
      <c r="O121" s="251" t="s">
        <v>544</v>
      </c>
      <c r="P121" s="251">
        <v>19</v>
      </c>
      <c r="Q121" s="251" t="s">
        <v>1124</v>
      </c>
      <c r="R121" s="251" t="s">
        <v>549</v>
      </c>
      <c r="S121" s="251">
        <v>4</v>
      </c>
      <c r="T121" s="251" t="s">
        <v>1126</v>
      </c>
      <c r="U121" s="251" t="s">
        <v>669</v>
      </c>
      <c r="V121" s="251" t="s">
        <v>496</v>
      </c>
      <c r="W121" s="251" t="s">
        <v>1123</v>
      </c>
      <c r="X121" s="251" t="s">
        <v>496</v>
      </c>
      <c r="Y121" s="251" t="s">
        <v>496</v>
      </c>
      <c r="Z121" s="251" t="s">
        <v>496</v>
      </c>
      <c r="AA121" s="250" t="s">
        <v>1120</v>
      </c>
    </row>
    <row r="122" spans="1:27">
      <c r="A122" s="250">
        <f>A114+1</f>
        <v>41</v>
      </c>
      <c r="B122" s="250" t="s">
        <v>570</v>
      </c>
      <c r="C122" s="254" t="s">
        <v>256</v>
      </c>
      <c r="D122" s="255">
        <v>100</v>
      </c>
      <c r="E122" s="250" t="s">
        <v>549</v>
      </c>
      <c r="F122" s="255">
        <v>50</v>
      </c>
      <c r="G122" s="253">
        <v>45062</v>
      </c>
      <c r="H122" s="250" t="s">
        <v>1075</v>
      </c>
      <c r="I122" s="250" t="s">
        <v>1076</v>
      </c>
      <c r="J122" s="197" t="s">
        <v>614</v>
      </c>
      <c r="K122" s="197" t="s">
        <v>430</v>
      </c>
      <c r="L122" s="262" t="s">
        <v>625</v>
      </c>
      <c r="N122" s="250" t="s">
        <v>1077</v>
      </c>
      <c r="O122" s="251" t="s">
        <v>496</v>
      </c>
      <c r="P122" s="251" t="s">
        <v>496</v>
      </c>
      <c r="Q122" s="251" t="s">
        <v>496</v>
      </c>
      <c r="R122" s="251" t="s">
        <v>496</v>
      </c>
      <c r="S122" s="251" t="s">
        <v>496</v>
      </c>
      <c r="T122" s="251" t="s">
        <v>496</v>
      </c>
      <c r="U122" s="251" t="s">
        <v>496</v>
      </c>
      <c r="V122" s="251" t="s">
        <v>496</v>
      </c>
      <c r="W122" s="251" t="s">
        <v>496</v>
      </c>
      <c r="X122" s="251" t="s">
        <v>496</v>
      </c>
      <c r="Y122" s="251" t="s">
        <v>496</v>
      </c>
      <c r="Z122" s="251" t="s">
        <v>496</v>
      </c>
      <c r="AA122" s="250" t="s">
        <v>1078</v>
      </c>
    </row>
    <row r="123" spans="1:27">
      <c r="A123" s="64">
        <f t="shared" ref="A123:A124" si="1">A122+1</f>
        <v>42</v>
      </c>
      <c r="B123" s="250" t="s">
        <v>627</v>
      </c>
      <c r="C123" s="254" t="s">
        <v>256</v>
      </c>
      <c r="D123" s="255">
        <v>100</v>
      </c>
      <c r="E123" s="250" t="s">
        <v>402</v>
      </c>
      <c r="F123" s="255">
        <v>50</v>
      </c>
      <c r="G123" s="253">
        <v>44643</v>
      </c>
      <c r="H123" s="250" t="s">
        <v>1092</v>
      </c>
      <c r="I123" s="250" t="s">
        <v>1090</v>
      </c>
      <c r="J123" s="250" t="s">
        <v>615</v>
      </c>
      <c r="K123" s="250" t="s">
        <v>628</v>
      </c>
      <c r="L123" s="262" t="s">
        <v>629</v>
      </c>
      <c r="N123" s="250" t="s">
        <v>1080</v>
      </c>
      <c r="O123" s="251" t="s">
        <v>544</v>
      </c>
      <c r="P123" s="251">
        <v>18.5</v>
      </c>
      <c r="Q123" s="251" t="s">
        <v>1085</v>
      </c>
      <c r="R123" s="251" t="s">
        <v>549</v>
      </c>
      <c r="S123" s="251">
        <v>3.5</v>
      </c>
      <c r="T123" s="251" t="s">
        <v>1089</v>
      </c>
      <c r="U123" s="251" t="s">
        <v>496</v>
      </c>
      <c r="V123" s="251" t="s">
        <v>496</v>
      </c>
      <c r="W123" s="251" t="s">
        <v>496</v>
      </c>
      <c r="X123" s="251" t="s">
        <v>496</v>
      </c>
      <c r="Y123" s="251" t="s">
        <v>496</v>
      </c>
      <c r="Z123" s="251" t="s">
        <v>496</v>
      </c>
      <c r="AA123" s="250" t="s">
        <v>932</v>
      </c>
    </row>
    <row r="124" spans="1:27">
      <c r="A124" s="250">
        <f t="shared" si="1"/>
        <v>43</v>
      </c>
      <c r="B124" s="64" t="s">
        <v>449</v>
      </c>
      <c r="C124" s="190" t="s">
        <v>256</v>
      </c>
      <c r="D124" s="188">
        <v>100</v>
      </c>
      <c r="E124" s="64" t="s">
        <v>544</v>
      </c>
      <c r="F124" s="188">
        <v>50</v>
      </c>
      <c r="G124" s="202">
        <v>44796</v>
      </c>
      <c r="H124" s="64" t="s">
        <v>1106</v>
      </c>
      <c r="I124" s="64" t="s">
        <v>1091</v>
      </c>
      <c r="J124" s="197" t="s">
        <v>613</v>
      </c>
      <c r="K124" s="197" t="s">
        <v>247</v>
      </c>
      <c r="L124" s="194">
        <v>44378</v>
      </c>
      <c r="N124" s="250" t="s">
        <v>1101</v>
      </c>
      <c r="O124" s="251" t="s">
        <v>549</v>
      </c>
      <c r="P124" s="251">
        <v>12.5</v>
      </c>
      <c r="Q124" s="251" t="s">
        <v>1102</v>
      </c>
      <c r="R124" s="251" t="s">
        <v>549</v>
      </c>
      <c r="S124" s="251">
        <v>7.2</v>
      </c>
      <c r="T124" s="251" t="s">
        <v>1104</v>
      </c>
      <c r="V124" s="251" t="s">
        <v>496</v>
      </c>
      <c r="W124" s="251" t="s">
        <v>496</v>
      </c>
      <c r="X124" s="251" t="s">
        <v>496</v>
      </c>
      <c r="Y124" s="251" t="s">
        <v>496</v>
      </c>
      <c r="Z124" s="251" t="s">
        <v>496</v>
      </c>
      <c r="AA124" s="250" t="s">
        <v>834</v>
      </c>
    </row>
    <row r="125" spans="1:27">
      <c r="B125" s="250" t="s">
        <v>450</v>
      </c>
      <c r="C125" s="254" t="s">
        <v>256</v>
      </c>
      <c r="D125" s="255">
        <v>100</v>
      </c>
      <c r="E125" s="250" t="s">
        <v>544</v>
      </c>
      <c r="F125" s="255">
        <v>50</v>
      </c>
      <c r="G125" s="205">
        <v>44475</v>
      </c>
      <c r="H125" s="250" t="s">
        <v>1137</v>
      </c>
      <c r="I125" s="250" t="s">
        <v>1109</v>
      </c>
      <c r="J125" s="250" t="s">
        <v>614</v>
      </c>
      <c r="K125" s="250" t="s">
        <v>451</v>
      </c>
      <c r="L125" s="258">
        <v>44440</v>
      </c>
      <c r="N125" s="250" t="s">
        <v>1107</v>
      </c>
      <c r="O125" s="251" t="s">
        <v>496</v>
      </c>
      <c r="P125" s="251" t="s">
        <v>496</v>
      </c>
      <c r="Q125" s="251" t="s">
        <v>496</v>
      </c>
      <c r="R125" s="251" t="s">
        <v>496</v>
      </c>
      <c r="S125" s="251" t="s">
        <v>496</v>
      </c>
      <c r="T125" s="251" t="s">
        <v>496</v>
      </c>
      <c r="U125" s="251" t="s">
        <v>496</v>
      </c>
      <c r="V125" s="251" t="s">
        <v>496</v>
      </c>
      <c r="W125" s="251" t="s">
        <v>496</v>
      </c>
      <c r="X125" s="251" t="s">
        <v>496</v>
      </c>
      <c r="Y125" s="251" t="s">
        <v>496</v>
      </c>
      <c r="Z125" s="251" t="s">
        <v>496</v>
      </c>
      <c r="AA125" s="250" t="s">
        <v>1108</v>
      </c>
    </row>
    <row r="126" spans="1:27">
      <c r="B126" s="250" t="s">
        <v>1692</v>
      </c>
      <c r="C126" s="254" t="s">
        <v>256</v>
      </c>
      <c r="D126" s="255">
        <v>100</v>
      </c>
      <c r="E126" s="250" t="s">
        <v>402</v>
      </c>
      <c r="F126" s="255">
        <v>35</v>
      </c>
      <c r="G126" s="253">
        <v>44309</v>
      </c>
      <c r="I126" s="250" t="s">
        <v>3737</v>
      </c>
      <c r="J126" s="250" t="s">
        <v>614</v>
      </c>
      <c r="K126" s="250" t="s">
        <v>3738</v>
      </c>
      <c r="L126" s="250">
        <v>2017</v>
      </c>
      <c r="N126" s="250" t="s">
        <v>3739</v>
      </c>
      <c r="O126" s="251" t="s">
        <v>544</v>
      </c>
      <c r="P126" s="251">
        <v>5.7</v>
      </c>
      <c r="Q126" s="251" t="s">
        <v>496</v>
      </c>
      <c r="R126" s="251" t="s">
        <v>544</v>
      </c>
      <c r="S126" s="251">
        <v>12.8</v>
      </c>
      <c r="T126" s="251" t="s">
        <v>496</v>
      </c>
      <c r="U126" s="251" t="s">
        <v>549</v>
      </c>
      <c r="V126" s="251" t="s">
        <v>496</v>
      </c>
      <c r="W126" s="251" t="s">
        <v>3742</v>
      </c>
      <c r="X126" s="251" t="s">
        <v>496</v>
      </c>
      <c r="Y126" s="251" t="s">
        <v>496</v>
      </c>
      <c r="Z126" s="251" t="s">
        <v>496</v>
      </c>
      <c r="AA126" s="250" t="s">
        <v>2617</v>
      </c>
    </row>
    <row r="127" spans="1:27">
      <c r="A127" s="250">
        <v>47</v>
      </c>
      <c r="B127" s="250" t="s">
        <v>452</v>
      </c>
      <c r="C127" s="254" t="s">
        <v>256</v>
      </c>
      <c r="D127" s="255">
        <v>100</v>
      </c>
      <c r="E127" s="250" t="s">
        <v>549</v>
      </c>
      <c r="F127" s="255">
        <v>42</v>
      </c>
      <c r="G127" s="253">
        <v>44882</v>
      </c>
      <c r="H127" s="64" t="s">
        <v>1114</v>
      </c>
      <c r="J127" s="196" t="s">
        <v>614</v>
      </c>
      <c r="K127" s="197" t="s">
        <v>430</v>
      </c>
      <c r="L127" s="258">
        <v>44440</v>
      </c>
      <c r="N127" s="250" t="s">
        <v>1110</v>
      </c>
      <c r="O127" s="251" t="s">
        <v>496</v>
      </c>
      <c r="P127" s="251" t="s">
        <v>496</v>
      </c>
      <c r="Q127" s="251" t="s">
        <v>496</v>
      </c>
      <c r="R127" s="251" t="s">
        <v>496</v>
      </c>
      <c r="S127" s="251" t="s">
        <v>496</v>
      </c>
      <c r="T127" s="251" t="s">
        <v>496</v>
      </c>
      <c r="U127" s="251" t="s">
        <v>496</v>
      </c>
      <c r="V127" s="251" t="s">
        <v>496</v>
      </c>
      <c r="W127" s="251" t="s">
        <v>496</v>
      </c>
      <c r="X127" s="251" t="s">
        <v>496</v>
      </c>
      <c r="Y127" s="251" t="s">
        <v>496</v>
      </c>
      <c r="Z127" s="251" t="s">
        <v>496</v>
      </c>
      <c r="AA127" s="250" t="s">
        <v>833</v>
      </c>
    </row>
    <row r="128" spans="1:27">
      <c r="A128" s="250">
        <f>A127+1</f>
        <v>48</v>
      </c>
      <c r="B128" s="250" t="s">
        <v>453</v>
      </c>
      <c r="C128" s="254" t="s">
        <v>256</v>
      </c>
      <c r="D128" s="255">
        <v>100</v>
      </c>
      <c r="E128" s="250" t="s">
        <v>544</v>
      </c>
      <c r="F128" s="255">
        <v>40</v>
      </c>
      <c r="G128" s="253">
        <v>44690</v>
      </c>
      <c r="H128" s="250" t="s">
        <v>1117</v>
      </c>
      <c r="I128" s="250" t="s">
        <v>1115</v>
      </c>
      <c r="J128" s="250" t="s">
        <v>613</v>
      </c>
      <c r="K128" s="250" t="s">
        <v>651</v>
      </c>
      <c r="L128" s="258">
        <v>44501</v>
      </c>
      <c r="N128" s="250" t="s">
        <v>1116</v>
      </c>
      <c r="O128" s="251" t="s">
        <v>1118</v>
      </c>
      <c r="P128" s="251">
        <v>5</v>
      </c>
      <c r="Q128" s="251" t="s">
        <v>1119</v>
      </c>
      <c r="R128" s="251" t="s">
        <v>496</v>
      </c>
      <c r="S128" s="251" t="s">
        <v>496</v>
      </c>
      <c r="T128" s="251" t="s">
        <v>496</v>
      </c>
      <c r="U128" s="251" t="s">
        <v>496</v>
      </c>
      <c r="V128" s="251" t="s">
        <v>496</v>
      </c>
      <c r="W128" s="251" t="s">
        <v>496</v>
      </c>
      <c r="X128" s="251" t="s">
        <v>496</v>
      </c>
      <c r="Y128" s="251" t="s">
        <v>496</v>
      </c>
      <c r="Z128" s="251" t="s">
        <v>496</v>
      </c>
      <c r="AA128" s="250" t="s">
        <v>841</v>
      </c>
    </row>
    <row r="129" spans="1:28">
      <c r="B129" s="250" t="s">
        <v>1542</v>
      </c>
      <c r="C129" s="254" t="s">
        <v>256</v>
      </c>
      <c r="D129" s="255">
        <v>100</v>
      </c>
      <c r="E129" s="250" t="s">
        <v>565</v>
      </c>
      <c r="F129" s="255">
        <v>38</v>
      </c>
      <c r="G129" s="253">
        <v>44580</v>
      </c>
      <c r="H129" s="250" t="s">
        <v>3108</v>
      </c>
      <c r="I129" s="250" t="s">
        <v>3111</v>
      </c>
      <c r="J129" s="250" t="s">
        <v>614</v>
      </c>
      <c r="K129" s="250" t="s">
        <v>3109</v>
      </c>
      <c r="L129" s="250">
        <v>2017</v>
      </c>
      <c r="M129" s="250" t="s">
        <v>3112</v>
      </c>
      <c r="N129" s="250" t="s">
        <v>3113</v>
      </c>
      <c r="O129" s="251" t="s">
        <v>402</v>
      </c>
      <c r="P129" s="251">
        <v>13.5</v>
      </c>
      <c r="Q129" s="251" t="s">
        <v>3114</v>
      </c>
      <c r="R129" s="251" t="s">
        <v>544</v>
      </c>
      <c r="S129" s="251">
        <v>8.4</v>
      </c>
      <c r="T129" s="251" t="s">
        <v>3115</v>
      </c>
      <c r="U129" s="251" t="s">
        <v>549</v>
      </c>
      <c r="V129" s="251">
        <v>1.6</v>
      </c>
      <c r="W129" s="251" t="s">
        <v>3115</v>
      </c>
      <c r="X129" s="251" t="s">
        <v>496</v>
      </c>
      <c r="Y129" s="251" t="s">
        <v>496</v>
      </c>
      <c r="Z129" s="251" t="s">
        <v>496</v>
      </c>
      <c r="AA129" s="250" t="s">
        <v>3110</v>
      </c>
    </row>
    <row r="130" spans="1:28">
      <c r="A130" s="250">
        <v>51</v>
      </c>
      <c r="B130" s="250" t="s">
        <v>654</v>
      </c>
      <c r="C130" s="254" t="s">
        <v>256</v>
      </c>
      <c r="D130" s="255">
        <v>100</v>
      </c>
      <c r="E130" s="250" t="s">
        <v>544</v>
      </c>
      <c r="F130" s="255">
        <v>30</v>
      </c>
      <c r="G130" s="253">
        <v>44893</v>
      </c>
      <c r="H130" s="250" t="s">
        <v>739</v>
      </c>
      <c r="I130" s="250" t="s">
        <v>1130</v>
      </c>
      <c r="J130" s="250" t="s">
        <v>615</v>
      </c>
      <c r="K130" s="250" t="s">
        <v>636</v>
      </c>
      <c r="L130" s="260">
        <v>43313</v>
      </c>
      <c r="N130" s="250" t="s">
        <v>1129</v>
      </c>
      <c r="O130" s="251" t="s">
        <v>549</v>
      </c>
      <c r="P130" s="251">
        <v>7</v>
      </c>
      <c r="Q130" s="251" t="s">
        <v>496</v>
      </c>
      <c r="R130" s="251" t="s">
        <v>669</v>
      </c>
      <c r="S130" s="251">
        <v>3</v>
      </c>
      <c r="T130" s="251" t="s">
        <v>1134</v>
      </c>
      <c r="U130" s="251" t="s">
        <v>496</v>
      </c>
      <c r="V130" s="251" t="s">
        <v>496</v>
      </c>
      <c r="W130" s="251" t="s">
        <v>496</v>
      </c>
      <c r="X130" s="251" t="s">
        <v>496</v>
      </c>
      <c r="Y130" s="251" t="s">
        <v>496</v>
      </c>
      <c r="Z130" s="251" t="s">
        <v>496</v>
      </c>
      <c r="AA130" s="250" t="s">
        <v>833</v>
      </c>
    </row>
    <row r="131" spans="1:28">
      <c r="A131" s="250">
        <v>52</v>
      </c>
      <c r="B131" s="250" t="s">
        <v>1138</v>
      </c>
      <c r="C131" s="254" t="s">
        <v>256</v>
      </c>
      <c r="D131" s="255">
        <v>100</v>
      </c>
      <c r="E131" s="250" t="s">
        <v>544</v>
      </c>
      <c r="F131" s="255">
        <v>23</v>
      </c>
      <c r="G131" s="253">
        <v>44963</v>
      </c>
      <c r="H131" s="64" t="s">
        <v>1140</v>
      </c>
      <c r="J131" s="250" t="s">
        <v>615</v>
      </c>
      <c r="K131" s="250" t="s">
        <v>461</v>
      </c>
      <c r="L131" s="258">
        <v>44621</v>
      </c>
      <c r="N131" s="250" t="s">
        <v>1141</v>
      </c>
      <c r="O131" s="251" t="s">
        <v>549</v>
      </c>
      <c r="P131" s="251">
        <v>5.0999999999999996</v>
      </c>
      <c r="Q131" s="251" t="s">
        <v>870</v>
      </c>
      <c r="R131" s="251" t="s">
        <v>496</v>
      </c>
      <c r="S131" s="251" t="s">
        <v>496</v>
      </c>
      <c r="T131" s="251" t="s">
        <v>496</v>
      </c>
      <c r="U131" s="251" t="s">
        <v>496</v>
      </c>
      <c r="V131" s="251" t="s">
        <v>496</v>
      </c>
      <c r="W131" s="251" t="s">
        <v>496</v>
      </c>
      <c r="X131" s="251" t="s">
        <v>496</v>
      </c>
      <c r="Y131" s="251" t="s">
        <v>496</v>
      </c>
      <c r="Z131" s="251" t="s">
        <v>496</v>
      </c>
      <c r="AA131" s="250" t="s">
        <v>834</v>
      </c>
    </row>
    <row r="132" spans="1:28">
      <c r="B132" s="250" t="s">
        <v>1920</v>
      </c>
      <c r="C132" s="284" t="s">
        <v>256</v>
      </c>
      <c r="D132" s="255">
        <v>100</v>
      </c>
      <c r="E132" s="281" t="s">
        <v>402</v>
      </c>
      <c r="F132" s="255">
        <v>5</v>
      </c>
      <c r="G132" s="253">
        <v>43903</v>
      </c>
      <c r="H132" s="281" t="s">
        <v>4158</v>
      </c>
      <c r="I132" s="281" t="s">
        <v>4155</v>
      </c>
      <c r="J132" s="281" t="s">
        <v>614</v>
      </c>
      <c r="K132" s="281" t="s">
        <v>4157</v>
      </c>
      <c r="L132" s="250">
        <v>2015</v>
      </c>
      <c r="N132" s="281" t="s">
        <v>1038</v>
      </c>
      <c r="O132" s="283" t="s">
        <v>402</v>
      </c>
      <c r="P132" s="283" t="s">
        <v>4161</v>
      </c>
      <c r="Q132" s="283" t="s">
        <v>4159</v>
      </c>
      <c r="R132" s="283" t="s">
        <v>544</v>
      </c>
      <c r="S132" s="251">
        <v>15</v>
      </c>
      <c r="T132" s="283" t="s">
        <v>4162</v>
      </c>
      <c r="U132" s="283" t="s">
        <v>496</v>
      </c>
      <c r="V132" s="283" t="s">
        <v>496</v>
      </c>
      <c r="W132" s="283" t="s">
        <v>496</v>
      </c>
      <c r="X132" s="283" t="s">
        <v>496</v>
      </c>
      <c r="Y132" s="283" t="s">
        <v>496</v>
      </c>
      <c r="Z132" s="283" t="s">
        <v>496</v>
      </c>
      <c r="AA132" s="281" t="s">
        <v>1108</v>
      </c>
      <c r="AB132" s="5" t="s">
        <v>4154</v>
      </c>
    </row>
    <row r="133" spans="1:28">
      <c r="A133" s="250">
        <v>53</v>
      </c>
      <c r="B133" s="250" t="s">
        <v>454</v>
      </c>
      <c r="C133" s="254" t="s">
        <v>256</v>
      </c>
      <c r="D133" s="255">
        <v>100</v>
      </c>
      <c r="E133" s="250" t="s">
        <v>549</v>
      </c>
      <c r="F133" s="255">
        <v>30</v>
      </c>
      <c r="G133" s="253">
        <v>44742</v>
      </c>
      <c r="H133" s="250" t="s">
        <v>250</v>
      </c>
      <c r="I133" s="250" t="s">
        <v>1152</v>
      </c>
      <c r="J133" s="250" t="s">
        <v>615</v>
      </c>
      <c r="K133" s="250" t="s">
        <v>633</v>
      </c>
      <c r="L133" s="258">
        <v>44562</v>
      </c>
      <c r="M133" s="250" t="s">
        <v>250</v>
      </c>
      <c r="N133" s="250" t="s">
        <v>1150</v>
      </c>
      <c r="O133" s="251" t="s">
        <v>496</v>
      </c>
      <c r="P133" s="251" t="s">
        <v>496</v>
      </c>
      <c r="Q133" s="251" t="s">
        <v>496</v>
      </c>
      <c r="R133" s="251" t="s">
        <v>496</v>
      </c>
      <c r="S133" s="251" t="s">
        <v>496</v>
      </c>
      <c r="T133" s="251" t="s">
        <v>496</v>
      </c>
      <c r="U133" s="251" t="s">
        <v>496</v>
      </c>
      <c r="V133" s="251" t="s">
        <v>496</v>
      </c>
      <c r="W133" s="251" t="s">
        <v>496</v>
      </c>
      <c r="X133" s="251" t="s">
        <v>496</v>
      </c>
      <c r="Y133" s="251" t="s">
        <v>496</v>
      </c>
      <c r="Z133" s="251" t="s">
        <v>496</v>
      </c>
      <c r="AA133" s="250" t="s">
        <v>834</v>
      </c>
    </row>
    <row r="134" spans="1:28">
      <c r="A134" s="250">
        <v>55</v>
      </c>
      <c r="B134" s="250" t="s">
        <v>655</v>
      </c>
      <c r="C134" s="254" t="s">
        <v>256</v>
      </c>
      <c r="D134" s="255">
        <v>100</v>
      </c>
      <c r="E134" s="250" t="s">
        <v>402</v>
      </c>
      <c r="F134" s="255">
        <v>30</v>
      </c>
      <c r="G134" s="205">
        <v>44539</v>
      </c>
      <c r="H134" s="250" t="s">
        <v>1172</v>
      </c>
      <c r="I134" s="250" t="s">
        <v>1170</v>
      </c>
      <c r="J134" s="250" t="s">
        <v>614</v>
      </c>
      <c r="K134" s="250" t="s">
        <v>636</v>
      </c>
      <c r="L134" s="260" t="s">
        <v>624</v>
      </c>
      <c r="N134" s="250" t="s">
        <v>1171</v>
      </c>
      <c r="O134" s="251" t="s">
        <v>544</v>
      </c>
      <c r="P134" s="251">
        <v>11</v>
      </c>
      <c r="Q134" s="251" t="s">
        <v>1175</v>
      </c>
      <c r="R134" s="251" t="s">
        <v>549</v>
      </c>
      <c r="S134" s="251">
        <v>3</v>
      </c>
      <c r="T134" s="251" t="s">
        <v>1176</v>
      </c>
      <c r="U134" s="251" t="s">
        <v>496</v>
      </c>
      <c r="V134" s="251" t="s">
        <v>496</v>
      </c>
      <c r="W134" s="251" t="s">
        <v>496</v>
      </c>
      <c r="X134" s="251" t="s">
        <v>496</v>
      </c>
      <c r="Y134" s="251" t="s">
        <v>496</v>
      </c>
      <c r="Z134" s="251" t="s">
        <v>496</v>
      </c>
      <c r="AA134" s="250" t="s">
        <v>834</v>
      </c>
    </row>
    <row r="135" spans="1:28">
      <c r="B135" s="250" t="s">
        <v>656</v>
      </c>
      <c r="C135" s="254" t="s">
        <v>256</v>
      </c>
      <c r="D135" s="255">
        <v>100</v>
      </c>
      <c r="E135" s="250" t="s">
        <v>544</v>
      </c>
      <c r="F135" s="255">
        <v>30</v>
      </c>
      <c r="G135" s="253">
        <v>44914</v>
      </c>
      <c r="H135" s="250" t="s">
        <v>1178</v>
      </c>
      <c r="I135" s="250" t="s">
        <v>1177</v>
      </c>
      <c r="J135" s="250" t="s">
        <v>613</v>
      </c>
      <c r="K135" s="250" t="s">
        <v>657</v>
      </c>
      <c r="L135" s="260" t="s">
        <v>648</v>
      </c>
      <c r="N135" s="250" t="s">
        <v>1179</v>
      </c>
      <c r="O135" s="251" t="s">
        <v>549</v>
      </c>
      <c r="P135" s="251">
        <v>4</v>
      </c>
      <c r="Q135" s="251" t="s">
        <v>1180</v>
      </c>
      <c r="R135" s="251" t="s">
        <v>496</v>
      </c>
      <c r="S135" s="251" t="s">
        <v>496</v>
      </c>
      <c r="T135" s="251" t="s">
        <v>496</v>
      </c>
      <c r="U135" s="251" t="s">
        <v>496</v>
      </c>
      <c r="V135" s="251" t="s">
        <v>496</v>
      </c>
      <c r="W135" s="251" t="s">
        <v>496</v>
      </c>
      <c r="X135" s="251" t="s">
        <v>496</v>
      </c>
      <c r="Y135" s="251" t="s">
        <v>496</v>
      </c>
      <c r="Z135" s="251" t="s">
        <v>496</v>
      </c>
      <c r="AA135" s="250" t="s">
        <v>932</v>
      </c>
    </row>
    <row r="136" spans="1:28">
      <c r="A136" s="250">
        <v>56</v>
      </c>
      <c r="B136" s="250" t="s">
        <v>659</v>
      </c>
      <c r="C136" s="254" t="s">
        <v>256</v>
      </c>
      <c r="D136" s="255">
        <v>100</v>
      </c>
      <c r="E136" s="250" t="s">
        <v>544</v>
      </c>
      <c r="F136" s="255">
        <v>30</v>
      </c>
      <c r="G136" s="205">
        <v>44522</v>
      </c>
      <c r="H136" s="250" t="s">
        <v>1186</v>
      </c>
      <c r="I136" s="250" t="s">
        <v>1182</v>
      </c>
      <c r="J136" s="250" t="s">
        <v>615</v>
      </c>
      <c r="K136" s="250" t="s">
        <v>636</v>
      </c>
      <c r="L136" s="260">
        <v>43862</v>
      </c>
      <c r="N136" s="250" t="s">
        <v>1183</v>
      </c>
      <c r="O136" s="251" t="s">
        <v>549</v>
      </c>
      <c r="P136" s="251">
        <v>5.5</v>
      </c>
      <c r="Q136" s="251" t="s">
        <v>1184</v>
      </c>
      <c r="R136" s="251" t="s">
        <v>549</v>
      </c>
      <c r="S136" s="251">
        <v>2</v>
      </c>
      <c r="T136" s="251" t="s">
        <v>1185</v>
      </c>
      <c r="U136" s="251" t="s">
        <v>496</v>
      </c>
      <c r="V136" s="251" t="s">
        <v>496</v>
      </c>
      <c r="W136" s="251" t="s">
        <v>496</v>
      </c>
      <c r="X136" s="251" t="s">
        <v>496</v>
      </c>
      <c r="Y136" s="251" t="s">
        <v>496</v>
      </c>
      <c r="Z136" s="251" t="s">
        <v>496</v>
      </c>
      <c r="AA136" s="250" t="s">
        <v>1181</v>
      </c>
    </row>
    <row r="137" spans="1:28">
      <c r="A137" s="250">
        <f>+A136+1</f>
        <v>57</v>
      </c>
      <c r="B137" s="64" t="s">
        <v>572</v>
      </c>
      <c r="C137" s="190" t="s">
        <v>256</v>
      </c>
      <c r="D137" s="188">
        <v>100</v>
      </c>
      <c r="E137" s="64" t="s">
        <v>496</v>
      </c>
      <c r="F137" s="188">
        <v>18.5</v>
      </c>
      <c r="G137" s="202">
        <v>45063</v>
      </c>
      <c r="H137" s="64" t="s">
        <v>1196</v>
      </c>
      <c r="I137" s="64" t="s">
        <v>3932</v>
      </c>
      <c r="J137" s="64" t="s">
        <v>615</v>
      </c>
      <c r="K137" s="250" t="s">
        <v>644</v>
      </c>
      <c r="L137" s="258">
        <v>44652</v>
      </c>
      <c r="N137" s="196" t="s">
        <v>1197</v>
      </c>
      <c r="O137" s="251" t="s">
        <v>549</v>
      </c>
      <c r="P137" s="251" t="s">
        <v>496</v>
      </c>
      <c r="Q137" s="251" t="s">
        <v>1195</v>
      </c>
      <c r="R137" s="251" t="s">
        <v>549</v>
      </c>
      <c r="S137" s="251">
        <v>2</v>
      </c>
      <c r="T137" s="251" t="s">
        <v>1194</v>
      </c>
      <c r="U137" s="251" t="s">
        <v>496</v>
      </c>
      <c r="V137" s="251" t="s">
        <v>496</v>
      </c>
      <c r="W137" s="251" t="s">
        <v>496</v>
      </c>
      <c r="X137" s="251" t="s">
        <v>496</v>
      </c>
      <c r="Y137" s="251" t="s">
        <v>496</v>
      </c>
      <c r="Z137" s="251" t="s">
        <v>496</v>
      </c>
      <c r="AA137" s="250" t="s">
        <v>1108</v>
      </c>
    </row>
    <row r="138" spans="1:28">
      <c r="B138" s="250" t="s">
        <v>546</v>
      </c>
      <c r="C138" s="254" t="s">
        <v>256</v>
      </c>
      <c r="D138" s="255">
        <v>110</v>
      </c>
      <c r="E138" s="250" t="s">
        <v>544</v>
      </c>
      <c r="F138" s="255">
        <v>23.5</v>
      </c>
      <c r="G138" s="253">
        <v>44875</v>
      </c>
      <c r="H138" s="250" t="s">
        <v>1424</v>
      </c>
      <c r="I138" s="250" t="s">
        <v>1423</v>
      </c>
      <c r="J138" s="250" t="s">
        <v>614</v>
      </c>
      <c r="K138" s="250" t="s">
        <v>615</v>
      </c>
      <c r="L138" s="257">
        <v>44292</v>
      </c>
      <c r="N138" s="250" t="s">
        <v>1425</v>
      </c>
      <c r="O138" s="251" t="s">
        <v>549</v>
      </c>
      <c r="P138" s="251">
        <v>5.6</v>
      </c>
      <c r="Q138" s="251" t="s">
        <v>1426</v>
      </c>
      <c r="R138" s="251" t="s">
        <v>669</v>
      </c>
      <c r="S138" s="251" t="s">
        <v>496</v>
      </c>
      <c r="T138" s="251" t="s">
        <v>1427</v>
      </c>
      <c r="U138" s="251" t="s">
        <v>496</v>
      </c>
      <c r="V138" s="251" t="s">
        <v>496</v>
      </c>
      <c r="W138" s="251" t="s">
        <v>496</v>
      </c>
      <c r="X138" s="251" t="s">
        <v>496</v>
      </c>
      <c r="Y138" s="251" t="s">
        <v>496</v>
      </c>
      <c r="Z138" s="251" t="s">
        <v>496</v>
      </c>
      <c r="AA138" s="250" t="s">
        <v>1422</v>
      </c>
    </row>
    <row r="139" spans="1:28">
      <c r="B139" s="250" t="s">
        <v>455</v>
      </c>
      <c r="C139" s="254" t="s">
        <v>256</v>
      </c>
      <c r="D139" s="255">
        <v>100</v>
      </c>
      <c r="E139" s="250" t="s">
        <v>549</v>
      </c>
      <c r="F139" s="255">
        <v>30</v>
      </c>
      <c r="G139" s="253">
        <v>44601</v>
      </c>
      <c r="H139" s="250" t="s">
        <v>456</v>
      </c>
      <c r="I139" s="250" t="s">
        <v>1249</v>
      </c>
      <c r="J139" s="250" t="s">
        <v>456</v>
      </c>
      <c r="K139" s="250" t="s">
        <v>658</v>
      </c>
      <c r="L139" s="250">
        <v>2021</v>
      </c>
      <c r="N139" s="250" t="s">
        <v>1250</v>
      </c>
      <c r="O139" s="251" t="s">
        <v>496</v>
      </c>
      <c r="P139" s="251" t="s">
        <v>496</v>
      </c>
      <c r="Q139" s="251" t="s">
        <v>496</v>
      </c>
      <c r="R139" s="251" t="s">
        <v>496</v>
      </c>
      <c r="S139" s="251" t="s">
        <v>496</v>
      </c>
      <c r="T139" s="251" t="s">
        <v>496</v>
      </c>
      <c r="U139" s="251" t="s">
        <v>496</v>
      </c>
      <c r="V139" s="251" t="s">
        <v>496</v>
      </c>
      <c r="W139" s="251" t="s">
        <v>496</v>
      </c>
      <c r="X139" s="251" t="s">
        <v>496</v>
      </c>
      <c r="Y139" s="251" t="s">
        <v>496</v>
      </c>
      <c r="Z139" s="251" t="s">
        <v>496</v>
      </c>
      <c r="AA139" s="250" t="s">
        <v>1248</v>
      </c>
    </row>
    <row r="140" spans="1:28">
      <c r="A140" s="250">
        <v>64</v>
      </c>
      <c r="B140" s="250" t="s">
        <v>662</v>
      </c>
      <c r="C140" s="254" t="s">
        <v>256</v>
      </c>
      <c r="D140" s="255">
        <v>100</v>
      </c>
      <c r="E140" s="250" t="s">
        <v>496</v>
      </c>
      <c r="F140" s="255">
        <v>29</v>
      </c>
      <c r="G140" s="205">
        <v>44368</v>
      </c>
      <c r="H140" s="250" t="s">
        <v>1256</v>
      </c>
      <c r="I140" s="250" t="s">
        <v>1253</v>
      </c>
      <c r="J140" s="250" t="s">
        <v>614</v>
      </c>
      <c r="K140" s="250" t="s">
        <v>646</v>
      </c>
      <c r="L140" s="258">
        <v>43344</v>
      </c>
      <c r="N140" s="250" t="s">
        <v>1255</v>
      </c>
      <c r="O140" s="251" t="s">
        <v>496</v>
      </c>
      <c r="P140" s="251" t="s">
        <v>496</v>
      </c>
      <c r="Q140" s="251" t="s">
        <v>496</v>
      </c>
      <c r="R140" s="251" t="s">
        <v>496</v>
      </c>
      <c r="S140" s="251" t="s">
        <v>496</v>
      </c>
      <c r="T140" s="251" t="s">
        <v>496</v>
      </c>
      <c r="U140" s="251" t="s">
        <v>496</v>
      </c>
      <c r="V140" s="251" t="s">
        <v>496</v>
      </c>
      <c r="W140" s="251" t="s">
        <v>496</v>
      </c>
      <c r="X140" s="251" t="s">
        <v>496</v>
      </c>
      <c r="Y140" s="251" t="s">
        <v>496</v>
      </c>
      <c r="Z140" s="251" t="s">
        <v>496</v>
      </c>
      <c r="AA140" s="250" t="s">
        <v>1108</v>
      </c>
    </row>
    <row r="141" spans="1:28">
      <c r="B141" s="250" t="s">
        <v>663</v>
      </c>
      <c r="C141" s="254" t="s">
        <v>256</v>
      </c>
      <c r="D141" s="255">
        <v>100</v>
      </c>
      <c r="E141" s="250" t="s">
        <v>544</v>
      </c>
      <c r="F141" s="255">
        <v>28</v>
      </c>
      <c r="G141" s="205">
        <v>44442</v>
      </c>
      <c r="H141" s="250" t="s">
        <v>1258</v>
      </c>
      <c r="J141" s="250" t="s">
        <v>1259</v>
      </c>
      <c r="K141" s="250" t="s">
        <v>1259</v>
      </c>
      <c r="L141" s="260" t="s">
        <v>648</v>
      </c>
      <c r="N141" s="250" t="s">
        <v>1260</v>
      </c>
      <c r="O141" s="251" t="s">
        <v>496</v>
      </c>
      <c r="P141" s="251" t="s">
        <v>496</v>
      </c>
      <c r="Q141" s="251" t="s">
        <v>496</v>
      </c>
      <c r="R141" s="251" t="s">
        <v>496</v>
      </c>
      <c r="S141" s="251" t="s">
        <v>496</v>
      </c>
      <c r="T141" s="251" t="s">
        <v>496</v>
      </c>
      <c r="U141" s="251" t="s">
        <v>496</v>
      </c>
      <c r="V141" s="251" t="s">
        <v>496</v>
      </c>
      <c r="W141" s="251" t="s">
        <v>496</v>
      </c>
      <c r="X141" s="251" t="s">
        <v>496</v>
      </c>
      <c r="Y141" s="251" t="s">
        <v>496</v>
      </c>
      <c r="Z141" s="251" t="s">
        <v>496</v>
      </c>
      <c r="AA141" s="250" t="s">
        <v>1257</v>
      </c>
    </row>
    <row r="142" spans="1:28">
      <c r="B142" s="250" t="s">
        <v>664</v>
      </c>
      <c r="C142" s="254" t="s">
        <v>256</v>
      </c>
      <c r="D142" s="255">
        <v>100</v>
      </c>
      <c r="E142" s="250" t="s">
        <v>544</v>
      </c>
      <c r="F142" s="255">
        <v>28</v>
      </c>
      <c r="G142" s="253">
        <v>44656</v>
      </c>
      <c r="H142" s="250" t="s">
        <v>1261</v>
      </c>
      <c r="J142" s="250" t="s">
        <v>613</v>
      </c>
      <c r="K142" s="250" t="s">
        <v>665</v>
      </c>
      <c r="L142" s="260">
        <v>43556</v>
      </c>
      <c r="N142" s="250" t="s">
        <v>1263</v>
      </c>
      <c r="O142" s="251" t="s">
        <v>549</v>
      </c>
      <c r="P142" s="251">
        <v>5</v>
      </c>
      <c r="Q142" s="251" t="s">
        <v>1266</v>
      </c>
      <c r="R142" s="251" t="s">
        <v>810</v>
      </c>
      <c r="S142" s="251" t="s">
        <v>496</v>
      </c>
      <c r="T142" s="251" t="s">
        <v>1267</v>
      </c>
      <c r="U142" s="251" t="s">
        <v>549</v>
      </c>
      <c r="V142" s="251" t="s">
        <v>496</v>
      </c>
      <c r="W142" s="251" t="s">
        <v>1268</v>
      </c>
      <c r="X142" s="251" t="s">
        <v>496</v>
      </c>
      <c r="Y142" s="251" t="s">
        <v>496</v>
      </c>
      <c r="Z142" s="251" t="s">
        <v>496</v>
      </c>
      <c r="AA142" s="250" t="s">
        <v>1269</v>
      </c>
    </row>
    <row r="143" spans="1:28">
      <c r="B143" s="250" t="s">
        <v>1913</v>
      </c>
      <c r="C143" s="278" t="s">
        <v>256</v>
      </c>
      <c r="D143" s="255">
        <v>100</v>
      </c>
      <c r="E143" s="275" t="s">
        <v>544</v>
      </c>
      <c r="F143" s="255">
        <v>25</v>
      </c>
      <c r="G143" s="253">
        <v>44510</v>
      </c>
      <c r="H143" s="275" t="s">
        <v>4130</v>
      </c>
      <c r="I143" s="275" t="s">
        <v>4127</v>
      </c>
      <c r="J143" s="275" t="s">
        <v>614</v>
      </c>
      <c r="K143" s="275" t="s">
        <v>430</v>
      </c>
      <c r="L143" s="250">
        <v>2018</v>
      </c>
      <c r="N143" s="281" t="s">
        <v>4131</v>
      </c>
      <c r="O143" s="283" t="s">
        <v>549</v>
      </c>
      <c r="P143" s="251">
        <v>8</v>
      </c>
      <c r="Q143" s="283" t="s">
        <v>4137</v>
      </c>
      <c r="AA143" s="275" t="s">
        <v>1120</v>
      </c>
      <c r="AB143" s="5" t="s">
        <v>4129</v>
      </c>
    </row>
    <row r="144" spans="1:28" s="64" customFormat="1">
      <c r="B144" s="64" t="s">
        <v>1163</v>
      </c>
      <c r="C144" s="190" t="s">
        <v>256</v>
      </c>
      <c r="D144" s="188">
        <v>100</v>
      </c>
      <c r="E144" s="64" t="s">
        <v>549</v>
      </c>
      <c r="F144" s="188">
        <v>20</v>
      </c>
      <c r="G144" s="202">
        <v>44792</v>
      </c>
      <c r="H144" s="64" t="s">
        <v>1164</v>
      </c>
      <c r="I144" s="64" t="s">
        <v>1270</v>
      </c>
      <c r="J144" s="64" t="s">
        <v>614</v>
      </c>
      <c r="K144" s="64" t="s">
        <v>1164</v>
      </c>
      <c r="L144" s="195" t="s">
        <v>1271</v>
      </c>
      <c r="M144" s="64" t="s">
        <v>1273</v>
      </c>
      <c r="N144" s="64" t="s">
        <v>1272</v>
      </c>
      <c r="O144" s="204" t="s">
        <v>496</v>
      </c>
      <c r="P144" s="204" t="s">
        <v>496</v>
      </c>
      <c r="Q144" s="204" t="s">
        <v>496</v>
      </c>
      <c r="R144" s="204" t="s">
        <v>496</v>
      </c>
      <c r="S144" s="204" t="s">
        <v>496</v>
      </c>
      <c r="T144" s="204" t="s">
        <v>496</v>
      </c>
      <c r="U144" s="204" t="s">
        <v>496</v>
      </c>
      <c r="V144" s="204" t="s">
        <v>496</v>
      </c>
      <c r="W144" s="204" t="s">
        <v>496</v>
      </c>
      <c r="X144" s="204" t="s">
        <v>496</v>
      </c>
      <c r="Y144" s="204" t="s">
        <v>496</v>
      </c>
      <c r="Z144" s="204" t="s">
        <v>496</v>
      </c>
      <c r="AA144" s="64" t="s">
        <v>1274</v>
      </c>
    </row>
    <row r="145" spans="1:28">
      <c r="B145" s="250" t="s">
        <v>666</v>
      </c>
      <c r="C145" s="254" t="s">
        <v>256</v>
      </c>
      <c r="D145" s="255">
        <v>100</v>
      </c>
      <c r="E145" s="250" t="s">
        <v>544</v>
      </c>
      <c r="F145" s="255">
        <v>25</v>
      </c>
      <c r="G145" s="253">
        <v>44404</v>
      </c>
      <c r="H145" s="250" t="s">
        <v>1277</v>
      </c>
      <c r="I145" s="250" t="s">
        <v>1275</v>
      </c>
      <c r="J145" s="250" t="s">
        <v>615</v>
      </c>
      <c r="K145" s="250" t="s">
        <v>642</v>
      </c>
      <c r="L145" s="260">
        <v>43496</v>
      </c>
      <c r="N145" s="196" t="s">
        <v>1278</v>
      </c>
      <c r="O145" s="251" t="s">
        <v>549</v>
      </c>
      <c r="P145" s="251" t="s">
        <v>1279</v>
      </c>
      <c r="Q145" s="251" t="s">
        <v>496</v>
      </c>
      <c r="R145" s="251" t="s">
        <v>496</v>
      </c>
      <c r="S145" s="251" t="s">
        <v>496</v>
      </c>
      <c r="T145" s="251" t="s">
        <v>496</v>
      </c>
      <c r="U145" s="251" t="s">
        <v>496</v>
      </c>
      <c r="V145" s="251" t="s">
        <v>496</v>
      </c>
      <c r="W145" s="251" t="s">
        <v>496</v>
      </c>
      <c r="X145" s="251" t="s">
        <v>496</v>
      </c>
      <c r="Y145" s="251" t="s">
        <v>496</v>
      </c>
      <c r="Z145" s="251" t="s">
        <v>496</v>
      </c>
      <c r="AA145" s="250" t="s">
        <v>1276</v>
      </c>
    </row>
    <row r="146" spans="1:28">
      <c r="B146" s="250" t="s">
        <v>1280</v>
      </c>
      <c r="C146" s="254" t="s">
        <v>256</v>
      </c>
      <c r="D146" s="255">
        <v>100</v>
      </c>
      <c r="E146" s="250" t="s">
        <v>496</v>
      </c>
      <c r="F146" s="255">
        <v>26</v>
      </c>
      <c r="G146" s="205">
        <v>43852</v>
      </c>
      <c r="H146" s="250" t="s">
        <v>1281</v>
      </c>
      <c r="J146" s="250" t="s">
        <v>614</v>
      </c>
      <c r="K146" s="250" t="s">
        <v>640</v>
      </c>
      <c r="L146" s="260">
        <v>43374</v>
      </c>
      <c r="N146" s="250" t="s">
        <v>496</v>
      </c>
      <c r="O146" s="250" t="s">
        <v>496</v>
      </c>
      <c r="P146" s="250" t="s">
        <v>496</v>
      </c>
      <c r="Q146" s="250" t="s">
        <v>496</v>
      </c>
      <c r="R146" s="250" t="s">
        <v>496</v>
      </c>
      <c r="S146" s="250" t="s">
        <v>496</v>
      </c>
      <c r="T146" s="250" t="s">
        <v>496</v>
      </c>
      <c r="U146" s="250" t="s">
        <v>496</v>
      </c>
      <c r="V146" s="250" t="s">
        <v>496</v>
      </c>
      <c r="W146" s="250" t="s">
        <v>496</v>
      </c>
      <c r="X146" s="250" t="s">
        <v>496</v>
      </c>
      <c r="Y146" s="250" t="s">
        <v>496</v>
      </c>
      <c r="Z146" s="250" t="s">
        <v>496</v>
      </c>
      <c r="AA146" s="250" t="s">
        <v>834</v>
      </c>
    </row>
    <row r="147" spans="1:28">
      <c r="A147" s="64">
        <v>61</v>
      </c>
      <c r="B147" s="64" t="s">
        <v>667</v>
      </c>
      <c r="C147" s="190" t="s">
        <v>256</v>
      </c>
      <c r="D147" s="188">
        <v>100</v>
      </c>
      <c r="E147" s="64" t="s">
        <v>544</v>
      </c>
      <c r="F147" s="188">
        <v>25</v>
      </c>
      <c r="G147" s="202">
        <v>44013</v>
      </c>
      <c r="H147" s="64" t="s">
        <v>739</v>
      </c>
      <c r="I147" s="64" t="s">
        <v>1282</v>
      </c>
      <c r="J147" s="64" t="s">
        <v>615</v>
      </c>
      <c r="K147" s="64" t="s">
        <v>636</v>
      </c>
      <c r="L147" s="195" t="s">
        <v>648</v>
      </c>
      <c r="N147" s="250" t="s">
        <v>496</v>
      </c>
      <c r="O147" s="250" t="s">
        <v>496</v>
      </c>
      <c r="P147" s="250" t="s">
        <v>496</v>
      </c>
      <c r="Q147" s="250" t="s">
        <v>496</v>
      </c>
      <c r="R147" s="250" t="s">
        <v>496</v>
      </c>
      <c r="S147" s="250" t="s">
        <v>496</v>
      </c>
      <c r="T147" s="250" t="s">
        <v>496</v>
      </c>
      <c r="U147" s="250" t="s">
        <v>496</v>
      </c>
      <c r="V147" s="250" t="s">
        <v>496</v>
      </c>
      <c r="W147" s="250" t="s">
        <v>496</v>
      </c>
      <c r="X147" s="250" t="s">
        <v>496</v>
      </c>
      <c r="Y147" s="250" t="s">
        <v>496</v>
      </c>
      <c r="Z147" s="250" t="s">
        <v>496</v>
      </c>
      <c r="AA147" s="250" t="s">
        <v>834</v>
      </c>
    </row>
    <row r="148" spans="1:28">
      <c r="B148" s="250" t="s">
        <v>581</v>
      </c>
      <c r="C148" s="254" t="s">
        <v>256</v>
      </c>
      <c r="D148" s="255">
        <v>100</v>
      </c>
      <c r="E148" s="250" t="s">
        <v>544</v>
      </c>
      <c r="F148" s="255">
        <f>12.2+16.3</f>
        <v>28.5</v>
      </c>
      <c r="G148" s="253">
        <v>45077</v>
      </c>
      <c r="H148" s="250" t="s">
        <v>1687</v>
      </c>
      <c r="I148" s="250" t="s">
        <v>1688</v>
      </c>
      <c r="J148" s="250" t="s">
        <v>614</v>
      </c>
      <c r="K148" s="250" t="s">
        <v>636</v>
      </c>
      <c r="L148" s="250">
        <v>2021</v>
      </c>
      <c r="N148" s="250" t="s">
        <v>1689</v>
      </c>
      <c r="O148" s="251" t="s">
        <v>496</v>
      </c>
      <c r="P148" s="251" t="s">
        <v>496</v>
      </c>
      <c r="Q148" s="251" t="s">
        <v>496</v>
      </c>
      <c r="R148" s="251" t="s">
        <v>496</v>
      </c>
      <c r="S148" s="251" t="s">
        <v>496</v>
      </c>
      <c r="T148" s="251" t="s">
        <v>496</v>
      </c>
      <c r="U148" s="251" t="s">
        <v>496</v>
      </c>
      <c r="V148" s="251" t="s">
        <v>496</v>
      </c>
      <c r="W148" s="251" t="s">
        <v>496</v>
      </c>
      <c r="X148" s="251" t="s">
        <v>496</v>
      </c>
      <c r="Y148" s="251" t="s">
        <v>496</v>
      </c>
      <c r="Z148" s="251" t="s">
        <v>496</v>
      </c>
      <c r="AA148" s="250" t="s">
        <v>834</v>
      </c>
    </row>
    <row r="149" spans="1:28">
      <c r="B149" s="250" t="s">
        <v>1355</v>
      </c>
      <c r="C149" s="254" t="s">
        <v>256</v>
      </c>
      <c r="D149" s="255">
        <v>100</v>
      </c>
      <c r="E149" s="250" t="s">
        <v>402</v>
      </c>
      <c r="F149" s="255">
        <v>27.5</v>
      </c>
      <c r="G149" s="253">
        <v>44181</v>
      </c>
      <c r="H149" s="250" t="s">
        <v>3039</v>
      </c>
      <c r="I149" s="250" t="s">
        <v>3038</v>
      </c>
      <c r="J149" s="250" t="s">
        <v>613</v>
      </c>
      <c r="K149" s="250" t="s">
        <v>567</v>
      </c>
      <c r="L149" s="250">
        <v>2017</v>
      </c>
      <c r="M149" s="250" t="s">
        <v>3041</v>
      </c>
      <c r="N149" s="250" t="s">
        <v>3042</v>
      </c>
      <c r="O149" s="251" t="s">
        <v>544</v>
      </c>
      <c r="P149" s="251">
        <v>10.7</v>
      </c>
      <c r="Q149" s="251" t="s">
        <v>3044</v>
      </c>
      <c r="R149" s="251" t="s">
        <v>496</v>
      </c>
      <c r="S149" s="251" t="s">
        <v>496</v>
      </c>
      <c r="T149" s="251" t="s">
        <v>496</v>
      </c>
      <c r="U149" s="251" t="s">
        <v>496</v>
      </c>
      <c r="V149" s="251" t="s">
        <v>496</v>
      </c>
      <c r="W149" s="251" t="s">
        <v>496</v>
      </c>
      <c r="X149" s="251" t="s">
        <v>496</v>
      </c>
      <c r="Y149" s="251" t="s">
        <v>496</v>
      </c>
      <c r="Z149" s="251" t="s">
        <v>496</v>
      </c>
      <c r="AA149" s="250" t="s">
        <v>844</v>
      </c>
    </row>
    <row r="150" spans="1:28">
      <c r="B150" s="250" t="s">
        <v>457</v>
      </c>
      <c r="C150" s="254" t="s">
        <v>256</v>
      </c>
      <c r="D150" s="255">
        <v>100</v>
      </c>
      <c r="E150" s="250" t="s">
        <v>544</v>
      </c>
      <c r="F150" s="255">
        <v>27</v>
      </c>
      <c r="G150" s="205">
        <v>44299</v>
      </c>
      <c r="H150" s="250" t="s">
        <v>1288</v>
      </c>
      <c r="J150" s="250" t="s">
        <v>615</v>
      </c>
      <c r="K150" s="250" t="s">
        <v>458</v>
      </c>
      <c r="L150" s="250">
        <v>2021</v>
      </c>
      <c r="N150" s="250" t="s">
        <v>496</v>
      </c>
      <c r="O150" s="250" t="s">
        <v>496</v>
      </c>
      <c r="P150" s="250" t="s">
        <v>496</v>
      </c>
      <c r="Q150" s="250" t="s">
        <v>496</v>
      </c>
      <c r="R150" s="250" t="s">
        <v>496</v>
      </c>
      <c r="S150" s="250" t="s">
        <v>496</v>
      </c>
      <c r="T150" s="250" t="s">
        <v>496</v>
      </c>
      <c r="U150" s="250" t="s">
        <v>496</v>
      </c>
      <c r="V150" s="250" t="s">
        <v>496</v>
      </c>
      <c r="W150" s="250" t="s">
        <v>496</v>
      </c>
      <c r="X150" s="250" t="s">
        <v>496</v>
      </c>
      <c r="Y150" s="250" t="s">
        <v>496</v>
      </c>
      <c r="Z150" s="250" t="s">
        <v>496</v>
      </c>
      <c r="AA150" s="250" t="s">
        <v>1286</v>
      </c>
    </row>
    <row r="151" spans="1:28">
      <c r="A151" s="250">
        <v>62</v>
      </c>
      <c r="B151" s="250" t="s">
        <v>3276</v>
      </c>
      <c r="C151" s="254" t="s">
        <v>256</v>
      </c>
      <c r="D151" s="255">
        <v>100</v>
      </c>
      <c r="E151" s="250" t="s">
        <v>402</v>
      </c>
      <c r="F151" s="255">
        <v>27</v>
      </c>
      <c r="G151" s="253">
        <v>44882</v>
      </c>
      <c r="H151" s="250" t="s">
        <v>1645</v>
      </c>
      <c r="I151" s="250" t="s">
        <v>1640</v>
      </c>
      <c r="J151" s="250" t="s">
        <v>613</v>
      </c>
      <c r="K151" s="250" t="s">
        <v>1641</v>
      </c>
      <c r="L151" s="250">
        <v>2016</v>
      </c>
      <c r="N151" s="250" t="s">
        <v>1644</v>
      </c>
      <c r="O151" s="251" t="s">
        <v>544</v>
      </c>
      <c r="P151" s="251">
        <v>11</v>
      </c>
      <c r="Q151" s="251" t="s">
        <v>1647</v>
      </c>
      <c r="R151" s="251" t="s">
        <v>549</v>
      </c>
      <c r="S151" s="251" t="s">
        <v>496</v>
      </c>
      <c r="T151" s="251" t="s">
        <v>1649</v>
      </c>
      <c r="U151" s="251" t="s">
        <v>496</v>
      </c>
      <c r="V151" s="251" t="s">
        <v>496</v>
      </c>
      <c r="W151" s="251" t="s">
        <v>496</v>
      </c>
      <c r="X151" s="251" t="s">
        <v>496</v>
      </c>
      <c r="Y151" s="251" t="s">
        <v>496</v>
      </c>
      <c r="Z151" s="251" t="s">
        <v>496</v>
      </c>
      <c r="AA151" s="250" t="s">
        <v>834</v>
      </c>
    </row>
    <row r="152" spans="1:28">
      <c r="A152" s="250">
        <v>62</v>
      </c>
      <c r="B152" s="250" t="s">
        <v>668</v>
      </c>
      <c r="C152" s="254" t="s">
        <v>256</v>
      </c>
      <c r="D152" s="255">
        <v>100</v>
      </c>
      <c r="E152" s="250" t="s">
        <v>544</v>
      </c>
      <c r="F152" s="255">
        <v>25</v>
      </c>
      <c r="G152" s="253">
        <v>44699</v>
      </c>
      <c r="H152" s="250" t="s">
        <v>739</v>
      </c>
      <c r="I152" s="250" t="s">
        <v>1289</v>
      </c>
      <c r="J152" s="250" t="s">
        <v>615</v>
      </c>
      <c r="K152" s="250" t="s">
        <v>636</v>
      </c>
      <c r="L152" s="262" t="s">
        <v>624</v>
      </c>
      <c r="N152" s="250" t="s">
        <v>1292</v>
      </c>
      <c r="O152" s="250" t="s">
        <v>496</v>
      </c>
      <c r="P152" s="250" t="s">
        <v>496</v>
      </c>
      <c r="Q152" s="250" t="s">
        <v>496</v>
      </c>
      <c r="R152" s="250" t="s">
        <v>496</v>
      </c>
      <c r="S152" s="250" t="s">
        <v>496</v>
      </c>
      <c r="T152" s="250" t="s">
        <v>496</v>
      </c>
      <c r="U152" s="250" t="s">
        <v>496</v>
      </c>
      <c r="V152" s="250" t="s">
        <v>496</v>
      </c>
      <c r="W152" s="250" t="s">
        <v>496</v>
      </c>
      <c r="X152" s="250" t="s">
        <v>496</v>
      </c>
      <c r="Y152" s="250" t="s">
        <v>496</v>
      </c>
      <c r="Z152" s="250" t="s">
        <v>496</v>
      </c>
      <c r="AA152" s="250" t="s">
        <v>834</v>
      </c>
    </row>
    <row r="153" spans="1:28">
      <c r="A153" s="250">
        <v>63</v>
      </c>
      <c r="B153" s="250" t="s">
        <v>462</v>
      </c>
      <c r="C153" s="254" t="s">
        <v>256</v>
      </c>
      <c r="D153" s="255">
        <v>100</v>
      </c>
      <c r="E153" s="250" t="s">
        <v>544</v>
      </c>
      <c r="F153" s="255">
        <v>25</v>
      </c>
      <c r="G153" s="253">
        <v>44679</v>
      </c>
      <c r="H153" s="250" t="s">
        <v>1298</v>
      </c>
      <c r="I153" s="250" t="s">
        <v>1297</v>
      </c>
      <c r="J153" s="250" t="s">
        <v>615</v>
      </c>
      <c r="K153" s="250" t="s">
        <v>636</v>
      </c>
      <c r="L153" s="250">
        <v>2021</v>
      </c>
      <c r="N153" s="250" t="s">
        <v>1299</v>
      </c>
      <c r="O153" s="251" t="s">
        <v>549</v>
      </c>
      <c r="P153" s="251">
        <v>3</v>
      </c>
      <c r="Q153" s="251" t="s">
        <v>1300</v>
      </c>
      <c r="R153" s="250" t="s">
        <v>496</v>
      </c>
      <c r="S153" s="250" t="s">
        <v>496</v>
      </c>
      <c r="T153" s="250" t="s">
        <v>496</v>
      </c>
      <c r="U153" s="250" t="s">
        <v>496</v>
      </c>
      <c r="V153" s="250" t="s">
        <v>496</v>
      </c>
      <c r="W153" s="250" t="s">
        <v>496</v>
      </c>
      <c r="X153" s="250" t="s">
        <v>496</v>
      </c>
      <c r="Y153" s="250" t="s">
        <v>496</v>
      </c>
      <c r="Z153" s="250" t="s">
        <v>496</v>
      </c>
      <c r="AA153" s="250" t="s">
        <v>1296</v>
      </c>
    </row>
    <row r="154" spans="1:28">
      <c r="A154" s="250">
        <v>64</v>
      </c>
      <c r="B154" s="250" t="s">
        <v>1301</v>
      </c>
      <c r="C154" s="254" t="s">
        <v>256</v>
      </c>
      <c r="D154" s="255">
        <v>100</v>
      </c>
      <c r="E154" s="250" t="s">
        <v>544</v>
      </c>
      <c r="F154" s="255">
        <v>25</v>
      </c>
      <c r="G154" s="205">
        <v>44404</v>
      </c>
      <c r="H154" s="250" t="s">
        <v>1303</v>
      </c>
      <c r="I154" s="250" t="s">
        <v>1304</v>
      </c>
      <c r="J154" s="250" t="s">
        <v>615</v>
      </c>
      <c r="K154" s="250" t="s">
        <v>636</v>
      </c>
      <c r="L154" s="258">
        <v>43435</v>
      </c>
      <c r="N154" s="196" t="s">
        <v>1305</v>
      </c>
      <c r="O154" s="251" t="s">
        <v>549</v>
      </c>
      <c r="P154" s="251">
        <v>6</v>
      </c>
      <c r="Q154" s="251" t="s">
        <v>1306</v>
      </c>
      <c r="R154" s="251" t="s">
        <v>496</v>
      </c>
      <c r="S154" s="250" t="s">
        <v>496</v>
      </c>
      <c r="T154" s="250" t="s">
        <v>496</v>
      </c>
      <c r="U154" s="250" t="s">
        <v>496</v>
      </c>
      <c r="V154" s="250" t="s">
        <v>496</v>
      </c>
      <c r="W154" s="250" t="s">
        <v>496</v>
      </c>
      <c r="X154" s="250" t="s">
        <v>496</v>
      </c>
      <c r="Y154" s="250" t="s">
        <v>496</v>
      </c>
      <c r="Z154" s="250" t="s">
        <v>496</v>
      </c>
      <c r="AA154" s="250" t="s">
        <v>1302</v>
      </c>
    </row>
    <row r="155" spans="1:28">
      <c r="A155" s="250">
        <v>65</v>
      </c>
      <c r="B155" s="250" t="s">
        <v>670</v>
      </c>
      <c r="C155" s="254" t="s">
        <v>256</v>
      </c>
      <c r="D155" s="255">
        <v>100</v>
      </c>
      <c r="E155" s="250" t="s">
        <v>544</v>
      </c>
      <c r="F155" s="255">
        <v>25</v>
      </c>
      <c r="G155" s="253">
        <v>44944</v>
      </c>
      <c r="H155" s="250" t="s">
        <v>1311</v>
      </c>
      <c r="I155" s="250" t="s">
        <v>1307</v>
      </c>
      <c r="J155" s="250" t="s">
        <v>614</v>
      </c>
      <c r="K155" s="250" t="s">
        <v>644</v>
      </c>
      <c r="L155" s="260" t="s">
        <v>648</v>
      </c>
      <c r="N155" s="250" t="s">
        <v>1310</v>
      </c>
      <c r="O155" s="251" t="s">
        <v>549</v>
      </c>
      <c r="P155" s="251">
        <v>5</v>
      </c>
      <c r="Q155" s="251" t="s">
        <v>1188</v>
      </c>
      <c r="R155" s="251" t="s">
        <v>669</v>
      </c>
      <c r="S155" s="251">
        <v>3</v>
      </c>
      <c r="T155" s="251" t="s">
        <v>496</v>
      </c>
      <c r="U155" s="250" t="s">
        <v>496</v>
      </c>
      <c r="V155" s="250" t="s">
        <v>496</v>
      </c>
      <c r="W155" s="250" t="s">
        <v>496</v>
      </c>
      <c r="X155" s="250" t="s">
        <v>496</v>
      </c>
      <c r="Y155" s="250" t="s">
        <v>496</v>
      </c>
      <c r="Z155" s="250" t="s">
        <v>496</v>
      </c>
      <c r="AA155" s="250" t="s">
        <v>932</v>
      </c>
    </row>
    <row r="156" spans="1:28">
      <c r="A156" s="250">
        <v>66</v>
      </c>
      <c r="B156" s="250" t="s">
        <v>671</v>
      </c>
      <c r="C156" s="254" t="s">
        <v>256</v>
      </c>
      <c r="D156" s="255">
        <v>100</v>
      </c>
      <c r="E156" s="250" t="s">
        <v>402</v>
      </c>
      <c r="F156" s="255">
        <v>25</v>
      </c>
      <c r="G156" s="253">
        <v>44636</v>
      </c>
      <c r="H156" s="250" t="s">
        <v>691</v>
      </c>
      <c r="I156" s="250" t="s">
        <v>1314</v>
      </c>
      <c r="J156" s="250" t="s">
        <v>615</v>
      </c>
      <c r="K156" s="250" t="s">
        <v>636</v>
      </c>
      <c r="L156" s="260" t="s">
        <v>624</v>
      </c>
      <c r="N156" s="250" t="s">
        <v>1315</v>
      </c>
      <c r="O156" s="251" t="s">
        <v>544</v>
      </c>
      <c r="P156" s="251">
        <v>12.2</v>
      </c>
      <c r="Q156" s="251" t="s">
        <v>1320</v>
      </c>
      <c r="R156" s="251" t="s">
        <v>549</v>
      </c>
      <c r="S156" s="251">
        <v>5.0999999999999996</v>
      </c>
      <c r="T156" s="251" t="s">
        <v>1321</v>
      </c>
      <c r="U156" s="251" t="s">
        <v>496</v>
      </c>
      <c r="V156" s="250" t="s">
        <v>496</v>
      </c>
      <c r="W156" s="250" t="s">
        <v>496</v>
      </c>
      <c r="X156" s="250" t="s">
        <v>496</v>
      </c>
      <c r="Y156" s="250" t="s">
        <v>496</v>
      </c>
      <c r="Z156" s="250" t="s">
        <v>496</v>
      </c>
      <c r="AA156" s="250" t="s">
        <v>838</v>
      </c>
    </row>
    <row r="157" spans="1:28">
      <c r="A157" s="250">
        <v>67</v>
      </c>
      <c r="B157" s="250" t="s">
        <v>672</v>
      </c>
      <c r="C157" s="254" t="s">
        <v>256</v>
      </c>
      <c r="D157" s="255">
        <v>100</v>
      </c>
      <c r="E157" s="250" t="s">
        <v>544</v>
      </c>
      <c r="F157" s="255">
        <v>25</v>
      </c>
      <c r="G157" s="253">
        <v>44615</v>
      </c>
      <c r="H157" s="250" t="s">
        <v>1127</v>
      </c>
      <c r="I157" s="250" t="s">
        <v>1322</v>
      </c>
      <c r="J157" s="250" t="s">
        <v>615</v>
      </c>
      <c r="K157" s="250" t="s">
        <v>636</v>
      </c>
      <c r="L157" s="260">
        <v>43709</v>
      </c>
      <c r="N157" s="250" t="s">
        <v>1323</v>
      </c>
      <c r="O157" s="251" t="s">
        <v>549</v>
      </c>
      <c r="P157" s="251">
        <v>5</v>
      </c>
      <c r="Q157" s="251" t="s">
        <v>1326</v>
      </c>
      <c r="R157" s="251" t="s">
        <v>496</v>
      </c>
      <c r="S157" s="251" t="s">
        <v>496</v>
      </c>
      <c r="T157" s="251" t="s">
        <v>496</v>
      </c>
      <c r="U157" s="251" t="s">
        <v>496</v>
      </c>
      <c r="V157" s="251" t="s">
        <v>496</v>
      </c>
      <c r="W157" s="251" t="s">
        <v>496</v>
      </c>
      <c r="X157" s="251" t="s">
        <v>496</v>
      </c>
      <c r="Y157" s="251" t="s">
        <v>496</v>
      </c>
      <c r="Z157" s="251" t="s">
        <v>496</v>
      </c>
      <c r="AA157" s="250" t="s">
        <v>932</v>
      </c>
    </row>
    <row r="158" spans="1:28">
      <c r="B158" s="250" t="s">
        <v>1262</v>
      </c>
      <c r="C158" s="254" t="s">
        <v>256</v>
      </c>
      <c r="D158" s="255">
        <v>100</v>
      </c>
      <c r="E158" s="250" t="s">
        <v>402</v>
      </c>
      <c r="F158" s="255">
        <v>25</v>
      </c>
      <c r="G158" s="205">
        <v>43972</v>
      </c>
      <c r="H158" s="250" t="s">
        <v>731</v>
      </c>
      <c r="I158" s="250" t="s">
        <v>2559</v>
      </c>
      <c r="J158" s="250" t="s">
        <v>614</v>
      </c>
      <c r="K158" s="250" t="s">
        <v>731</v>
      </c>
      <c r="L158" s="250">
        <v>2016</v>
      </c>
      <c r="N158" s="250" t="s">
        <v>2560</v>
      </c>
      <c r="O158" s="251" t="s">
        <v>544</v>
      </c>
      <c r="P158" s="251">
        <v>11.5</v>
      </c>
      <c r="Q158" s="251" t="s">
        <v>2562</v>
      </c>
      <c r="R158" s="251" t="s">
        <v>496</v>
      </c>
      <c r="S158" s="251" t="s">
        <v>496</v>
      </c>
      <c r="T158" s="251" t="s">
        <v>496</v>
      </c>
      <c r="U158" s="251" t="s">
        <v>496</v>
      </c>
      <c r="V158" s="251" t="s">
        <v>496</v>
      </c>
      <c r="W158" s="251" t="s">
        <v>496</v>
      </c>
      <c r="X158" s="251" t="s">
        <v>496</v>
      </c>
      <c r="Y158" s="251" t="s">
        <v>496</v>
      </c>
      <c r="Z158" s="251" t="s">
        <v>496</v>
      </c>
      <c r="AA158" s="250" t="s">
        <v>840</v>
      </c>
    </row>
    <row r="159" spans="1:28">
      <c r="A159" s="250">
        <v>68</v>
      </c>
      <c r="B159" s="250" t="s">
        <v>673</v>
      </c>
      <c r="C159" s="254" t="s">
        <v>256</v>
      </c>
      <c r="D159" s="255">
        <v>100</v>
      </c>
      <c r="E159" s="250" t="s">
        <v>402</v>
      </c>
      <c r="F159" s="255">
        <v>25</v>
      </c>
      <c r="G159" s="253">
        <v>44764</v>
      </c>
      <c r="H159" s="250" t="s">
        <v>1327</v>
      </c>
      <c r="I159" s="250" t="s">
        <v>1328</v>
      </c>
      <c r="J159" s="250" t="s">
        <v>615</v>
      </c>
      <c r="K159" s="250" t="s">
        <v>636</v>
      </c>
      <c r="L159" s="260" t="s">
        <v>624</v>
      </c>
      <c r="N159" s="251" t="s">
        <v>1331</v>
      </c>
      <c r="O159" s="251" t="s">
        <v>544</v>
      </c>
      <c r="P159" s="251">
        <v>21</v>
      </c>
      <c r="Q159" s="251" t="s">
        <v>1337</v>
      </c>
      <c r="R159" s="251" t="s">
        <v>549</v>
      </c>
      <c r="S159" s="251">
        <v>9.1</v>
      </c>
      <c r="T159" s="251" t="s">
        <v>1339</v>
      </c>
      <c r="U159" s="251" t="s">
        <v>496</v>
      </c>
      <c r="V159" s="251" t="s">
        <v>496</v>
      </c>
      <c r="W159" s="251" t="s">
        <v>496</v>
      </c>
      <c r="X159" s="251" t="s">
        <v>496</v>
      </c>
      <c r="Y159" s="251" t="s">
        <v>496</v>
      </c>
      <c r="Z159" s="251" t="s">
        <v>496</v>
      </c>
      <c r="AA159" s="250" t="s">
        <v>932</v>
      </c>
    </row>
    <row r="160" spans="1:28">
      <c r="B160" s="250" t="s">
        <v>1858</v>
      </c>
      <c r="C160" s="278" t="s">
        <v>256</v>
      </c>
      <c r="D160" s="255">
        <v>100</v>
      </c>
      <c r="E160" s="275" t="s">
        <v>402</v>
      </c>
      <c r="F160" s="255">
        <v>23.5</v>
      </c>
      <c r="G160" s="253">
        <v>45008</v>
      </c>
      <c r="H160" s="275" t="s">
        <v>4093</v>
      </c>
      <c r="I160" s="275" t="s">
        <v>4089</v>
      </c>
      <c r="J160" s="275" t="s">
        <v>614</v>
      </c>
      <c r="K160" s="275" t="s">
        <v>4088</v>
      </c>
      <c r="L160" s="250">
        <v>2019</v>
      </c>
      <c r="N160" s="275" t="s">
        <v>4092</v>
      </c>
      <c r="O160" s="276" t="s">
        <v>544</v>
      </c>
      <c r="P160" s="251">
        <v>16</v>
      </c>
      <c r="Q160" s="276" t="s">
        <v>4096</v>
      </c>
      <c r="R160" s="276" t="s">
        <v>549</v>
      </c>
      <c r="S160" s="251">
        <v>5</v>
      </c>
      <c r="T160" s="276" t="s">
        <v>4097</v>
      </c>
      <c r="U160" s="276" t="s">
        <v>496</v>
      </c>
      <c r="V160" s="276" t="s">
        <v>496</v>
      </c>
      <c r="W160" s="276" t="s">
        <v>496</v>
      </c>
      <c r="X160" s="276" t="s">
        <v>496</v>
      </c>
      <c r="Y160" s="276" t="s">
        <v>496</v>
      </c>
      <c r="Z160" s="276" t="s">
        <v>496</v>
      </c>
      <c r="AA160" s="275" t="s">
        <v>844</v>
      </c>
      <c r="AB160" s="5" t="s">
        <v>4087</v>
      </c>
    </row>
    <row r="161" spans="1:28">
      <c r="B161" s="250" t="s">
        <v>145</v>
      </c>
      <c r="C161" s="254" t="s">
        <v>256</v>
      </c>
      <c r="D161" s="255">
        <v>100</v>
      </c>
      <c r="E161" s="250" t="s">
        <v>549</v>
      </c>
      <c r="F161" s="255">
        <v>25</v>
      </c>
      <c r="G161" s="253">
        <v>44873</v>
      </c>
      <c r="H161" s="250" t="s">
        <v>1715</v>
      </c>
      <c r="I161" s="250" t="s">
        <v>1716</v>
      </c>
      <c r="J161" s="250" t="s">
        <v>1714</v>
      </c>
      <c r="K161" s="250" t="s">
        <v>1714</v>
      </c>
      <c r="L161" s="250">
        <v>2022</v>
      </c>
      <c r="M161" s="250" t="s">
        <v>1721</v>
      </c>
      <c r="N161" s="250" t="s">
        <v>1720</v>
      </c>
      <c r="O161" s="251" t="s">
        <v>496</v>
      </c>
      <c r="P161" s="251" t="s">
        <v>496</v>
      </c>
      <c r="Q161" s="251" t="s">
        <v>496</v>
      </c>
      <c r="R161" s="251" t="s">
        <v>496</v>
      </c>
      <c r="S161" s="251" t="s">
        <v>496</v>
      </c>
      <c r="T161" s="251" t="s">
        <v>496</v>
      </c>
      <c r="U161" s="251" t="s">
        <v>496</v>
      </c>
      <c r="V161" s="251" t="s">
        <v>496</v>
      </c>
      <c r="W161" s="251" t="s">
        <v>496</v>
      </c>
      <c r="X161" s="251" t="s">
        <v>496</v>
      </c>
      <c r="Y161" s="251" t="s">
        <v>496</v>
      </c>
      <c r="Z161" s="251" t="s">
        <v>496</v>
      </c>
      <c r="AA161" s="250" t="s">
        <v>833</v>
      </c>
    </row>
    <row r="162" spans="1:28">
      <c r="A162" s="250">
        <v>69</v>
      </c>
      <c r="B162" s="250" t="s">
        <v>674</v>
      </c>
      <c r="C162" s="254" t="s">
        <v>256</v>
      </c>
      <c r="D162" s="255">
        <v>100</v>
      </c>
      <c r="E162" s="250" t="s">
        <v>544</v>
      </c>
      <c r="F162" s="255">
        <v>25</v>
      </c>
      <c r="G162" s="253">
        <v>44757</v>
      </c>
      <c r="H162" s="250" t="s">
        <v>1352</v>
      </c>
      <c r="J162" s="250" t="s">
        <v>614</v>
      </c>
      <c r="K162" s="250" t="s">
        <v>675</v>
      </c>
      <c r="L162" s="260" t="s">
        <v>624</v>
      </c>
      <c r="N162" s="250" t="s">
        <v>1340</v>
      </c>
      <c r="O162" s="251" t="s">
        <v>549</v>
      </c>
      <c r="P162" s="251">
        <v>4</v>
      </c>
      <c r="Q162" s="251" t="s">
        <v>1348</v>
      </c>
      <c r="R162" s="251" t="s">
        <v>549</v>
      </c>
      <c r="S162" s="251">
        <v>1.5</v>
      </c>
      <c r="T162" s="251" t="s">
        <v>1350</v>
      </c>
      <c r="U162" s="251" t="s">
        <v>496</v>
      </c>
      <c r="V162" s="251" t="s">
        <v>496</v>
      </c>
      <c r="W162" s="251" t="s">
        <v>496</v>
      </c>
      <c r="X162" s="251" t="s">
        <v>496</v>
      </c>
      <c r="Y162" s="251" t="s">
        <v>496</v>
      </c>
      <c r="Z162" s="251" t="s">
        <v>496</v>
      </c>
      <c r="AA162" s="250" t="s">
        <v>841</v>
      </c>
    </row>
    <row r="163" spans="1:28">
      <c r="B163" s="250" t="s">
        <v>660</v>
      </c>
      <c r="C163" s="254" t="s">
        <v>256</v>
      </c>
      <c r="D163" s="255">
        <v>100</v>
      </c>
      <c r="E163" s="250" t="s">
        <v>549</v>
      </c>
      <c r="F163" s="255">
        <v>22.4</v>
      </c>
      <c r="G163" s="253">
        <v>44553</v>
      </c>
      <c r="H163" s="250" t="s">
        <v>2415</v>
      </c>
      <c r="I163" s="250" t="s">
        <v>2416</v>
      </c>
      <c r="J163" s="250" t="s">
        <v>614</v>
      </c>
      <c r="K163" s="250" t="s">
        <v>661</v>
      </c>
      <c r="L163" s="250">
        <v>2019</v>
      </c>
      <c r="N163" s="250" t="s">
        <v>2417</v>
      </c>
      <c r="O163" s="251" t="s">
        <v>496</v>
      </c>
      <c r="P163" s="251" t="s">
        <v>496</v>
      </c>
      <c r="Q163" s="251" t="s">
        <v>496</v>
      </c>
      <c r="R163" s="251" t="s">
        <v>496</v>
      </c>
      <c r="S163" s="251" t="s">
        <v>496</v>
      </c>
      <c r="T163" s="251" t="s">
        <v>496</v>
      </c>
      <c r="U163" s="251" t="s">
        <v>496</v>
      </c>
      <c r="V163" s="251" t="s">
        <v>496</v>
      </c>
      <c r="W163" s="251" t="s">
        <v>496</v>
      </c>
      <c r="X163" s="251" t="s">
        <v>496</v>
      </c>
      <c r="Y163" s="251" t="s">
        <v>496</v>
      </c>
      <c r="Z163" s="251" t="s">
        <v>496</v>
      </c>
      <c r="AA163" s="250" t="s">
        <v>2227</v>
      </c>
    </row>
    <row r="164" spans="1:28">
      <c r="A164" s="250">
        <f>+A162+1</f>
        <v>70</v>
      </c>
      <c r="B164" s="250" t="s">
        <v>678</v>
      </c>
      <c r="C164" s="254" t="s">
        <v>256</v>
      </c>
      <c r="D164" s="255">
        <v>100</v>
      </c>
      <c r="E164" s="250" t="s">
        <v>544</v>
      </c>
      <c r="F164" s="255">
        <v>21</v>
      </c>
      <c r="G164" s="205">
        <v>44295</v>
      </c>
      <c r="H164" s="250" t="s">
        <v>1356</v>
      </c>
      <c r="I164" s="250" t="s">
        <v>1358</v>
      </c>
      <c r="J164" s="250" t="s">
        <v>614</v>
      </c>
      <c r="K164" s="250" t="s">
        <v>430</v>
      </c>
      <c r="L164" s="260">
        <v>43282</v>
      </c>
      <c r="N164" s="250" t="s">
        <v>496</v>
      </c>
      <c r="O164" s="251" t="s">
        <v>549</v>
      </c>
      <c r="P164" s="251" t="s">
        <v>496</v>
      </c>
      <c r="Q164" s="251" t="s">
        <v>1357</v>
      </c>
      <c r="R164" s="251" t="s">
        <v>496</v>
      </c>
      <c r="S164" s="251" t="s">
        <v>496</v>
      </c>
      <c r="T164" s="251" t="s">
        <v>496</v>
      </c>
      <c r="U164" s="251" t="s">
        <v>496</v>
      </c>
      <c r="V164" s="251" t="s">
        <v>496</v>
      </c>
      <c r="W164" s="251" t="s">
        <v>496</v>
      </c>
      <c r="X164" s="251" t="s">
        <v>496</v>
      </c>
      <c r="Y164" s="251" t="s">
        <v>496</v>
      </c>
      <c r="Z164" s="251" t="s">
        <v>496</v>
      </c>
      <c r="AA164" s="250" t="s">
        <v>1302</v>
      </c>
    </row>
    <row r="165" spans="1:28">
      <c r="B165" s="250" t="s">
        <v>1922</v>
      </c>
      <c r="C165" s="284" t="s">
        <v>256</v>
      </c>
      <c r="D165" s="255">
        <v>100</v>
      </c>
      <c r="E165" s="281" t="s">
        <v>402</v>
      </c>
      <c r="F165" s="255">
        <v>25</v>
      </c>
      <c r="G165" s="253">
        <v>43783</v>
      </c>
      <c r="H165" s="281" t="s">
        <v>4179</v>
      </c>
      <c r="I165" s="281" t="s">
        <v>4178</v>
      </c>
      <c r="J165" s="281" t="s">
        <v>614</v>
      </c>
      <c r="K165" s="281" t="s">
        <v>430</v>
      </c>
      <c r="L165" s="250">
        <v>2014</v>
      </c>
      <c r="N165" s="281" t="s">
        <v>4180</v>
      </c>
      <c r="O165" s="283" t="s">
        <v>402</v>
      </c>
      <c r="P165" s="251">
        <v>15</v>
      </c>
      <c r="Q165" s="283" t="s">
        <v>4186</v>
      </c>
      <c r="R165" s="283" t="s">
        <v>544</v>
      </c>
      <c r="S165" s="251">
        <v>10</v>
      </c>
      <c r="T165" s="283" t="s">
        <v>4188</v>
      </c>
      <c r="U165" s="283" t="s">
        <v>549</v>
      </c>
      <c r="V165" s="251">
        <v>5</v>
      </c>
      <c r="W165" s="283" t="s">
        <v>4189</v>
      </c>
      <c r="X165" s="283" t="s">
        <v>496</v>
      </c>
      <c r="Y165" s="283" t="s">
        <v>496</v>
      </c>
      <c r="Z165" s="283" t="s">
        <v>496</v>
      </c>
      <c r="AA165" s="281" t="s">
        <v>1848</v>
      </c>
      <c r="AB165" s="5" t="s">
        <v>4177</v>
      </c>
    </row>
    <row r="166" spans="1:28">
      <c r="B166" s="250" t="s">
        <v>1233</v>
      </c>
      <c r="C166" s="254" t="s">
        <v>256</v>
      </c>
      <c r="D166" s="255">
        <v>100</v>
      </c>
      <c r="E166" s="250" t="s">
        <v>544</v>
      </c>
      <c r="F166" s="255">
        <v>20</v>
      </c>
      <c r="G166" s="253">
        <v>43818</v>
      </c>
      <c r="H166" s="250" t="s">
        <v>916</v>
      </c>
      <c r="I166" s="250" t="s">
        <v>2542</v>
      </c>
      <c r="J166" s="250" t="s">
        <v>614</v>
      </c>
      <c r="K166" s="250" t="s">
        <v>1007</v>
      </c>
      <c r="L166" s="250">
        <v>2013</v>
      </c>
      <c r="N166" s="250" t="s">
        <v>2545</v>
      </c>
      <c r="O166" s="251" t="s">
        <v>496</v>
      </c>
      <c r="P166" s="251" t="s">
        <v>496</v>
      </c>
      <c r="Q166" s="251" t="s">
        <v>496</v>
      </c>
      <c r="R166" s="251" t="s">
        <v>496</v>
      </c>
      <c r="S166" s="251" t="s">
        <v>496</v>
      </c>
      <c r="T166" s="251" t="s">
        <v>496</v>
      </c>
      <c r="U166" s="251" t="s">
        <v>496</v>
      </c>
      <c r="V166" s="251" t="s">
        <v>496</v>
      </c>
      <c r="W166" s="251" t="s">
        <v>496</v>
      </c>
      <c r="X166" s="251" t="s">
        <v>496</v>
      </c>
      <c r="Y166" s="251" t="s">
        <v>496</v>
      </c>
      <c r="Z166" s="251" t="s">
        <v>496</v>
      </c>
      <c r="AA166" s="250" t="s">
        <v>2543</v>
      </c>
    </row>
    <row r="167" spans="1:28">
      <c r="B167" s="250" t="s">
        <v>593</v>
      </c>
      <c r="C167" s="254" t="s">
        <v>256</v>
      </c>
      <c r="D167" s="255">
        <v>100</v>
      </c>
      <c r="E167" s="250" t="s">
        <v>544</v>
      </c>
      <c r="F167" s="255">
        <v>20</v>
      </c>
      <c r="G167" s="253">
        <v>44801</v>
      </c>
      <c r="H167" s="250" t="s">
        <v>2213</v>
      </c>
      <c r="I167" s="250" t="s">
        <v>2194</v>
      </c>
      <c r="J167" s="250" t="s">
        <v>614</v>
      </c>
      <c r="K167" s="250" t="s">
        <v>2193</v>
      </c>
      <c r="L167" s="250">
        <v>2021</v>
      </c>
      <c r="N167" s="250" t="s">
        <v>2214</v>
      </c>
      <c r="O167" s="251" t="s">
        <v>669</v>
      </c>
      <c r="P167" s="251">
        <v>0.125</v>
      </c>
      <c r="Q167" s="251" t="s">
        <v>740</v>
      </c>
      <c r="R167" s="251" t="s">
        <v>496</v>
      </c>
      <c r="S167" s="251" t="s">
        <v>496</v>
      </c>
      <c r="T167" s="251" t="s">
        <v>496</v>
      </c>
      <c r="U167" s="251" t="s">
        <v>496</v>
      </c>
      <c r="V167" s="251" t="s">
        <v>496</v>
      </c>
      <c r="W167" s="251" t="s">
        <v>496</v>
      </c>
      <c r="X167" s="251" t="s">
        <v>496</v>
      </c>
      <c r="Y167" s="251" t="s">
        <v>496</v>
      </c>
      <c r="Z167" s="251" t="s">
        <v>496</v>
      </c>
      <c r="AA167" s="250" t="s">
        <v>1848</v>
      </c>
    </row>
    <row r="168" spans="1:28">
      <c r="B168" s="250" t="s">
        <v>1516</v>
      </c>
      <c r="C168" s="254" t="s">
        <v>256</v>
      </c>
      <c r="D168" s="255">
        <v>100</v>
      </c>
      <c r="E168" s="250" t="s">
        <v>402</v>
      </c>
      <c r="F168" s="255">
        <v>20</v>
      </c>
      <c r="G168" s="253">
        <v>45077</v>
      </c>
      <c r="H168" s="250" t="s">
        <v>2271</v>
      </c>
      <c r="I168" s="250" t="s">
        <v>2272</v>
      </c>
      <c r="J168" s="250" t="s">
        <v>614</v>
      </c>
      <c r="K168" s="250" t="s">
        <v>430</v>
      </c>
      <c r="L168" s="250">
        <v>2018</v>
      </c>
      <c r="N168" s="250" t="s">
        <v>2274</v>
      </c>
      <c r="O168" s="251" t="s">
        <v>544</v>
      </c>
      <c r="P168" s="251">
        <v>10.5</v>
      </c>
      <c r="Q168" s="251" t="s">
        <v>2282</v>
      </c>
      <c r="R168" s="251" t="s">
        <v>549</v>
      </c>
      <c r="S168" s="251">
        <v>4</v>
      </c>
      <c r="T168" s="251" t="s">
        <v>2283</v>
      </c>
      <c r="U168" s="251" t="s">
        <v>669</v>
      </c>
      <c r="V168" s="251">
        <v>0.5</v>
      </c>
      <c r="W168" s="251" t="s">
        <v>2285</v>
      </c>
      <c r="X168" s="251" t="s">
        <v>496</v>
      </c>
      <c r="Y168" s="251" t="s">
        <v>496</v>
      </c>
      <c r="Z168" s="251" t="s">
        <v>496</v>
      </c>
      <c r="AA168" s="250" t="s">
        <v>1108</v>
      </c>
    </row>
    <row r="169" spans="1:28">
      <c r="A169" s="250">
        <f>+A164+1</f>
        <v>71</v>
      </c>
      <c r="B169" s="250" t="s">
        <v>679</v>
      </c>
      <c r="C169" s="254" t="s">
        <v>256</v>
      </c>
      <c r="D169" s="255">
        <v>100</v>
      </c>
      <c r="E169" s="250" t="s">
        <v>544</v>
      </c>
      <c r="F169" s="255">
        <v>20</v>
      </c>
      <c r="G169" s="253">
        <v>44676</v>
      </c>
      <c r="H169" s="250" t="s">
        <v>1359</v>
      </c>
      <c r="J169" s="250" t="s">
        <v>614</v>
      </c>
      <c r="K169" s="250" t="s">
        <v>639</v>
      </c>
      <c r="L169" s="260" t="s">
        <v>624</v>
      </c>
      <c r="N169" s="250" t="s">
        <v>1360</v>
      </c>
      <c r="O169" s="251" t="s">
        <v>549</v>
      </c>
      <c r="P169" s="251">
        <v>5</v>
      </c>
      <c r="Q169" s="251" t="s">
        <v>1367</v>
      </c>
      <c r="R169" s="251" t="s">
        <v>669</v>
      </c>
      <c r="S169" s="251" t="s">
        <v>496</v>
      </c>
      <c r="T169" s="251" t="s">
        <v>1368</v>
      </c>
      <c r="U169" s="251" t="s">
        <v>496</v>
      </c>
      <c r="V169" s="251" t="s">
        <v>496</v>
      </c>
      <c r="W169" s="251" t="s">
        <v>496</v>
      </c>
      <c r="X169" s="251" t="s">
        <v>496</v>
      </c>
      <c r="Y169" s="251" t="s">
        <v>496</v>
      </c>
      <c r="Z169" s="251" t="s">
        <v>496</v>
      </c>
      <c r="AA169" s="250" t="s">
        <v>932</v>
      </c>
    </row>
    <row r="170" spans="1:28">
      <c r="B170" s="250" t="s">
        <v>1527</v>
      </c>
      <c r="C170" s="254" t="s">
        <v>256</v>
      </c>
      <c r="D170" s="255">
        <v>100</v>
      </c>
      <c r="E170" s="250" t="s">
        <v>565</v>
      </c>
      <c r="F170" s="255">
        <v>23</v>
      </c>
      <c r="G170" s="253">
        <v>44328</v>
      </c>
      <c r="H170" s="250" t="s">
        <v>689</v>
      </c>
      <c r="I170" s="250" t="s">
        <v>2678</v>
      </c>
      <c r="J170" s="281" t="s">
        <v>614</v>
      </c>
      <c r="K170" s="281" t="s">
        <v>689</v>
      </c>
      <c r="L170" s="250">
        <v>2013</v>
      </c>
      <c r="N170" s="250" t="s">
        <v>2679</v>
      </c>
      <c r="O170" s="251" t="s">
        <v>402</v>
      </c>
      <c r="P170" s="251">
        <v>16</v>
      </c>
      <c r="Q170" s="251" t="s">
        <v>2686</v>
      </c>
      <c r="R170" s="251" t="s">
        <v>544</v>
      </c>
      <c r="S170" s="251">
        <v>8</v>
      </c>
      <c r="T170" s="251" t="s">
        <v>2687</v>
      </c>
      <c r="U170" s="251" t="s">
        <v>549</v>
      </c>
      <c r="V170" s="251" t="s">
        <v>496</v>
      </c>
      <c r="W170" s="251" t="s">
        <v>2689</v>
      </c>
      <c r="X170" s="251" t="s">
        <v>496</v>
      </c>
      <c r="Y170" s="251" t="s">
        <v>496</v>
      </c>
      <c r="Z170" s="251" t="s">
        <v>496</v>
      </c>
      <c r="AA170" s="250" t="s">
        <v>1848</v>
      </c>
    </row>
    <row r="171" spans="1:28">
      <c r="B171" s="250" t="s">
        <v>710</v>
      </c>
      <c r="C171" s="254" t="s">
        <v>256</v>
      </c>
      <c r="D171" s="255">
        <v>100</v>
      </c>
      <c r="E171" s="250" t="s">
        <v>549</v>
      </c>
      <c r="F171" s="255">
        <v>12.8</v>
      </c>
      <c r="G171" s="205">
        <v>44601</v>
      </c>
      <c r="H171" s="250" t="s">
        <v>1730</v>
      </c>
      <c r="I171" s="250" t="s">
        <v>1732</v>
      </c>
      <c r="J171" s="250" t="s">
        <v>456</v>
      </c>
      <c r="K171" s="250" t="s">
        <v>456</v>
      </c>
      <c r="L171" s="250">
        <v>2021</v>
      </c>
      <c r="M171" s="250" t="s">
        <v>1729</v>
      </c>
      <c r="N171" s="250" t="s">
        <v>1731</v>
      </c>
      <c r="O171" s="251" t="s">
        <v>496</v>
      </c>
      <c r="P171" s="251" t="s">
        <v>496</v>
      </c>
      <c r="Q171" s="251" t="s">
        <v>496</v>
      </c>
      <c r="R171" s="251" t="s">
        <v>496</v>
      </c>
      <c r="S171" s="251" t="s">
        <v>496</v>
      </c>
      <c r="T171" s="251" t="s">
        <v>496</v>
      </c>
      <c r="U171" s="251" t="s">
        <v>496</v>
      </c>
      <c r="V171" s="251" t="s">
        <v>496</v>
      </c>
      <c r="W171" s="251" t="s">
        <v>496</v>
      </c>
      <c r="X171" s="251" t="s">
        <v>496</v>
      </c>
      <c r="Y171" s="251" t="s">
        <v>496</v>
      </c>
      <c r="Z171" s="251" t="s">
        <v>496</v>
      </c>
      <c r="AA171" s="250" t="s">
        <v>1735</v>
      </c>
    </row>
    <row r="172" spans="1:28">
      <c r="B172" s="250" t="s">
        <v>1387</v>
      </c>
      <c r="C172" s="254" t="s">
        <v>256</v>
      </c>
      <c r="D172" s="255">
        <v>100</v>
      </c>
      <c r="E172" s="250" t="s">
        <v>544</v>
      </c>
      <c r="F172" s="255">
        <v>6.5</v>
      </c>
      <c r="G172" s="253">
        <v>43069</v>
      </c>
      <c r="I172" s="250" t="s">
        <v>2762</v>
      </c>
      <c r="J172" s="250" t="s">
        <v>613</v>
      </c>
      <c r="K172" s="250" t="s">
        <v>2761</v>
      </c>
      <c r="L172" s="250">
        <v>2017</v>
      </c>
      <c r="N172" s="250" t="s">
        <v>2763</v>
      </c>
      <c r="O172" s="251" t="s">
        <v>544</v>
      </c>
      <c r="P172" s="251">
        <v>4.4000000000000004</v>
      </c>
      <c r="Q172" s="251" t="s">
        <v>2764</v>
      </c>
      <c r="R172" s="251" t="s">
        <v>549</v>
      </c>
      <c r="S172" s="251" t="s">
        <v>496</v>
      </c>
      <c r="T172" s="251" t="s">
        <v>2765</v>
      </c>
      <c r="U172" s="251" t="s">
        <v>496</v>
      </c>
      <c r="V172" s="251" t="s">
        <v>496</v>
      </c>
      <c r="W172" s="251" t="s">
        <v>496</v>
      </c>
      <c r="X172" s="251" t="s">
        <v>496</v>
      </c>
      <c r="Y172" s="251" t="s">
        <v>496</v>
      </c>
      <c r="Z172" s="251" t="s">
        <v>496</v>
      </c>
      <c r="AA172" s="251" t="s">
        <v>496</v>
      </c>
    </row>
    <row r="173" spans="1:28">
      <c r="A173" s="250">
        <f>+A169+1</f>
        <v>72</v>
      </c>
      <c r="B173" s="250" t="s">
        <v>686</v>
      </c>
      <c r="C173" s="254" t="s">
        <v>256</v>
      </c>
      <c r="D173" s="255">
        <v>80</v>
      </c>
      <c r="E173" s="250" t="s">
        <v>544</v>
      </c>
      <c r="F173" s="255">
        <v>20</v>
      </c>
      <c r="G173" s="253">
        <v>45009</v>
      </c>
      <c r="H173" s="250" t="s">
        <v>1462</v>
      </c>
      <c r="I173" s="250" t="s">
        <v>1463</v>
      </c>
      <c r="J173" s="250" t="s">
        <v>614</v>
      </c>
      <c r="K173" s="250" t="s">
        <v>619</v>
      </c>
      <c r="L173" s="250">
        <v>2021</v>
      </c>
      <c r="N173" s="250" t="s">
        <v>1464</v>
      </c>
      <c r="O173" s="251" t="s">
        <v>496</v>
      </c>
      <c r="P173" s="251" t="s">
        <v>496</v>
      </c>
      <c r="Q173" s="251" t="s">
        <v>496</v>
      </c>
      <c r="R173" s="251" t="s">
        <v>496</v>
      </c>
      <c r="S173" s="251" t="s">
        <v>496</v>
      </c>
      <c r="T173" s="251" t="s">
        <v>496</v>
      </c>
      <c r="U173" s="251" t="s">
        <v>496</v>
      </c>
      <c r="V173" s="251" t="s">
        <v>496</v>
      </c>
      <c r="W173" s="251" t="s">
        <v>496</v>
      </c>
      <c r="X173" s="251" t="s">
        <v>496</v>
      </c>
      <c r="Y173" s="251" t="s">
        <v>496</v>
      </c>
      <c r="Z173" s="251" t="s">
        <v>496</v>
      </c>
      <c r="AA173" s="250" t="s">
        <v>1034</v>
      </c>
    </row>
    <row r="174" spans="1:28">
      <c r="B174" s="250" t="s">
        <v>587</v>
      </c>
      <c r="C174" s="254" t="s">
        <v>256</v>
      </c>
      <c r="D174" s="255">
        <v>80</v>
      </c>
      <c r="E174" s="250" t="s">
        <v>544</v>
      </c>
      <c r="F174" s="255">
        <v>20</v>
      </c>
      <c r="G174" s="253">
        <v>44701</v>
      </c>
      <c r="H174" s="250" t="s">
        <v>2266</v>
      </c>
      <c r="I174" s="250" t="s">
        <v>2264</v>
      </c>
      <c r="J174" s="250" t="s">
        <v>614</v>
      </c>
      <c r="K174" s="250" t="s">
        <v>2267</v>
      </c>
      <c r="L174" s="250">
        <v>2021</v>
      </c>
      <c r="N174" s="250" t="s">
        <v>2265</v>
      </c>
      <c r="O174" s="251" t="s">
        <v>496</v>
      </c>
      <c r="P174" s="251" t="s">
        <v>496</v>
      </c>
      <c r="Q174" s="251" t="s">
        <v>496</v>
      </c>
      <c r="R174" s="251" t="s">
        <v>496</v>
      </c>
      <c r="S174" s="251" t="s">
        <v>496</v>
      </c>
      <c r="T174" s="251" t="s">
        <v>496</v>
      </c>
      <c r="U174" s="251" t="s">
        <v>496</v>
      </c>
      <c r="V174" s="251" t="s">
        <v>496</v>
      </c>
      <c r="W174" s="251" t="s">
        <v>496</v>
      </c>
      <c r="X174" s="251" t="s">
        <v>496</v>
      </c>
      <c r="Y174" s="251" t="s">
        <v>496</v>
      </c>
      <c r="Z174" s="251" t="s">
        <v>496</v>
      </c>
      <c r="AA174" s="250" t="s">
        <v>2263</v>
      </c>
    </row>
    <row r="175" spans="1:28">
      <c r="B175" s="250" t="s">
        <v>564</v>
      </c>
      <c r="C175" s="254" t="s">
        <v>256</v>
      </c>
      <c r="D175" s="255">
        <v>80</v>
      </c>
      <c r="E175" s="250" t="s">
        <v>402</v>
      </c>
      <c r="F175" s="255">
        <v>20</v>
      </c>
      <c r="G175" s="253">
        <v>44756</v>
      </c>
      <c r="H175" s="250" t="s">
        <v>1795</v>
      </c>
      <c r="I175" s="250" t="s">
        <v>2407</v>
      </c>
      <c r="J175" s="250" t="s">
        <v>613</v>
      </c>
      <c r="K175" s="250" t="s">
        <v>567</v>
      </c>
      <c r="L175" s="250">
        <v>2015</v>
      </c>
      <c r="M175" s="250" t="s">
        <v>2408</v>
      </c>
      <c r="N175" s="250" t="s">
        <v>2411</v>
      </c>
      <c r="O175" s="251" t="s">
        <v>544</v>
      </c>
      <c r="P175" s="251">
        <v>5.5</v>
      </c>
      <c r="Q175" s="251" t="s">
        <v>2412</v>
      </c>
      <c r="R175" s="251" t="s">
        <v>549</v>
      </c>
      <c r="S175" s="251">
        <v>2</v>
      </c>
      <c r="T175" s="251" t="s">
        <v>2413</v>
      </c>
      <c r="U175" s="251" t="s">
        <v>549</v>
      </c>
      <c r="V175" s="251">
        <v>1.3</v>
      </c>
      <c r="W175" s="251" t="s">
        <v>2414</v>
      </c>
      <c r="X175" s="251" t="s">
        <v>549</v>
      </c>
      <c r="Y175" s="251">
        <v>0.4</v>
      </c>
      <c r="Z175" s="251" t="s">
        <v>496</v>
      </c>
      <c r="AA175" s="250" t="s">
        <v>2406</v>
      </c>
    </row>
    <row r="176" spans="1:28">
      <c r="B176" s="250" t="s">
        <v>1234</v>
      </c>
      <c r="C176" s="254" t="s">
        <v>256</v>
      </c>
      <c r="D176" s="255">
        <v>75</v>
      </c>
      <c r="E176" s="250" t="s">
        <v>402</v>
      </c>
      <c r="F176" s="255">
        <v>26.8</v>
      </c>
      <c r="G176" s="253">
        <v>44600</v>
      </c>
      <c r="H176" s="250" t="s">
        <v>2549</v>
      </c>
      <c r="I176" s="250" t="s">
        <v>2548</v>
      </c>
      <c r="J176" s="250" t="s">
        <v>614</v>
      </c>
      <c r="K176" s="250" t="s">
        <v>2550</v>
      </c>
      <c r="L176" s="250">
        <v>2012</v>
      </c>
      <c r="N176" s="250" t="s">
        <v>2551</v>
      </c>
      <c r="O176" s="251" t="s">
        <v>544</v>
      </c>
      <c r="P176" s="251">
        <v>8.3000000000000007</v>
      </c>
      <c r="Q176" s="251" t="s">
        <v>2556</v>
      </c>
      <c r="R176" s="251" t="s">
        <v>549</v>
      </c>
      <c r="S176" s="251" t="s">
        <v>496</v>
      </c>
      <c r="T176" s="251" t="s">
        <v>2558</v>
      </c>
      <c r="U176" s="251" t="s">
        <v>496</v>
      </c>
      <c r="V176" s="251" t="s">
        <v>496</v>
      </c>
      <c r="W176" s="251" t="s">
        <v>496</v>
      </c>
      <c r="X176" s="251" t="s">
        <v>496</v>
      </c>
      <c r="Y176" s="251" t="s">
        <v>496</v>
      </c>
      <c r="Z176" s="251" t="s">
        <v>496</v>
      </c>
      <c r="AA176" s="250" t="s">
        <v>2546</v>
      </c>
    </row>
    <row r="177" spans="1:27">
      <c r="B177" s="250" t="s">
        <v>1985</v>
      </c>
      <c r="C177" s="254" t="s">
        <v>256</v>
      </c>
      <c r="D177" s="255">
        <v>75</v>
      </c>
      <c r="E177" s="250" t="s">
        <v>402</v>
      </c>
      <c r="F177" s="255">
        <v>26</v>
      </c>
      <c r="G177" s="253">
        <v>44594</v>
      </c>
      <c r="I177" s="250" t="s">
        <v>2735</v>
      </c>
      <c r="J177" s="250" t="s">
        <v>614</v>
      </c>
      <c r="K177" s="250" t="s">
        <v>2736</v>
      </c>
      <c r="L177" s="250">
        <v>2015</v>
      </c>
      <c r="N177" s="250" t="s">
        <v>2737</v>
      </c>
      <c r="O177" s="251" t="s">
        <v>402</v>
      </c>
      <c r="P177" s="251">
        <v>13</v>
      </c>
      <c r="Q177" s="251" t="s">
        <v>2740</v>
      </c>
      <c r="R177" s="251" t="s">
        <v>544</v>
      </c>
      <c r="S177" s="251">
        <v>5</v>
      </c>
      <c r="T177" s="251" t="s">
        <v>2645</v>
      </c>
      <c r="U177" s="251" t="s">
        <v>549</v>
      </c>
      <c r="V177" s="251">
        <v>1.5</v>
      </c>
      <c r="W177" s="251" t="s">
        <v>496</v>
      </c>
      <c r="X177" s="251" t="s">
        <v>496</v>
      </c>
      <c r="Y177" s="251" t="s">
        <v>496</v>
      </c>
      <c r="Z177" s="251" t="s">
        <v>496</v>
      </c>
      <c r="AA177" s="250" t="s">
        <v>837</v>
      </c>
    </row>
    <row r="178" spans="1:27">
      <c r="B178" s="250" t="s">
        <v>1216</v>
      </c>
      <c r="C178" s="254" t="s">
        <v>256</v>
      </c>
      <c r="D178" s="255">
        <v>75</v>
      </c>
      <c r="E178" s="250" t="s">
        <v>402</v>
      </c>
      <c r="F178" s="255">
        <v>25.7</v>
      </c>
      <c r="G178" s="205">
        <v>43837</v>
      </c>
      <c r="H178" s="250" t="s">
        <v>2523</v>
      </c>
      <c r="I178" s="250" t="s">
        <v>2521</v>
      </c>
      <c r="J178" s="250" t="s">
        <v>614</v>
      </c>
      <c r="K178" s="250" t="s">
        <v>430</v>
      </c>
      <c r="L178" s="250">
        <v>2015</v>
      </c>
      <c r="N178" s="250" t="s">
        <v>2522</v>
      </c>
      <c r="O178" s="251" t="s">
        <v>544</v>
      </c>
      <c r="P178" s="251">
        <v>21.6</v>
      </c>
      <c r="Q178" s="251" t="s">
        <v>2527</v>
      </c>
      <c r="R178" s="251" t="s">
        <v>496</v>
      </c>
      <c r="S178" s="251" t="s">
        <v>496</v>
      </c>
      <c r="T178" s="251" t="s">
        <v>496</v>
      </c>
      <c r="U178" s="251" t="s">
        <v>496</v>
      </c>
      <c r="V178" s="251" t="s">
        <v>496</v>
      </c>
      <c r="W178" s="251" t="s">
        <v>496</v>
      </c>
      <c r="X178" s="251" t="s">
        <v>496</v>
      </c>
      <c r="Y178" s="251" t="s">
        <v>496</v>
      </c>
      <c r="Z178" s="251" t="s">
        <v>496</v>
      </c>
      <c r="AA178" s="250" t="s">
        <v>2520</v>
      </c>
    </row>
    <row r="179" spans="1:27">
      <c r="B179" s="250" t="s">
        <v>1354</v>
      </c>
      <c r="C179" s="254" t="s">
        <v>256</v>
      </c>
      <c r="D179" s="255">
        <v>75</v>
      </c>
      <c r="E179" s="250" t="s">
        <v>402</v>
      </c>
      <c r="F179" s="255">
        <v>22</v>
      </c>
      <c r="G179" s="253">
        <v>44861</v>
      </c>
      <c r="H179" s="250" t="s">
        <v>3061</v>
      </c>
      <c r="I179" s="250" t="s">
        <v>3056</v>
      </c>
      <c r="J179" s="250" t="s">
        <v>614</v>
      </c>
      <c r="K179" s="250" t="s">
        <v>430</v>
      </c>
      <c r="L179" s="250">
        <v>2018</v>
      </c>
      <c r="N179" s="250" t="s">
        <v>3057</v>
      </c>
      <c r="O179" s="251" t="s">
        <v>544</v>
      </c>
      <c r="P179" s="251">
        <v>15</v>
      </c>
      <c r="Q179" s="251" t="s">
        <v>3058</v>
      </c>
      <c r="R179" s="251" t="s">
        <v>549</v>
      </c>
      <c r="S179" s="251">
        <v>7</v>
      </c>
      <c r="T179" s="251" t="s">
        <v>3064</v>
      </c>
      <c r="U179" s="251" t="s">
        <v>496</v>
      </c>
      <c r="V179" s="251" t="s">
        <v>496</v>
      </c>
      <c r="W179" s="251" t="s">
        <v>496</v>
      </c>
      <c r="X179" s="251" t="s">
        <v>496</v>
      </c>
      <c r="Y179" s="251" t="s">
        <v>496</v>
      </c>
      <c r="Z179" s="251" t="s">
        <v>496</v>
      </c>
      <c r="AA179" s="250" t="s">
        <v>932</v>
      </c>
    </row>
    <row r="180" spans="1:27">
      <c r="A180" s="250">
        <f>+A173+1</f>
        <v>73</v>
      </c>
      <c r="B180" s="250" t="s">
        <v>680</v>
      </c>
      <c r="C180" s="254" t="s">
        <v>256</v>
      </c>
      <c r="D180" s="255">
        <v>75</v>
      </c>
      <c r="E180" s="250" t="s">
        <v>544</v>
      </c>
      <c r="F180" s="255">
        <v>20</v>
      </c>
      <c r="G180" s="253">
        <v>44903</v>
      </c>
      <c r="H180" s="250" t="s">
        <v>1370</v>
      </c>
      <c r="I180" s="250" t="s">
        <v>1371</v>
      </c>
      <c r="J180" s="250" t="s">
        <v>614</v>
      </c>
      <c r="K180" s="250" t="s">
        <v>681</v>
      </c>
      <c r="L180" s="260" t="s">
        <v>624</v>
      </c>
      <c r="N180" s="250" t="s">
        <v>1372</v>
      </c>
      <c r="O180" s="251" t="s">
        <v>544</v>
      </c>
      <c r="P180" s="251">
        <v>11</v>
      </c>
      <c r="Q180" s="251" t="s">
        <v>1380</v>
      </c>
      <c r="R180" s="251" t="s">
        <v>549</v>
      </c>
      <c r="S180" s="251">
        <v>3</v>
      </c>
      <c r="T180" s="251" t="s">
        <v>1400</v>
      </c>
      <c r="U180" s="251" t="s">
        <v>669</v>
      </c>
      <c r="V180" s="251">
        <v>1.2</v>
      </c>
      <c r="W180" s="251" t="s">
        <v>1404</v>
      </c>
      <c r="X180" s="251" t="s">
        <v>496</v>
      </c>
      <c r="Y180" s="251" t="s">
        <v>496</v>
      </c>
      <c r="Z180" s="251" t="s">
        <v>496</v>
      </c>
      <c r="AA180" s="250" t="s">
        <v>837</v>
      </c>
    </row>
    <row r="181" spans="1:27">
      <c r="A181" s="250">
        <f>+A180+1</f>
        <v>74</v>
      </c>
      <c r="B181" s="250" t="s">
        <v>682</v>
      </c>
      <c r="C181" s="254" t="s">
        <v>256</v>
      </c>
      <c r="D181" s="255">
        <v>75</v>
      </c>
      <c r="E181" s="250" t="s">
        <v>544</v>
      </c>
      <c r="F181" s="255">
        <v>20</v>
      </c>
      <c r="G181" s="253">
        <v>44578</v>
      </c>
      <c r="H181" s="250" t="s">
        <v>1441</v>
      </c>
      <c r="J181" s="250" t="s">
        <v>614</v>
      </c>
      <c r="K181" s="250" t="s">
        <v>644</v>
      </c>
      <c r="L181" s="257">
        <v>43510</v>
      </c>
      <c r="N181" s="250" t="s">
        <v>1438</v>
      </c>
      <c r="O181" s="251" t="s">
        <v>549</v>
      </c>
      <c r="P181" s="251">
        <v>6</v>
      </c>
      <c r="Q181" s="251" t="s">
        <v>1439</v>
      </c>
      <c r="R181" s="251" t="s">
        <v>549</v>
      </c>
      <c r="S181" s="251" t="s">
        <v>496</v>
      </c>
      <c r="T181" s="251" t="s">
        <v>1440</v>
      </c>
      <c r="U181" s="251" t="s">
        <v>496</v>
      </c>
      <c r="V181" s="251" t="s">
        <v>496</v>
      </c>
      <c r="W181" s="251" t="s">
        <v>496</v>
      </c>
      <c r="X181" s="251" t="s">
        <v>496</v>
      </c>
      <c r="Y181" s="251" t="s">
        <v>496</v>
      </c>
      <c r="Z181" s="251" t="s">
        <v>496</v>
      </c>
      <c r="AA181" s="250" t="s">
        <v>1030</v>
      </c>
    </row>
    <row r="182" spans="1:27">
      <c r="A182" s="250">
        <f t="shared" ref="A182:A186" si="2">+A181+1</f>
        <v>75</v>
      </c>
      <c r="B182" s="250" t="s">
        <v>683</v>
      </c>
      <c r="C182" s="254" t="s">
        <v>256</v>
      </c>
      <c r="D182" s="255">
        <v>75</v>
      </c>
      <c r="E182" s="250" t="s">
        <v>544</v>
      </c>
      <c r="F182" s="255">
        <v>20</v>
      </c>
      <c r="G182" s="253">
        <v>44602</v>
      </c>
      <c r="H182" s="250" t="s">
        <v>1442</v>
      </c>
      <c r="I182" s="250" t="s">
        <v>1443</v>
      </c>
      <c r="J182" s="250" t="s">
        <v>614</v>
      </c>
      <c r="K182" s="250" t="s">
        <v>644</v>
      </c>
      <c r="L182" s="250">
        <v>2019</v>
      </c>
      <c r="N182" s="250" t="s">
        <v>1444</v>
      </c>
      <c r="O182" s="251" t="s">
        <v>496</v>
      </c>
      <c r="P182" s="251" t="s">
        <v>496</v>
      </c>
      <c r="Q182" s="251" t="s">
        <v>496</v>
      </c>
      <c r="R182" s="251" t="s">
        <v>496</v>
      </c>
      <c r="S182" s="251" t="s">
        <v>496</v>
      </c>
      <c r="T182" s="251" t="s">
        <v>496</v>
      </c>
      <c r="U182" s="251" t="s">
        <v>496</v>
      </c>
      <c r="V182" s="251" t="s">
        <v>496</v>
      </c>
      <c r="W182" s="251" t="s">
        <v>496</v>
      </c>
      <c r="X182" s="251" t="s">
        <v>496</v>
      </c>
      <c r="Y182" s="251" t="s">
        <v>496</v>
      </c>
      <c r="Z182" s="251" t="s">
        <v>496</v>
      </c>
      <c r="AA182" s="250" t="s">
        <v>932</v>
      </c>
    </row>
    <row r="183" spans="1:27" s="64" customFormat="1">
      <c r="A183" s="64">
        <f>+A182+1</f>
        <v>76</v>
      </c>
      <c r="B183" s="64" t="s">
        <v>684</v>
      </c>
      <c r="C183" s="190" t="s">
        <v>256</v>
      </c>
      <c r="D183" s="188">
        <v>75</v>
      </c>
      <c r="E183" s="64" t="s">
        <v>544</v>
      </c>
      <c r="F183" s="188">
        <v>20</v>
      </c>
      <c r="G183" s="209">
        <v>44392</v>
      </c>
      <c r="H183" s="64" t="s">
        <v>1456</v>
      </c>
      <c r="I183" s="64" t="s">
        <v>1455</v>
      </c>
      <c r="J183" s="197" t="s">
        <v>614</v>
      </c>
      <c r="K183" s="197" t="s">
        <v>685</v>
      </c>
      <c r="L183" s="64">
        <v>2019</v>
      </c>
      <c r="N183" s="64" t="s">
        <v>1457</v>
      </c>
      <c r="O183" s="204" t="s">
        <v>549</v>
      </c>
      <c r="P183" s="204">
        <v>3.4</v>
      </c>
      <c r="Q183" s="204" t="s">
        <v>1458</v>
      </c>
      <c r="R183" s="204" t="s">
        <v>496</v>
      </c>
      <c r="S183" s="204" t="s">
        <v>496</v>
      </c>
      <c r="T183" s="204" t="s">
        <v>496</v>
      </c>
      <c r="U183" s="204" t="s">
        <v>496</v>
      </c>
      <c r="V183" s="204" t="s">
        <v>496</v>
      </c>
      <c r="W183" s="204" t="s">
        <v>496</v>
      </c>
      <c r="X183" s="204" t="s">
        <v>496</v>
      </c>
      <c r="Y183" s="204" t="s">
        <v>496</v>
      </c>
      <c r="Z183" s="204" t="s">
        <v>496</v>
      </c>
      <c r="AA183" s="64" t="s">
        <v>1108</v>
      </c>
    </row>
    <row r="184" spans="1:27" s="64" customFormat="1">
      <c r="A184" s="64">
        <f t="shared" si="2"/>
        <v>77</v>
      </c>
      <c r="B184" s="64" t="s">
        <v>1469</v>
      </c>
      <c r="C184" s="190" t="s">
        <v>256</v>
      </c>
      <c r="D184" s="188">
        <v>75</v>
      </c>
      <c r="E184" s="64" t="s">
        <v>544</v>
      </c>
      <c r="F184" s="188">
        <v>20</v>
      </c>
      <c r="G184" s="202">
        <v>44614</v>
      </c>
      <c r="H184" s="64" t="s">
        <v>1470</v>
      </c>
      <c r="J184" s="64" t="s">
        <v>615</v>
      </c>
      <c r="K184" s="64" t="s">
        <v>687</v>
      </c>
      <c r="L184" s="64">
        <v>2021</v>
      </c>
      <c r="N184" s="64" t="s">
        <v>1468</v>
      </c>
      <c r="O184" s="204" t="s">
        <v>496</v>
      </c>
      <c r="P184" s="204" t="s">
        <v>496</v>
      </c>
      <c r="Q184" s="204" t="s">
        <v>496</v>
      </c>
      <c r="R184" s="204" t="s">
        <v>496</v>
      </c>
      <c r="S184" s="204" t="s">
        <v>496</v>
      </c>
      <c r="T184" s="204" t="s">
        <v>496</v>
      </c>
      <c r="U184" s="204" t="s">
        <v>496</v>
      </c>
      <c r="V184" s="204" t="s">
        <v>496</v>
      </c>
      <c r="W184" s="204" t="s">
        <v>496</v>
      </c>
      <c r="X184" s="204" t="s">
        <v>496</v>
      </c>
      <c r="Y184" s="204" t="s">
        <v>496</v>
      </c>
      <c r="Z184" s="204" t="s">
        <v>496</v>
      </c>
      <c r="AA184" s="64" t="s">
        <v>1467</v>
      </c>
    </row>
    <row r="185" spans="1:27">
      <c r="A185" s="64">
        <f t="shared" si="2"/>
        <v>78</v>
      </c>
      <c r="B185" s="64" t="s">
        <v>688</v>
      </c>
      <c r="C185" s="254" t="s">
        <v>256</v>
      </c>
      <c r="D185" s="255">
        <v>75</v>
      </c>
      <c r="E185" s="250" t="s">
        <v>544</v>
      </c>
      <c r="F185" s="255">
        <v>20</v>
      </c>
      <c r="G185" s="205">
        <v>44455</v>
      </c>
      <c r="H185" s="250" t="s">
        <v>1482</v>
      </c>
      <c r="I185" s="250" t="s">
        <v>1480</v>
      </c>
      <c r="J185" s="250" t="s">
        <v>615</v>
      </c>
      <c r="K185" s="250" t="s">
        <v>689</v>
      </c>
      <c r="L185" s="262" t="s">
        <v>624</v>
      </c>
      <c r="N185" s="250" t="s">
        <v>1481</v>
      </c>
      <c r="O185" s="251" t="s">
        <v>549</v>
      </c>
      <c r="P185" s="251" t="s">
        <v>1484</v>
      </c>
      <c r="Q185" s="251" t="s">
        <v>496</v>
      </c>
      <c r="R185" s="251" t="s">
        <v>496</v>
      </c>
      <c r="S185" s="251" t="s">
        <v>496</v>
      </c>
      <c r="T185" s="251" t="s">
        <v>496</v>
      </c>
      <c r="U185" s="251" t="s">
        <v>496</v>
      </c>
      <c r="V185" s="251" t="s">
        <v>496</v>
      </c>
      <c r="W185" s="251" t="s">
        <v>496</v>
      </c>
      <c r="X185" s="251" t="s">
        <v>496</v>
      </c>
      <c r="Y185" s="251" t="s">
        <v>496</v>
      </c>
      <c r="Z185" s="251" t="s">
        <v>496</v>
      </c>
      <c r="AA185" s="250" t="s">
        <v>1479</v>
      </c>
    </row>
    <row r="186" spans="1:27">
      <c r="A186" s="250">
        <f t="shared" si="2"/>
        <v>79</v>
      </c>
      <c r="B186" s="250" t="s">
        <v>690</v>
      </c>
      <c r="C186" s="254" t="s">
        <v>256</v>
      </c>
      <c r="D186" s="255">
        <v>75</v>
      </c>
      <c r="E186" s="250" t="s">
        <v>544</v>
      </c>
      <c r="F186" s="255">
        <v>20</v>
      </c>
      <c r="G186" s="205">
        <v>44371</v>
      </c>
      <c r="H186" s="250" t="s">
        <v>1498</v>
      </c>
      <c r="I186" s="250" t="s">
        <v>1499</v>
      </c>
      <c r="J186" s="250" t="s">
        <v>614</v>
      </c>
      <c r="K186" s="250" t="s">
        <v>640</v>
      </c>
      <c r="L186" s="262">
        <v>2020</v>
      </c>
      <c r="N186" s="250" t="s">
        <v>1500</v>
      </c>
      <c r="O186" s="251" t="s">
        <v>496</v>
      </c>
      <c r="P186" s="251" t="s">
        <v>496</v>
      </c>
      <c r="Q186" s="251" t="s">
        <v>496</v>
      </c>
      <c r="R186" s="251" t="s">
        <v>496</v>
      </c>
      <c r="S186" s="251" t="s">
        <v>496</v>
      </c>
      <c r="T186" s="251" t="s">
        <v>496</v>
      </c>
      <c r="U186" s="251" t="s">
        <v>496</v>
      </c>
      <c r="V186" s="251" t="s">
        <v>496</v>
      </c>
      <c r="W186" s="251" t="s">
        <v>496</v>
      </c>
      <c r="X186" s="251" t="s">
        <v>496</v>
      </c>
      <c r="Y186" s="251" t="s">
        <v>496</v>
      </c>
      <c r="Z186" s="251" t="s">
        <v>496</v>
      </c>
      <c r="AA186" s="250" t="s">
        <v>1108</v>
      </c>
    </row>
    <row r="187" spans="1:27">
      <c r="B187" s="250" t="s">
        <v>466</v>
      </c>
      <c r="C187" s="254" t="s">
        <v>256</v>
      </c>
      <c r="D187" s="255">
        <v>75</v>
      </c>
      <c r="E187" s="250" t="s">
        <v>549</v>
      </c>
      <c r="F187" s="255">
        <v>20</v>
      </c>
      <c r="G187" s="253">
        <v>44594</v>
      </c>
      <c r="H187" s="250" t="s">
        <v>2403</v>
      </c>
      <c r="I187" s="250" t="s">
        <v>2401</v>
      </c>
      <c r="J187" s="250" t="s">
        <v>658</v>
      </c>
      <c r="K187" s="250" t="s">
        <v>2402</v>
      </c>
      <c r="L187" s="250">
        <v>2021</v>
      </c>
      <c r="N187" s="250" t="s">
        <v>496</v>
      </c>
      <c r="O187" s="250" t="s">
        <v>496</v>
      </c>
      <c r="P187" s="250" t="s">
        <v>496</v>
      </c>
      <c r="Q187" s="250" t="s">
        <v>496</v>
      </c>
      <c r="R187" s="250" t="s">
        <v>496</v>
      </c>
      <c r="S187" s="250" t="s">
        <v>496</v>
      </c>
      <c r="T187" s="250" t="s">
        <v>496</v>
      </c>
      <c r="U187" s="250" t="s">
        <v>496</v>
      </c>
      <c r="V187" s="250" t="s">
        <v>496</v>
      </c>
      <c r="W187" s="250" t="s">
        <v>496</v>
      </c>
      <c r="X187" s="250" t="s">
        <v>496</v>
      </c>
      <c r="Y187" s="250" t="s">
        <v>496</v>
      </c>
      <c r="Z187" s="250" t="s">
        <v>496</v>
      </c>
      <c r="AA187" s="250" t="s">
        <v>1302</v>
      </c>
    </row>
    <row r="188" spans="1:27">
      <c r="B188" s="250" t="s">
        <v>504</v>
      </c>
      <c r="C188" s="254" t="s">
        <v>256</v>
      </c>
      <c r="D188" s="255">
        <v>75</v>
      </c>
      <c r="E188" s="250" t="s">
        <v>549</v>
      </c>
      <c r="F188" s="255">
        <v>18</v>
      </c>
      <c r="G188" s="253">
        <v>45022</v>
      </c>
      <c r="H188" s="250" t="s">
        <v>2370</v>
      </c>
      <c r="J188" s="250" t="s">
        <v>614</v>
      </c>
      <c r="K188" s="250" t="s">
        <v>2367</v>
      </c>
      <c r="L188" s="250">
        <v>2022</v>
      </c>
      <c r="M188" s="281" t="s">
        <v>4448</v>
      </c>
      <c r="N188" s="250" t="s">
        <v>2368</v>
      </c>
      <c r="O188" s="251" t="s">
        <v>669</v>
      </c>
      <c r="P188" s="251">
        <v>2.2999999999999998</v>
      </c>
      <c r="Q188" s="251" t="s">
        <v>2369</v>
      </c>
      <c r="R188" s="251" t="s">
        <v>496</v>
      </c>
      <c r="S188" s="251" t="s">
        <v>496</v>
      </c>
      <c r="T188" s="251" t="s">
        <v>496</v>
      </c>
      <c r="U188" s="251" t="s">
        <v>496</v>
      </c>
      <c r="V188" s="251" t="s">
        <v>496</v>
      </c>
      <c r="W188" s="251" t="s">
        <v>496</v>
      </c>
      <c r="X188" s="251" t="s">
        <v>496</v>
      </c>
      <c r="Y188" s="251" t="s">
        <v>496</v>
      </c>
      <c r="Z188" s="251" t="s">
        <v>496</v>
      </c>
      <c r="AA188" s="250" t="s">
        <v>1848</v>
      </c>
    </row>
    <row r="189" spans="1:27">
      <c r="A189" s="64">
        <f>+A186+1</f>
        <v>80</v>
      </c>
      <c r="B189" s="64" t="s">
        <v>692</v>
      </c>
      <c r="C189" s="190" t="s">
        <v>256</v>
      </c>
      <c r="D189" s="188">
        <v>75</v>
      </c>
      <c r="E189" s="64" t="s">
        <v>544</v>
      </c>
      <c r="F189" s="188">
        <v>17</v>
      </c>
      <c r="G189" s="202">
        <v>44679</v>
      </c>
      <c r="H189" s="64" t="s">
        <v>1501</v>
      </c>
      <c r="I189" s="64" t="s">
        <v>1502</v>
      </c>
      <c r="J189" s="64" t="s">
        <v>615</v>
      </c>
      <c r="K189" s="64" t="s">
        <v>689</v>
      </c>
      <c r="L189" s="64">
        <v>2019</v>
      </c>
      <c r="N189" s="250" t="s">
        <v>1503</v>
      </c>
      <c r="O189" s="251" t="s">
        <v>549</v>
      </c>
      <c r="P189" s="251">
        <v>4.5</v>
      </c>
      <c r="Q189" s="251" t="s">
        <v>1512</v>
      </c>
      <c r="R189" s="251" t="s">
        <v>496</v>
      </c>
      <c r="S189" s="251" t="s">
        <v>496</v>
      </c>
      <c r="T189" s="251" t="s">
        <v>496</v>
      </c>
      <c r="U189" s="251" t="s">
        <v>496</v>
      </c>
      <c r="V189" s="251" t="s">
        <v>496</v>
      </c>
      <c r="W189" s="251" t="s">
        <v>496</v>
      </c>
      <c r="X189" s="251" t="s">
        <v>496</v>
      </c>
      <c r="Y189" s="251" t="s">
        <v>496</v>
      </c>
      <c r="Z189" s="251" t="s">
        <v>496</v>
      </c>
      <c r="AA189" s="250" t="s">
        <v>834</v>
      </c>
    </row>
    <row r="190" spans="1:27" s="64" customFormat="1">
      <c r="B190" s="64" t="s">
        <v>695</v>
      </c>
      <c r="C190" s="190" t="s">
        <v>256</v>
      </c>
      <c r="D190" s="188">
        <v>75</v>
      </c>
      <c r="E190" s="64" t="s">
        <v>549</v>
      </c>
      <c r="F190" s="188">
        <v>16</v>
      </c>
      <c r="G190" s="209">
        <v>44434</v>
      </c>
      <c r="H190" s="64" t="s">
        <v>1713</v>
      </c>
      <c r="I190" s="64" t="s">
        <v>1557</v>
      </c>
      <c r="J190" s="64" t="s">
        <v>613</v>
      </c>
      <c r="K190" s="64" t="s">
        <v>619</v>
      </c>
      <c r="L190" s="64">
        <v>2020</v>
      </c>
      <c r="N190" s="64" t="s">
        <v>1559</v>
      </c>
      <c r="O190" s="204" t="s">
        <v>669</v>
      </c>
      <c r="P190" s="204" t="s">
        <v>496</v>
      </c>
      <c r="Q190" s="204" t="s">
        <v>1558</v>
      </c>
      <c r="R190" s="204" t="s">
        <v>496</v>
      </c>
      <c r="S190" s="204" t="s">
        <v>496</v>
      </c>
      <c r="T190" s="204" t="s">
        <v>496</v>
      </c>
      <c r="U190" s="204" t="s">
        <v>496</v>
      </c>
      <c r="V190" s="204" t="s">
        <v>496</v>
      </c>
      <c r="W190" s="204" t="s">
        <v>496</v>
      </c>
      <c r="X190" s="204" t="s">
        <v>496</v>
      </c>
      <c r="Y190" s="204" t="s">
        <v>496</v>
      </c>
      <c r="Z190" s="204" t="s">
        <v>496</v>
      </c>
      <c r="AA190" s="64" t="s">
        <v>1030</v>
      </c>
    </row>
    <row r="191" spans="1:27">
      <c r="A191" s="250">
        <f>+A241+1</f>
        <v>83</v>
      </c>
      <c r="B191" s="250" t="s">
        <v>693</v>
      </c>
      <c r="C191" s="254" t="s">
        <v>256</v>
      </c>
      <c r="D191" s="255">
        <v>75</v>
      </c>
      <c r="E191" s="250" t="s">
        <v>549</v>
      </c>
      <c r="F191" s="255">
        <v>16</v>
      </c>
      <c r="G191" s="205">
        <v>44298</v>
      </c>
      <c r="I191" s="250" t="s">
        <v>1549</v>
      </c>
      <c r="J191" s="250" t="s">
        <v>614</v>
      </c>
      <c r="K191" s="250" t="s">
        <v>694</v>
      </c>
      <c r="L191" s="250">
        <v>2019</v>
      </c>
      <c r="N191" s="250" t="s">
        <v>1550</v>
      </c>
      <c r="O191" s="251" t="s">
        <v>549</v>
      </c>
      <c r="P191" s="251" t="s">
        <v>496</v>
      </c>
      <c r="Q191" s="251" t="s">
        <v>1556</v>
      </c>
      <c r="R191" s="251" t="s">
        <v>496</v>
      </c>
      <c r="S191" s="251" t="s">
        <v>496</v>
      </c>
      <c r="T191" s="251" t="s">
        <v>496</v>
      </c>
      <c r="U191" s="251" t="s">
        <v>496</v>
      </c>
      <c r="V191" s="251" t="s">
        <v>496</v>
      </c>
      <c r="W191" s="251" t="s">
        <v>496</v>
      </c>
      <c r="X191" s="251" t="s">
        <v>496</v>
      </c>
      <c r="Y191" s="251" t="s">
        <v>496</v>
      </c>
      <c r="Z191" s="251" t="s">
        <v>496</v>
      </c>
      <c r="AA191" s="250" t="s">
        <v>834</v>
      </c>
    </row>
    <row r="192" spans="1:27">
      <c r="B192" s="250" t="s">
        <v>1659</v>
      </c>
      <c r="C192" s="254" t="s">
        <v>256</v>
      </c>
      <c r="D192" s="255">
        <v>75</v>
      </c>
      <c r="E192" s="250" t="s">
        <v>544</v>
      </c>
      <c r="F192" s="255">
        <v>30</v>
      </c>
      <c r="G192" s="253">
        <v>44474</v>
      </c>
      <c r="H192" s="250" t="s">
        <v>3711</v>
      </c>
      <c r="I192" s="250" t="s">
        <v>3710</v>
      </c>
      <c r="J192" s="250" t="s">
        <v>614</v>
      </c>
      <c r="K192" s="250" t="s">
        <v>633</v>
      </c>
      <c r="L192" s="250">
        <v>2017</v>
      </c>
      <c r="N192" s="250" t="s">
        <v>3712</v>
      </c>
      <c r="O192" s="251" t="s">
        <v>549</v>
      </c>
      <c r="P192" s="251">
        <v>15</v>
      </c>
      <c r="Q192" s="251" t="s">
        <v>3715</v>
      </c>
      <c r="R192" s="251" t="s">
        <v>496</v>
      </c>
      <c r="S192" s="251" t="s">
        <v>496</v>
      </c>
      <c r="T192" s="251" t="s">
        <v>496</v>
      </c>
      <c r="U192" s="251" t="s">
        <v>496</v>
      </c>
      <c r="V192" s="251" t="s">
        <v>496</v>
      </c>
      <c r="W192" s="251" t="s">
        <v>496</v>
      </c>
      <c r="X192" s="251" t="s">
        <v>496</v>
      </c>
      <c r="Y192" s="251" t="s">
        <v>496</v>
      </c>
      <c r="Z192" s="251" t="s">
        <v>496</v>
      </c>
      <c r="AA192" s="250" t="s">
        <v>3709</v>
      </c>
    </row>
    <row r="193" spans="1:27">
      <c r="A193" s="250">
        <f>+A191+1</f>
        <v>84</v>
      </c>
      <c r="B193" s="250" t="s">
        <v>696</v>
      </c>
      <c r="C193" s="254" t="s">
        <v>256</v>
      </c>
      <c r="D193" s="255">
        <v>75</v>
      </c>
      <c r="E193" s="250" t="s">
        <v>544</v>
      </c>
      <c r="F193" s="255">
        <v>15</v>
      </c>
      <c r="G193" s="253">
        <v>44468</v>
      </c>
      <c r="H193" s="64" t="s">
        <v>1561</v>
      </c>
      <c r="J193" s="250" t="s">
        <v>614</v>
      </c>
      <c r="K193" s="250" t="s">
        <v>543</v>
      </c>
      <c r="L193" s="250">
        <v>2021</v>
      </c>
      <c r="N193" s="250" t="s">
        <v>1560</v>
      </c>
      <c r="O193" s="251" t="s">
        <v>496</v>
      </c>
      <c r="P193" s="251" t="s">
        <v>496</v>
      </c>
      <c r="Q193" s="251" t="s">
        <v>496</v>
      </c>
      <c r="R193" s="251" t="s">
        <v>496</v>
      </c>
      <c r="S193" s="251" t="s">
        <v>496</v>
      </c>
      <c r="T193" s="251" t="s">
        <v>496</v>
      </c>
      <c r="U193" s="251" t="s">
        <v>496</v>
      </c>
      <c r="V193" s="251" t="s">
        <v>496</v>
      </c>
      <c r="W193" s="251" t="s">
        <v>496</v>
      </c>
      <c r="X193" s="251" t="s">
        <v>496</v>
      </c>
      <c r="Y193" s="251" t="s">
        <v>496</v>
      </c>
      <c r="Z193" s="251" t="s">
        <v>496</v>
      </c>
      <c r="AA193" s="250" t="s">
        <v>832</v>
      </c>
    </row>
    <row r="194" spans="1:27">
      <c r="B194" s="250" t="s">
        <v>1143</v>
      </c>
      <c r="C194" s="254" t="s">
        <v>256</v>
      </c>
      <c r="D194" s="255">
        <v>75</v>
      </c>
      <c r="E194" s="250" t="s">
        <v>544</v>
      </c>
      <c r="F194" s="255">
        <v>13</v>
      </c>
      <c r="G194" s="253">
        <v>44516</v>
      </c>
      <c r="H194" s="250" t="s">
        <v>2454</v>
      </c>
      <c r="I194" s="250" t="s">
        <v>2453</v>
      </c>
      <c r="J194" s="250" t="s">
        <v>614</v>
      </c>
      <c r="K194" s="250" t="s">
        <v>2456</v>
      </c>
      <c r="L194" s="250">
        <v>2017</v>
      </c>
      <c r="N194" s="250" t="s">
        <v>2457</v>
      </c>
      <c r="O194" s="251" t="s">
        <v>549</v>
      </c>
      <c r="P194" s="251">
        <v>2.5</v>
      </c>
      <c r="Q194" s="251" t="s">
        <v>2463</v>
      </c>
      <c r="R194" s="251" t="s">
        <v>549</v>
      </c>
      <c r="S194" s="251" t="s">
        <v>496</v>
      </c>
      <c r="T194" s="251" t="s">
        <v>2465</v>
      </c>
      <c r="U194" s="251" t="s">
        <v>496</v>
      </c>
      <c r="V194" s="251" t="s">
        <v>496</v>
      </c>
      <c r="W194" s="251" t="s">
        <v>496</v>
      </c>
      <c r="X194" s="251" t="s">
        <v>496</v>
      </c>
      <c r="Y194" s="251" t="s">
        <v>496</v>
      </c>
      <c r="Z194" s="251" t="s">
        <v>496</v>
      </c>
      <c r="AA194" s="250" t="s">
        <v>1848</v>
      </c>
    </row>
    <row r="195" spans="1:27">
      <c r="B195" s="250" t="s">
        <v>463</v>
      </c>
      <c r="C195" s="254" t="s">
        <v>256</v>
      </c>
      <c r="D195" s="255">
        <v>60</v>
      </c>
      <c r="E195" s="250" t="s">
        <v>544</v>
      </c>
      <c r="F195" s="255">
        <v>21.7</v>
      </c>
      <c r="G195" s="253">
        <v>44909</v>
      </c>
      <c r="H195" s="250" t="s">
        <v>2352</v>
      </c>
      <c r="J195" s="250" t="s">
        <v>646</v>
      </c>
      <c r="K195" s="250" t="s">
        <v>2351</v>
      </c>
      <c r="L195" s="250">
        <v>2022</v>
      </c>
      <c r="N195" s="250" t="s">
        <v>2350</v>
      </c>
      <c r="O195" s="251" t="s">
        <v>496</v>
      </c>
      <c r="P195" s="251" t="s">
        <v>496</v>
      </c>
      <c r="Q195" s="251" t="s">
        <v>496</v>
      </c>
      <c r="R195" s="251" t="s">
        <v>496</v>
      </c>
      <c r="S195" s="251" t="s">
        <v>496</v>
      </c>
      <c r="T195" s="251" t="s">
        <v>496</v>
      </c>
      <c r="U195" s="251" t="s">
        <v>496</v>
      </c>
      <c r="V195" s="251" t="s">
        <v>496</v>
      </c>
      <c r="W195" s="251" t="s">
        <v>496</v>
      </c>
      <c r="X195" s="251" t="s">
        <v>496</v>
      </c>
      <c r="Y195" s="251" t="s">
        <v>496</v>
      </c>
      <c r="Z195" s="251" t="s">
        <v>496</v>
      </c>
      <c r="AA195" s="250" t="s">
        <v>840</v>
      </c>
    </row>
    <row r="196" spans="1:27">
      <c r="B196" s="250" t="s">
        <v>1643</v>
      </c>
      <c r="C196" s="254" t="s">
        <v>256</v>
      </c>
      <c r="D196" s="255">
        <v>60</v>
      </c>
      <c r="E196" s="250" t="s">
        <v>544</v>
      </c>
      <c r="F196" s="255">
        <v>10</v>
      </c>
      <c r="G196" s="253">
        <v>44637</v>
      </c>
      <c r="H196" s="250" t="s">
        <v>3216</v>
      </c>
      <c r="I196" s="250" t="s">
        <v>3214</v>
      </c>
      <c r="J196" s="250" t="s">
        <v>614</v>
      </c>
      <c r="K196" s="250" t="s">
        <v>3217</v>
      </c>
      <c r="L196" s="250">
        <v>2014</v>
      </c>
      <c r="N196" s="250" t="s">
        <v>3215</v>
      </c>
      <c r="O196" s="251" t="s">
        <v>549</v>
      </c>
      <c r="P196" s="251">
        <v>4.5</v>
      </c>
      <c r="Q196" s="251" t="s">
        <v>3220</v>
      </c>
      <c r="R196" s="251" t="s">
        <v>549</v>
      </c>
      <c r="S196" s="251">
        <v>1.8</v>
      </c>
      <c r="T196" s="251" t="s">
        <v>3226</v>
      </c>
      <c r="U196" s="251" t="s">
        <v>496</v>
      </c>
      <c r="V196" s="251" t="s">
        <v>496</v>
      </c>
      <c r="W196" s="251" t="s">
        <v>496</v>
      </c>
      <c r="X196" s="251" t="s">
        <v>496</v>
      </c>
      <c r="Y196" s="251" t="s">
        <v>496</v>
      </c>
      <c r="Z196" s="251" t="s">
        <v>496</v>
      </c>
      <c r="AA196" s="250" t="s">
        <v>1848</v>
      </c>
    </row>
    <row r="197" spans="1:27">
      <c r="B197" s="250" t="s">
        <v>1201</v>
      </c>
      <c r="C197" s="254" t="s">
        <v>256</v>
      </c>
      <c r="D197" s="255">
        <v>50</v>
      </c>
      <c r="E197" s="250" t="s">
        <v>544</v>
      </c>
      <c r="F197" s="255">
        <v>20.9</v>
      </c>
      <c r="G197" s="253">
        <v>44411</v>
      </c>
      <c r="H197" s="250" t="s">
        <v>2514</v>
      </c>
      <c r="I197" s="250" t="s">
        <v>2517</v>
      </c>
      <c r="J197" s="250" t="s">
        <v>614</v>
      </c>
      <c r="K197" s="250" t="s">
        <v>2515</v>
      </c>
      <c r="L197" s="250">
        <v>2018</v>
      </c>
      <c r="N197" s="250" t="s">
        <v>2518</v>
      </c>
      <c r="O197" s="251" t="s">
        <v>549</v>
      </c>
      <c r="P197" s="251">
        <v>1.5</v>
      </c>
      <c r="Q197" s="251" t="s">
        <v>2519</v>
      </c>
      <c r="R197" s="251" t="s">
        <v>496</v>
      </c>
      <c r="S197" s="251" t="s">
        <v>496</v>
      </c>
      <c r="T197" s="251" t="s">
        <v>496</v>
      </c>
      <c r="U197" s="251" t="s">
        <v>496</v>
      </c>
      <c r="V197" s="251" t="s">
        <v>496</v>
      </c>
      <c r="W197" s="251" t="s">
        <v>496</v>
      </c>
      <c r="X197" s="251" t="s">
        <v>496</v>
      </c>
      <c r="Y197" s="251" t="s">
        <v>496</v>
      </c>
      <c r="Z197" s="251" t="s">
        <v>496</v>
      </c>
      <c r="AA197" s="250" t="s">
        <v>2516</v>
      </c>
    </row>
    <row r="198" spans="1:27">
      <c r="A198" s="250">
        <f>+A137+1</f>
        <v>58</v>
      </c>
      <c r="B198" s="250" t="s">
        <v>514</v>
      </c>
      <c r="C198" s="254" t="s">
        <v>256</v>
      </c>
      <c r="D198" s="255">
        <v>50</v>
      </c>
      <c r="E198" s="250" t="s">
        <v>549</v>
      </c>
      <c r="F198" s="188">
        <v>18.5</v>
      </c>
      <c r="G198" s="253">
        <v>45050</v>
      </c>
      <c r="H198" s="250" t="s">
        <v>1199</v>
      </c>
      <c r="I198" s="250" t="s">
        <v>562</v>
      </c>
      <c r="J198" s="250" t="s">
        <v>614</v>
      </c>
      <c r="K198" s="250" t="s">
        <v>636</v>
      </c>
      <c r="L198" s="250">
        <v>2023</v>
      </c>
      <c r="N198" s="250" t="s">
        <v>563</v>
      </c>
      <c r="O198" s="251" t="s">
        <v>496</v>
      </c>
      <c r="P198" s="251" t="s">
        <v>496</v>
      </c>
      <c r="Q198" s="251" t="s">
        <v>496</v>
      </c>
      <c r="R198" s="251" t="s">
        <v>496</v>
      </c>
      <c r="S198" s="251" t="s">
        <v>496</v>
      </c>
      <c r="T198" s="251" t="s">
        <v>496</v>
      </c>
      <c r="U198" s="251" t="s">
        <v>496</v>
      </c>
      <c r="V198" s="251" t="s">
        <v>496</v>
      </c>
      <c r="W198" s="251" t="s">
        <v>496</v>
      </c>
      <c r="X198" s="251" t="s">
        <v>496</v>
      </c>
      <c r="Y198" s="251" t="s">
        <v>496</v>
      </c>
      <c r="Z198" s="251" t="s">
        <v>496</v>
      </c>
      <c r="AA198" s="250" t="s">
        <v>834</v>
      </c>
    </row>
    <row r="199" spans="1:27">
      <c r="B199" s="250" t="s">
        <v>1200</v>
      </c>
      <c r="C199" s="254" t="s">
        <v>256</v>
      </c>
      <c r="D199" s="255">
        <v>50</v>
      </c>
      <c r="E199" s="250" t="s">
        <v>544</v>
      </c>
      <c r="F199" s="255">
        <v>15.5</v>
      </c>
      <c r="G199" s="253">
        <v>44727</v>
      </c>
      <c r="H199" s="250" t="s">
        <v>2507</v>
      </c>
      <c r="I199" s="250" t="s">
        <v>2506</v>
      </c>
      <c r="J199" s="250" t="s">
        <v>614</v>
      </c>
      <c r="K199" s="250" t="s">
        <v>461</v>
      </c>
      <c r="L199" s="250">
        <v>2013</v>
      </c>
      <c r="N199" s="250" t="s">
        <v>2508</v>
      </c>
      <c r="O199" s="251" t="s">
        <v>544</v>
      </c>
      <c r="P199" s="251">
        <v>12</v>
      </c>
      <c r="Q199" s="259" t="s">
        <v>2513</v>
      </c>
      <c r="R199" s="251" t="s">
        <v>549</v>
      </c>
      <c r="S199" s="251">
        <v>2</v>
      </c>
      <c r="T199" s="251" t="s">
        <v>1237</v>
      </c>
      <c r="U199" s="251" t="s">
        <v>496</v>
      </c>
      <c r="V199" s="251" t="s">
        <v>496</v>
      </c>
      <c r="W199" s="251" t="s">
        <v>496</v>
      </c>
      <c r="X199" s="251" t="s">
        <v>496</v>
      </c>
      <c r="Y199" s="251" t="s">
        <v>496</v>
      </c>
      <c r="Z199" s="251" t="s">
        <v>496</v>
      </c>
      <c r="AA199" s="250" t="s">
        <v>932</v>
      </c>
    </row>
    <row r="200" spans="1:27">
      <c r="B200" s="250" t="s">
        <v>1191</v>
      </c>
      <c r="C200" s="254" t="s">
        <v>256</v>
      </c>
      <c r="D200" s="255">
        <v>50</v>
      </c>
      <c r="E200" s="250" t="s">
        <v>544</v>
      </c>
      <c r="F200" s="255">
        <v>16</v>
      </c>
      <c r="G200" s="253">
        <v>44663</v>
      </c>
      <c r="H200" s="250" t="s">
        <v>3049</v>
      </c>
      <c r="I200" s="250" t="s">
        <v>3048</v>
      </c>
      <c r="J200" s="250" t="s">
        <v>614</v>
      </c>
      <c r="K200" s="250" t="s">
        <v>2535</v>
      </c>
      <c r="L200" s="250">
        <v>2019</v>
      </c>
      <c r="N200" s="250" t="s">
        <v>3050</v>
      </c>
      <c r="O200" s="251" t="s">
        <v>549</v>
      </c>
      <c r="P200" s="251">
        <v>12</v>
      </c>
      <c r="Q200" s="251" t="s">
        <v>3051</v>
      </c>
      <c r="R200" s="251" t="s">
        <v>496</v>
      </c>
      <c r="S200" s="251" t="s">
        <v>496</v>
      </c>
      <c r="T200" s="251" t="s">
        <v>496</v>
      </c>
      <c r="U200" s="251" t="s">
        <v>496</v>
      </c>
      <c r="V200" s="251" t="s">
        <v>496</v>
      </c>
      <c r="W200" s="251" t="s">
        <v>496</v>
      </c>
      <c r="X200" s="251" t="s">
        <v>496</v>
      </c>
      <c r="Y200" s="251" t="s">
        <v>496</v>
      </c>
      <c r="Z200" s="251" t="s">
        <v>496</v>
      </c>
      <c r="AA200" s="250" t="s">
        <v>932</v>
      </c>
    </row>
    <row r="201" spans="1:27">
      <c r="B201" s="250" t="s">
        <v>1651</v>
      </c>
      <c r="C201" s="254" t="s">
        <v>256</v>
      </c>
      <c r="D201" s="255">
        <v>50</v>
      </c>
      <c r="E201" s="250" t="s">
        <v>544</v>
      </c>
      <c r="F201" s="255">
        <v>15</v>
      </c>
      <c r="G201" s="253">
        <v>44314</v>
      </c>
      <c r="H201" s="250" t="s">
        <v>3229</v>
      </c>
      <c r="I201" s="250" t="s">
        <v>3228</v>
      </c>
      <c r="J201" s="250" t="s">
        <v>614</v>
      </c>
      <c r="K201" s="250" t="s">
        <v>3230</v>
      </c>
      <c r="L201" s="250">
        <v>2017</v>
      </c>
      <c r="N201" s="250" t="s">
        <v>3231</v>
      </c>
      <c r="O201" s="251" t="s">
        <v>669</v>
      </c>
      <c r="P201" s="251" t="s">
        <v>496</v>
      </c>
      <c r="Q201" s="251" t="s">
        <v>3235</v>
      </c>
      <c r="R201" s="251" t="s">
        <v>496</v>
      </c>
      <c r="S201" s="251" t="s">
        <v>496</v>
      </c>
      <c r="T201" s="251" t="s">
        <v>496</v>
      </c>
      <c r="U201" s="251" t="s">
        <v>496</v>
      </c>
      <c r="V201" s="251" t="s">
        <v>496</v>
      </c>
      <c r="W201" s="251" t="s">
        <v>496</v>
      </c>
      <c r="X201" s="251" t="s">
        <v>496</v>
      </c>
      <c r="Y201" s="251" t="s">
        <v>496</v>
      </c>
      <c r="Z201" s="251" t="s">
        <v>496</v>
      </c>
      <c r="AA201" s="250" t="s">
        <v>3227</v>
      </c>
    </row>
    <row r="202" spans="1:27" s="64" customFormat="1">
      <c r="A202" s="64">
        <f>+A198+1</f>
        <v>59</v>
      </c>
      <c r="B202" s="64" t="s">
        <v>568</v>
      </c>
      <c r="C202" s="190" t="s">
        <v>256</v>
      </c>
      <c r="D202" s="188">
        <v>50</v>
      </c>
      <c r="E202" s="64" t="s">
        <v>544</v>
      </c>
      <c r="F202" s="188">
        <v>11</v>
      </c>
      <c r="G202" s="202">
        <v>45070</v>
      </c>
      <c r="H202" s="64" t="s">
        <v>725</v>
      </c>
      <c r="J202" s="197" t="s">
        <v>614</v>
      </c>
      <c r="K202" s="197" t="s">
        <v>543</v>
      </c>
      <c r="L202" s="64">
        <v>2018</v>
      </c>
      <c r="N202" s="64" t="s">
        <v>1202</v>
      </c>
      <c r="O202" s="204" t="s">
        <v>549</v>
      </c>
      <c r="P202" s="204" t="s">
        <v>496</v>
      </c>
      <c r="Q202" s="204" t="s">
        <v>1211</v>
      </c>
      <c r="R202" s="204" t="s">
        <v>669</v>
      </c>
      <c r="S202" s="204" t="s">
        <v>496</v>
      </c>
      <c r="T202" s="204" t="s">
        <v>1212</v>
      </c>
      <c r="U202" s="251" t="s">
        <v>496</v>
      </c>
      <c r="V202" s="251" t="s">
        <v>496</v>
      </c>
      <c r="W202" s="251" t="s">
        <v>496</v>
      </c>
      <c r="X202" s="251" t="s">
        <v>496</v>
      </c>
      <c r="Y202" s="251" t="s">
        <v>496</v>
      </c>
      <c r="Z202" s="251" t="s">
        <v>496</v>
      </c>
      <c r="AA202" s="64" t="s">
        <v>832</v>
      </c>
    </row>
    <row r="203" spans="1:27">
      <c r="A203" s="250">
        <f>+A251+1</f>
        <v>88</v>
      </c>
      <c r="B203" s="250" t="s">
        <v>697</v>
      </c>
      <c r="C203" s="254" t="s">
        <v>256</v>
      </c>
      <c r="D203" s="255">
        <v>50</v>
      </c>
      <c r="E203" s="250" t="s">
        <v>544</v>
      </c>
      <c r="F203" s="255">
        <v>15</v>
      </c>
      <c r="G203" s="253">
        <v>44838</v>
      </c>
      <c r="H203" s="250" t="s">
        <v>1586</v>
      </c>
      <c r="I203" s="250" t="s">
        <v>1587</v>
      </c>
      <c r="J203" s="250" t="s">
        <v>614</v>
      </c>
      <c r="K203" s="250" t="s">
        <v>559</v>
      </c>
      <c r="L203" s="250">
        <v>2020</v>
      </c>
      <c r="N203" s="250" t="s">
        <v>1588</v>
      </c>
      <c r="O203" s="251" t="s">
        <v>496</v>
      </c>
      <c r="P203" s="251" t="s">
        <v>496</v>
      </c>
      <c r="Q203" s="251" t="s">
        <v>496</v>
      </c>
      <c r="R203" s="251" t="s">
        <v>496</v>
      </c>
      <c r="S203" s="251" t="s">
        <v>496</v>
      </c>
      <c r="T203" s="251" t="s">
        <v>496</v>
      </c>
      <c r="U203" s="251" t="s">
        <v>496</v>
      </c>
      <c r="V203" s="251" t="s">
        <v>496</v>
      </c>
      <c r="W203" s="251" t="s">
        <v>496</v>
      </c>
      <c r="X203" s="251" t="s">
        <v>496</v>
      </c>
      <c r="Y203" s="251" t="s">
        <v>496</v>
      </c>
      <c r="Z203" s="251" t="s">
        <v>496</v>
      </c>
      <c r="AA203" s="250" t="s">
        <v>841</v>
      </c>
    </row>
    <row r="204" spans="1:27" s="64" customFormat="1">
      <c r="B204" s="64" t="s">
        <v>1476</v>
      </c>
      <c r="C204" s="190" t="s">
        <v>256</v>
      </c>
      <c r="D204" s="188">
        <v>50</v>
      </c>
      <c r="E204" s="64" t="s">
        <v>544</v>
      </c>
      <c r="F204" s="188">
        <v>12.5</v>
      </c>
      <c r="G204" s="202">
        <v>44784</v>
      </c>
      <c r="H204" s="64" t="s">
        <v>1488</v>
      </c>
      <c r="I204" s="64" t="s">
        <v>1489</v>
      </c>
      <c r="J204" s="64" t="s">
        <v>614</v>
      </c>
      <c r="K204" s="64" t="s">
        <v>430</v>
      </c>
      <c r="L204" s="226">
        <v>2018</v>
      </c>
      <c r="N204" s="64" t="s">
        <v>1487</v>
      </c>
      <c r="O204" s="204" t="s">
        <v>544</v>
      </c>
      <c r="P204" s="204">
        <v>10</v>
      </c>
      <c r="Q204" s="204" t="s">
        <v>1494</v>
      </c>
      <c r="R204" s="204" t="s">
        <v>669</v>
      </c>
      <c r="S204" s="204" t="s">
        <v>496</v>
      </c>
      <c r="T204" s="204" t="s">
        <v>1496</v>
      </c>
      <c r="U204" s="204" t="s">
        <v>549</v>
      </c>
      <c r="V204" s="204" t="s">
        <v>496</v>
      </c>
      <c r="W204" s="204" t="s">
        <v>1497</v>
      </c>
      <c r="X204" s="204" t="s">
        <v>496</v>
      </c>
      <c r="Y204" s="204" t="s">
        <v>496</v>
      </c>
      <c r="Z204" s="204" t="s">
        <v>496</v>
      </c>
      <c r="AA204" s="64" t="s">
        <v>1486</v>
      </c>
    </row>
    <row r="205" spans="1:27" s="64" customFormat="1">
      <c r="B205" s="64" t="s">
        <v>571</v>
      </c>
      <c r="C205" s="190" t="s">
        <v>256</v>
      </c>
      <c r="D205" s="188">
        <v>50</v>
      </c>
      <c r="E205" s="64" t="s">
        <v>549</v>
      </c>
      <c r="F205" s="188">
        <v>5.3</v>
      </c>
      <c r="G205" s="202">
        <v>45069</v>
      </c>
      <c r="H205" s="64" t="s">
        <v>1594</v>
      </c>
      <c r="I205" s="64" t="s">
        <v>1593</v>
      </c>
      <c r="J205" s="64" t="s">
        <v>614</v>
      </c>
      <c r="K205" s="64" t="s">
        <v>639</v>
      </c>
      <c r="L205" s="194">
        <v>44531</v>
      </c>
      <c r="N205" s="64" t="s">
        <v>1595</v>
      </c>
      <c r="O205" s="204" t="s">
        <v>669</v>
      </c>
      <c r="P205" s="204" t="s">
        <v>496</v>
      </c>
      <c r="Q205" s="204" t="s">
        <v>1596</v>
      </c>
      <c r="R205" s="204" t="s">
        <v>496</v>
      </c>
      <c r="S205" s="204" t="s">
        <v>496</v>
      </c>
      <c r="T205" s="204" t="s">
        <v>496</v>
      </c>
      <c r="U205" s="204" t="s">
        <v>496</v>
      </c>
      <c r="V205" s="204" t="s">
        <v>496</v>
      </c>
      <c r="W205" s="204" t="s">
        <v>496</v>
      </c>
      <c r="X205" s="204" t="s">
        <v>496</v>
      </c>
      <c r="Y205" s="204" t="s">
        <v>496</v>
      </c>
      <c r="Z205" s="204" t="s">
        <v>496</v>
      </c>
      <c r="AA205" s="64" t="s">
        <v>1592</v>
      </c>
    </row>
    <row r="206" spans="1:27">
      <c r="B206" s="250" t="s">
        <v>467</v>
      </c>
      <c r="C206" s="254" t="s">
        <v>256</v>
      </c>
      <c r="D206" s="255">
        <v>50</v>
      </c>
      <c r="E206" s="250" t="s">
        <v>549</v>
      </c>
      <c r="F206" s="255">
        <v>15</v>
      </c>
      <c r="G206" s="253">
        <v>44691</v>
      </c>
      <c r="H206" s="250" t="s">
        <v>1441</v>
      </c>
      <c r="I206" s="250" t="s">
        <v>1598</v>
      </c>
      <c r="J206" s="250" t="s">
        <v>614</v>
      </c>
      <c r="K206" s="250" t="s">
        <v>698</v>
      </c>
      <c r="L206" s="257">
        <v>44362</v>
      </c>
      <c r="N206" s="250" t="s">
        <v>1600</v>
      </c>
      <c r="O206" s="251" t="s">
        <v>496</v>
      </c>
      <c r="P206" s="251" t="s">
        <v>496</v>
      </c>
      <c r="Q206" s="251" t="s">
        <v>496</v>
      </c>
      <c r="R206" s="251" t="s">
        <v>496</v>
      </c>
      <c r="S206" s="251" t="s">
        <v>496</v>
      </c>
      <c r="T206" s="251" t="s">
        <v>496</v>
      </c>
      <c r="U206" s="251" t="s">
        <v>496</v>
      </c>
      <c r="V206" s="251" t="s">
        <v>496</v>
      </c>
      <c r="W206" s="251" t="s">
        <v>496</v>
      </c>
      <c r="X206" s="251" t="s">
        <v>496</v>
      </c>
      <c r="Y206" s="251" t="s">
        <v>496</v>
      </c>
      <c r="Z206" s="251" t="s">
        <v>496</v>
      </c>
      <c r="AA206" s="250" t="s">
        <v>844</v>
      </c>
    </row>
    <row r="207" spans="1:27">
      <c r="B207" s="250" t="s">
        <v>699</v>
      </c>
      <c r="C207" s="254" t="s">
        <v>256</v>
      </c>
      <c r="D207" s="255">
        <v>50</v>
      </c>
      <c r="E207" s="250" t="s">
        <v>544</v>
      </c>
      <c r="F207" s="255">
        <v>15</v>
      </c>
      <c r="G207" s="205">
        <v>44482</v>
      </c>
      <c r="H207" s="250" t="s">
        <v>1611</v>
      </c>
      <c r="I207" s="250" t="s">
        <v>1608</v>
      </c>
      <c r="J207" s="250" t="s">
        <v>614</v>
      </c>
      <c r="K207" s="250" t="s">
        <v>636</v>
      </c>
      <c r="L207" s="250">
        <v>2020</v>
      </c>
      <c r="N207" s="250" t="s">
        <v>1610</v>
      </c>
      <c r="O207" s="251" t="s">
        <v>549</v>
      </c>
      <c r="P207" s="251">
        <v>4.5</v>
      </c>
      <c r="Q207" s="251" t="s">
        <v>1612</v>
      </c>
      <c r="R207" s="251" t="s">
        <v>669</v>
      </c>
      <c r="S207" s="251">
        <v>0.125</v>
      </c>
      <c r="T207" s="251" t="s">
        <v>740</v>
      </c>
      <c r="U207" s="251" t="s">
        <v>496</v>
      </c>
      <c r="V207" s="251" t="s">
        <v>496</v>
      </c>
      <c r="W207" s="251" t="s">
        <v>496</v>
      </c>
      <c r="X207" s="251" t="s">
        <v>496</v>
      </c>
      <c r="Y207" s="251" t="s">
        <v>496</v>
      </c>
      <c r="Z207" s="251" t="s">
        <v>496</v>
      </c>
      <c r="AA207" s="250" t="s">
        <v>833</v>
      </c>
    </row>
    <row r="208" spans="1:27">
      <c r="B208" s="250" t="s">
        <v>700</v>
      </c>
      <c r="C208" s="254" t="s">
        <v>256</v>
      </c>
      <c r="D208" s="255">
        <v>50</v>
      </c>
      <c r="E208" s="250" t="s">
        <v>544</v>
      </c>
      <c r="F208" s="255">
        <v>14.5</v>
      </c>
      <c r="G208" s="205">
        <v>44389</v>
      </c>
      <c r="H208" s="250" t="s">
        <v>1618</v>
      </c>
      <c r="I208" s="250" t="s">
        <v>1616</v>
      </c>
      <c r="J208" s="250" t="s">
        <v>614</v>
      </c>
      <c r="K208" s="250" t="s">
        <v>636</v>
      </c>
      <c r="L208" s="250">
        <v>2019</v>
      </c>
      <c r="N208" s="250" t="s">
        <v>1617</v>
      </c>
      <c r="O208" s="251" t="s">
        <v>549</v>
      </c>
      <c r="P208" s="251">
        <v>3</v>
      </c>
      <c r="Q208" s="251" t="s">
        <v>1626</v>
      </c>
      <c r="R208" s="251" t="s">
        <v>669</v>
      </c>
      <c r="S208" s="251" t="s">
        <v>496</v>
      </c>
      <c r="T208" s="251" t="s">
        <v>1627</v>
      </c>
      <c r="U208" s="251" t="s">
        <v>496</v>
      </c>
      <c r="V208" s="251" t="s">
        <v>496</v>
      </c>
      <c r="W208" s="251" t="s">
        <v>496</v>
      </c>
      <c r="X208" s="251" t="s">
        <v>496</v>
      </c>
      <c r="Y208" s="251" t="s">
        <v>496</v>
      </c>
      <c r="Z208" s="251" t="s">
        <v>496</v>
      </c>
      <c r="AA208" s="250" t="s">
        <v>834</v>
      </c>
    </row>
    <row r="209" spans="2:27">
      <c r="B209" s="250" t="s">
        <v>701</v>
      </c>
      <c r="C209" s="254" t="s">
        <v>256</v>
      </c>
      <c r="D209" s="255">
        <v>50</v>
      </c>
      <c r="E209" s="250" t="s">
        <v>549</v>
      </c>
      <c r="F209" s="255">
        <v>15</v>
      </c>
      <c r="G209" s="253">
        <v>44999</v>
      </c>
      <c r="H209" s="250" t="s">
        <v>916</v>
      </c>
      <c r="I209" s="250" t="s">
        <v>1632</v>
      </c>
      <c r="J209" s="250" t="s">
        <v>614</v>
      </c>
      <c r="K209" s="250" t="s">
        <v>636</v>
      </c>
      <c r="L209" s="250">
        <v>2021</v>
      </c>
      <c r="M209" s="250" t="s">
        <v>1633</v>
      </c>
      <c r="N209" s="250" t="s">
        <v>496</v>
      </c>
      <c r="O209" s="251" t="s">
        <v>669</v>
      </c>
      <c r="P209" s="251">
        <v>4.5</v>
      </c>
      <c r="Q209" s="251" t="s">
        <v>1629</v>
      </c>
      <c r="R209" s="251" t="s">
        <v>496</v>
      </c>
      <c r="S209" s="251" t="s">
        <v>496</v>
      </c>
      <c r="T209" s="251" t="s">
        <v>496</v>
      </c>
      <c r="U209" s="251" t="s">
        <v>496</v>
      </c>
      <c r="V209" s="251" t="s">
        <v>496</v>
      </c>
      <c r="W209" s="251" t="s">
        <v>496</v>
      </c>
      <c r="X209" s="251" t="s">
        <v>496</v>
      </c>
      <c r="Y209" s="251" t="s">
        <v>496</v>
      </c>
      <c r="Z209" s="251" t="s">
        <v>496</v>
      </c>
      <c r="AA209" s="250" t="s">
        <v>834</v>
      </c>
    </row>
    <row r="210" spans="2:27">
      <c r="B210" s="250" t="s">
        <v>702</v>
      </c>
      <c r="C210" s="254" t="s">
        <v>256</v>
      </c>
      <c r="D210" s="255">
        <v>50</v>
      </c>
      <c r="E210" s="250" t="s">
        <v>544</v>
      </c>
      <c r="F210" s="255">
        <v>14</v>
      </c>
      <c r="G210" s="253">
        <v>44705</v>
      </c>
      <c r="H210" s="250" t="s">
        <v>1441</v>
      </c>
      <c r="I210" s="250" t="s">
        <v>1634</v>
      </c>
      <c r="J210" s="250" t="s">
        <v>614</v>
      </c>
      <c r="K210" s="250" t="s">
        <v>698</v>
      </c>
      <c r="L210" s="250">
        <v>2019</v>
      </c>
      <c r="N210" s="250" t="s">
        <v>1635</v>
      </c>
      <c r="O210" s="251" t="s">
        <v>549</v>
      </c>
      <c r="P210" s="251">
        <v>5</v>
      </c>
      <c r="Q210" s="251" t="s">
        <v>1637</v>
      </c>
      <c r="R210" s="251" t="s">
        <v>669</v>
      </c>
      <c r="S210" s="251">
        <v>0.62</v>
      </c>
      <c r="T210" s="251" t="s">
        <v>1638</v>
      </c>
      <c r="U210" s="251" t="s">
        <v>496</v>
      </c>
      <c r="V210" s="251" t="s">
        <v>496</v>
      </c>
      <c r="W210" s="251" t="s">
        <v>496</v>
      </c>
      <c r="X210" s="251" t="s">
        <v>496</v>
      </c>
      <c r="Y210" s="251" t="s">
        <v>496</v>
      </c>
      <c r="Z210" s="251" t="s">
        <v>496</v>
      </c>
      <c r="AA210" s="250" t="s">
        <v>1477</v>
      </c>
    </row>
    <row r="211" spans="2:27">
      <c r="B211" s="250" t="s">
        <v>1521</v>
      </c>
      <c r="C211" s="254" t="s">
        <v>256</v>
      </c>
      <c r="D211" s="255">
        <v>50</v>
      </c>
      <c r="E211" s="250" t="s">
        <v>544</v>
      </c>
      <c r="F211" s="255">
        <v>13.6</v>
      </c>
      <c r="G211" s="253">
        <v>44134</v>
      </c>
      <c r="H211" s="250" t="s">
        <v>2823</v>
      </c>
      <c r="I211" s="250" t="s">
        <v>2822</v>
      </c>
      <c r="J211" s="250" t="s">
        <v>614</v>
      </c>
      <c r="K211" s="250" t="s">
        <v>1007</v>
      </c>
      <c r="L211" s="250">
        <v>2016</v>
      </c>
      <c r="N211" s="250" t="s">
        <v>2824</v>
      </c>
      <c r="O211" s="251" t="s">
        <v>544</v>
      </c>
      <c r="P211" s="251">
        <v>6</v>
      </c>
      <c r="Q211" s="251" t="s">
        <v>2825</v>
      </c>
      <c r="R211" s="251" t="s">
        <v>549</v>
      </c>
      <c r="S211" s="251">
        <v>5</v>
      </c>
      <c r="T211" s="251" t="s">
        <v>2825</v>
      </c>
      <c r="U211" s="251" t="s">
        <v>549</v>
      </c>
      <c r="V211" s="251">
        <v>3</v>
      </c>
      <c r="W211" s="251" t="s">
        <v>2826</v>
      </c>
      <c r="X211" s="251" t="s">
        <v>549</v>
      </c>
      <c r="Y211" s="251">
        <v>2</v>
      </c>
      <c r="Z211" s="251" t="s">
        <v>2826</v>
      </c>
      <c r="AA211" s="250" t="s">
        <v>2602</v>
      </c>
    </row>
    <row r="212" spans="2:27">
      <c r="B212" s="250" t="s">
        <v>468</v>
      </c>
      <c r="C212" s="254" t="s">
        <v>256</v>
      </c>
      <c r="D212" s="255">
        <v>50</v>
      </c>
      <c r="E212" s="250" t="s">
        <v>549</v>
      </c>
      <c r="F212" s="255">
        <v>13.75</v>
      </c>
      <c r="G212" s="253">
        <v>45014</v>
      </c>
      <c r="H212" s="250" t="s">
        <v>2405</v>
      </c>
      <c r="I212" s="250" t="s">
        <v>1685</v>
      </c>
      <c r="J212" s="250" t="s">
        <v>615</v>
      </c>
      <c r="K212" s="250" t="s">
        <v>703</v>
      </c>
      <c r="L212" s="250">
        <v>2021</v>
      </c>
      <c r="M212" s="250" t="s">
        <v>1684</v>
      </c>
      <c r="N212" s="250" t="s">
        <v>496</v>
      </c>
      <c r="O212" s="251" t="s">
        <v>549</v>
      </c>
      <c r="P212" s="251">
        <v>5.4</v>
      </c>
      <c r="Q212" s="251" t="s">
        <v>496</v>
      </c>
      <c r="R212" s="251" t="s">
        <v>496</v>
      </c>
      <c r="S212" s="251" t="s">
        <v>496</v>
      </c>
      <c r="T212" s="251" t="s">
        <v>496</v>
      </c>
      <c r="U212" s="251" t="s">
        <v>496</v>
      </c>
      <c r="V212" s="251" t="s">
        <v>496</v>
      </c>
      <c r="W212" s="251" t="s">
        <v>496</v>
      </c>
      <c r="X212" s="251" t="s">
        <v>496</v>
      </c>
      <c r="Y212" s="251" t="s">
        <v>496</v>
      </c>
      <c r="Z212" s="251" t="s">
        <v>496</v>
      </c>
      <c r="AA212" s="250" t="s">
        <v>833</v>
      </c>
    </row>
    <row r="213" spans="2:27">
      <c r="B213" s="250" t="s">
        <v>578</v>
      </c>
      <c r="C213" s="254" t="s">
        <v>256</v>
      </c>
      <c r="D213" s="255">
        <v>50</v>
      </c>
      <c r="E213" s="250" t="s">
        <v>544</v>
      </c>
      <c r="F213" s="255">
        <v>12.7</v>
      </c>
      <c r="G213" s="253">
        <v>44952</v>
      </c>
      <c r="H213" s="250" t="s">
        <v>1665</v>
      </c>
      <c r="I213" s="250" t="s">
        <v>1658</v>
      </c>
      <c r="J213" s="250" t="s">
        <v>614</v>
      </c>
      <c r="K213" s="250" t="s">
        <v>708</v>
      </c>
      <c r="L213" s="250">
        <v>2021</v>
      </c>
      <c r="N213" s="250" t="s">
        <v>1660</v>
      </c>
      <c r="O213" s="251" t="s">
        <v>549</v>
      </c>
      <c r="P213" s="251">
        <v>5</v>
      </c>
      <c r="Q213" s="251" t="s">
        <v>1664</v>
      </c>
      <c r="R213" s="251" t="s">
        <v>496</v>
      </c>
      <c r="S213" s="251" t="s">
        <v>496</v>
      </c>
      <c r="T213" s="251" t="s">
        <v>496</v>
      </c>
      <c r="U213" s="251" t="s">
        <v>496</v>
      </c>
      <c r="V213" s="251" t="s">
        <v>496</v>
      </c>
      <c r="W213" s="251" t="s">
        <v>496</v>
      </c>
      <c r="X213" s="251" t="s">
        <v>496</v>
      </c>
      <c r="Y213" s="251" t="s">
        <v>496</v>
      </c>
      <c r="Z213" s="251" t="s">
        <v>496</v>
      </c>
      <c r="AA213" s="250" t="s">
        <v>1108</v>
      </c>
    </row>
    <row r="214" spans="2:27">
      <c r="B214" s="64" t="s">
        <v>704</v>
      </c>
      <c r="C214" s="190" t="s">
        <v>256</v>
      </c>
      <c r="D214" s="188">
        <v>50</v>
      </c>
      <c r="E214" s="64" t="s">
        <v>549</v>
      </c>
      <c r="F214" s="188">
        <v>13</v>
      </c>
      <c r="G214" s="202">
        <v>44896</v>
      </c>
      <c r="H214" s="64" t="s">
        <v>1694</v>
      </c>
      <c r="I214" s="250" t="s">
        <v>1691</v>
      </c>
      <c r="J214" s="64" t="s">
        <v>614</v>
      </c>
      <c r="K214" s="64" t="s">
        <v>685</v>
      </c>
      <c r="L214" s="64">
        <v>2019</v>
      </c>
      <c r="N214" s="250" t="s">
        <v>1693</v>
      </c>
      <c r="O214" s="251" t="s">
        <v>669</v>
      </c>
      <c r="P214" s="251">
        <v>1</v>
      </c>
      <c r="Q214" s="251" t="s">
        <v>496</v>
      </c>
      <c r="R214" s="251" t="s">
        <v>496</v>
      </c>
      <c r="S214" s="251" t="s">
        <v>496</v>
      </c>
      <c r="T214" s="251" t="s">
        <v>496</v>
      </c>
      <c r="U214" s="251" t="s">
        <v>496</v>
      </c>
      <c r="V214" s="251" t="s">
        <v>496</v>
      </c>
      <c r="W214" s="251" t="s">
        <v>496</v>
      </c>
      <c r="X214" s="251" t="s">
        <v>496</v>
      </c>
      <c r="Y214" s="251" t="s">
        <v>496</v>
      </c>
      <c r="Z214" s="251" t="s">
        <v>496</v>
      </c>
      <c r="AA214" s="250" t="s">
        <v>1690</v>
      </c>
    </row>
    <row r="215" spans="2:27">
      <c r="B215" s="250" t="s">
        <v>707</v>
      </c>
      <c r="C215" s="254" t="s">
        <v>256</v>
      </c>
      <c r="D215" s="255">
        <v>50</v>
      </c>
      <c r="E215" s="250" t="s">
        <v>544</v>
      </c>
      <c r="F215" s="255">
        <v>12.6</v>
      </c>
      <c r="G215" s="253">
        <v>44579</v>
      </c>
      <c r="H215" s="250" t="s">
        <v>1007</v>
      </c>
      <c r="I215" s="250" t="s">
        <v>1722</v>
      </c>
      <c r="J215" s="250" t="s">
        <v>614</v>
      </c>
      <c r="K215" s="250" t="s">
        <v>636</v>
      </c>
      <c r="L215" s="250">
        <v>2020</v>
      </c>
      <c r="N215" s="250" t="s">
        <v>1726</v>
      </c>
      <c r="O215" s="251" t="s">
        <v>549</v>
      </c>
      <c r="P215" s="251">
        <v>3</v>
      </c>
      <c r="Q215" s="251" t="s">
        <v>1725</v>
      </c>
      <c r="R215" s="250" t="s">
        <v>496</v>
      </c>
      <c r="S215" s="250" t="s">
        <v>496</v>
      </c>
      <c r="T215" s="250" t="s">
        <v>496</v>
      </c>
      <c r="U215" s="250" t="s">
        <v>496</v>
      </c>
      <c r="V215" s="250" t="s">
        <v>496</v>
      </c>
      <c r="W215" s="250" t="s">
        <v>496</v>
      </c>
      <c r="X215" s="250" t="s">
        <v>496</v>
      </c>
      <c r="Y215" s="250" t="s">
        <v>496</v>
      </c>
      <c r="Z215" s="250" t="s">
        <v>496</v>
      </c>
      <c r="AA215" s="250" t="s">
        <v>834</v>
      </c>
    </row>
    <row r="216" spans="2:27">
      <c r="B216" s="250" t="s">
        <v>705</v>
      </c>
      <c r="C216" s="254" t="s">
        <v>256</v>
      </c>
      <c r="D216" s="255">
        <v>50</v>
      </c>
      <c r="E216" s="250" t="s">
        <v>544</v>
      </c>
      <c r="F216" s="255">
        <v>12.5</v>
      </c>
      <c r="G216" s="253">
        <v>45005</v>
      </c>
      <c r="H216" s="250" t="s">
        <v>1701</v>
      </c>
      <c r="J216" s="250" t="s">
        <v>614</v>
      </c>
      <c r="K216" s="250" t="s">
        <v>636</v>
      </c>
      <c r="L216" s="250">
        <v>2021</v>
      </c>
      <c r="N216" s="250" t="s">
        <v>1700</v>
      </c>
      <c r="O216" s="251" t="s">
        <v>549</v>
      </c>
      <c r="P216" s="251">
        <v>5</v>
      </c>
      <c r="Q216" s="251" t="s">
        <v>1703</v>
      </c>
      <c r="R216" s="251" t="s">
        <v>496</v>
      </c>
      <c r="S216" s="251" t="s">
        <v>496</v>
      </c>
      <c r="T216" s="251" t="s">
        <v>496</v>
      </c>
      <c r="U216" s="251" t="s">
        <v>496</v>
      </c>
      <c r="V216" s="251" t="s">
        <v>496</v>
      </c>
      <c r="W216" s="251" t="s">
        <v>496</v>
      </c>
      <c r="X216" s="251" t="s">
        <v>496</v>
      </c>
      <c r="Y216" s="251" t="s">
        <v>496</v>
      </c>
      <c r="Z216" s="251" t="s">
        <v>496</v>
      </c>
      <c r="AA216" s="250" t="s">
        <v>1699</v>
      </c>
    </row>
    <row r="217" spans="2:27" s="64" customFormat="1">
      <c r="B217" s="64" t="s">
        <v>706</v>
      </c>
      <c r="C217" s="190" t="s">
        <v>256</v>
      </c>
      <c r="D217" s="188">
        <v>50</v>
      </c>
      <c r="E217" s="64" t="s">
        <v>544</v>
      </c>
      <c r="F217" s="188">
        <v>12.5</v>
      </c>
      <c r="G217" s="202">
        <v>44978</v>
      </c>
      <c r="H217" s="64" t="s">
        <v>1706</v>
      </c>
      <c r="I217" s="64" t="s">
        <v>1704</v>
      </c>
      <c r="J217" s="64" t="s">
        <v>614</v>
      </c>
      <c r="K217" s="64" t="s">
        <v>636</v>
      </c>
      <c r="L217" s="64">
        <v>2019</v>
      </c>
      <c r="M217" s="64" t="s">
        <v>4448</v>
      </c>
      <c r="N217" s="64" t="s">
        <v>1705</v>
      </c>
      <c r="O217" s="204" t="s">
        <v>549</v>
      </c>
      <c r="P217" s="204" t="s">
        <v>496</v>
      </c>
      <c r="Q217" s="204" t="s">
        <v>740</v>
      </c>
      <c r="R217" s="204" t="s">
        <v>496</v>
      </c>
      <c r="S217" s="204" t="s">
        <v>496</v>
      </c>
      <c r="T217" s="204" t="s">
        <v>496</v>
      </c>
      <c r="U217" s="204" t="s">
        <v>496</v>
      </c>
      <c r="V217" s="204" t="s">
        <v>496</v>
      </c>
      <c r="W217" s="204" t="s">
        <v>496</v>
      </c>
      <c r="X217" s="204" t="s">
        <v>496</v>
      </c>
      <c r="Y217" s="204" t="s">
        <v>496</v>
      </c>
      <c r="Z217" s="204" t="s">
        <v>496</v>
      </c>
      <c r="AA217" s="64" t="s">
        <v>834</v>
      </c>
    </row>
    <row r="218" spans="2:27">
      <c r="B218" s="250" t="s">
        <v>711</v>
      </c>
      <c r="C218" s="254" t="s">
        <v>256</v>
      </c>
      <c r="D218" s="255">
        <v>50</v>
      </c>
      <c r="E218" s="250" t="s">
        <v>544</v>
      </c>
      <c r="F218" s="255">
        <v>12.8</v>
      </c>
      <c r="G218" s="253">
        <v>44698</v>
      </c>
      <c r="H218" s="250" t="s">
        <v>1741</v>
      </c>
      <c r="J218" s="250" t="s">
        <v>614</v>
      </c>
      <c r="K218" s="250" t="s">
        <v>636</v>
      </c>
      <c r="L218" s="250">
        <v>2020</v>
      </c>
      <c r="N218" s="250" t="s">
        <v>1736</v>
      </c>
      <c r="O218" s="251" t="s">
        <v>549</v>
      </c>
      <c r="P218" s="251">
        <v>5.5</v>
      </c>
      <c r="Q218" s="251" t="s">
        <v>1739</v>
      </c>
      <c r="R218" s="250" t="s">
        <v>496</v>
      </c>
      <c r="S218" s="250" t="s">
        <v>496</v>
      </c>
      <c r="T218" s="250" t="s">
        <v>496</v>
      </c>
      <c r="U218" s="250" t="s">
        <v>496</v>
      </c>
      <c r="V218" s="250" t="s">
        <v>496</v>
      </c>
      <c r="W218" s="250" t="s">
        <v>496</v>
      </c>
      <c r="X218" s="250" t="s">
        <v>496</v>
      </c>
      <c r="Y218" s="250" t="s">
        <v>496</v>
      </c>
      <c r="Z218" s="250" t="s">
        <v>496</v>
      </c>
      <c r="AA218" s="250" t="s">
        <v>834</v>
      </c>
    </row>
    <row r="219" spans="2:27">
      <c r="B219" s="250" t="s">
        <v>713</v>
      </c>
      <c r="C219" s="254" t="s">
        <v>256</v>
      </c>
      <c r="D219" s="255">
        <v>50</v>
      </c>
      <c r="E219" s="250" t="s">
        <v>544</v>
      </c>
      <c r="F219" s="255">
        <v>12.5</v>
      </c>
      <c r="G219" s="253">
        <v>43391</v>
      </c>
      <c r="H219" s="250" t="s">
        <v>1784</v>
      </c>
      <c r="I219" s="250" t="s">
        <v>1783</v>
      </c>
      <c r="J219" s="250" t="s">
        <v>614</v>
      </c>
      <c r="K219" s="250" t="s">
        <v>636</v>
      </c>
      <c r="L219" s="250">
        <v>2018</v>
      </c>
      <c r="N219" s="250" t="s">
        <v>1790</v>
      </c>
      <c r="O219" s="251" t="s">
        <v>549</v>
      </c>
      <c r="P219" s="251">
        <v>2</v>
      </c>
      <c r="Q219" s="251" t="s">
        <v>1789</v>
      </c>
      <c r="R219" s="251" t="s">
        <v>496</v>
      </c>
      <c r="S219" s="251" t="s">
        <v>496</v>
      </c>
      <c r="T219" s="251" t="s">
        <v>496</v>
      </c>
      <c r="U219" s="251" t="s">
        <v>496</v>
      </c>
      <c r="V219" s="251" t="s">
        <v>496</v>
      </c>
      <c r="W219" s="251" t="s">
        <v>496</v>
      </c>
      <c r="X219" s="251" t="s">
        <v>496</v>
      </c>
      <c r="Y219" s="251" t="s">
        <v>496</v>
      </c>
      <c r="Z219" s="251" t="s">
        <v>496</v>
      </c>
      <c r="AA219" s="250" t="s">
        <v>1782</v>
      </c>
    </row>
    <row r="220" spans="2:27">
      <c r="B220" s="250" t="s">
        <v>712</v>
      </c>
      <c r="C220" s="254" t="s">
        <v>256</v>
      </c>
      <c r="D220" s="255">
        <v>50</v>
      </c>
      <c r="E220" s="250" t="s">
        <v>544</v>
      </c>
      <c r="F220" s="255">
        <v>13</v>
      </c>
      <c r="G220" s="253">
        <v>44642</v>
      </c>
      <c r="H220" s="250" t="s">
        <v>1776</v>
      </c>
      <c r="I220" s="250" t="s">
        <v>1775</v>
      </c>
      <c r="J220" s="250" t="s">
        <v>614</v>
      </c>
      <c r="K220" s="250" t="s">
        <v>636</v>
      </c>
      <c r="L220" s="250">
        <v>2019</v>
      </c>
      <c r="N220" s="250" t="s">
        <v>1778</v>
      </c>
      <c r="O220" s="251" t="s">
        <v>549</v>
      </c>
      <c r="P220" s="251">
        <v>3.5</v>
      </c>
      <c r="Q220" s="251" t="s">
        <v>2365</v>
      </c>
      <c r="R220" s="251" t="s">
        <v>669</v>
      </c>
      <c r="S220" s="251">
        <v>1</v>
      </c>
      <c r="T220" s="251" t="s">
        <v>2366</v>
      </c>
      <c r="U220" s="251" t="s">
        <v>496</v>
      </c>
      <c r="V220" s="251" t="s">
        <v>496</v>
      </c>
      <c r="W220" s="251" t="s">
        <v>496</v>
      </c>
      <c r="X220" s="251" t="s">
        <v>496</v>
      </c>
      <c r="Y220" s="251" t="s">
        <v>496</v>
      </c>
      <c r="Z220" s="251" t="s">
        <v>496</v>
      </c>
      <c r="AA220" s="250" t="s">
        <v>1774</v>
      </c>
    </row>
    <row r="221" spans="2:27">
      <c r="B221" s="250" t="s">
        <v>714</v>
      </c>
      <c r="C221" s="254" t="s">
        <v>256</v>
      </c>
      <c r="D221" s="255">
        <v>50</v>
      </c>
      <c r="E221" s="250" t="s">
        <v>549</v>
      </c>
      <c r="F221" s="255">
        <v>12.25</v>
      </c>
      <c r="G221" s="253">
        <v>44622</v>
      </c>
      <c r="H221" s="250" t="s">
        <v>1792</v>
      </c>
      <c r="I221" s="250" t="s">
        <v>1791</v>
      </c>
      <c r="J221" s="250" t="s">
        <v>614</v>
      </c>
      <c r="K221" s="250" t="s">
        <v>636</v>
      </c>
      <c r="L221" s="250">
        <v>2019</v>
      </c>
      <c r="M221" s="250" t="s">
        <v>1794</v>
      </c>
      <c r="N221" s="250" t="s">
        <v>1793</v>
      </c>
      <c r="O221" s="251" t="s">
        <v>549</v>
      </c>
      <c r="P221" s="251">
        <v>3.8</v>
      </c>
      <c r="Q221" s="251" t="s">
        <v>496</v>
      </c>
      <c r="R221" s="251" t="s">
        <v>496</v>
      </c>
      <c r="S221" s="251" t="s">
        <v>496</v>
      </c>
      <c r="T221" s="251" t="s">
        <v>496</v>
      </c>
      <c r="U221" s="251" t="s">
        <v>496</v>
      </c>
      <c r="V221" s="251" t="s">
        <v>496</v>
      </c>
      <c r="W221" s="251" t="s">
        <v>496</v>
      </c>
      <c r="X221" s="251" t="s">
        <v>496</v>
      </c>
      <c r="Y221" s="251" t="s">
        <v>496</v>
      </c>
      <c r="Z221" s="251" t="s">
        <v>496</v>
      </c>
      <c r="AA221" s="250" t="s">
        <v>834</v>
      </c>
    </row>
    <row r="222" spans="2:27">
      <c r="B222" s="250" t="s">
        <v>502</v>
      </c>
      <c r="C222" s="254" t="s">
        <v>256</v>
      </c>
      <c r="D222" s="255">
        <v>50</v>
      </c>
      <c r="E222" s="250" t="s">
        <v>544</v>
      </c>
      <c r="F222" s="255">
        <v>12</v>
      </c>
      <c r="G222" s="253">
        <v>44340</v>
      </c>
      <c r="H222" s="250" t="s">
        <v>2356</v>
      </c>
      <c r="I222" s="250" t="s">
        <v>2354</v>
      </c>
      <c r="J222" s="250" t="s">
        <v>614</v>
      </c>
      <c r="K222" s="250" t="s">
        <v>633</v>
      </c>
      <c r="L222" s="250">
        <v>2014</v>
      </c>
      <c r="N222" s="250" t="s">
        <v>2355</v>
      </c>
      <c r="O222" s="251" t="s">
        <v>549</v>
      </c>
      <c r="P222" s="251">
        <v>4</v>
      </c>
      <c r="Q222" s="251" t="s">
        <v>2357</v>
      </c>
      <c r="R222" s="251" t="s">
        <v>549</v>
      </c>
      <c r="S222" s="251">
        <v>1.7</v>
      </c>
      <c r="T222" s="251" t="s">
        <v>2358</v>
      </c>
      <c r="U222" s="251" t="s">
        <v>549</v>
      </c>
      <c r="V222" s="251" t="s">
        <v>496</v>
      </c>
      <c r="W222" s="251" t="s">
        <v>2359</v>
      </c>
      <c r="X222" s="251" t="s">
        <v>549</v>
      </c>
      <c r="Y222" s="251" t="s">
        <v>496</v>
      </c>
      <c r="Z222" s="251" t="s">
        <v>2360</v>
      </c>
      <c r="AA222" s="250" t="s">
        <v>2353</v>
      </c>
    </row>
    <row r="223" spans="2:27">
      <c r="B223" s="250" t="s">
        <v>715</v>
      </c>
      <c r="C223" s="254" t="s">
        <v>256</v>
      </c>
      <c r="D223" s="255">
        <v>50</v>
      </c>
      <c r="E223" s="250" t="s">
        <v>544</v>
      </c>
      <c r="F223" s="255">
        <v>12</v>
      </c>
      <c r="G223" s="253">
        <v>44677</v>
      </c>
      <c r="H223" s="250" t="s">
        <v>1767</v>
      </c>
      <c r="I223" s="250" t="s">
        <v>1768</v>
      </c>
      <c r="J223" s="250" t="s">
        <v>614</v>
      </c>
      <c r="K223" s="250" t="s">
        <v>636</v>
      </c>
      <c r="L223" s="250">
        <v>2019</v>
      </c>
      <c r="N223" s="250" t="s">
        <v>1772</v>
      </c>
      <c r="O223" s="251" t="s">
        <v>549</v>
      </c>
      <c r="P223" s="251">
        <v>8</v>
      </c>
      <c r="Q223" s="250" t="s">
        <v>1769</v>
      </c>
      <c r="R223" s="251" t="s">
        <v>496</v>
      </c>
      <c r="S223" s="251" t="s">
        <v>496</v>
      </c>
      <c r="T223" s="251" t="s">
        <v>496</v>
      </c>
      <c r="U223" s="251" t="s">
        <v>496</v>
      </c>
      <c r="V223" s="251" t="s">
        <v>496</v>
      </c>
      <c r="W223" s="251" t="s">
        <v>496</v>
      </c>
      <c r="X223" s="251" t="s">
        <v>496</v>
      </c>
      <c r="Y223" s="251" t="s">
        <v>496</v>
      </c>
      <c r="Z223" s="251" t="s">
        <v>496</v>
      </c>
      <c r="AA223" s="250" t="s">
        <v>834</v>
      </c>
    </row>
    <row r="224" spans="2:27">
      <c r="B224" s="250" t="s">
        <v>716</v>
      </c>
      <c r="C224" s="254" t="s">
        <v>256</v>
      </c>
      <c r="D224" s="255">
        <v>50</v>
      </c>
      <c r="E224" s="250" t="s">
        <v>544</v>
      </c>
      <c r="F224" s="255">
        <v>12</v>
      </c>
      <c r="G224" s="253">
        <v>44860</v>
      </c>
      <c r="H224" s="250" t="s">
        <v>689</v>
      </c>
      <c r="I224" s="250" t="s">
        <v>1802</v>
      </c>
      <c r="J224" s="250" t="s">
        <v>614</v>
      </c>
      <c r="K224" s="250" t="s">
        <v>636</v>
      </c>
      <c r="L224" s="250">
        <v>2020</v>
      </c>
      <c r="M224" s="250" t="s">
        <v>1830</v>
      </c>
      <c r="N224" s="250" t="s">
        <v>1803</v>
      </c>
      <c r="O224" s="251" t="s">
        <v>549</v>
      </c>
      <c r="P224" s="251">
        <v>2.8</v>
      </c>
      <c r="Q224" s="251" t="s">
        <v>1831</v>
      </c>
      <c r="R224" s="251" t="s">
        <v>496</v>
      </c>
      <c r="S224" s="251" t="s">
        <v>496</v>
      </c>
      <c r="T224" s="251" t="s">
        <v>496</v>
      </c>
      <c r="U224" s="251" t="s">
        <v>496</v>
      </c>
      <c r="V224" s="251" t="s">
        <v>496</v>
      </c>
      <c r="W224" s="251" t="s">
        <v>496</v>
      </c>
      <c r="X224" s="251" t="s">
        <v>496</v>
      </c>
      <c r="Y224" s="251" t="s">
        <v>496</v>
      </c>
      <c r="Z224" s="251" t="s">
        <v>496</v>
      </c>
      <c r="AA224" s="250" t="s">
        <v>1801</v>
      </c>
    </row>
    <row r="225" spans="1:27">
      <c r="B225" s="250" t="s">
        <v>465</v>
      </c>
      <c r="C225" s="254" t="s">
        <v>256</v>
      </c>
      <c r="D225" s="255">
        <v>50</v>
      </c>
      <c r="E225" s="250" t="s">
        <v>544</v>
      </c>
      <c r="F225" s="255">
        <v>12</v>
      </c>
      <c r="G225" s="253">
        <v>44971</v>
      </c>
      <c r="H225" s="250" t="s">
        <v>1762</v>
      </c>
      <c r="I225" s="250" t="s">
        <v>1761</v>
      </c>
      <c r="J225" s="250" t="s">
        <v>614</v>
      </c>
      <c r="K225" s="250" t="s">
        <v>636</v>
      </c>
      <c r="L225" s="250">
        <v>2022</v>
      </c>
      <c r="N225" s="250" t="s">
        <v>1763</v>
      </c>
      <c r="O225" s="251" t="s">
        <v>549</v>
      </c>
      <c r="P225" s="251">
        <v>5</v>
      </c>
      <c r="Q225" s="251" t="s">
        <v>1765</v>
      </c>
      <c r="R225" s="251" t="s">
        <v>496</v>
      </c>
      <c r="S225" s="251" t="s">
        <v>496</v>
      </c>
      <c r="T225" s="251" t="s">
        <v>496</v>
      </c>
      <c r="U225" s="251" t="s">
        <v>496</v>
      </c>
      <c r="V225" s="251" t="s">
        <v>496</v>
      </c>
      <c r="W225" s="251" t="s">
        <v>496</v>
      </c>
      <c r="X225" s="251" t="s">
        <v>496</v>
      </c>
      <c r="Y225" s="251" t="s">
        <v>496</v>
      </c>
      <c r="Z225" s="251" t="s">
        <v>496</v>
      </c>
      <c r="AA225" s="250" t="s">
        <v>1766</v>
      </c>
    </row>
    <row r="226" spans="1:27">
      <c r="B226" s="250" t="s">
        <v>719</v>
      </c>
      <c r="C226" s="254" t="s">
        <v>256</v>
      </c>
      <c r="D226" s="255">
        <v>50</v>
      </c>
      <c r="E226" s="250" t="s">
        <v>544</v>
      </c>
      <c r="F226" s="255">
        <v>11</v>
      </c>
      <c r="G226" s="253">
        <v>44483</v>
      </c>
      <c r="H226" s="250" t="s">
        <v>720</v>
      </c>
      <c r="I226" s="250" t="s">
        <v>1842</v>
      </c>
      <c r="J226" s="250" t="s">
        <v>614</v>
      </c>
      <c r="K226" s="250" t="s">
        <v>721</v>
      </c>
      <c r="L226" s="250">
        <v>2020</v>
      </c>
      <c r="N226" s="250" t="s">
        <v>1843</v>
      </c>
      <c r="O226" s="251" t="s">
        <v>549</v>
      </c>
      <c r="P226" s="251">
        <v>2.9</v>
      </c>
      <c r="Q226" s="251" t="s">
        <v>1845</v>
      </c>
      <c r="R226" s="251" t="s">
        <v>669</v>
      </c>
      <c r="S226" s="251" t="s">
        <v>496</v>
      </c>
      <c r="T226" s="251" t="s">
        <v>1846</v>
      </c>
      <c r="U226" s="251" t="s">
        <v>496</v>
      </c>
      <c r="V226" s="251" t="s">
        <v>496</v>
      </c>
      <c r="W226" s="251" t="s">
        <v>496</v>
      </c>
      <c r="X226" s="251" t="s">
        <v>496</v>
      </c>
      <c r="Y226" s="251" t="s">
        <v>496</v>
      </c>
      <c r="Z226" s="251" t="s">
        <v>496</v>
      </c>
      <c r="AA226" s="250" t="s">
        <v>1841</v>
      </c>
    </row>
    <row r="227" spans="1:27">
      <c r="B227" s="250" t="s">
        <v>717</v>
      </c>
      <c r="C227" s="254" t="s">
        <v>256</v>
      </c>
      <c r="D227" s="255">
        <v>50</v>
      </c>
      <c r="E227" s="250" t="s">
        <v>544</v>
      </c>
      <c r="F227" s="255">
        <v>11</v>
      </c>
      <c r="G227" s="253">
        <v>44959</v>
      </c>
      <c r="H227" s="250" t="s">
        <v>718</v>
      </c>
      <c r="I227" s="250" t="s">
        <v>1840</v>
      </c>
      <c r="J227" s="250" t="s">
        <v>614</v>
      </c>
      <c r="K227" s="250" t="s">
        <v>721</v>
      </c>
      <c r="L227" s="250">
        <v>2020</v>
      </c>
      <c r="N227" s="250" t="s">
        <v>1834</v>
      </c>
      <c r="O227" s="251" t="s">
        <v>549</v>
      </c>
      <c r="P227" s="251">
        <v>2.2000000000000002</v>
      </c>
      <c r="Q227" s="251" t="s">
        <v>1837</v>
      </c>
      <c r="R227" s="251" t="s">
        <v>496</v>
      </c>
      <c r="S227" s="251" t="s">
        <v>496</v>
      </c>
      <c r="T227" s="251" t="s">
        <v>496</v>
      </c>
      <c r="U227" s="251" t="s">
        <v>496</v>
      </c>
      <c r="V227" s="251" t="s">
        <v>496</v>
      </c>
      <c r="W227" s="251" t="s">
        <v>496</v>
      </c>
      <c r="X227" s="251" t="s">
        <v>496</v>
      </c>
      <c r="Y227" s="251" t="s">
        <v>496</v>
      </c>
      <c r="Z227" s="251" t="s">
        <v>496</v>
      </c>
      <c r="AA227" s="250" t="s">
        <v>1108</v>
      </c>
    </row>
    <row r="228" spans="1:27">
      <c r="B228" s="250" t="s">
        <v>722</v>
      </c>
      <c r="C228" s="254" t="s">
        <v>256</v>
      </c>
      <c r="D228" s="255">
        <v>50</v>
      </c>
      <c r="E228" s="250" t="s">
        <v>544</v>
      </c>
      <c r="F228" s="255">
        <v>10.6</v>
      </c>
      <c r="G228" s="253">
        <v>44819</v>
      </c>
      <c r="H228" s="250" t="s">
        <v>1847</v>
      </c>
      <c r="I228" s="250" t="s">
        <v>1849</v>
      </c>
      <c r="J228" s="250" t="s">
        <v>614</v>
      </c>
      <c r="K228" s="250" t="s">
        <v>639</v>
      </c>
      <c r="L228" s="250">
        <v>2019</v>
      </c>
      <c r="N228" s="250" t="s">
        <v>1850</v>
      </c>
      <c r="O228" s="251" t="s">
        <v>549</v>
      </c>
      <c r="P228" s="251">
        <v>1.5</v>
      </c>
      <c r="Q228" s="251" t="s">
        <v>1856</v>
      </c>
      <c r="R228" s="251" t="s">
        <v>669</v>
      </c>
      <c r="S228" s="251">
        <v>0.1</v>
      </c>
      <c r="T228" s="251" t="s">
        <v>1855</v>
      </c>
      <c r="U228" s="251" t="s">
        <v>496</v>
      </c>
      <c r="V228" s="251" t="s">
        <v>496</v>
      </c>
      <c r="W228" s="251" t="s">
        <v>496</v>
      </c>
      <c r="X228" s="251" t="s">
        <v>496</v>
      </c>
      <c r="Y228" s="251" t="s">
        <v>496</v>
      </c>
      <c r="Z228" s="251" t="s">
        <v>496</v>
      </c>
      <c r="AA228" s="250" t="s">
        <v>1848</v>
      </c>
    </row>
    <row r="229" spans="1:27">
      <c r="B229" s="250" t="s">
        <v>584</v>
      </c>
      <c r="C229" s="254" t="s">
        <v>256</v>
      </c>
      <c r="D229" s="255">
        <v>50</v>
      </c>
      <c r="E229" s="250" t="s">
        <v>549</v>
      </c>
      <c r="F229" s="255">
        <v>10.6</v>
      </c>
      <c r="G229" s="253">
        <v>45007</v>
      </c>
      <c r="H229" s="250" t="s">
        <v>723</v>
      </c>
      <c r="I229" s="250" t="s">
        <v>1857</v>
      </c>
      <c r="J229" s="250" t="s">
        <v>614</v>
      </c>
      <c r="K229" s="250" t="s">
        <v>461</v>
      </c>
      <c r="L229" s="250">
        <v>2022</v>
      </c>
      <c r="N229" s="250" t="s">
        <v>1859</v>
      </c>
      <c r="O229" s="251" t="s">
        <v>496</v>
      </c>
      <c r="P229" s="251" t="s">
        <v>496</v>
      </c>
      <c r="Q229" s="251" t="s">
        <v>496</v>
      </c>
      <c r="R229" s="251" t="s">
        <v>496</v>
      </c>
      <c r="S229" s="251" t="s">
        <v>496</v>
      </c>
      <c r="T229" s="251" t="s">
        <v>496</v>
      </c>
      <c r="U229" s="251" t="s">
        <v>496</v>
      </c>
      <c r="V229" s="251" t="s">
        <v>496</v>
      </c>
      <c r="W229" s="251" t="s">
        <v>496</v>
      </c>
      <c r="X229" s="251" t="s">
        <v>496</v>
      </c>
      <c r="Y229" s="251" t="s">
        <v>496</v>
      </c>
      <c r="Z229" s="251" t="s">
        <v>496</v>
      </c>
      <c r="AA229" s="250" t="s">
        <v>932</v>
      </c>
    </row>
    <row r="230" spans="1:27">
      <c r="B230" s="250" t="s">
        <v>724</v>
      </c>
      <c r="C230" s="254" t="s">
        <v>256</v>
      </c>
      <c r="D230" s="255">
        <v>50</v>
      </c>
      <c r="E230" s="250" t="s">
        <v>549</v>
      </c>
      <c r="F230" s="255">
        <v>10.5</v>
      </c>
      <c r="G230" s="253">
        <v>44984</v>
      </c>
      <c r="H230" s="250" t="s">
        <v>725</v>
      </c>
      <c r="I230" s="250" t="s">
        <v>1861</v>
      </c>
      <c r="J230" s="250" t="s">
        <v>614</v>
      </c>
      <c r="K230" s="250" t="s">
        <v>543</v>
      </c>
      <c r="L230" s="250">
        <v>2019</v>
      </c>
      <c r="N230" s="250" t="s">
        <v>1862</v>
      </c>
      <c r="O230" s="251" t="s">
        <v>549</v>
      </c>
      <c r="P230" s="251">
        <v>3</v>
      </c>
      <c r="Q230" s="251" t="s">
        <v>1864</v>
      </c>
      <c r="R230" s="251" t="s">
        <v>549</v>
      </c>
      <c r="S230" s="251">
        <v>2</v>
      </c>
      <c r="T230" s="251" t="s">
        <v>1866</v>
      </c>
      <c r="U230" s="251" t="s">
        <v>669</v>
      </c>
      <c r="V230" s="251">
        <v>0.6</v>
      </c>
      <c r="W230" s="251" t="s">
        <v>496</v>
      </c>
      <c r="X230" s="251" t="s">
        <v>496</v>
      </c>
      <c r="Y230" s="251" t="s">
        <v>496</v>
      </c>
      <c r="Z230" s="251" t="s">
        <v>496</v>
      </c>
      <c r="AA230" s="250" t="s">
        <v>833</v>
      </c>
    </row>
    <row r="231" spans="1:27">
      <c r="B231" s="250" t="s">
        <v>596</v>
      </c>
      <c r="C231" s="254" t="s">
        <v>256</v>
      </c>
      <c r="D231" s="255">
        <v>50</v>
      </c>
      <c r="E231" s="250" t="s">
        <v>549</v>
      </c>
      <c r="F231" s="255">
        <v>10</v>
      </c>
      <c r="G231" s="253">
        <v>44887</v>
      </c>
      <c r="H231" s="250" t="s">
        <v>2235</v>
      </c>
      <c r="I231" s="250" t="s">
        <v>2234</v>
      </c>
      <c r="J231" s="250" t="s">
        <v>614</v>
      </c>
      <c r="K231" s="250" t="s">
        <v>430</v>
      </c>
      <c r="L231" s="250">
        <v>2021</v>
      </c>
      <c r="N231" s="250" t="s">
        <v>2236</v>
      </c>
      <c r="O231" s="251" t="s">
        <v>496</v>
      </c>
      <c r="P231" s="251" t="s">
        <v>496</v>
      </c>
      <c r="Q231" s="251" t="s">
        <v>496</v>
      </c>
      <c r="R231" s="251" t="s">
        <v>496</v>
      </c>
      <c r="S231" s="251" t="s">
        <v>496</v>
      </c>
      <c r="T231" s="251" t="s">
        <v>496</v>
      </c>
      <c r="U231" s="251" t="s">
        <v>496</v>
      </c>
      <c r="V231" s="251" t="s">
        <v>496</v>
      </c>
      <c r="W231" s="251" t="s">
        <v>496</v>
      </c>
      <c r="X231" s="251" t="s">
        <v>496</v>
      </c>
      <c r="Y231" s="251" t="s">
        <v>496</v>
      </c>
      <c r="Z231" s="251" t="s">
        <v>496</v>
      </c>
      <c r="AA231" s="250" t="s">
        <v>1108</v>
      </c>
    </row>
    <row r="232" spans="1:27">
      <c r="B232" s="250" t="s">
        <v>585</v>
      </c>
      <c r="C232" s="254" t="s">
        <v>256</v>
      </c>
      <c r="D232" s="255">
        <v>50</v>
      </c>
      <c r="E232" s="250" t="s">
        <v>549</v>
      </c>
      <c r="F232" s="255">
        <v>10</v>
      </c>
      <c r="G232" s="253">
        <v>44858</v>
      </c>
      <c r="H232" s="250" t="s">
        <v>1748</v>
      </c>
      <c r="I232" s="250" t="s">
        <v>1743</v>
      </c>
      <c r="J232" s="250" t="s">
        <v>613</v>
      </c>
      <c r="K232" s="250" t="s">
        <v>733</v>
      </c>
      <c r="L232" s="250">
        <v>2021</v>
      </c>
      <c r="N232" s="250" t="s">
        <v>1747</v>
      </c>
      <c r="O232" s="251" t="s">
        <v>549</v>
      </c>
      <c r="P232" s="251">
        <v>4.5999999999999996</v>
      </c>
      <c r="Q232" s="251" t="s">
        <v>1749</v>
      </c>
      <c r="R232" s="251" t="s">
        <v>496</v>
      </c>
      <c r="S232" s="251" t="s">
        <v>496</v>
      </c>
      <c r="T232" s="251" t="s">
        <v>496</v>
      </c>
      <c r="U232" s="251" t="s">
        <v>496</v>
      </c>
      <c r="V232" s="251" t="s">
        <v>496</v>
      </c>
      <c r="W232" s="251" t="s">
        <v>496</v>
      </c>
      <c r="X232" s="251" t="s">
        <v>496</v>
      </c>
      <c r="Y232" s="251" t="s">
        <v>496</v>
      </c>
      <c r="Z232" s="251" t="s">
        <v>496</v>
      </c>
      <c r="AA232" s="250" t="s">
        <v>1742</v>
      </c>
    </row>
    <row r="233" spans="1:27">
      <c r="B233" s="250" t="s">
        <v>1926</v>
      </c>
      <c r="C233" s="254" t="s">
        <v>256</v>
      </c>
      <c r="D233" s="255">
        <v>50</v>
      </c>
      <c r="E233" s="250" t="s">
        <v>544</v>
      </c>
      <c r="F233" s="255">
        <v>10</v>
      </c>
      <c r="G233" s="253">
        <v>44740</v>
      </c>
      <c r="H233" s="250" t="s">
        <v>2713</v>
      </c>
      <c r="I233" s="250" t="s">
        <v>2710</v>
      </c>
      <c r="J233" s="250" t="s">
        <v>614</v>
      </c>
      <c r="K233" s="250" t="s">
        <v>1927</v>
      </c>
      <c r="L233" s="250">
        <v>2016</v>
      </c>
      <c r="N233" s="250" t="s">
        <v>2714</v>
      </c>
      <c r="O233" s="251" t="s">
        <v>549</v>
      </c>
      <c r="P233" s="251">
        <v>4</v>
      </c>
      <c r="Q233" s="251" t="s">
        <v>2720</v>
      </c>
      <c r="R233" s="251" t="s">
        <v>496</v>
      </c>
      <c r="S233" s="251" t="s">
        <v>496</v>
      </c>
      <c r="T233" s="251" t="s">
        <v>496</v>
      </c>
      <c r="U233" s="251" t="s">
        <v>496</v>
      </c>
      <c r="V233" s="251" t="s">
        <v>496</v>
      </c>
      <c r="W233" s="251" t="s">
        <v>496</v>
      </c>
      <c r="X233" s="251" t="s">
        <v>496</v>
      </c>
      <c r="Y233" s="251" t="s">
        <v>496</v>
      </c>
      <c r="Z233" s="251" t="s">
        <v>496</v>
      </c>
      <c r="AA233" s="250" t="s">
        <v>1120</v>
      </c>
    </row>
    <row r="234" spans="1:27">
      <c r="B234" s="250" t="s">
        <v>597</v>
      </c>
      <c r="C234" s="254" t="s">
        <v>256</v>
      </c>
      <c r="D234" s="255">
        <v>50</v>
      </c>
      <c r="E234" s="250" t="s">
        <v>549</v>
      </c>
      <c r="F234" s="255">
        <v>9</v>
      </c>
      <c r="G234" s="253">
        <v>44859</v>
      </c>
      <c r="H234" s="250" t="s">
        <v>2245</v>
      </c>
      <c r="I234" s="250" t="s">
        <v>2243</v>
      </c>
      <c r="J234" s="250" t="s">
        <v>614</v>
      </c>
      <c r="K234" s="250" t="s">
        <v>459</v>
      </c>
      <c r="L234" s="250">
        <v>2021</v>
      </c>
      <c r="M234" s="250" t="s">
        <v>2244</v>
      </c>
      <c r="N234" s="250" t="s">
        <v>2246</v>
      </c>
      <c r="O234" s="251" t="s">
        <v>496</v>
      </c>
      <c r="P234" s="251" t="s">
        <v>496</v>
      </c>
      <c r="Q234" s="251" t="s">
        <v>496</v>
      </c>
      <c r="R234" s="251" t="s">
        <v>496</v>
      </c>
      <c r="S234" s="251" t="s">
        <v>496</v>
      </c>
      <c r="T234" s="251" t="s">
        <v>496</v>
      </c>
      <c r="U234" s="251" t="s">
        <v>496</v>
      </c>
      <c r="V234" s="251" t="s">
        <v>496</v>
      </c>
      <c r="W234" s="251" t="s">
        <v>496</v>
      </c>
      <c r="X234" s="251" t="s">
        <v>496</v>
      </c>
      <c r="Y234" s="251" t="s">
        <v>496</v>
      </c>
      <c r="Z234" s="251" t="s">
        <v>496</v>
      </c>
      <c r="AA234" s="250" t="s">
        <v>932</v>
      </c>
    </row>
    <row r="235" spans="1:27">
      <c r="B235" s="250" t="s">
        <v>1519</v>
      </c>
      <c r="C235" s="254" t="s">
        <v>256</v>
      </c>
      <c r="D235" s="255">
        <v>50</v>
      </c>
      <c r="E235" s="250" t="s">
        <v>544</v>
      </c>
      <c r="F235" s="255">
        <v>8.5</v>
      </c>
      <c r="G235" s="253">
        <v>44307</v>
      </c>
      <c r="H235" s="250" t="s">
        <v>2652</v>
      </c>
      <c r="I235" s="250" t="s">
        <v>2651</v>
      </c>
      <c r="J235" s="250" t="s">
        <v>614</v>
      </c>
      <c r="K235" s="250" t="s">
        <v>2653</v>
      </c>
      <c r="L235" s="250">
        <v>2016</v>
      </c>
      <c r="N235" s="250" t="s">
        <v>2654</v>
      </c>
      <c r="O235" s="251" t="s">
        <v>549</v>
      </c>
      <c r="P235" s="251">
        <v>4.4000000000000004</v>
      </c>
      <c r="Q235" s="251" t="s">
        <v>496</v>
      </c>
      <c r="R235" s="251" t="s">
        <v>496</v>
      </c>
      <c r="S235" s="251" t="s">
        <v>496</v>
      </c>
      <c r="T235" s="251" t="s">
        <v>496</v>
      </c>
      <c r="U235" s="251" t="s">
        <v>496</v>
      </c>
      <c r="V235" s="251" t="s">
        <v>496</v>
      </c>
      <c r="W235" s="251" t="s">
        <v>496</v>
      </c>
      <c r="X235" s="251" t="s">
        <v>496</v>
      </c>
      <c r="Y235" s="251" t="s">
        <v>496</v>
      </c>
      <c r="Z235" s="251" t="s">
        <v>496</v>
      </c>
      <c r="AA235" s="250" t="s">
        <v>2649</v>
      </c>
    </row>
    <row r="236" spans="1:27">
      <c r="B236" s="250" t="s">
        <v>595</v>
      </c>
      <c r="C236" s="254" t="s">
        <v>256</v>
      </c>
      <c r="D236" s="255">
        <v>50</v>
      </c>
      <c r="E236" s="250" t="s">
        <v>549</v>
      </c>
      <c r="F236" s="255">
        <v>8</v>
      </c>
      <c r="G236" s="253">
        <v>44711</v>
      </c>
      <c r="H236" s="250" t="s">
        <v>2230</v>
      </c>
      <c r="I236" s="250" t="s">
        <v>2229</v>
      </c>
      <c r="J236" s="281" t="s">
        <v>614</v>
      </c>
      <c r="K236" s="281" t="s">
        <v>461</v>
      </c>
      <c r="L236" s="250">
        <v>2021</v>
      </c>
      <c r="M236" s="250" t="s">
        <v>2233</v>
      </c>
      <c r="N236" s="250" t="s">
        <v>2231</v>
      </c>
      <c r="O236" s="251" t="s">
        <v>496</v>
      </c>
      <c r="P236" s="251" t="s">
        <v>496</v>
      </c>
      <c r="Q236" s="251" t="s">
        <v>496</v>
      </c>
      <c r="R236" s="251" t="s">
        <v>496</v>
      </c>
      <c r="S236" s="251" t="s">
        <v>496</v>
      </c>
      <c r="T236" s="251" t="s">
        <v>496</v>
      </c>
      <c r="U236" s="251" t="s">
        <v>496</v>
      </c>
      <c r="V236" s="251" t="s">
        <v>496</v>
      </c>
      <c r="W236" s="251" t="s">
        <v>496</v>
      </c>
      <c r="X236" s="251" t="s">
        <v>496</v>
      </c>
      <c r="Y236" s="251" t="s">
        <v>496</v>
      </c>
      <c r="Z236" s="251" t="s">
        <v>496</v>
      </c>
      <c r="AA236" s="250" t="s">
        <v>932</v>
      </c>
    </row>
    <row r="237" spans="1:27">
      <c r="B237" s="250" t="s">
        <v>2177</v>
      </c>
      <c r="C237" s="254" t="s">
        <v>256</v>
      </c>
      <c r="D237" s="255">
        <v>50</v>
      </c>
      <c r="E237" s="250" t="s">
        <v>544</v>
      </c>
      <c r="F237" s="255">
        <v>8</v>
      </c>
      <c r="G237" s="253">
        <v>45020</v>
      </c>
      <c r="H237" s="250" t="s">
        <v>2179</v>
      </c>
      <c r="J237" s="250" t="s">
        <v>614</v>
      </c>
      <c r="K237" s="250" t="s">
        <v>639</v>
      </c>
      <c r="L237" s="250">
        <v>2019</v>
      </c>
      <c r="N237" s="250" t="s">
        <v>2178</v>
      </c>
      <c r="O237" s="251" t="s">
        <v>496</v>
      </c>
      <c r="P237" s="251" t="s">
        <v>496</v>
      </c>
      <c r="Q237" s="251" t="s">
        <v>496</v>
      </c>
      <c r="R237" s="251" t="s">
        <v>496</v>
      </c>
      <c r="S237" s="251" t="s">
        <v>496</v>
      </c>
      <c r="T237" s="251" t="s">
        <v>496</v>
      </c>
      <c r="U237" s="251" t="s">
        <v>496</v>
      </c>
      <c r="V237" s="251" t="s">
        <v>496</v>
      </c>
      <c r="W237" s="251" t="s">
        <v>496</v>
      </c>
      <c r="X237" s="251" t="s">
        <v>496</v>
      </c>
      <c r="Y237" s="251" t="s">
        <v>496</v>
      </c>
      <c r="Z237" s="251" t="s">
        <v>496</v>
      </c>
      <c r="AA237" s="250" t="s">
        <v>2176</v>
      </c>
    </row>
    <row r="238" spans="1:27">
      <c r="B238" s="250" t="s">
        <v>591</v>
      </c>
      <c r="C238" s="254" t="s">
        <v>256</v>
      </c>
      <c r="D238" s="255">
        <v>50</v>
      </c>
      <c r="E238" s="250" t="s">
        <v>549</v>
      </c>
      <c r="F238" s="255">
        <v>6.8</v>
      </c>
      <c r="G238" s="253">
        <v>44964</v>
      </c>
      <c r="H238" s="250" t="s">
        <v>2184</v>
      </c>
      <c r="I238" s="250" t="s">
        <v>2182</v>
      </c>
      <c r="J238" s="250" t="s">
        <v>614</v>
      </c>
      <c r="K238" s="250" t="s">
        <v>2183</v>
      </c>
      <c r="L238" s="250">
        <v>2021</v>
      </c>
      <c r="N238" s="250" t="s">
        <v>2181</v>
      </c>
      <c r="O238" s="251" t="s">
        <v>549</v>
      </c>
      <c r="P238" s="251">
        <v>1.6</v>
      </c>
      <c r="Q238" s="251" t="s">
        <v>2187</v>
      </c>
      <c r="R238" s="251" t="s">
        <v>496</v>
      </c>
      <c r="S238" s="251" t="s">
        <v>496</v>
      </c>
      <c r="T238" s="251" t="s">
        <v>496</v>
      </c>
      <c r="U238" s="251" t="s">
        <v>496</v>
      </c>
      <c r="V238" s="251" t="s">
        <v>496</v>
      </c>
      <c r="W238" s="251" t="s">
        <v>496</v>
      </c>
      <c r="X238" s="251" t="s">
        <v>496</v>
      </c>
      <c r="Y238" s="251" t="s">
        <v>496</v>
      </c>
      <c r="Z238" s="251" t="s">
        <v>496</v>
      </c>
      <c r="AA238" s="250" t="s">
        <v>2180</v>
      </c>
    </row>
    <row r="239" spans="1:27">
      <c r="B239" s="250" t="s">
        <v>1283</v>
      </c>
      <c r="C239" s="254" t="s">
        <v>256</v>
      </c>
      <c r="D239" s="255">
        <v>50</v>
      </c>
      <c r="E239" s="250" t="s">
        <v>549</v>
      </c>
      <c r="F239" s="255">
        <v>7</v>
      </c>
      <c r="G239" s="253">
        <v>44602</v>
      </c>
      <c r="H239" s="250" t="s">
        <v>2590</v>
      </c>
      <c r="I239" s="250" t="s">
        <v>2589</v>
      </c>
      <c r="J239" s="250" t="s">
        <v>614</v>
      </c>
      <c r="K239" s="250" t="s">
        <v>2591</v>
      </c>
      <c r="L239" s="250">
        <v>2019</v>
      </c>
      <c r="N239" s="250" t="s">
        <v>2592</v>
      </c>
      <c r="O239" s="251" t="s">
        <v>669</v>
      </c>
      <c r="P239" s="251">
        <v>1.1000000000000001</v>
      </c>
      <c r="Q239" s="251" t="s">
        <v>2598</v>
      </c>
      <c r="R239" s="251" t="s">
        <v>496</v>
      </c>
      <c r="S239" s="251" t="s">
        <v>496</v>
      </c>
      <c r="T239" s="251" t="s">
        <v>496</v>
      </c>
      <c r="U239" s="251" t="s">
        <v>496</v>
      </c>
      <c r="V239" s="251" t="s">
        <v>496</v>
      </c>
      <c r="W239" s="251" t="s">
        <v>496</v>
      </c>
      <c r="X239" s="251" t="s">
        <v>496</v>
      </c>
      <c r="Y239" s="251" t="s">
        <v>496</v>
      </c>
      <c r="Z239" s="251" t="s">
        <v>496</v>
      </c>
      <c r="AA239" s="250" t="s">
        <v>844</v>
      </c>
    </row>
    <row r="240" spans="1:27">
      <c r="A240" s="250">
        <f>+A189+1</f>
        <v>81</v>
      </c>
      <c r="B240" s="250" t="s">
        <v>575</v>
      </c>
      <c r="C240" s="254" t="s">
        <v>256</v>
      </c>
      <c r="D240" s="255">
        <v>50</v>
      </c>
      <c r="E240" s="250" t="s">
        <v>549</v>
      </c>
      <c r="F240" s="255">
        <v>4.5</v>
      </c>
      <c r="G240" s="253">
        <v>45056</v>
      </c>
      <c r="H240" s="250" t="s">
        <v>1534</v>
      </c>
      <c r="I240" s="250" t="s">
        <v>1532</v>
      </c>
      <c r="J240" s="250" t="s">
        <v>614</v>
      </c>
      <c r="K240" s="250" t="s">
        <v>1530</v>
      </c>
      <c r="L240" s="250">
        <v>2022</v>
      </c>
      <c r="N240" s="250" t="s">
        <v>1531</v>
      </c>
      <c r="O240" s="251" t="s">
        <v>496</v>
      </c>
      <c r="P240" s="251" t="s">
        <v>496</v>
      </c>
      <c r="Q240" s="251" t="s">
        <v>496</v>
      </c>
      <c r="R240" s="251" t="s">
        <v>496</v>
      </c>
      <c r="S240" s="251" t="s">
        <v>496</v>
      </c>
      <c r="T240" s="251" t="s">
        <v>496</v>
      </c>
      <c r="U240" s="251" t="s">
        <v>496</v>
      </c>
      <c r="V240" s="251" t="s">
        <v>496</v>
      </c>
      <c r="W240" s="251" t="s">
        <v>496</v>
      </c>
      <c r="X240" s="251" t="s">
        <v>496</v>
      </c>
      <c r="Y240" s="251" t="s">
        <v>496</v>
      </c>
      <c r="Z240" s="251" t="s">
        <v>496</v>
      </c>
      <c r="AA240" s="250" t="s">
        <v>837</v>
      </c>
    </row>
    <row r="241" spans="1:27">
      <c r="A241" s="250">
        <f>+A240+1</f>
        <v>82</v>
      </c>
      <c r="B241" s="250" t="s">
        <v>1528</v>
      </c>
      <c r="C241" s="254" t="s">
        <v>256</v>
      </c>
      <c r="D241" s="255">
        <v>50</v>
      </c>
      <c r="E241" s="250" t="s">
        <v>549</v>
      </c>
      <c r="F241" s="255">
        <v>5.5</v>
      </c>
      <c r="G241" s="253">
        <v>45092</v>
      </c>
      <c r="H241" s="250" t="s">
        <v>1529</v>
      </c>
      <c r="J241" s="250" t="s">
        <v>614</v>
      </c>
      <c r="K241" s="250" t="s">
        <v>636</v>
      </c>
      <c r="L241" s="257">
        <v>44176</v>
      </c>
      <c r="N241" s="250" t="s">
        <v>1535</v>
      </c>
      <c r="O241" s="251" t="s">
        <v>669</v>
      </c>
      <c r="P241" s="251">
        <v>0.125</v>
      </c>
      <c r="Q241" s="251" t="s">
        <v>1410</v>
      </c>
      <c r="R241" s="251" t="s">
        <v>496</v>
      </c>
      <c r="S241" s="251" t="s">
        <v>496</v>
      </c>
      <c r="T241" s="251" t="s">
        <v>496</v>
      </c>
      <c r="U241" s="251" t="s">
        <v>496</v>
      </c>
      <c r="V241" s="251" t="s">
        <v>496</v>
      </c>
      <c r="W241" s="251" t="s">
        <v>496</v>
      </c>
      <c r="X241" s="251" t="s">
        <v>496</v>
      </c>
      <c r="Y241" s="251" t="s">
        <v>496</v>
      </c>
      <c r="Z241" s="251" t="s">
        <v>496</v>
      </c>
      <c r="AA241" s="250" t="s">
        <v>834</v>
      </c>
    </row>
    <row r="242" spans="1:27" s="64" customFormat="1">
      <c r="B242" s="64" t="s">
        <v>2255</v>
      </c>
      <c r="C242" s="190" t="s">
        <v>256</v>
      </c>
      <c r="D242" s="188">
        <v>50</v>
      </c>
      <c r="E242" s="64" t="s">
        <v>549</v>
      </c>
      <c r="F242" s="188">
        <v>5.6</v>
      </c>
      <c r="G242" s="202">
        <v>45048</v>
      </c>
      <c r="H242" s="64" t="s">
        <v>2259</v>
      </c>
      <c r="I242" s="64" t="s">
        <v>2256</v>
      </c>
      <c r="J242" s="64" t="s">
        <v>614</v>
      </c>
      <c r="K242" s="64" t="s">
        <v>559</v>
      </c>
      <c r="L242" s="64">
        <v>2022</v>
      </c>
      <c r="M242" s="64" t="s">
        <v>2258</v>
      </c>
      <c r="N242" s="64" t="s">
        <v>2257</v>
      </c>
      <c r="O242" s="204" t="s">
        <v>496</v>
      </c>
      <c r="P242" s="204" t="s">
        <v>496</v>
      </c>
      <c r="Q242" s="204" t="s">
        <v>496</v>
      </c>
      <c r="R242" s="204" t="s">
        <v>496</v>
      </c>
      <c r="S242" s="204" t="s">
        <v>496</v>
      </c>
      <c r="T242" s="204" t="s">
        <v>496</v>
      </c>
      <c r="U242" s="204" t="s">
        <v>496</v>
      </c>
      <c r="V242" s="204" t="s">
        <v>496</v>
      </c>
      <c r="W242" s="204" t="s">
        <v>496</v>
      </c>
      <c r="X242" s="204" t="s">
        <v>496</v>
      </c>
      <c r="Y242" s="204" t="s">
        <v>496</v>
      </c>
      <c r="Z242" s="204" t="s">
        <v>496</v>
      </c>
      <c r="AA242" s="64" t="s">
        <v>1848</v>
      </c>
    </row>
    <row r="243" spans="1:27">
      <c r="B243" s="250" t="s">
        <v>592</v>
      </c>
      <c r="C243" s="254" t="s">
        <v>256</v>
      </c>
      <c r="D243" s="255">
        <v>50</v>
      </c>
      <c r="E243" s="250" t="s">
        <v>549</v>
      </c>
      <c r="F243" s="255">
        <v>6</v>
      </c>
      <c r="G243" s="253">
        <v>44852</v>
      </c>
      <c r="H243" s="250" t="s">
        <v>2192</v>
      </c>
      <c r="I243" s="250" t="s">
        <v>2188</v>
      </c>
      <c r="J243" s="250" t="s">
        <v>614</v>
      </c>
      <c r="K243" s="250" t="s">
        <v>2189</v>
      </c>
      <c r="L243" s="250">
        <v>2022</v>
      </c>
      <c r="N243" s="250" t="s">
        <v>2190</v>
      </c>
      <c r="O243" s="251" t="s">
        <v>496</v>
      </c>
      <c r="P243" s="251" t="s">
        <v>496</v>
      </c>
      <c r="Q243" s="251" t="s">
        <v>496</v>
      </c>
      <c r="R243" s="251" t="s">
        <v>496</v>
      </c>
      <c r="S243" s="251" t="s">
        <v>496</v>
      </c>
      <c r="T243" s="251" t="s">
        <v>496</v>
      </c>
      <c r="U243" s="251" t="s">
        <v>496</v>
      </c>
      <c r="V243" s="251" t="s">
        <v>496</v>
      </c>
      <c r="W243" s="251" t="s">
        <v>496</v>
      </c>
      <c r="X243" s="251" t="s">
        <v>496</v>
      </c>
      <c r="Y243" s="251" t="s">
        <v>496</v>
      </c>
      <c r="Z243" s="251" t="s">
        <v>496</v>
      </c>
      <c r="AA243" s="250" t="s">
        <v>844</v>
      </c>
    </row>
    <row r="244" spans="1:27">
      <c r="B244" s="250" t="s">
        <v>1193</v>
      </c>
      <c r="C244" s="254" t="s">
        <v>256</v>
      </c>
      <c r="D244" s="255">
        <v>50</v>
      </c>
      <c r="E244" s="250" t="s">
        <v>549</v>
      </c>
      <c r="F244" s="255">
        <v>6</v>
      </c>
      <c r="G244" s="253">
        <v>45104</v>
      </c>
      <c r="H244" s="250" t="s">
        <v>2498</v>
      </c>
      <c r="J244" s="250" t="s">
        <v>614</v>
      </c>
      <c r="K244" s="250" t="s">
        <v>2497</v>
      </c>
      <c r="L244" s="250">
        <v>2023</v>
      </c>
      <c r="M244" s="281" t="s">
        <v>4448</v>
      </c>
      <c r="N244" s="250" t="s">
        <v>2491</v>
      </c>
      <c r="O244" s="251" t="s">
        <v>496</v>
      </c>
      <c r="P244" s="251" t="s">
        <v>496</v>
      </c>
      <c r="Q244" s="251" t="s">
        <v>496</v>
      </c>
      <c r="R244" s="251" t="s">
        <v>496</v>
      </c>
      <c r="S244" s="251" t="s">
        <v>496</v>
      </c>
      <c r="T244" s="251" t="s">
        <v>496</v>
      </c>
      <c r="U244" s="251" t="s">
        <v>496</v>
      </c>
      <c r="V244" s="251" t="s">
        <v>496</v>
      </c>
      <c r="W244" s="251" t="s">
        <v>496</v>
      </c>
      <c r="X244" s="251" t="s">
        <v>496</v>
      </c>
      <c r="Y244" s="251" t="s">
        <v>496</v>
      </c>
      <c r="Z244" s="251" t="s">
        <v>496</v>
      </c>
      <c r="AA244" s="250" t="s">
        <v>1302</v>
      </c>
    </row>
    <row r="245" spans="1:27">
      <c r="B245" s="250" t="s">
        <v>586</v>
      </c>
      <c r="C245" s="254" t="s">
        <v>256</v>
      </c>
      <c r="D245" s="255">
        <v>50</v>
      </c>
      <c r="E245" s="250" t="s">
        <v>549</v>
      </c>
      <c r="F245" s="255">
        <v>6</v>
      </c>
      <c r="G245" s="253">
        <v>44781</v>
      </c>
      <c r="H245" s="250" t="s">
        <v>2168</v>
      </c>
      <c r="I245" s="250" t="s">
        <v>2166</v>
      </c>
      <c r="J245" s="250" t="s">
        <v>614</v>
      </c>
      <c r="K245" s="250" t="s">
        <v>2167</v>
      </c>
      <c r="L245" s="250">
        <v>2021</v>
      </c>
      <c r="N245" s="250" t="s">
        <v>2169</v>
      </c>
      <c r="O245" s="251" t="s">
        <v>669</v>
      </c>
      <c r="P245" s="251">
        <v>1</v>
      </c>
      <c r="Q245" s="251" t="s">
        <v>2172</v>
      </c>
      <c r="R245" s="251" t="s">
        <v>496</v>
      </c>
      <c r="S245" s="251" t="s">
        <v>496</v>
      </c>
      <c r="T245" s="251" t="s">
        <v>496</v>
      </c>
      <c r="U245" s="251" t="s">
        <v>496</v>
      </c>
      <c r="V245" s="251" t="s">
        <v>496</v>
      </c>
      <c r="W245" s="251" t="s">
        <v>496</v>
      </c>
      <c r="X245" s="251" t="s">
        <v>496</v>
      </c>
      <c r="Y245" s="251" t="s">
        <v>496</v>
      </c>
      <c r="Z245" s="251" t="s">
        <v>496</v>
      </c>
      <c r="AA245" s="250" t="s">
        <v>1766</v>
      </c>
    </row>
    <row r="246" spans="1:27">
      <c r="B246" s="250" t="s">
        <v>1225</v>
      </c>
      <c r="C246" s="254" t="s">
        <v>256</v>
      </c>
      <c r="D246" s="255">
        <v>50</v>
      </c>
      <c r="E246" s="250" t="s">
        <v>544</v>
      </c>
      <c r="F246" s="255">
        <v>5</v>
      </c>
      <c r="G246" s="205">
        <v>44514</v>
      </c>
      <c r="H246" s="250" t="s">
        <v>2531</v>
      </c>
      <c r="I246" s="250" t="s">
        <v>2528</v>
      </c>
      <c r="J246" s="250" t="s">
        <v>614</v>
      </c>
      <c r="K246" s="250" t="s">
        <v>2532</v>
      </c>
      <c r="L246" s="250">
        <v>2018</v>
      </c>
      <c r="N246" s="250" t="s">
        <v>2530</v>
      </c>
      <c r="O246" s="251" t="s">
        <v>549</v>
      </c>
      <c r="P246" s="251" t="s">
        <v>496</v>
      </c>
      <c r="Q246" s="251" t="s">
        <v>2533</v>
      </c>
      <c r="R246" s="251" t="s">
        <v>496</v>
      </c>
      <c r="S246" s="251" t="s">
        <v>496</v>
      </c>
      <c r="T246" s="251" t="s">
        <v>496</v>
      </c>
      <c r="U246" s="251" t="s">
        <v>496</v>
      </c>
      <c r="V246" s="251" t="s">
        <v>496</v>
      </c>
      <c r="W246" s="251" t="s">
        <v>496</v>
      </c>
      <c r="X246" s="251" t="s">
        <v>496</v>
      </c>
      <c r="Y246" s="251" t="s">
        <v>496</v>
      </c>
      <c r="Z246" s="251" t="s">
        <v>496</v>
      </c>
      <c r="AA246" s="250" t="s">
        <v>833</v>
      </c>
    </row>
    <row r="247" spans="1:27">
      <c r="B247" s="250" t="s">
        <v>1401</v>
      </c>
      <c r="C247" s="254" t="s">
        <v>256</v>
      </c>
      <c r="D247" s="255">
        <v>50</v>
      </c>
      <c r="E247" s="250" t="s">
        <v>402</v>
      </c>
      <c r="F247" s="255">
        <v>5</v>
      </c>
      <c r="G247" s="216" t="s">
        <v>496</v>
      </c>
      <c r="H247" s="250" t="s">
        <v>1679</v>
      </c>
      <c r="J247" s="250" t="s">
        <v>614</v>
      </c>
      <c r="K247" s="250" t="s">
        <v>639</v>
      </c>
      <c r="L247" s="257">
        <v>40483</v>
      </c>
      <c r="N247" s="250" t="s">
        <v>402</v>
      </c>
      <c r="O247" s="251" t="s">
        <v>496</v>
      </c>
      <c r="P247" s="251" t="s">
        <v>496</v>
      </c>
      <c r="Q247" s="251" t="s">
        <v>544</v>
      </c>
      <c r="R247" s="251" t="s">
        <v>496</v>
      </c>
      <c r="S247" s="251" t="s">
        <v>496</v>
      </c>
      <c r="T247" s="251" t="s">
        <v>496</v>
      </c>
      <c r="U247" s="251" t="s">
        <v>496</v>
      </c>
      <c r="V247" s="251" t="s">
        <v>496</v>
      </c>
      <c r="W247" s="251" t="s">
        <v>496</v>
      </c>
      <c r="X247" s="251" t="s">
        <v>496</v>
      </c>
      <c r="Y247" s="251" t="s">
        <v>496</v>
      </c>
      <c r="Z247" s="251" t="s">
        <v>496</v>
      </c>
      <c r="AA247" s="250" t="s">
        <v>1678</v>
      </c>
    </row>
    <row r="248" spans="1:27">
      <c r="A248" s="250">
        <f>+A193+1</f>
        <v>85</v>
      </c>
      <c r="B248" s="250" t="s">
        <v>1574</v>
      </c>
      <c r="C248" s="254" t="s">
        <v>256</v>
      </c>
      <c r="D248" s="255">
        <v>50</v>
      </c>
      <c r="E248" s="250" t="s">
        <v>544</v>
      </c>
      <c r="F248" s="255">
        <v>6</v>
      </c>
      <c r="G248" s="253">
        <v>44917</v>
      </c>
      <c r="H248" s="250" t="s">
        <v>1579</v>
      </c>
      <c r="J248" s="250" t="s">
        <v>614</v>
      </c>
      <c r="K248" s="250" t="s">
        <v>1578</v>
      </c>
      <c r="N248" s="250" t="s">
        <v>1577</v>
      </c>
      <c r="O248" s="251" t="s">
        <v>549</v>
      </c>
      <c r="P248" s="251">
        <v>5.9</v>
      </c>
      <c r="Q248" s="251" t="s">
        <v>1582</v>
      </c>
      <c r="R248" s="251" t="s">
        <v>549</v>
      </c>
      <c r="S248" s="251" t="s">
        <v>496</v>
      </c>
      <c r="T248" s="251" t="s">
        <v>1584</v>
      </c>
      <c r="U248" s="251" t="s">
        <v>549</v>
      </c>
      <c r="V248" s="251">
        <v>3.6</v>
      </c>
      <c r="W248" s="251" t="s">
        <v>1585</v>
      </c>
      <c r="X248" s="251" t="s">
        <v>496</v>
      </c>
      <c r="Y248" s="251" t="s">
        <v>496</v>
      </c>
      <c r="Z248" s="251" t="s">
        <v>496</v>
      </c>
      <c r="AA248" s="250" t="s">
        <v>1575</v>
      </c>
    </row>
    <row r="249" spans="1:27">
      <c r="B249" s="250" t="s">
        <v>1547</v>
      </c>
      <c r="C249" s="254" t="s">
        <v>256</v>
      </c>
      <c r="D249" s="255">
        <v>50</v>
      </c>
      <c r="E249" s="250" t="s">
        <v>3147</v>
      </c>
      <c r="F249" s="255">
        <v>2.5</v>
      </c>
      <c r="G249" s="253">
        <v>44805</v>
      </c>
      <c r="H249" s="250" t="s">
        <v>3142</v>
      </c>
      <c r="I249" s="250" t="s">
        <v>3141</v>
      </c>
      <c r="J249" s="250" t="s">
        <v>614</v>
      </c>
      <c r="K249" s="250" t="s">
        <v>1927</v>
      </c>
      <c r="L249" s="250">
        <v>2020</v>
      </c>
      <c r="M249" s="250" t="s">
        <v>3146</v>
      </c>
      <c r="N249" s="250" t="s">
        <v>496</v>
      </c>
      <c r="O249" s="251" t="s">
        <v>549</v>
      </c>
      <c r="P249" s="251">
        <v>5.0999999999999996</v>
      </c>
      <c r="Q249" s="251" t="s">
        <v>3148</v>
      </c>
      <c r="R249" s="251" t="s">
        <v>496</v>
      </c>
      <c r="S249" s="251" t="s">
        <v>496</v>
      </c>
      <c r="T249" s="251" t="s">
        <v>496</v>
      </c>
      <c r="U249" s="251" t="s">
        <v>496</v>
      </c>
      <c r="V249" s="251" t="s">
        <v>496</v>
      </c>
      <c r="W249" s="251" t="s">
        <v>496</v>
      </c>
      <c r="X249" s="251" t="s">
        <v>496</v>
      </c>
      <c r="Y249" s="251" t="s">
        <v>496</v>
      </c>
      <c r="Z249" s="251" t="s">
        <v>496</v>
      </c>
      <c r="AA249" s="250" t="s">
        <v>1892</v>
      </c>
    </row>
    <row r="250" spans="1:27">
      <c r="A250" s="250">
        <f>+A248+1</f>
        <v>86</v>
      </c>
      <c r="B250" s="250" t="s">
        <v>573</v>
      </c>
      <c r="C250" s="254" t="s">
        <v>256</v>
      </c>
      <c r="D250" s="255">
        <v>50</v>
      </c>
      <c r="E250" s="250" t="s">
        <v>549</v>
      </c>
      <c r="F250" s="255">
        <v>2.5</v>
      </c>
      <c r="G250" s="253">
        <v>44469</v>
      </c>
      <c r="H250" s="250" t="s">
        <v>1421</v>
      </c>
      <c r="I250" s="250" t="s">
        <v>1411</v>
      </c>
      <c r="J250" s="250" t="s">
        <v>614</v>
      </c>
      <c r="K250" s="250" t="s">
        <v>619</v>
      </c>
      <c r="L250" s="258">
        <v>44211</v>
      </c>
      <c r="N250" s="250" t="s">
        <v>1412</v>
      </c>
      <c r="O250" s="251" t="s">
        <v>669</v>
      </c>
      <c r="P250" s="251" t="s">
        <v>496</v>
      </c>
      <c r="Q250" s="251" t="s">
        <v>1410</v>
      </c>
      <c r="R250" s="251" t="s">
        <v>496</v>
      </c>
      <c r="S250" s="251" t="s">
        <v>496</v>
      </c>
      <c r="T250" s="251" t="s">
        <v>496</v>
      </c>
      <c r="U250" s="251" t="s">
        <v>496</v>
      </c>
      <c r="V250" s="251" t="s">
        <v>496</v>
      </c>
      <c r="W250" s="251" t="s">
        <v>496</v>
      </c>
      <c r="X250" s="251" t="s">
        <v>496</v>
      </c>
      <c r="Y250" s="251" t="s">
        <v>496</v>
      </c>
      <c r="Z250" s="251" t="s">
        <v>496</v>
      </c>
      <c r="AA250" s="250" t="s">
        <v>834</v>
      </c>
    </row>
    <row r="251" spans="1:27">
      <c r="A251" s="250">
        <f>+A250+1</f>
        <v>87</v>
      </c>
      <c r="B251" s="250" t="s">
        <v>574</v>
      </c>
      <c r="C251" s="254" t="s">
        <v>256</v>
      </c>
      <c r="D251" s="255">
        <v>50</v>
      </c>
      <c r="E251" s="250" t="s">
        <v>549</v>
      </c>
      <c r="F251" s="255">
        <v>1.5</v>
      </c>
      <c r="G251" s="253">
        <v>45061</v>
      </c>
      <c r="H251" s="250" t="s">
        <v>1473</v>
      </c>
      <c r="I251" s="250" t="s">
        <v>1478</v>
      </c>
      <c r="J251" s="250" t="s">
        <v>613</v>
      </c>
      <c r="K251" s="250" t="s">
        <v>1474</v>
      </c>
      <c r="L251" s="250">
        <v>2023</v>
      </c>
      <c r="N251" s="250" t="s">
        <v>1475</v>
      </c>
      <c r="O251" s="251" t="s">
        <v>496</v>
      </c>
      <c r="P251" s="251" t="s">
        <v>496</v>
      </c>
      <c r="Q251" s="251" t="s">
        <v>496</v>
      </c>
      <c r="R251" s="251" t="s">
        <v>496</v>
      </c>
      <c r="S251" s="251" t="s">
        <v>496</v>
      </c>
      <c r="T251" s="251" t="s">
        <v>496</v>
      </c>
      <c r="U251" s="251" t="s">
        <v>496</v>
      </c>
      <c r="V251" s="251" t="s">
        <v>496</v>
      </c>
      <c r="W251" s="251" t="s">
        <v>496</v>
      </c>
      <c r="X251" s="251" t="s">
        <v>496</v>
      </c>
      <c r="Y251" s="251" t="s">
        <v>496</v>
      </c>
      <c r="Z251" s="251" t="s">
        <v>496</v>
      </c>
      <c r="AA251" s="250" t="s">
        <v>1477</v>
      </c>
    </row>
    <row r="252" spans="1:27">
      <c r="B252" s="250" t="s">
        <v>589</v>
      </c>
      <c r="C252" s="254" t="s">
        <v>256</v>
      </c>
      <c r="D252" s="255">
        <v>50</v>
      </c>
      <c r="E252" s="250" t="s">
        <v>549</v>
      </c>
      <c r="F252" s="255">
        <v>0.5</v>
      </c>
      <c r="G252" s="253">
        <v>45021</v>
      </c>
      <c r="H252" s="250" t="s">
        <v>2323</v>
      </c>
      <c r="J252" s="250" t="s">
        <v>614</v>
      </c>
      <c r="K252" s="250" t="s">
        <v>2324</v>
      </c>
      <c r="L252" s="250">
        <v>2022</v>
      </c>
      <c r="M252" s="250" t="s">
        <v>2910</v>
      </c>
      <c r="N252" s="250" t="s">
        <v>740</v>
      </c>
      <c r="O252" s="251" t="s">
        <v>549</v>
      </c>
      <c r="P252" s="251">
        <v>0.56999999999999995</v>
      </c>
      <c r="Q252" s="251" t="s">
        <v>1771</v>
      </c>
      <c r="R252" s="251" t="s">
        <v>496</v>
      </c>
      <c r="S252" s="251" t="s">
        <v>496</v>
      </c>
      <c r="T252" s="251" t="s">
        <v>496</v>
      </c>
      <c r="U252" s="251" t="s">
        <v>496</v>
      </c>
      <c r="V252" s="251" t="s">
        <v>496</v>
      </c>
      <c r="W252" s="251" t="s">
        <v>496</v>
      </c>
      <c r="X252" s="251" t="s">
        <v>496</v>
      </c>
      <c r="Y252" s="251" t="s">
        <v>496</v>
      </c>
      <c r="Z252" s="251" t="s">
        <v>496</v>
      </c>
      <c r="AA252" s="250" t="s">
        <v>2322</v>
      </c>
    </row>
    <row r="253" spans="1:27" s="64" customFormat="1">
      <c r="B253" s="64" t="s">
        <v>1192</v>
      </c>
      <c r="C253" s="190" t="s">
        <v>256</v>
      </c>
      <c r="D253" s="188">
        <v>50</v>
      </c>
      <c r="E253" s="64" t="s">
        <v>669</v>
      </c>
      <c r="F253" s="188">
        <v>0.5</v>
      </c>
      <c r="G253" s="202">
        <v>45021</v>
      </c>
      <c r="H253" s="64" t="s">
        <v>1904</v>
      </c>
      <c r="I253" s="64" t="s">
        <v>1902</v>
      </c>
      <c r="J253" s="64" t="s">
        <v>614</v>
      </c>
      <c r="K253" s="64" t="s">
        <v>644</v>
      </c>
      <c r="L253" s="223">
        <v>42609</v>
      </c>
      <c r="M253" s="64" t="s">
        <v>4449</v>
      </c>
      <c r="N253" s="64" t="s">
        <v>1905</v>
      </c>
      <c r="O253" s="204" t="s">
        <v>496</v>
      </c>
      <c r="P253" s="204" t="s">
        <v>496</v>
      </c>
      <c r="Q253" s="204" t="s">
        <v>496</v>
      </c>
      <c r="R253" s="204" t="s">
        <v>496</v>
      </c>
      <c r="S253" s="204" t="s">
        <v>496</v>
      </c>
      <c r="T253" s="204" t="s">
        <v>496</v>
      </c>
      <c r="U253" s="204" t="s">
        <v>496</v>
      </c>
      <c r="V253" s="204" t="s">
        <v>496</v>
      </c>
      <c r="W253" s="204" t="s">
        <v>496</v>
      </c>
      <c r="X253" s="204" t="s">
        <v>496</v>
      </c>
      <c r="Y253" s="204" t="s">
        <v>496</v>
      </c>
      <c r="Z253" s="204" t="s">
        <v>496</v>
      </c>
      <c r="AA253" s="64" t="s">
        <v>834</v>
      </c>
    </row>
    <row r="254" spans="1:27">
      <c r="B254" s="250" t="s">
        <v>1407</v>
      </c>
      <c r="C254" s="254" t="s">
        <v>256</v>
      </c>
      <c r="D254" s="255">
        <v>40</v>
      </c>
      <c r="E254" s="250" t="s">
        <v>402</v>
      </c>
      <c r="F254" s="255">
        <v>5</v>
      </c>
      <c r="G254" s="205">
        <v>44008</v>
      </c>
      <c r="H254" s="250" t="s">
        <v>1711</v>
      </c>
      <c r="I254" s="250" t="s">
        <v>1710</v>
      </c>
      <c r="J254" s="250" t="s">
        <v>614</v>
      </c>
      <c r="K254" s="250" t="s">
        <v>646</v>
      </c>
      <c r="L254" s="250">
        <v>2016</v>
      </c>
      <c r="M254" s="250" t="s">
        <v>1712</v>
      </c>
      <c r="N254" s="250" t="s">
        <v>1434</v>
      </c>
      <c r="O254" s="251" t="s">
        <v>402</v>
      </c>
      <c r="P254" s="251">
        <v>14</v>
      </c>
      <c r="Q254" s="251" t="s">
        <v>1435</v>
      </c>
      <c r="R254" s="251" t="s">
        <v>544</v>
      </c>
      <c r="S254" s="251">
        <v>4</v>
      </c>
      <c r="T254" s="251" t="s">
        <v>1436</v>
      </c>
      <c r="U254" s="251" t="s">
        <v>549</v>
      </c>
      <c r="V254" s="251">
        <v>0.6</v>
      </c>
      <c r="W254" s="251" t="s">
        <v>1437</v>
      </c>
      <c r="X254" s="251" t="s">
        <v>496</v>
      </c>
      <c r="Y254" s="251" t="s">
        <v>496</v>
      </c>
      <c r="Z254" s="251" t="s">
        <v>496</v>
      </c>
      <c r="AA254" s="250" t="s">
        <v>1433</v>
      </c>
    </row>
    <row r="255" spans="1:27">
      <c r="B255" s="250" t="s">
        <v>727</v>
      </c>
      <c r="C255" s="254" t="s">
        <v>256</v>
      </c>
      <c r="D255" s="255">
        <v>40</v>
      </c>
      <c r="E255" s="250" t="s">
        <v>549</v>
      </c>
      <c r="F255" s="255">
        <v>10</v>
      </c>
      <c r="G255" s="253">
        <v>45026</v>
      </c>
      <c r="H255" s="250" t="s">
        <v>1873</v>
      </c>
      <c r="J255" s="250" t="s">
        <v>456</v>
      </c>
      <c r="K255" s="250" t="s">
        <v>456</v>
      </c>
      <c r="L255" s="64">
        <v>2023</v>
      </c>
      <c r="N255" s="250" t="s">
        <v>496</v>
      </c>
      <c r="O255" s="250" t="s">
        <v>496</v>
      </c>
      <c r="P255" s="250" t="s">
        <v>496</v>
      </c>
      <c r="Q255" s="250" t="s">
        <v>496</v>
      </c>
      <c r="R255" s="250" t="s">
        <v>496</v>
      </c>
      <c r="S255" s="250" t="s">
        <v>496</v>
      </c>
      <c r="T255" s="250" t="s">
        <v>496</v>
      </c>
      <c r="U255" s="250" t="s">
        <v>496</v>
      </c>
      <c r="V255" s="250" t="s">
        <v>496</v>
      </c>
      <c r="W255" s="250" t="s">
        <v>496</v>
      </c>
      <c r="X255" s="250" t="s">
        <v>496</v>
      </c>
      <c r="Y255" s="250" t="s">
        <v>496</v>
      </c>
      <c r="Z255" s="250" t="s">
        <v>496</v>
      </c>
      <c r="AA255" s="250" t="s">
        <v>496</v>
      </c>
    </row>
    <row r="256" spans="1:27">
      <c r="B256" s="250" t="s">
        <v>734</v>
      </c>
      <c r="C256" s="254" t="s">
        <v>256</v>
      </c>
      <c r="D256" s="255">
        <v>40</v>
      </c>
      <c r="E256" s="250" t="s">
        <v>544</v>
      </c>
      <c r="F256" s="255">
        <v>10</v>
      </c>
      <c r="G256" s="253">
        <v>44930</v>
      </c>
      <c r="H256" s="250" t="s">
        <v>1883</v>
      </c>
      <c r="I256" s="250" t="s">
        <v>1882</v>
      </c>
      <c r="J256" s="250" t="s">
        <v>614</v>
      </c>
      <c r="K256" s="250" t="s">
        <v>735</v>
      </c>
      <c r="L256" s="250">
        <v>2020</v>
      </c>
      <c r="N256" s="250" t="s">
        <v>1884</v>
      </c>
      <c r="O256" s="251" t="s">
        <v>549</v>
      </c>
      <c r="P256" s="251">
        <v>2</v>
      </c>
      <c r="Q256" s="251" t="s">
        <v>496</v>
      </c>
      <c r="R256" s="251" t="s">
        <v>496</v>
      </c>
      <c r="S256" s="251" t="s">
        <v>496</v>
      </c>
      <c r="T256" s="251" t="s">
        <v>496</v>
      </c>
      <c r="U256" s="251" t="s">
        <v>496</v>
      </c>
      <c r="V256" s="251" t="s">
        <v>496</v>
      </c>
      <c r="W256" s="251" t="s">
        <v>496</v>
      </c>
      <c r="X256" s="251" t="s">
        <v>496</v>
      </c>
      <c r="Y256" s="251" t="s">
        <v>496</v>
      </c>
      <c r="Z256" s="251" t="s">
        <v>496</v>
      </c>
      <c r="AA256" s="250" t="s">
        <v>1881</v>
      </c>
    </row>
    <row r="257" spans="1:28">
      <c r="B257" s="64" t="s">
        <v>583</v>
      </c>
      <c r="C257" s="190" t="s">
        <v>256</v>
      </c>
      <c r="D257" s="188">
        <v>40</v>
      </c>
      <c r="E257" s="64" t="s">
        <v>544</v>
      </c>
      <c r="F257" s="188">
        <v>10</v>
      </c>
      <c r="G257" s="202">
        <v>44825</v>
      </c>
      <c r="H257" s="64" t="s">
        <v>1878</v>
      </c>
      <c r="I257" s="64"/>
      <c r="J257" s="64" t="s">
        <v>614</v>
      </c>
      <c r="K257" s="64" t="s">
        <v>644</v>
      </c>
      <c r="L257" s="64">
        <v>2020</v>
      </c>
      <c r="N257" s="250" t="s">
        <v>1876</v>
      </c>
      <c r="O257" s="251" t="s">
        <v>549</v>
      </c>
      <c r="P257" s="251">
        <v>1.5</v>
      </c>
      <c r="Q257" s="251" t="s">
        <v>1877</v>
      </c>
      <c r="R257" s="251" t="s">
        <v>496</v>
      </c>
      <c r="S257" s="251" t="s">
        <v>496</v>
      </c>
      <c r="T257" s="251" t="s">
        <v>496</v>
      </c>
      <c r="U257" s="251" t="s">
        <v>496</v>
      </c>
      <c r="V257" s="251" t="s">
        <v>496</v>
      </c>
      <c r="W257" s="251" t="s">
        <v>496</v>
      </c>
      <c r="X257" s="251" t="s">
        <v>496</v>
      </c>
      <c r="Y257" s="251" t="s">
        <v>496</v>
      </c>
      <c r="Z257" s="251" t="s">
        <v>496</v>
      </c>
      <c r="AA257" s="250" t="s">
        <v>1875</v>
      </c>
    </row>
    <row r="258" spans="1:28">
      <c r="B258" s="250" t="s">
        <v>726</v>
      </c>
      <c r="C258" s="254" t="s">
        <v>256</v>
      </c>
      <c r="D258" s="255">
        <v>40</v>
      </c>
      <c r="E258" s="250" t="s">
        <v>544</v>
      </c>
      <c r="F258" s="255">
        <v>10</v>
      </c>
      <c r="G258" s="205">
        <v>43887</v>
      </c>
      <c r="H258" s="250" t="s">
        <v>1868</v>
      </c>
      <c r="I258" s="250" t="s">
        <v>1867</v>
      </c>
      <c r="J258" s="250" t="s">
        <v>614</v>
      </c>
      <c r="K258" s="250" t="s">
        <v>698</v>
      </c>
      <c r="L258" s="250">
        <v>2019</v>
      </c>
      <c r="N258" s="250" t="s">
        <v>1869</v>
      </c>
      <c r="O258" s="251" t="s">
        <v>544</v>
      </c>
      <c r="P258" s="251">
        <v>9</v>
      </c>
      <c r="Q258" s="251" t="s">
        <v>1870</v>
      </c>
      <c r="R258" s="251" t="s">
        <v>549</v>
      </c>
      <c r="S258" s="251">
        <v>2.4</v>
      </c>
      <c r="T258" s="251" t="s">
        <v>1871</v>
      </c>
      <c r="U258" s="251" t="s">
        <v>496</v>
      </c>
      <c r="V258" s="251" t="s">
        <v>496</v>
      </c>
      <c r="W258" s="251" t="s">
        <v>496</v>
      </c>
      <c r="X258" s="251" t="s">
        <v>496</v>
      </c>
      <c r="Y258" s="251" t="s">
        <v>496</v>
      </c>
      <c r="Z258" s="251" t="s">
        <v>496</v>
      </c>
      <c r="AA258" s="250" t="s">
        <v>844</v>
      </c>
    </row>
    <row r="259" spans="1:28">
      <c r="A259" s="250">
        <f>+A202+1</f>
        <v>60</v>
      </c>
      <c r="B259" s="250" t="s">
        <v>569</v>
      </c>
      <c r="C259" s="254" t="s">
        <v>256</v>
      </c>
      <c r="D259" s="255">
        <v>30</v>
      </c>
      <c r="E259" s="250" t="s">
        <v>549</v>
      </c>
      <c r="F259" s="255">
        <v>6</v>
      </c>
      <c r="G259" s="253">
        <v>45070</v>
      </c>
      <c r="H259" s="250" t="s">
        <v>1215</v>
      </c>
      <c r="I259" s="250" t="s">
        <v>1214</v>
      </c>
      <c r="J259" s="250" t="s">
        <v>613</v>
      </c>
      <c r="K259" s="250" t="s">
        <v>644</v>
      </c>
      <c r="L259" s="250">
        <v>2021</v>
      </c>
      <c r="N259" s="250" t="s">
        <v>496</v>
      </c>
      <c r="O259" s="250" t="s">
        <v>496</v>
      </c>
      <c r="P259" s="250" t="s">
        <v>496</v>
      </c>
      <c r="Q259" s="250" t="s">
        <v>496</v>
      </c>
      <c r="R259" s="250" t="s">
        <v>496</v>
      </c>
      <c r="S259" s="250" t="s">
        <v>496</v>
      </c>
      <c r="T259" s="250" t="s">
        <v>496</v>
      </c>
      <c r="U259" s="250" t="s">
        <v>496</v>
      </c>
      <c r="V259" s="250" t="s">
        <v>496</v>
      </c>
      <c r="W259" s="250" t="s">
        <v>496</v>
      </c>
      <c r="X259" s="250" t="s">
        <v>496</v>
      </c>
      <c r="Y259" s="250" t="s">
        <v>496</v>
      </c>
      <c r="Z259" s="250" t="s">
        <v>496</v>
      </c>
      <c r="AA259" s="250" t="s">
        <v>1213</v>
      </c>
    </row>
    <row r="260" spans="1:28">
      <c r="B260" s="250" t="s">
        <v>1773</v>
      </c>
      <c r="C260" s="268" t="s">
        <v>256</v>
      </c>
      <c r="D260" s="255">
        <v>30</v>
      </c>
      <c r="E260" s="267" t="s">
        <v>669</v>
      </c>
      <c r="F260" s="255">
        <v>0.5</v>
      </c>
      <c r="G260" s="253">
        <v>45021</v>
      </c>
      <c r="H260" s="267" t="s">
        <v>3795</v>
      </c>
      <c r="I260" s="267" t="s">
        <v>3794</v>
      </c>
      <c r="J260" s="267" t="s">
        <v>614</v>
      </c>
      <c r="K260" s="267" t="s">
        <v>430</v>
      </c>
      <c r="L260" s="250">
        <v>2021</v>
      </c>
      <c r="M260" s="250" t="s">
        <v>2910</v>
      </c>
      <c r="N260" s="267" t="s">
        <v>740</v>
      </c>
      <c r="O260" s="271" t="s">
        <v>496</v>
      </c>
      <c r="P260" s="271" t="s">
        <v>496</v>
      </c>
      <c r="Q260" s="271" t="s">
        <v>496</v>
      </c>
      <c r="R260" s="271" t="s">
        <v>496</v>
      </c>
      <c r="S260" s="271" t="s">
        <v>496</v>
      </c>
      <c r="T260" s="271" t="s">
        <v>496</v>
      </c>
      <c r="U260" s="271" t="s">
        <v>496</v>
      </c>
      <c r="V260" s="271" t="s">
        <v>496</v>
      </c>
      <c r="W260" s="271" t="s">
        <v>496</v>
      </c>
      <c r="X260" s="271" t="s">
        <v>496</v>
      </c>
      <c r="Y260" s="271" t="s">
        <v>496</v>
      </c>
      <c r="Z260" s="271" t="s">
        <v>496</v>
      </c>
      <c r="AA260" s="267" t="s">
        <v>1848</v>
      </c>
    </row>
    <row r="261" spans="1:28">
      <c r="B261" s="250" t="s">
        <v>579</v>
      </c>
      <c r="C261" s="254" t="s">
        <v>256</v>
      </c>
      <c r="D261" s="255">
        <v>30</v>
      </c>
      <c r="E261" s="250" t="s">
        <v>549</v>
      </c>
      <c r="F261" s="255">
        <v>5</v>
      </c>
      <c r="G261" s="253">
        <v>45062</v>
      </c>
      <c r="H261" s="250" t="s">
        <v>1750</v>
      </c>
      <c r="J261" s="250" t="s">
        <v>614</v>
      </c>
      <c r="K261" s="250" t="s">
        <v>461</v>
      </c>
      <c r="L261" s="250">
        <v>2023</v>
      </c>
      <c r="N261" s="250" t="s">
        <v>1751</v>
      </c>
      <c r="O261" s="251" t="s">
        <v>496</v>
      </c>
      <c r="P261" s="251" t="s">
        <v>496</v>
      </c>
      <c r="Q261" s="251" t="s">
        <v>496</v>
      </c>
      <c r="R261" s="251" t="s">
        <v>496</v>
      </c>
      <c r="S261" s="251" t="s">
        <v>496</v>
      </c>
      <c r="T261" s="251" t="s">
        <v>496</v>
      </c>
      <c r="U261" s="251" t="s">
        <v>496</v>
      </c>
      <c r="V261" s="251" t="s">
        <v>496</v>
      </c>
      <c r="W261" s="251" t="s">
        <v>496</v>
      </c>
      <c r="X261" s="251" t="s">
        <v>496</v>
      </c>
      <c r="Y261" s="251" t="s">
        <v>496</v>
      </c>
      <c r="Z261" s="251" t="s">
        <v>496</v>
      </c>
      <c r="AA261" s="250" t="s">
        <v>837</v>
      </c>
    </row>
    <row r="262" spans="1:28" s="64" customFormat="1">
      <c r="B262" s="64" t="s">
        <v>580</v>
      </c>
      <c r="C262" s="190" t="s">
        <v>256</v>
      </c>
      <c r="D262" s="188">
        <v>30</v>
      </c>
      <c r="E262" s="64" t="s">
        <v>549</v>
      </c>
      <c r="F262" s="188">
        <v>4</v>
      </c>
      <c r="G262" s="202">
        <v>45026</v>
      </c>
      <c r="H262" s="64" t="s">
        <v>430</v>
      </c>
      <c r="I262" s="64" t="s">
        <v>1753</v>
      </c>
      <c r="J262" s="64" t="s">
        <v>614</v>
      </c>
      <c r="K262" s="64" t="s">
        <v>430</v>
      </c>
      <c r="L262" s="64">
        <v>2021</v>
      </c>
      <c r="N262" s="64" t="s">
        <v>1756</v>
      </c>
      <c r="O262" s="204" t="s">
        <v>496</v>
      </c>
      <c r="P262" s="204" t="s">
        <v>496</v>
      </c>
      <c r="Q262" s="204" t="s">
        <v>496</v>
      </c>
      <c r="R262" s="204" t="s">
        <v>496</v>
      </c>
      <c r="S262" s="204" t="s">
        <v>496</v>
      </c>
      <c r="T262" s="204" t="s">
        <v>496</v>
      </c>
      <c r="U262" s="204" t="s">
        <v>496</v>
      </c>
      <c r="V262" s="204" t="s">
        <v>496</v>
      </c>
      <c r="W262" s="204" t="s">
        <v>496</v>
      </c>
      <c r="X262" s="204" t="s">
        <v>496</v>
      </c>
      <c r="Y262" s="204" t="s">
        <v>496</v>
      </c>
      <c r="Z262" s="204" t="s">
        <v>496</v>
      </c>
      <c r="AA262" s="64" t="s">
        <v>1699</v>
      </c>
    </row>
    <row r="263" spans="1:28">
      <c r="B263" s="250" t="s">
        <v>1545</v>
      </c>
      <c r="C263" s="254" t="s">
        <v>256</v>
      </c>
      <c r="D263" s="255">
        <v>30</v>
      </c>
      <c r="E263" s="250" t="s">
        <v>549</v>
      </c>
      <c r="F263" s="255">
        <v>3</v>
      </c>
      <c r="G263" s="253">
        <v>44327</v>
      </c>
      <c r="H263" s="250" t="s">
        <v>3129</v>
      </c>
      <c r="I263" s="250" t="s">
        <v>3132</v>
      </c>
      <c r="J263" s="250" t="s">
        <v>614</v>
      </c>
      <c r="K263" s="250" t="s">
        <v>3130</v>
      </c>
      <c r="L263" s="250">
        <v>2021</v>
      </c>
      <c r="N263" s="250" t="s">
        <v>3131</v>
      </c>
      <c r="O263" s="251" t="s">
        <v>669</v>
      </c>
      <c r="P263" s="251">
        <v>1.2</v>
      </c>
      <c r="Q263" s="251" t="s">
        <v>3133</v>
      </c>
      <c r="R263" s="251" t="s">
        <v>496</v>
      </c>
      <c r="S263" s="251" t="s">
        <v>496</v>
      </c>
      <c r="T263" s="251" t="s">
        <v>496</v>
      </c>
      <c r="U263" s="251" t="s">
        <v>496</v>
      </c>
      <c r="V263" s="251" t="s">
        <v>496</v>
      </c>
      <c r="W263" s="251" t="s">
        <v>496</v>
      </c>
      <c r="X263" s="251" t="s">
        <v>496</v>
      </c>
      <c r="Y263" s="251" t="s">
        <v>496</v>
      </c>
      <c r="Z263" s="251" t="s">
        <v>496</v>
      </c>
      <c r="AA263" s="250" t="s">
        <v>1108</v>
      </c>
    </row>
    <row r="264" spans="1:28">
      <c r="B264" s="250" t="s">
        <v>582</v>
      </c>
      <c r="C264" s="254" t="s">
        <v>256</v>
      </c>
      <c r="D264" s="255">
        <v>30</v>
      </c>
      <c r="E264" s="250" t="s">
        <v>669</v>
      </c>
      <c r="F264" s="255">
        <v>3</v>
      </c>
      <c r="G264" s="253">
        <v>45044</v>
      </c>
      <c r="H264" s="250" t="s">
        <v>1708</v>
      </c>
      <c r="I264" s="250" t="s">
        <v>1707</v>
      </c>
      <c r="J264" s="250" t="s">
        <v>614</v>
      </c>
      <c r="K264" s="250" t="s">
        <v>1709</v>
      </c>
      <c r="L264" s="258">
        <v>44986</v>
      </c>
      <c r="N264" s="250" t="s">
        <v>496</v>
      </c>
      <c r="O264" s="250" t="s">
        <v>496</v>
      </c>
      <c r="P264" s="250" t="s">
        <v>496</v>
      </c>
      <c r="Q264" s="250" t="s">
        <v>496</v>
      </c>
      <c r="R264" s="250" t="s">
        <v>496</v>
      </c>
      <c r="S264" s="250" t="s">
        <v>496</v>
      </c>
      <c r="T264" s="250" t="s">
        <v>496</v>
      </c>
      <c r="U264" s="250" t="s">
        <v>496</v>
      </c>
      <c r="V264" s="250" t="s">
        <v>496</v>
      </c>
      <c r="W264" s="250" t="s">
        <v>496</v>
      </c>
      <c r="X264" s="250" t="s">
        <v>496</v>
      </c>
      <c r="Y264" s="250" t="s">
        <v>496</v>
      </c>
      <c r="Z264" s="250" t="s">
        <v>496</v>
      </c>
      <c r="AA264" s="250" t="s">
        <v>834</v>
      </c>
    </row>
    <row r="265" spans="1:28">
      <c r="A265" s="250">
        <f>+A259+1</f>
        <v>61</v>
      </c>
      <c r="B265" s="250" t="s">
        <v>551</v>
      </c>
      <c r="C265" s="254" t="s">
        <v>256</v>
      </c>
      <c r="D265" s="255">
        <v>25</v>
      </c>
      <c r="E265" s="250" t="s">
        <v>549</v>
      </c>
      <c r="F265" s="255">
        <v>2.6</v>
      </c>
      <c r="G265" s="253">
        <v>44994</v>
      </c>
      <c r="H265" s="250" t="s">
        <v>550</v>
      </c>
      <c r="I265" s="250" t="s">
        <v>1217</v>
      </c>
      <c r="J265" s="250" t="s">
        <v>613</v>
      </c>
      <c r="K265" s="250" t="s">
        <v>548</v>
      </c>
      <c r="L265" s="257">
        <v>44013</v>
      </c>
      <c r="N265" s="250" t="s">
        <v>1218</v>
      </c>
      <c r="O265" s="251" t="s">
        <v>549</v>
      </c>
      <c r="P265" s="251" t="s">
        <v>1221</v>
      </c>
      <c r="R265" s="251" t="s">
        <v>669</v>
      </c>
      <c r="S265" s="251" t="s">
        <v>496</v>
      </c>
      <c r="T265" s="251" t="s">
        <v>1222</v>
      </c>
      <c r="U265" s="250" t="s">
        <v>496</v>
      </c>
      <c r="V265" s="250" t="s">
        <v>496</v>
      </c>
      <c r="W265" s="250" t="s">
        <v>496</v>
      </c>
      <c r="X265" s="250" t="s">
        <v>496</v>
      </c>
      <c r="Y265" s="250" t="s">
        <v>496</v>
      </c>
      <c r="Z265" s="250" t="s">
        <v>496</v>
      </c>
      <c r="AA265" s="250" t="s">
        <v>1108</v>
      </c>
    </row>
    <row r="266" spans="1:28">
      <c r="B266" s="250" t="s">
        <v>1538</v>
      </c>
      <c r="C266" s="254" t="s">
        <v>256</v>
      </c>
      <c r="D266" s="255">
        <v>25</v>
      </c>
      <c r="E266" s="250" t="s">
        <v>496</v>
      </c>
      <c r="F266" s="255" t="s">
        <v>496</v>
      </c>
      <c r="G266" s="252" t="s">
        <v>496</v>
      </c>
      <c r="H266" s="250" t="s">
        <v>1799</v>
      </c>
      <c r="J266" s="250" t="s">
        <v>614</v>
      </c>
      <c r="K266" s="250" t="s">
        <v>698</v>
      </c>
      <c r="L266" s="250">
        <v>2020</v>
      </c>
      <c r="N266" s="250" t="s">
        <v>496</v>
      </c>
      <c r="O266" s="250" t="s">
        <v>496</v>
      </c>
      <c r="P266" s="250" t="s">
        <v>496</v>
      </c>
      <c r="Q266" s="250" t="s">
        <v>496</v>
      </c>
      <c r="R266" s="250" t="s">
        <v>496</v>
      </c>
      <c r="S266" s="250" t="s">
        <v>496</v>
      </c>
      <c r="T266" s="250" t="s">
        <v>496</v>
      </c>
      <c r="U266" s="250" t="s">
        <v>496</v>
      </c>
      <c r="V266" s="250" t="s">
        <v>496</v>
      </c>
      <c r="W266" s="250" t="s">
        <v>496</v>
      </c>
      <c r="X266" s="250" t="s">
        <v>496</v>
      </c>
      <c r="Y266" s="250" t="s">
        <v>496</v>
      </c>
      <c r="Z266" s="250" t="s">
        <v>496</v>
      </c>
      <c r="AA266" s="250" t="s">
        <v>1539</v>
      </c>
    </row>
    <row r="267" spans="1:28">
      <c r="B267" s="250" t="s">
        <v>1543</v>
      </c>
      <c r="C267" s="254" t="s">
        <v>256</v>
      </c>
      <c r="D267" s="255">
        <v>20</v>
      </c>
      <c r="E267" s="250" t="s">
        <v>549</v>
      </c>
      <c r="F267" s="255">
        <v>3.5</v>
      </c>
      <c r="G267" s="253">
        <v>44636</v>
      </c>
      <c r="H267" s="250" t="s">
        <v>3117</v>
      </c>
      <c r="I267" s="250" t="s">
        <v>3116</v>
      </c>
      <c r="J267" s="250" t="s">
        <v>614</v>
      </c>
      <c r="K267" s="250" t="s">
        <v>1578</v>
      </c>
      <c r="L267" s="250">
        <v>2019</v>
      </c>
      <c r="N267" s="250" t="s">
        <v>3118</v>
      </c>
      <c r="O267" s="251" t="s">
        <v>669</v>
      </c>
      <c r="P267" s="251">
        <v>0.75</v>
      </c>
      <c r="Q267" s="251" t="s">
        <v>3119</v>
      </c>
      <c r="R267" s="251" t="s">
        <v>669</v>
      </c>
      <c r="S267" s="251">
        <v>0.12</v>
      </c>
      <c r="T267" s="251" t="s">
        <v>1855</v>
      </c>
      <c r="U267" s="251" t="s">
        <v>496</v>
      </c>
      <c r="V267" s="251" t="s">
        <v>496</v>
      </c>
      <c r="W267" s="251" t="s">
        <v>496</v>
      </c>
      <c r="X267" s="251" t="s">
        <v>496</v>
      </c>
      <c r="Y267" s="251" t="s">
        <v>496</v>
      </c>
      <c r="Z267" s="251" t="s">
        <v>496</v>
      </c>
      <c r="AA267" s="250" t="s">
        <v>1766</v>
      </c>
    </row>
    <row r="268" spans="1:28">
      <c r="B268" s="250" t="s">
        <v>1144</v>
      </c>
      <c r="C268" s="254" t="s">
        <v>256</v>
      </c>
      <c r="D268" s="255">
        <v>20</v>
      </c>
      <c r="E268" s="250" t="s">
        <v>549</v>
      </c>
      <c r="F268" s="255">
        <v>4</v>
      </c>
      <c r="G268" s="253">
        <v>44332</v>
      </c>
      <c r="I268" s="250" t="s">
        <v>2467</v>
      </c>
      <c r="J268" s="64" t="s">
        <v>614</v>
      </c>
      <c r="K268" s="64" t="s">
        <v>644</v>
      </c>
      <c r="L268" s="250">
        <v>2018</v>
      </c>
      <c r="N268" s="250" t="s">
        <v>2460</v>
      </c>
      <c r="O268" s="251" t="s">
        <v>549</v>
      </c>
      <c r="P268" s="251">
        <v>2</v>
      </c>
      <c r="Q268" s="251" t="s">
        <v>2469</v>
      </c>
      <c r="R268" s="251" t="s">
        <v>669</v>
      </c>
      <c r="S268" s="251" t="s">
        <v>496</v>
      </c>
      <c r="T268" s="251" t="s">
        <v>2473</v>
      </c>
      <c r="U268" s="251" t="s">
        <v>496</v>
      </c>
      <c r="V268" s="251" t="s">
        <v>496</v>
      </c>
      <c r="W268" s="251" t="s">
        <v>496</v>
      </c>
      <c r="X268" s="251" t="s">
        <v>496</v>
      </c>
      <c r="Y268" s="251" t="s">
        <v>496</v>
      </c>
      <c r="Z268" s="251" t="s">
        <v>496</v>
      </c>
      <c r="AA268" s="250" t="s">
        <v>2466</v>
      </c>
    </row>
    <row r="269" spans="1:28">
      <c r="B269" s="250" t="s">
        <v>576</v>
      </c>
      <c r="C269" s="254" t="s">
        <v>256</v>
      </c>
      <c r="D269" s="255">
        <v>20</v>
      </c>
      <c r="E269" s="250" t="s">
        <v>549</v>
      </c>
      <c r="F269" s="255">
        <v>3</v>
      </c>
      <c r="G269" s="253">
        <v>45037</v>
      </c>
      <c r="H269" s="250" t="s">
        <v>2378</v>
      </c>
      <c r="I269" s="250" t="s">
        <v>2377</v>
      </c>
      <c r="J269" s="250" t="s">
        <v>614</v>
      </c>
      <c r="K269" s="250" t="s">
        <v>2381</v>
      </c>
      <c r="L269" s="250">
        <v>2021</v>
      </c>
      <c r="N269" s="250" t="s">
        <v>2379</v>
      </c>
      <c r="O269" s="251" t="s">
        <v>669</v>
      </c>
      <c r="P269" s="251">
        <v>1.2</v>
      </c>
      <c r="Q269" s="251" t="s">
        <v>2380</v>
      </c>
      <c r="R269" s="251" t="s">
        <v>496</v>
      </c>
      <c r="S269" s="251" t="s">
        <v>496</v>
      </c>
      <c r="T269" s="251" t="s">
        <v>496</v>
      </c>
      <c r="U269" s="251" t="s">
        <v>496</v>
      </c>
      <c r="V269" s="251" t="s">
        <v>496</v>
      </c>
      <c r="W269" s="251" t="s">
        <v>496</v>
      </c>
      <c r="X269" s="251" t="s">
        <v>496</v>
      </c>
      <c r="Y269" s="251" t="s">
        <v>496</v>
      </c>
      <c r="Z269" s="251" t="s">
        <v>496</v>
      </c>
      <c r="AA269" s="250" t="s">
        <v>2376</v>
      </c>
    </row>
    <row r="270" spans="1:28">
      <c r="B270" s="250" t="s">
        <v>1728</v>
      </c>
      <c r="C270" s="268" t="s">
        <v>256</v>
      </c>
      <c r="D270" s="255">
        <v>20</v>
      </c>
      <c r="E270" s="267" t="s">
        <v>549</v>
      </c>
      <c r="F270" s="255">
        <v>2.6</v>
      </c>
      <c r="G270" s="253">
        <v>45008</v>
      </c>
      <c r="I270" s="267" t="s">
        <v>3773</v>
      </c>
      <c r="J270" s="267" t="s">
        <v>614</v>
      </c>
      <c r="K270" s="267" t="s">
        <v>639</v>
      </c>
      <c r="L270" s="250">
        <v>2019</v>
      </c>
      <c r="N270" s="267" t="s">
        <v>3774</v>
      </c>
      <c r="O270" s="271" t="s">
        <v>496</v>
      </c>
      <c r="P270" s="271" t="s">
        <v>496</v>
      </c>
      <c r="Q270" s="271" t="s">
        <v>496</v>
      </c>
      <c r="R270" s="271" t="s">
        <v>496</v>
      </c>
      <c r="S270" s="271" t="s">
        <v>496</v>
      </c>
      <c r="T270" s="271" t="s">
        <v>496</v>
      </c>
      <c r="U270" s="271" t="s">
        <v>496</v>
      </c>
      <c r="V270" s="271" t="s">
        <v>496</v>
      </c>
      <c r="W270" s="271" t="s">
        <v>496</v>
      </c>
      <c r="X270" s="271" t="s">
        <v>496</v>
      </c>
      <c r="Y270" s="271" t="s">
        <v>496</v>
      </c>
      <c r="Z270" s="271" t="s">
        <v>496</v>
      </c>
      <c r="AA270" s="267" t="s">
        <v>3772</v>
      </c>
    </row>
    <row r="271" spans="1:28">
      <c r="B271" s="250" t="s">
        <v>1785</v>
      </c>
      <c r="C271" s="268" t="s">
        <v>256</v>
      </c>
      <c r="D271" s="255">
        <v>20</v>
      </c>
      <c r="E271" s="267" t="s">
        <v>549</v>
      </c>
      <c r="F271" s="255">
        <v>0.125</v>
      </c>
      <c r="G271" s="253">
        <v>44265</v>
      </c>
      <c r="H271" s="267" t="s">
        <v>3801</v>
      </c>
      <c r="I271" s="267" t="s">
        <v>3797</v>
      </c>
      <c r="J271" s="267" t="s">
        <v>614</v>
      </c>
      <c r="K271" s="267" t="s">
        <v>3738</v>
      </c>
      <c r="L271" s="250">
        <v>2020</v>
      </c>
      <c r="N271" s="267" t="s">
        <v>3799</v>
      </c>
      <c r="O271" s="271" t="s">
        <v>669</v>
      </c>
      <c r="P271" s="271">
        <v>0.2</v>
      </c>
      <c r="Q271" s="271" t="s">
        <v>3800</v>
      </c>
      <c r="R271" s="271" t="s">
        <v>496</v>
      </c>
      <c r="S271" s="271" t="s">
        <v>496</v>
      </c>
      <c r="T271" s="271" t="s">
        <v>496</v>
      </c>
      <c r="U271" s="271" t="s">
        <v>496</v>
      </c>
      <c r="V271" s="271" t="s">
        <v>496</v>
      </c>
      <c r="W271" s="271" t="s">
        <v>496</v>
      </c>
      <c r="X271" s="271" t="s">
        <v>496</v>
      </c>
      <c r="Y271" s="271" t="s">
        <v>496</v>
      </c>
      <c r="Z271" s="271" t="s">
        <v>496</v>
      </c>
      <c r="AA271" s="267" t="s">
        <v>3796</v>
      </c>
      <c r="AB271" s="5" t="s">
        <v>3798</v>
      </c>
    </row>
    <row r="272" spans="1:28">
      <c r="B272" s="250" t="s">
        <v>1698</v>
      </c>
      <c r="C272" s="254" t="s">
        <v>256</v>
      </c>
      <c r="D272" s="255">
        <v>20</v>
      </c>
      <c r="E272" s="255" t="s">
        <v>496</v>
      </c>
      <c r="F272" s="255" t="s">
        <v>496</v>
      </c>
      <c r="G272" s="255" t="s">
        <v>496</v>
      </c>
      <c r="H272" s="250" t="s">
        <v>3751</v>
      </c>
      <c r="I272" s="250" t="s">
        <v>3753</v>
      </c>
      <c r="J272" s="250" t="s">
        <v>614</v>
      </c>
      <c r="K272" s="250" t="s">
        <v>658</v>
      </c>
      <c r="L272" s="250">
        <v>2021</v>
      </c>
      <c r="M272" s="250" t="s">
        <v>3752</v>
      </c>
      <c r="N272" s="250" t="s">
        <v>496</v>
      </c>
      <c r="O272" s="250" t="s">
        <v>496</v>
      </c>
      <c r="P272" s="250" t="s">
        <v>496</v>
      </c>
      <c r="Q272" s="250" t="s">
        <v>496</v>
      </c>
      <c r="R272" s="250" t="s">
        <v>496</v>
      </c>
      <c r="S272" s="250" t="s">
        <v>496</v>
      </c>
      <c r="T272" s="250" t="s">
        <v>496</v>
      </c>
      <c r="U272" s="250" t="s">
        <v>496</v>
      </c>
      <c r="V272" s="250" t="s">
        <v>496</v>
      </c>
      <c r="W272" s="250" t="s">
        <v>496</v>
      </c>
      <c r="X272" s="250" t="s">
        <v>496</v>
      </c>
      <c r="Y272" s="250" t="s">
        <v>496</v>
      </c>
      <c r="Z272" s="250" t="s">
        <v>496</v>
      </c>
      <c r="AA272" s="250" t="s">
        <v>837</v>
      </c>
      <c r="AB272" s="256" t="s">
        <v>3749</v>
      </c>
    </row>
    <row r="273" spans="2:28">
      <c r="B273" s="250" t="s">
        <v>1800</v>
      </c>
      <c r="C273" s="268" t="s">
        <v>256</v>
      </c>
      <c r="D273" s="269">
        <v>20</v>
      </c>
      <c r="E273" s="269" t="s">
        <v>496</v>
      </c>
      <c r="F273" s="269" t="s">
        <v>496</v>
      </c>
      <c r="G273" s="269" t="s">
        <v>496</v>
      </c>
      <c r="H273" s="267" t="s">
        <v>3831</v>
      </c>
      <c r="J273" s="267" t="s">
        <v>614</v>
      </c>
      <c r="K273" s="267" t="s">
        <v>3832</v>
      </c>
      <c r="L273" s="272" t="s">
        <v>496</v>
      </c>
      <c r="N273" s="267" t="s">
        <v>496</v>
      </c>
      <c r="O273" s="267" t="s">
        <v>496</v>
      </c>
      <c r="P273" s="267" t="s">
        <v>496</v>
      </c>
      <c r="Q273" s="267" t="s">
        <v>496</v>
      </c>
      <c r="R273" s="267" t="s">
        <v>496</v>
      </c>
      <c r="S273" s="267" t="s">
        <v>496</v>
      </c>
      <c r="T273" s="267" t="s">
        <v>496</v>
      </c>
      <c r="U273" s="267" t="s">
        <v>496</v>
      </c>
      <c r="V273" s="267" t="s">
        <v>496</v>
      </c>
      <c r="W273" s="267" t="s">
        <v>496</v>
      </c>
      <c r="X273" s="267" t="s">
        <v>496</v>
      </c>
      <c r="Y273" s="267" t="s">
        <v>496</v>
      </c>
      <c r="Z273" s="267" t="s">
        <v>496</v>
      </c>
      <c r="AA273" s="267" t="s">
        <v>3830</v>
      </c>
      <c r="AB273" s="5" t="s">
        <v>3833</v>
      </c>
    </row>
    <row r="274" spans="2:28">
      <c r="B274" s="250" t="s">
        <v>1284</v>
      </c>
      <c r="C274" s="254" t="s">
        <v>256</v>
      </c>
      <c r="D274" s="255">
        <v>20</v>
      </c>
      <c r="E274" s="250" t="s">
        <v>669</v>
      </c>
      <c r="F274" s="255">
        <v>1.7</v>
      </c>
      <c r="G274" s="253">
        <v>44852</v>
      </c>
      <c r="H274" s="250" t="s">
        <v>2599</v>
      </c>
      <c r="J274" s="250" t="s">
        <v>614</v>
      </c>
      <c r="K274" s="250" t="s">
        <v>615</v>
      </c>
      <c r="L274" s="250">
        <v>2021</v>
      </c>
      <c r="N274" s="250" t="s">
        <v>2600</v>
      </c>
      <c r="O274" s="251" t="s">
        <v>496</v>
      </c>
      <c r="P274" s="251" t="s">
        <v>496</v>
      </c>
      <c r="Q274" s="251" t="s">
        <v>496</v>
      </c>
      <c r="R274" s="251" t="s">
        <v>496</v>
      </c>
      <c r="S274" s="251" t="s">
        <v>496</v>
      </c>
      <c r="T274" s="251" t="s">
        <v>496</v>
      </c>
      <c r="U274" s="251" t="s">
        <v>496</v>
      </c>
      <c r="V274" s="251" t="s">
        <v>496</v>
      </c>
      <c r="W274" s="251" t="s">
        <v>496</v>
      </c>
      <c r="X274" s="251" t="s">
        <v>496</v>
      </c>
      <c r="Y274" s="251" t="s">
        <v>496</v>
      </c>
      <c r="Z274" s="251" t="s">
        <v>496</v>
      </c>
      <c r="AA274" s="250" t="s">
        <v>1881</v>
      </c>
    </row>
    <row r="275" spans="2:28">
      <c r="B275" s="250" t="s">
        <v>1874</v>
      </c>
      <c r="C275" s="278" t="s">
        <v>256</v>
      </c>
      <c r="D275" s="255">
        <v>10</v>
      </c>
      <c r="E275" s="275" t="s">
        <v>549</v>
      </c>
      <c r="F275" s="255">
        <v>2</v>
      </c>
      <c r="G275" s="253">
        <v>44658</v>
      </c>
      <c r="H275" s="275" t="s">
        <v>4102</v>
      </c>
      <c r="I275" s="275" t="s">
        <v>4103</v>
      </c>
      <c r="J275" s="275" t="s">
        <v>614</v>
      </c>
      <c r="K275" s="275" t="s">
        <v>644</v>
      </c>
      <c r="L275" s="250">
        <v>2019</v>
      </c>
      <c r="N275" s="275" t="s">
        <v>4104</v>
      </c>
      <c r="O275" s="276" t="s">
        <v>549</v>
      </c>
      <c r="P275" s="251">
        <v>4.5</v>
      </c>
      <c r="Q275" s="276" t="s">
        <v>4107</v>
      </c>
      <c r="R275" s="276" t="s">
        <v>549</v>
      </c>
      <c r="S275" s="251">
        <v>0.35</v>
      </c>
      <c r="T275" s="276" t="s">
        <v>4109</v>
      </c>
      <c r="U275" s="276" t="s">
        <v>496</v>
      </c>
      <c r="V275" s="276" t="s">
        <v>496</v>
      </c>
      <c r="W275" s="276" t="s">
        <v>496</v>
      </c>
      <c r="X275" s="276" t="s">
        <v>496</v>
      </c>
      <c r="Y275" s="276" t="s">
        <v>496</v>
      </c>
      <c r="Z275" s="276" t="s">
        <v>496</v>
      </c>
      <c r="AA275" s="275" t="s">
        <v>1120</v>
      </c>
      <c r="AB275" s="275" t="s">
        <v>4101</v>
      </c>
    </row>
    <row r="276" spans="2:28">
      <c r="B276" s="250" t="s">
        <v>1369</v>
      </c>
      <c r="C276" s="254" t="s">
        <v>256</v>
      </c>
      <c r="D276" s="255">
        <v>10</v>
      </c>
      <c r="E276" s="250" t="s">
        <v>549</v>
      </c>
      <c r="F276" s="255">
        <v>3</v>
      </c>
      <c r="G276" s="205">
        <v>44348</v>
      </c>
      <c r="H276" s="250" t="s">
        <v>1795</v>
      </c>
      <c r="J276" s="250" t="s">
        <v>613</v>
      </c>
      <c r="K276" s="250" t="s">
        <v>430</v>
      </c>
      <c r="L276" s="258">
        <v>44166</v>
      </c>
      <c r="N276" s="250" t="s">
        <v>1797</v>
      </c>
      <c r="O276" s="251" t="s">
        <v>669</v>
      </c>
      <c r="P276" s="251">
        <v>0.5</v>
      </c>
      <c r="Q276" s="251" t="s">
        <v>496</v>
      </c>
      <c r="R276" s="251" t="s">
        <v>496</v>
      </c>
      <c r="S276" s="251" t="s">
        <v>496</v>
      </c>
      <c r="T276" s="251" t="s">
        <v>496</v>
      </c>
      <c r="U276" s="251" t="s">
        <v>496</v>
      </c>
      <c r="V276" s="251" t="s">
        <v>496</v>
      </c>
      <c r="W276" s="251" t="s">
        <v>496</v>
      </c>
      <c r="X276" s="251" t="s">
        <v>496</v>
      </c>
      <c r="Y276" s="251" t="s">
        <v>496</v>
      </c>
      <c r="Z276" s="251" t="s">
        <v>496</v>
      </c>
      <c r="AA276" s="250" t="s">
        <v>1796</v>
      </c>
    </row>
    <row r="277" spans="2:28">
      <c r="B277" s="250" t="s">
        <v>1386</v>
      </c>
      <c r="C277" s="254" t="s">
        <v>256</v>
      </c>
      <c r="D277" s="255">
        <v>4</v>
      </c>
      <c r="E277" s="250" t="s">
        <v>549</v>
      </c>
      <c r="F277" s="255">
        <v>0.21</v>
      </c>
      <c r="G277" s="253">
        <v>44682</v>
      </c>
      <c r="H277" s="250" t="s">
        <v>2751</v>
      </c>
      <c r="I277" s="250" t="s">
        <v>2752</v>
      </c>
      <c r="J277" s="250" t="s">
        <v>613</v>
      </c>
      <c r="K277" s="250" t="s">
        <v>2750</v>
      </c>
      <c r="L277" s="250">
        <v>2021</v>
      </c>
      <c r="N277" s="250" t="s">
        <v>2753</v>
      </c>
      <c r="O277" s="251" t="s">
        <v>496</v>
      </c>
      <c r="P277" s="251" t="s">
        <v>496</v>
      </c>
      <c r="Q277" s="251" t="s">
        <v>496</v>
      </c>
      <c r="R277" s="251" t="s">
        <v>496</v>
      </c>
      <c r="S277" s="251" t="s">
        <v>496</v>
      </c>
      <c r="T277" s="251" t="s">
        <v>496</v>
      </c>
      <c r="U277" s="251" t="s">
        <v>496</v>
      </c>
      <c r="V277" s="251" t="s">
        <v>496</v>
      </c>
      <c r="W277" s="251" t="s">
        <v>496</v>
      </c>
      <c r="X277" s="251" t="s">
        <v>496</v>
      </c>
      <c r="Y277" s="251" t="s">
        <v>496</v>
      </c>
      <c r="Z277" s="251" t="s">
        <v>496</v>
      </c>
      <c r="AA277" s="250" t="s">
        <v>2347</v>
      </c>
    </row>
    <row r="278" spans="2:28">
      <c r="B278" s="250" t="s">
        <v>3024</v>
      </c>
      <c r="C278" s="254" t="s">
        <v>256</v>
      </c>
      <c r="D278" s="255">
        <v>0.5</v>
      </c>
      <c r="E278" s="250" t="s">
        <v>669</v>
      </c>
      <c r="F278" s="255">
        <v>0.5</v>
      </c>
      <c r="G278" s="253">
        <v>43173</v>
      </c>
      <c r="H278" s="250" t="s">
        <v>3027</v>
      </c>
      <c r="I278" s="250" t="s">
        <v>496</v>
      </c>
      <c r="J278" s="250" t="s">
        <v>496</v>
      </c>
      <c r="K278" s="250" t="s">
        <v>496</v>
      </c>
      <c r="L278" s="252" t="s">
        <v>496</v>
      </c>
      <c r="N278" s="250" t="s">
        <v>3026</v>
      </c>
      <c r="O278" s="251" t="s">
        <v>496</v>
      </c>
      <c r="P278" s="251" t="s">
        <v>496</v>
      </c>
      <c r="Q278" s="251" t="s">
        <v>496</v>
      </c>
      <c r="R278" s="251" t="s">
        <v>496</v>
      </c>
      <c r="S278" s="251" t="s">
        <v>496</v>
      </c>
      <c r="T278" s="251" t="s">
        <v>496</v>
      </c>
      <c r="U278" s="251" t="s">
        <v>496</v>
      </c>
      <c r="V278" s="251" t="s">
        <v>496</v>
      </c>
      <c r="W278" s="251" t="s">
        <v>496</v>
      </c>
      <c r="X278" s="251" t="s">
        <v>496</v>
      </c>
      <c r="Y278" s="251" t="s">
        <v>496</v>
      </c>
      <c r="Z278" s="251" t="s">
        <v>496</v>
      </c>
      <c r="AA278" s="250" t="s">
        <v>3025</v>
      </c>
    </row>
    <row r="279" spans="2:28">
      <c r="B279" s="250" t="s">
        <v>1382</v>
      </c>
      <c r="C279" s="254" t="s">
        <v>256</v>
      </c>
      <c r="D279" s="255" t="s">
        <v>496</v>
      </c>
      <c r="E279" s="255" t="s">
        <v>496</v>
      </c>
      <c r="F279" s="255" t="s">
        <v>496</v>
      </c>
      <c r="G279" s="255" t="s">
        <v>496</v>
      </c>
      <c r="H279" s="263" t="s">
        <v>2750</v>
      </c>
      <c r="I279" s="263" t="s">
        <v>2757</v>
      </c>
      <c r="J279" s="263" t="s">
        <v>613</v>
      </c>
      <c r="K279" s="263" t="s">
        <v>2758</v>
      </c>
      <c r="L279" s="250">
        <v>2023</v>
      </c>
      <c r="M279" s="250" t="s">
        <v>2756</v>
      </c>
      <c r="N279" s="250" t="s">
        <v>496</v>
      </c>
      <c r="O279" s="250" t="s">
        <v>496</v>
      </c>
      <c r="P279" s="250" t="s">
        <v>496</v>
      </c>
      <c r="Q279" s="250" t="s">
        <v>496</v>
      </c>
      <c r="R279" s="250" t="s">
        <v>496</v>
      </c>
      <c r="S279" s="250" t="s">
        <v>496</v>
      </c>
      <c r="T279" s="250" t="s">
        <v>496</v>
      </c>
      <c r="U279" s="250" t="s">
        <v>496</v>
      </c>
      <c r="V279" s="250" t="s">
        <v>496</v>
      </c>
      <c r="W279" s="250" t="s">
        <v>496</v>
      </c>
      <c r="X279" s="250" t="s">
        <v>496</v>
      </c>
      <c r="Y279" s="250" t="s">
        <v>496</v>
      </c>
      <c r="Z279" s="250" t="s">
        <v>496</v>
      </c>
      <c r="AA279" s="250" t="s">
        <v>496</v>
      </c>
    </row>
    <row r="280" spans="2:28">
      <c r="B280" s="250" t="s">
        <v>1389</v>
      </c>
      <c r="C280" s="254" t="s">
        <v>256</v>
      </c>
      <c r="D280" s="255" t="s">
        <v>496</v>
      </c>
      <c r="E280" s="255" t="s">
        <v>496</v>
      </c>
      <c r="F280" s="255" t="s">
        <v>496</v>
      </c>
      <c r="G280" s="255" t="s">
        <v>496</v>
      </c>
      <c r="H280" s="250" t="s">
        <v>2787</v>
      </c>
      <c r="J280" s="250" t="s">
        <v>613</v>
      </c>
      <c r="K280" s="250" t="s">
        <v>2774</v>
      </c>
      <c r="L280" s="250">
        <v>2023</v>
      </c>
      <c r="N280" s="250" t="s">
        <v>496</v>
      </c>
      <c r="O280" s="250" t="s">
        <v>496</v>
      </c>
      <c r="P280" s="250" t="s">
        <v>496</v>
      </c>
      <c r="Q280" s="250" t="s">
        <v>496</v>
      </c>
      <c r="R280" s="250" t="s">
        <v>496</v>
      </c>
      <c r="S280" s="250" t="s">
        <v>496</v>
      </c>
      <c r="T280" s="250" t="s">
        <v>496</v>
      </c>
      <c r="U280" s="250" t="s">
        <v>496</v>
      </c>
      <c r="V280" s="250" t="s">
        <v>496</v>
      </c>
      <c r="W280" s="250" t="s">
        <v>496</v>
      </c>
      <c r="X280" s="250" t="s">
        <v>496</v>
      </c>
      <c r="Y280" s="250" t="s">
        <v>496</v>
      </c>
      <c r="Z280" s="250" t="s">
        <v>496</v>
      </c>
      <c r="AA280" s="250" t="s">
        <v>496</v>
      </c>
    </row>
    <row r="281" spans="2:28">
      <c r="B281" s="250" t="s">
        <v>2773</v>
      </c>
      <c r="C281" s="254" t="s">
        <v>256</v>
      </c>
      <c r="D281" s="255" t="s">
        <v>496</v>
      </c>
      <c r="E281" s="255" t="s">
        <v>496</v>
      </c>
      <c r="F281" s="255" t="s">
        <v>496</v>
      </c>
      <c r="G281" s="255" t="s">
        <v>496</v>
      </c>
      <c r="J281" s="250" t="s">
        <v>613</v>
      </c>
      <c r="K281" s="250" t="s">
        <v>2774</v>
      </c>
      <c r="L281" s="250">
        <v>2023</v>
      </c>
      <c r="N281" s="250" t="s">
        <v>496</v>
      </c>
      <c r="O281" s="250" t="s">
        <v>496</v>
      </c>
      <c r="P281" s="250" t="s">
        <v>496</v>
      </c>
      <c r="Q281" s="250" t="s">
        <v>496</v>
      </c>
      <c r="R281" s="250" t="s">
        <v>496</v>
      </c>
      <c r="S281" s="250" t="s">
        <v>496</v>
      </c>
      <c r="T281" s="250" t="s">
        <v>496</v>
      </c>
      <c r="U281" s="250" t="s">
        <v>496</v>
      </c>
      <c r="V281" s="250" t="s">
        <v>496</v>
      </c>
      <c r="W281" s="250" t="s">
        <v>496</v>
      </c>
      <c r="X281" s="250" t="s">
        <v>496</v>
      </c>
      <c r="Y281" s="250" t="s">
        <v>496</v>
      </c>
      <c r="Z281" s="250" t="s">
        <v>496</v>
      </c>
    </row>
    <row r="282" spans="2:28">
      <c r="B282" s="250" t="s">
        <v>1396</v>
      </c>
      <c r="C282" s="254" t="s">
        <v>256</v>
      </c>
      <c r="D282" s="255" t="s">
        <v>496</v>
      </c>
      <c r="E282" s="255" t="s">
        <v>496</v>
      </c>
      <c r="F282" s="255" t="s">
        <v>496</v>
      </c>
      <c r="G282" s="255" t="s">
        <v>496</v>
      </c>
      <c r="H282" s="250" t="s">
        <v>821</v>
      </c>
      <c r="J282" s="250" t="s">
        <v>613</v>
      </c>
      <c r="K282" s="250" t="s">
        <v>821</v>
      </c>
      <c r="L282" s="250">
        <v>2021</v>
      </c>
      <c r="M282" s="250" t="s">
        <v>2829</v>
      </c>
      <c r="N282" s="250" t="s">
        <v>496</v>
      </c>
      <c r="O282" s="250" t="s">
        <v>496</v>
      </c>
      <c r="P282" s="250" t="s">
        <v>496</v>
      </c>
      <c r="Q282" s="250" t="s">
        <v>496</v>
      </c>
      <c r="R282" s="250" t="s">
        <v>496</v>
      </c>
      <c r="S282" s="250" t="s">
        <v>496</v>
      </c>
      <c r="T282" s="250" t="s">
        <v>496</v>
      </c>
      <c r="U282" s="250" t="s">
        <v>496</v>
      </c>
      <c r="V282" s="250" t="s">
        <v>496</v>
      </c>
      <c r="W282" s="250" t="s">
        <v>496</v>
      </c>
      <c r="X282" s="250" t="s">
        <v>496</v>
      </c>
      <c r="Y282" s="250" t="s">
        <v>496</v>
      </c>
      <c r="Z282" s="250" t="s">
        <v>496</v>
      </c>
      <c r="AA282" s="250" t="s">
        <v>496</v>
      </c>
    </row>
    <row r="283" spans="2:28">
      <c r="B283" s="250" t="s">
        <v>1384</v>
      </c>
      <c r="C283" s="254" t="s">
        <v>256</v>
      </c>
      <c r="D283" s="255" t="s">
        <v>496</v>
      </c>
      <c r="E283" s="255" t="s">
        <v>496</v>
      </c>
      <c r="F283" s="255" t="s">
        <v>496</v>
      </c>
      <c r="G283" s="255" t="s">
        <v>496</v>
      </c>
      <c r="H283" s="250" t="s">
        <v>2775</v>
      </c>
      <c r="J283" s="250" t="s">
        <v>613</v>
      </c>
      <c r="K283" s="250" t="s">
        <v>615</v>
      </c>
      <c r="L283" s="250">
        <v>2023</v>
      </c>
      <c r="N283" s="250" t="s">
        <v>496</v>
      </c>
      <c r="O283" s="250" t="s">
        <v>496</v>
      </c>
      <c r="P283" s="250" t="s">
        <v>496</v>
      </c>
      <c r="Q283" s="250" t="s">
        <v>496</v>
      </c>
      <c r="R283" s="250" t="s">
        <v>496</v>
      </c>
      <c r="S283" s="250" t="s">
        <v>496</v>
      </c>
      <c r="T283" s="250" t="s">
        <v>496</v>
      </c>
      <c r="U283" s="250" t="s">
        <v>496</v>
      </c>
      <c r="V283" s="250" t="s">
        <v>496</v>
      </c>
      <c r="W283" s="250" t="s">
        <v>496</v>
      </c>
      <c r="X283" s="250" t="s">
        <v>496</v>
      </c>
      <c r="Y283" s="250" t="s">
        <v>496</v>
      </c>
      <c r="Z283" s="250" t="s">
        <v>496</v>
      </c>
      <c r="AA283" s="250" t="s">
        <v>496</v>
      </c>
    </row>
    <row r="284" spans="2:28">
      <c r="B284" s="250" t="s">
        <v>1383</v>
      </c>
      <c r="C284" s="254" t="s">
        <v>256</v>
      </c>
      <c r="D284" s="255" t="s">
        <v>496</v>
      </c>
      <c r="E284" s="255" t="s">
        <v>496</v>
      </c>
      <c r="F284" s="255" t="s">
        <v>496</v>
      </c>
      <c r="G284" s="255" t="s">
        <v>496</v>
      </c>
      <c r="J284" s="250" t="s">
        <v>613</v>
      </c>
      <c r="K284" s="250" t="s">
        <v>2758</v>
      </c>
      <c r="L284" s="250">
        <v>2023</v>
      </c>
      <c r="M284" s="250" t="s">
        <v>2760</v>
      </c>
      <c r="N284" s="263" t="s">
        <v>496</v>
      </c>
      <c r="O284" s="263" t="s">
        <v>496</v>
      </c>
      <c r="P284" s="263" t="s">
        <v>496</v>
      </c>
      <c r="Q284" s="263" t="s">
        <v>496</v>
      </c>
      <c r="R284" s="263" t="s">
        <v>496</v>
      </c>
      <c r="S284" s="263" t="s">
        <v>496</v>
      </c>
      <c r="T284" s="263" t="s">
        <v>496</v>
      </c>
      <c r="U284" s="263" t="s">
        <v>496</v>
      </c>
      <c r="V284" s="263" t="s">
        <v>496</v>
      </c>
      <c r="W284" s="263" t="s">
        <v>496</v>
      </c>
      <c r="X284" s="263" t="s">
        <v>496</v>
      </c>
      <c r="Y284" s="263" t="s">
        <v>496</v>
      </c>
      <c r="Z284" s="263" t="s">
        <v>496</v>
      </c>
      <c r="AA284" s="263" t="s">
        <v>496</v>
      </c>
    </row>
    <row r="285" spans="2:28">
      <c r="B285" s="250" t="s">
        <v>1392</v>
      </c>
      <c r="C285" s="254" t="s">
        <v>256</v>
      </c>
      <c r="D285" s="255" t="s">
        <v>496</v>
      </c>
      <c r="E285" s="255" t="s">
        <v>496</v>
      </c>
      <c r="F285" s="255" t="s">
        <v>496</v>
      </c>
      <c r="G285" s="255" t="s">
        <v>496</v>
      </c>
      <c r="H285" s="250" t="s">
        <v>2793</v>
      </c>
      <c r="J285" s="250" t="s">
        <v>614</v>
      </c>
      <c r="K285" s="250" t="s">
        <v>1563</v>
      </c>
      <c r="L285" s="252" t="s">
        <v>496</v>
      </c>
      <c r="N285" s="251" t="s">
        <v>496</v>
      </c>
      <c r="O285" s="251" t="s">
        <v>496</v>
      </c>
      <c r="P285" s="251" t="s">
        <v>496</v>
      </c>
      <c r="Q285" s="251" t="s">
        <v>496</v>
      </c>
      <c r="R285" s="251" t="s">
        <v>496</v>
      </c>
      <c r="S285" s="251" t="s">
        <v>496</v>
      </c>
      <c r="T285" s="251" t="s">
        <v>496</v>
      </c>
      <c r="U285" s="251" t="s">
        <v>496</v>
      </c>
      <c r="V285" s="251" t="s">
        <v>496</v>
      </c>
      <c r="W285" s="251" t="s">
        <v>496</v>
      </c>
      <c r="X285" s="251" t="s">
        <v>496</v>
      </c>
      <c r="Y285" s="251" t="s">
        <v>496</v>
      </c>
      <c r="Z285" s="251" t="s">
        <v>496</v>
      </c>
      <c r="AA285" s="251" t="s">
        <v>496</v>
      </c>
    </row>
    <row r="286" spans="2:28">
      <c r="B286" s="250" t="s">
        <v>1390</v>
      </c>
      <c r="C286" s="254" t="s">
        <v>256</v>
      </c>
      <c r="D286" s="255" t="s">
        <v>496</v>
      </c>
      <c r="E286" s="255" t="s">
        <v>496</v>
      </c>
      <c r="F286" s="255" t="s">
        <v>496</v>
      </c>
      <c r="G286" s="255" t="s">
        <v>496</v>
      </c>
      <c r="H286" s="250" t="s">
        <v>2789</v>
      </c>
      <c r="J286" s="250" t="s">
        <v>613</v>
      </c>
      <c r="K286" s="250" t="s">
        <v>2774</v>
      </c>
      <c r="L286" s="250">
        <v>2020</v>
      </c>
      <c r="N286" s="250" t="s">
        <v>496</v>
      </c>
      <c r="O286" s="250" t="s">
        <v>496</v>
      </c>
      <c r="P286" s="250" t="s">
        <v>496</v>
      </c>
      <c r="Q286" s="250" t="s">
        <v>496</v>
      </c>
      <c r="R286" s="250" t="s">
        <v>496</v>
      </c>
      <c r="S286" s="250" t="s">
        <v>496</v>
      </c>
      <c r="T286" s="250" t="s">
        <v>496</v>
      </c>
      <c r="U286" s="250" t="s">
        <v>496</v>
      </c>
      <c r="V286" s="250" t="s">
        <v>496</v>
      </c>
      <c r="W286" s="250" t="s">
        <v>496</v>
      </c>
      <c r="X286" s="250" t="s">
        <v>496</v>
      </c>
      <c r="Y286" s="250" t="s">
        <v>496</v>
      </c>
      <c r="Z286" s="250" t="s">
        <v>496</v>
      </c>
      <c r="AA286" s="250" t="s">
        <v>2227</v>
      </c>
    </row>
    <row r="287" spans="2:28">
      <c r="B287" s="250" t="s">
        <v>2791</v>
      </c>
      <c r="C287" s="254" t="s">
        <v>256</v>
      </c>
      <c r="D287" s="255" t="s">
        <v>496</v>
      </c>
      <c r="E287" s="255" t="s">
        <v>496</v>
      </c>
      <c r="F287" s="255" t="s">
        <v>496</v>
      </c>
      <c r="G287" s="255" t="s">
        <v>496</v>
      </c>
      <c r="J287" s="250" t="s">
        <v>2792</v>
      </c>
      <c r="K287" s="250" t="s">
        <v>2792</v>
      </c>
      <c r="L287" s="255" t="s">
        <v>496</v>
      </c>
      <c r="N287" s="263" t="s">
        <v>496</v>
      </c>
      <c r="O287" s="263" t="s">
        <v>496</v>
      </c>
      <c r="P287" s="263" t="s">
        <v>496</v>
      </c>
      <c r="Q287" s="263" t="s">
        <v>496</v>
      </c>
      <c r="R287" s="263" t="s">
        <v>496</v>
      </c>
      <c r="S287" s="263" t="s">
        <v>496</v>
      </c>
      <c r="T287" s="263" t="s">
        <v>496</v>
      </c>
      <c r="U287" s="263" t="s">
        <v>496</v>
      </c>
      <c r="V287" s="263" t="s">
        <v>496</v>
      </c>
      <c r="W287" s="263" t="s">
        <v>496</v>
      </c>
      <c r="X287" s="263" t="s">
        <v>496</v>
      </c>
      <c r="Y287" s="263" t="s">
        <v>496</v>
      </c>
      <c r="Z287" s="263" t="s">
        <v>496</v>
      </c>
      <c r="AA287" s="263" t="s">
        <v>496</v>
      </c>
      <c r="AB287" s="255"/>
    </row>
    <row r="288" spans="2:28">
      <c r="B288" s="250" t="s">
        <v>1399</v>
      </c>
      <c r="C288" s="254" t="s">
        <v>256</v>
      </c>
      <c r="D288" s="255" t="s">
        <v>496</v>
      </c>
      <c r="E288" s="255" t="s">
        <v>496</v>
      </c>
      <c r="F288" s="255" t="s">
        <v>496</v>
      </c>
      <c r="G288" s="255" t="s">
        <v>496</v>
      </c>
      <c r="H288" s="250" t="s">
        <v>2835</v>
      </c>
      <c r="J288" s="250" t="s">
        <v>613</v>
      </c>
      <c r="K288" s="250" t="s">
        <v>821</v>
      </c>
      <c r="L288" s="252" t="s">
        <v>496</v>
      </c>
      <c r="N288" s="263" t="s">
        <v>496</v>
      </c>
      <c r="O288" s="263" t="s">
        <v>496</v>
      </c>
      <c r="P288" s="263" t="s">
        <v>496</v>
      </c>
      <c r="Q288" s="263" t="s">
        <v>496</v>
      </c>
      <c r="R288" s="263" t="s">
        <v>496</v>
      </c>
      <c r="S288" s="263" t="s">
        <v>496</v>
      </c>
      <c r="T288" s="263" t="s">
        <v>496</v>
      </c>
      <c r="U288" s="263" t="s">
        <v>496</v>
      </c>
      <c r="V288" s="263" t="s">
        <v>496</v>
      </c>
      <c r="W288" s="263" t="s">
        <v>496</v>
      </c>
      <c r="X288" s="263" t="s">
        <v>496</v>
      </c>
      <c r="Y288" s="263" t="s">
        <v>496</v>
      </c>
      <c r="Z288" s="263" t="s">
        <v>496</v>
      </c>
      <c r="AA288" s="263" t="s">
        <v>496</v>
      </c>
    </row>
    <row r="289" spans="2:28">
      <c r="B289" s="250" t="s">
        <v>1398</v>
      </c>
      <c r="C289" s="254" t="s">
        <v>256</v>
      </c>
      <c r="D289" s="255" t="s">
        <v>496</v>
      </c>
      <c r="E289" s="255" t="s">
        <v>496</v>
      </c>
      <c r="F289" s="255" t="s">
        <v>496</v>
      </c>
      <c r="G289" s="255" t="s">
        <v>496</v>
      </c>
      <c r="H289" s="250" t="s">
        <v>2831</v>
      </c>
      <c r="J289" s="250" t="s">
        <v>613</v>
      </c>
      <c r="K289" s="250" t="s">
        <v>561</v>
      </c>
      <c r="L289" s="252" t="s">
        <v>496</v>
      </c>
      <c r="N289" s="250" t="s">
        <v>496</v>
      </c>
      <c r="O289" s="250" t="s">
        <v>496</v>
      </c>
      <c r="P289" s="250" t="s">
        <v>496</v>
      </c>
      <c r="Q289" s="250" t="s">
        <v>496</v>
      </c>
      <c r="R289" s="250" t="s">
        <v>496</v>
      </c>
      <c r="S289" s="250" t="s">
        <v>496</v>
      </c>
      <c r="T289" s="250" t="s">
        <v>496</v>
      </c>
      <c r="U289" s="250" t="s">
        <v>496</v>
      </c>
      <c r="V289" s="250" t="s">
        <v>496</v>
      </c>
      <c r="W289" s="250" t="s">
        <v>496</v>
      </c>
      <c r="X289" s="250" t="s">
        <v>496</v>
      </c>
      <c r="Y289" s="250" t="s">
        <v>496</v>
      </c>
      <c r="Z289" s="250" t="s">
        <v>496</v>
      </c>
      <c r="AA289" s="250" t="s">
        <v>496</v>
      </c>
    </row>
    <row r="290" spans="2:28">
      <c r="B290" s="250" t="s">
        <v>2834</v>
      </c>
      <c r="C290" s="254" t="s">
        <v>256</v>
      </c>
      <c r="D290" s="255" t="s">
        <v>496</v>
      </c>
      <c r="E290" s="255" t="s">
        <v>496</v>
      </c>
      <c r="F290" s="255" t="s">
        <v>496</v>
      </c>
      <c r="G290" s="255" t="s">
        <v>496</v>
      </c>
      <c r="H290" s="250" t="s">
        <v>561</v>
      </c>
      <c r="J290" s="250" t="s">
        <v>613</v>
      </c>
      <c r="K290" s="250" t="s">
        <v>561</v>
      </c>
      <c r="L290" s="250">
        <v>2021</v>
      </c>
      <c r="N290" s="250" t="s">
        <v>496</v>
      </c>
      <c r="O290" s="250" t="s">
        <v>496</v>
      </c>
      <c r="P290" s="250" t="s">
        <v>496</v>
      </c>
      <c r="Q290" s="250" t="s">
        <v>496</v>
      </c>
      <c r="R290" s="250" t="s">
        <v>496</v>
      </c>
      <c r="S290" s="250" t="s">
        <v>496</v>
      </c>
      <c r="T290" s="250" t="s">
        <v>496</v>
      </c>
      <c r="U290" s="250" t="s">
        <v>496</v>
      </c>
      <c r="V290" s="250" t="s">
        <v>496</v>
      </c>
      <c r="W290" s="250" t="s">
        <v>496</v>
      </c>
      <c r="X290" s="250" t="s">
        <v>496</v>
      </c>
      <c r="Y290" s="250" t="s">
        <v>496</v>
      </c>
      <c r="Z290" s="250" t="s">
        <v>496</v>
      </c>
      <c r="AA290" s="250" t="s">
        <v>844</v>
      </c>
    </row>
    <row r="291" spans="2:28">
      <c r="B291" s="250" t="s">
        <v>1397</v>
      </c>
      <c r="C291" s="254" t="s">
        <v>256</v>
      </c>
      <c r="D291" s="255" t="s">
        <v>496</v>
      </c>
      <c r="E291" s="255" t="s">
        <v>496</v>
      </c>
      <c r="F291" s="255" t="s">
        <v>496</v>
      </c>
      <c r="G291" s="255" t="s">
        <v>496</v>
      </c>
      <c r="H291" s="250" t="s">
        <v>2830</v>
      </c>
      <c r="J291" s="250" t="s">
        <v>613</v>
      </c>
      <c r="K291" s="250" t="s">
        <v>561</v>
      </c>
      <c r="L291" s="250">
        <v>2022</v>
      </c>
      <c r="N291" s="263" t="s">
        <v>496</v>
      </c>
      <c r="O291" s="263" t="s">
        <v>496</v>
      </c>
      <c r="P291" s="263" t="s">
        <v>496</v>
      </c>
      <c r="Q291" s="263" t="s">
        <v>496</v>
      </c>
      <c r="R291" s="263" t="s">
        <v>496</v>
      </c>
      <c r="S291" s="263" t="s">
        <v>496</v>
      </c>
      <c r="T291" s="263" t="s">
        <v>496</v>
      </c>
      <c r="U291" s="263" t="s">
        <v>496</v>
      </c>
      <c r="V291" s="263" t="s">
        <v>496</v>
      </c>
      <c r="W291" s="263" t="s">
        <v>496</v>
      </c>
      <c r="X291" s="263" t="s">
        <v>496</v>
      </c>
      <c r="Y291" s="263" t="s">
        <v>496</v>
      </c>
      <c r="Z291" s="263" t="s">
        <v>496</v>
      </c>
      <c r="AA291" s="263" t="s">
        <v>496</v>
      </c>
    </row>
    <row r="292" spans="2:28">
      <c r="B292" s="250" t="s">
        <v>1391</v>
      </c>
      <c r="C292" s="254" t="s">
        <v>256</v>
      </c>
      <c r="D292" s="255" t="s">
        <v>496</v>
      </c>
      <c r="E292" s="255" t="s">
        <v>496</v>
      </c>
      <c r="F292" s="255" t="s">
        <v>496</v>
      </c>
      <c r="G292" s="255" t="s">
        <v>496</v>
      </c>
      <c r="H292" s="250" t="s">
        <v>2790</v>
      </c>
      <c r="J292" s="250" t="s">
        <v>613</v>
      </c>
      <c r="K292" s="250" t="s">
        <v>561</v>
      </c>
      <c r="L292" s="252" t="s">
        <v>496</v>
      </c>
      <c r="N292" s="250" t="s">
        <v>496</v>
      </c>
      <c r="O292" s="250" t="s">
        <v>496</v>
      </c>
      <c r="P292" s="250" t="s">
        <v>496</v>
      </c>
      <c r="Q292" s="250" t="s">
        <v>496</v>
      </c>
      <c r="R292" s="250" t="s">
        <v>496</v>
      </c>
      <c r="S292" s="250" t="s">
        <v>496</v>
      </c>
      <c r="T292" s="250" t="s">
        <v>496</v>
      </c>
      <c r="U292" s="250" t="s">
        <v>496</v>
      </c>
      <c r="V292" s="250" t="s">
        <v>496</v>
      </c>
      <c r="W292" s="250" t="s">
        <v>496</v>
      </c>
      <c r="X292" s="250" t="s">
        <v>496</v>
      </c>
      <c r="Y292" s="250" t="s">
        <v>496</v>
      </c>
      <c r="Z292" s="250" t="s">
        <v>496</v>
      </c>
      <c r="AA292" s="250" t="s">
        <v>496</v>
      </c>
    </row>
    <row r="293" spans="2:28">
      <c r="B293" s="250" t="s">
        <v>1394</v>
      </c>
      <c r="C293" s="254" t="s">
        <v>256</v>
      </c>
      <c r="D293" s="255" t="s">
        <v>496</v>
      </c>
      <c r="E293" s="255" t="s">
        <v>496</v>
      </c>
      <c r="F293" s="255" t="s">
        <v>496</v>
      </c>
      <c r="G293" s="255" t="s">
        <v>496</v>
      </c>
      <c r="H293" s="250" t="s">
        <v>2819</v>
      </c>
      <c r="J293" s="250" t="s">
        <v>613</v>
      </c>
      <c r="K293" s="250" t="s">
        <v>1563</v>
      </c>
      <c r="L293" s="252" t="s">
        <v>496</v>
      </c>
      <c r="N293" s="250" t="s">
        <v>496</v>
      </c>
      <c r="O293" s="250" t="s">
        <v>496</v>
      </c>
      <c r="P293" s="250" t="s">
        <v>496</v>
      </c>
      <c r="Q293" s="250" t="s">
        <v>496</v>
      </c>
      <c r="R293" s="250" t="s">
        <v>496</v>
      </c>
      <c r="S293" s="250" t="s">
        <v>496</v>
      </c>
      <c r="T293" s="250" t="s">
        <v>496</v>
      </c>
      <c r="U293" s="250" t="s">
        <v>496</v>
      </c>
      <c r="V293" s="250" t="s">
        <v>496</v>
      </c>
      <c r="W293" s="250" t="s">
        <v>496</v>
      </c>
      <c r="X293" s="250" t="s">
        <v>496</v>
      </c>
      <c r="Y293" s="250" t="s">
        <v>496</v>
      </c>
      <c r="Z293" s="250" t="s">
        <v>496</v>
      </c>
      <c r="AA293" s="250" t="s">
        <v>496</v>
      </c>
    </row>
    <row r="294" spans="2:28">
      <c r="B294" s="250" t="s">
        <v>1393</v>
      </c>
      <c r="C294" s="254" t="s">
        <v>256</v>
      </c>
      <c r="D294" s="255" t="s">
        <v>496</v>
      </c>
      <c r="E294" s="255" t="s">
        <v>496</v>
      </c>
      <c r="F294" s="255" t="s">
        <v>496</v>
      </c>
      <c r="G294" s="255" t="s">
        <v>496</v>
      </c>
      <c r="H294" s="250" t="s">
        <v>2817</v>
      </c>
      <c r="J294" s="250" t="s">
        <v>613</v>
      </c>
      <c r="K294" s="250" t="s">
        <v>2818</v>
      </c>
      <c r="L294" s="250">
        <v>2021</v>
      </c>
      <c r="N294" s="250" t="s">
        <v>496</v>
      </c>
      <c r="O294" s="250" t="s">
        <v>496</v>
      </c>
      <c r="P294" s="250" t="s">
        <v>496</v>
      </c>
      <c r="Q294" s="250" t="s">
        <v>496</v>
      </c>
      <c r="R294" s="250" t="s">
        <v>496</v>
      </c>
      <c r="S294" s="250" t="s">
        <v>496</v>
      </c>
      <c r="T294" s="250" t="s">
        <v>496</v>
      </c>
      <c r="U294" s="250" t="s">
        <v>496</v>
      </c>
      <c r="V294" s="250" t="s">
        <v>496</v>
      </c>
      <c r="W294" s="250" t="s">
        <v>496</v>
      </c>
      <c r="X294" s="250" t="s">
        <v>496</v>
      </c>
      <c r="Y294" s="250" t="s">
        <v>496</v>
      </c>
      <c r="Z294" s="250" t="s">
        <v>496</v>
      </c>
      <c r="AA294" s="250" t="s">
        <v>2816</v>
      </c>
    </row>
    <row r="295" spans="2:28">
      <c r="B295" s="250" t="s">
        <v>1381</v>
      </c>
      <c r="C295" s="254" t="s">
        <v>256</v>
      </c>
      <c r="D295" s="255" t="s">
        <v>496</v>
      </c>
      <c r="E295" s="255" t="s">
        <v>496</v>
      </c>
      <c r="F295" s="255" t="s">
        <v>496</v>
      </c>
      <c r="G295" s="255" t="s">
        <v>496</v>
      </c>
      <c r="H295" s="250" t="s">
        <v>2755</v>
      </c>
      <c r="J295" s="250" t="s">
        <v>613</v>
      </c>
      <c r="K295" s="250" t="s">
        <v>2754</v>
      </c>
      <c r="L295" s="250">
        <v>2023</v>
      </c>
      <c r="N295" s="250" t="s">
        <v>496</v>
      </c>
      <c r="O295" s="250" t="s">
        <v>496</v>
      </c>
      <c r="P295" s="250" t="s">
        <v>496</v>
      </c>
      <c r="Q295" s="250" t="s">
        <v>496</v>
      </c>
      <c r="R295" s="250" t="s">
        <v>496</v>
      </c>
      <c r="S295" s="250" t="s">
        <v>496</v>
      </c>
      <c r="T295" s="250" t="s">
        <v>496</v>
      </c>
      <c r="U295" s="250" t="s">
        <v>496</v>
      </c>
      <c r="V295" s="250" t="s">
        <v>496</v>
      </c>
      <c r="W295" s="250" t="s">
        <v>496</v>
      </c>
      <c r="X295" s="250" t="s">
        <v>496</v>
      </c>
      <c r="Y295" s="250" t="s">
        <v>496</v>
      </c>
      <c r="Z295" s="250" t="s">
        <v>496</v>
      </c>
      <c r="AA295" s="250" t="s">
        <v>496</v>
      </c>
    </row>
    <row r="296" spans="2:28">
      <c r="B296" s="281" t="s">
        <v>4145</v>
      </c>
      <c r="C296" s="284" t="s">
        <v>256</v>
      </c>
      <c r="D296" s="285" t="s">
        <v>496</v>
      </c>
      <c r="E296" s="285" t="s">
        <v>496</v>
      </c>
      <c r="F296" s="285" t="s">
        <v>496</v>
      </c>
      <c r="G296" s="285" t="s">
        <v>496</v>
      </c>
      <c r="H296" s="281" t="s">
        <v>4146</v>
      </c>
      <c r="I296" s="281" t="s">
        <v>4147</v>
      </c>
      <c r="J296" s="281" t="s">
        <v>614</v>
      </c>
      <c r="K296" s="281" t="s">
        <v>4148</v>
      </c>
      <c r="L296" s="250">
        <v>2018</v>
      </c>
      <c r="N296" s="281" t="s">
        <v>496</v>
      </c>
      <c r="O296" s="281" t="s">
        <v>496</v>
      </c>
      <c r="P296" s="281" t="s">
        <v>496</v>
      </c>
      <c r="Q296" s="281" t="s">
        <v>496</v>
      </c>
      <c r="R296" s="281" t="s">
        <v>496</v>
      </c>
      <c r="S296" s="281" t="s">
        <v>496</v>
      </c>
      <c r="T296" s="281" t="s">
        <v>496</v>
      </c>
      <c r="U296" s="281" t="s">
        <v>496</v>
      </c>
      <c r="V296" s="281" t="s">
        <v>496</v>
      </c>
      <c r="W296" s="281" t="s">
        <v>496</v>
      </c>
      <c r="X296" s="281" t="s">
        <v>496</v>
      </c>
      <c r="Y296" s="281" t="s">
        <v>496</v>
      </c>
      <c r="Z296" s="281" t="s">
        <v>496</v>
      </c>
      <c r="AA296" s="281" t="s">
        <v>4149</v>
      </c>
      <c r="AB296" s="5" t="s">
        <v>4150</v>
      </c>
    </row>
    <row r="297" spans="2:28">
      <c r="B297" s="250" t="s">
        <v>1395</v>
      </c>
      <c r="C297" s="254" t="s">
        <v>256</v>
      </c>
      <c r="D297" s="255" t="s">
        <v>496</v>
      </c>
      <c r="E297" s="255" t="s">
        <v>496</v>
      </c>
      <c r="F297" s="255" t="s">
        <v>496</v>
      </c>
      <c r="G297" s="255" t="s">
        <v>496</v>
      </c>
      <c r="H297" s="250" t="s">
        <v>2820</v>
      </c>
      <c r="J297" s="250" t="s">
        <v>613</v>
      </c>
      <c r="K297" s="250" t="s">
        <v>1277</v>
      </c>
      <c r="L297" s="250">
        <v>2023</v>
      </c>
      <c r="N297" s="250" t="s">
        <v>496</v>
      </c>
      <c r="O297" s="250" t="s">
        <v>496</v>
      </c>
      <c r="P297" s="250" t="s">
        <v>496</v>
      </c>
      <c r="Q297" s="250" t="s">
        <v>496</v>
      </c>
      <c r="R297" s="250" t="s">
        <v>496</v>
      </c>
      <c r="S297" s="250" t="s">
        <v>496</v>
      </c>
      <c r="T297" s="250" t="s">
        <v>496</v>
      </c>
      <c r="U297" s="250" t="s">
        <v>496</v>
      </c>
      <c r="V297" s="250" t="s">
        <v>496</v>
      </c>
      <c r="W297" s="250" t="s">
        <v>496</v>
      </c>
      <c r="X297" s="250" t="s">
        <v>496</v>
      </c>
      <c r="Y297" s="250" t="s">
        <v>496</v>
      </c>
      <c r="Z297" s="250" t="s">
        <v>496</v>
      </c>
      <c r="AA297" s="250" t="s">
        <v>496</v>
      </c>
    </row>
    <row r="298" spans="2:28">
      <c r="B298" s="250" t="s">
        <v>1388</v>
      </c>
      <c r="C298" s="254" t="s">
        <v>256</v>
      </c>
      <c r="D298" s="255" t="s">
        <v>496</v>
      </c>
      <c r="E298" s="255" t="s">
        <v>496</v>
      </c>
      <c r="F298" s="255" t="s">
        <v>496</v>
      </c>
      <c r="G298" s="255" t="s">
        <v>496</v>
      </c>
      <c r="H298" s="250" t="s">
        <v>561</v>
      </c>
      <c r="J298" s="250" t="s">
        <v>613</v>
      </c>
      <c r="K298" s="250" t="s">
        <v>2786</v>
      </c>
      <c r="L298" s="255" t="s">
        <v>496</v>
      </c>
      <c r="N298" s="263" t="s">
        <v>496</v>
      </c>
      <c r="O298" s="263" t="s">
        <v>496</v>
      </c>
      <c r="P298" s="263" t="s">
        <v>496</v>
      </c>
      <c r="Q298" s="263" t="s">
        <v>496</v>
      </c>
      <c r="R298" s="263" t="s">
        <v>496</v>
      </c>
      <c r="S298" s="263" t="s">
        <v>496</v>
      </c>
      <c r="T298" s="263" t="s">
        <v>496</v>
      </c>
      <c r="U298" s="263" t="s">
        <v>496</v>
      </c>
      <c r="V298" s="263" t="s">
        <v>496</v>
      </c>
      <c r="W298" s="263" t="s">
        <v>496</v>
      </c>
      <c r="X298" s="263" t="s">
        <v>496</v>
      </c>
      <c r="Y298" s="263" t="s">
        <v>496</v>
      </c>
      <c r="Z298" s="263" t="s">
        <v>496</v>
      </c>
      <c r="AA298" s="263" t="s">
        <v>496</v>
      </c>
    </row>
    <row r="299" spans="2:28">
      <c r="B299" s="250" t="s">
        <v>1525</v>
      </c>
      <c r="C299" s="254" t="s">
        <v>256</v>
      </c>
      <c r="D299" s="255" t="s">
        <v>496</v>
      </c>
      <c r="E299" s="255" t="s">
        <v>496</v>
      </c>
      <c r="F299" s="255" t="s">
        <v>496</v>
      </c>
      <c r="G299" s="255" t="s">
        <v>496</v>
      </c>
      <c r="H299" s="250" t="s">
        <v>2692</v>
      </c>
      <c r="I299" s="250" t="s">
        <v>2694</v>
      </c>
      <c r="J299" s="250" t="s">
        <v>614</v>
      </c>
      <c r="K299" s="250" t="s">
        <v>708</v>
      </c>
      <c r="L299" s="250">
        <v>2022</v>
      </c>
      <c r="N299" s="250" t="s">
        <v>496</v>
      </c>
      <c r="O299" s="250" t="s">
        <v>496</v>
      </c>
      <c r="P299" s="250" t="s">
        <v>496</v>
      </c>
      <c r="Q299" s="250" t="s">
        <v>496</v>
      </c>
      <c r="R299" s="250" t="s">
        <v>496</v>
      </c>
      <c r="S299" s="250" t="s">
        <v>496</v>
      </c>
      <c r="T299" s="250" t="s">
        <v>496</v>
      </c>
      <c r="U299" s="250" t="s">
        <v>496</v>
      </c>
      <c r="V299" s="250" t="s">
        <v>496</v>
      </c>
      <c r="W299" s="250" t="s">
        <v>496</v>
      </c>
      <c r="X299" s="250" t="s">
        <v>496</v>
      </c>
      <c r="Y299" s="250" t="s">
        <v>496</v>
      </c>
      <c r="Z299" s="250" t="s">
        <v>496</v>
      </c>
      <c r="AA299" s="250" t="s">
        <v>2693</v>
      </c>
    </row>
    <row r="300" spans="2:28" s="267" customFormat="1">
      <c r="B300" s="267" t="s">
        <v>1718</v>
      </c>
      <c r="C300" s="268" t="s">
        <v>256</v>
      </c>
      <c r="D300" s="269" t="s">
        <v>496</v>
      </c>
      <c r="E300" s="269" t="s">
        <v>496</v>
      </c>
      <c r="F300" s="269" t="s">
        <v>496</v>
      </c>
      <c r="G300" s="269" t="s">
        <v>496</v>
      </c>
      <c r="H300" s="267" t="s">
        <v>3765</v>
      </c>
      <c r="J300" s="281" t="s">
        <v>613</v>
      </c>
      <c r="K300" s="281" t="s">
        <v>644</v>
      </c>
      <c r="L300" s="267">
        <v>2021</v>
      </c>
      <c r="N300" s="267" t="s">
        <v>496</v>
      </c>
      <c r="O300" s="267" t="s">
        <v>496</v>
      </c>
      <c r="P300" s="267" t="s">
        <v>496</v>
      </c>
      <c r="Q300" s="267" t="s">
        <v>496</v>
      </c>
      <c r="R300" s="267" t="s">
        <v>496</v>
      </c>
      <c r="S300" s="267" t="s">
        <v>496</v>
      </c>
      <c r="T300" s="267" t="s">
        <v>496</v>
      </c>
      <c r="U300" s="267" t="s">
        <v>496</v>
      </c>
      <c r="V300" s="267" t="s">
        <v>496</v>
      </c>
      <c r="W300" s="267" t="s">
        <v>496</v>
      </c>
      <c r="X300" s="267" t="s">
        <v>496</v>
      </c>
      <c r="Y300" s="267" t="s">
        <v>496</v>
      </c>
      <c r="Z300" s="267" t="s">
        <v>496</v>
      </c>
      <c r="AA300" s="267" t="s">
        <v>3761</v>
      </c>
      <c r="AB300" s="256" t="s">
        <v>3764</v>
      </c>
    </row>
    <row r="301" spans="2:28" s="281" customFormat="1">
      <c r="B301" s="281" t="s">
        <v>1930</v>
      </c>
      <c r="C301" s="284" t="s">
        <v>256</v>
      </c>
      <c r="D301" s="285" t="s">
        <v>496</v>
      </c>
      <c r="E301" s="285" t="s">
        <v>496</v>
      </c>
      <c r="F301" s="285" t="s">
        <v>496</v>
      </c>
      <c r="G301" s="285" t="s">
        <v>496</v>
      </c>
      <c r="H301" s="281" t="s">
        <v>2840</v>
      </c>
      <c r="I301" s="281" t="s">
        <v>496</v>
      </c>
      <c r="J301" s="281" t="s">
        <v>614</v>
      </c>
      <c r="K301" s="281" t="s">
        <v>2840</v>
      </c>
      <c r="L301" s="282" t="s">
        <v>496</v>
      </c>
      <c r="N301" s="281" t="s">
        <v>496</v>
      </c>
      <c r="O301" s="281" t="s">
        <v>496</v>
      </c>
      <c r="P301" s="281" t="s">
        <v>496</v>
      </c>
      <c r="Q301" s="281" t="s">
        <v>496</v>
      </c>
      <c r="R301" s="281" t="s">
        <v>496</v>
      </c>
      <c r="S301" s="281" t="s">
        <v>496</v>
      </c>
      <c r="T301" s="281" t="s">
        <v>496</v>
      </c>
      <c r="U301" s="281" t="s">
        <v>496</v>
      </c>
      <c r="V301" s="281" t="s">
        <v>496</v>
      </c>
      <c r="W301" s="281" t="s">
        <v>496</v>
      </c>
      <c r="X301" s="281" t="s">
        <v>496</v>
      </c>
      <c r="Y301" s="281" t="s">
        <v>496</v>
      </c>
      <c r="Z301" s="281" t="s">
        <v>496</v>
      </c>
      <c r="AA301" s="281" t="s">
        <v>496</v>
      </c>
      <c r="AB301" s="5" t="s">
        <v>4195</v>
      </c>
    </row>
    <row r="302" spans="2:28">
      <c r="B302" s="250" t="s">
        <v>1514</v>
      </c>
      <c r="C302" s="254" t="s">
        <v>256</v>
      </c>
      <c r="D302" s="255" t="s">
        <v>496</v>
      </c>
      <c r="E302" s="255" t="s">
        <v>496</v>
      </c>
      <c r="F302" s="255" t="s">
        <v>496</v>
      </c>
      <c r="G302" s="255" t="s">
        <v>496</v>
      </c>
      <c r="H302" s="250" t="s">
        <v>865</v>
      </c>
      <c r="J302" s="250" t="s">
        <v>614</v>
      </c>
      <c r="K302" s="250" t="s">
        <v>865</v>
      </c>
      <c r="L302" s="250">
        <v>2020</v>
      </c>
      <c r="M302" s="250" t="s">
        <v>1912</v>
      </c>
      <c r="N302" s="250" t="s">
        <v>496</v>
      </c>
      <c r="O302" s="250" t="s">
        <v>496</v>
      </c>
      <c r="P302" s="250" t="s">
        <v>496</v>
      </c>
      <c r="Q302" s="250" t="s">
        <v>496</v>
      </c>
      <c r="R302" s="250" t="s">
        <v>496</v>
      </c>
      <c r="S302" s="250" t="s">
        <v>496</v>
      </c>
      <c r="T302" s="250" t="s">
        <v>496</v>
      </c>
      <c r="U302" s="250" t="s">
        <v>496</v>
      </c>
      <c r="V302" s="250" t="s">
        <v>496</v>
      </c>
      <c r="W302" s="250" t="s">
        <v>496</v>
      </c>
      <c r="X302" s="250" t="s">
        <v>496</v>
      </c>
      <c r="Y302" s="250" t="s">
        <v>496</v>
      </c>
      <c r="Z302" s="250" t="s">
        <v>496</v>
      </c>
      <c r="AA302" s="250" t="s">
        <v>1911</v>
      </c>
    </row>
    <row r="303" spans="2:28">
      <c r="E303" s="263"/>
      <c r="G303" s="255"/>
      <c r="O303" s="250"/>
      <c r="P303" s="250"/>
      <c r="Q303" s="250"/>
      <c r="R303" s="250"/>
      <c r="S303" s="250"/>
      <c r="T303" s="250"/>
      <c r="U303" s="250"/>
      <c r="V303" s="250"/>
      <c r="W303" s="250"/>
      <c r="X303" s="250"/>
      <c r="Y303" s="250"/>
      <c r="Z303" s="250"/>
    </row>
    <row r="304" spans="2:28">
      <c r="B304" s="95" t="s">
        <v>3079</v>
      </c>
      <c r="E304" s="263"/>
      <c r="G304" s="255"/>
      <c r="O304" s="250"/>
      <c r="P304" s="250"/>
      <c r="Q304" s="250"/>
      <c r="R304" s="250"/>
      <c r="S304" s="250"/>
      <c r="T304" s="250"/>
      <c r="U304" s="250"/>
      <c r="V304" s="250"/>
      <c r="W304" s="250"/>
      <c r="X304" s="250"/>
      <c r="Y304" s="250"/>
      <c r="Z304" s="250"/>
    </row>
    <row r="305" spans="2:28">
      <c r="B305" s="250" t="s">
        <v>469</v>
      </c>
    </row>
    <row r="306" spans="2:28" s="281" customFormat="1">
      <c r="B306" s="281" t="s">
        <v>1951</v>
      </c>
      <c r="C306" s="284" t="s">
        <v>256</v>
      </c>
      <c r="D306" s="285"/>
      <c r="E306" s="281" t="s">
        <v>565</v>
      </c>
      <c r="F306" s="285"/>
      <c r="G306" s="282"/>
      <c r="J306" s="281" t="s">
        <v>430</v>
      </c>
      <c r="M306" s="281" t="s">
        <v>4458</v>
      </c>
      <c r="O306" s="283"/>
      <c r="P306" s="283"/>
      <c r="Q306" s="283"/>
      <c r="R306" s="283"/>
      <c r="S306" s="283"/>
      <c r="T306" s="283"/>
      <c r="U306" s="283"/>
      <c r="V306" s="283"/>
      <c r="W306" s="283"/>
      <c r="X306" s="283"/>
      <c r="Y306" s="283"/>
      <c r="Z306" s="283"/>
      <c r="AA306" s="281" t="s">
        <v>4457</v>
      </c>
      <c r="AB306" s="5" t="s">
        <v>4456</v>
      </c>
    </row>
    <row r="307" spans="2:28">
      <c r="B307" s="250" t="s">
        <v>607</v>
      </c>
      <c r="C307" s="284" t="s">
        <v>256</v>
      </c>
      <c r="J307" s="281" t="s">
        <v>613</v>
      </c>
      <c r="K307" s="281" t="s">
        <v>4464</v>
      </c>
      <c r="M307" s="281" t="s">
        <v>4458</v>
      </c>
    </row>
    <row r="308" spans="2:28">
      <c r="B308" s="250" t="s">
        <v>1967</v>
      </c>
      <c r="C308" s="284" t="s">
        <v>730</v>
      </c>
      <c r="M308" s="281" t="s">
        <v>4484</v>
      </c>
    </row>
    <row r="309" spans="2:28">
      <c r="B309" s="250" t="s">
        <v>1969</v>
      </c>
      <c r="C309" s="284" t="s">
        <v>730</v>
      </c>
      <c r="M309" s="281" t="s">
        <v>4487</v>
      </c>
    </row>
    <row r="310" spans="2:28">
      <c r="B310" s="250" t="s">
        <v>1975</v>
      </c>
      <c r="C310" s="284" t="s">
        <v>730</v>
      </c>
      <c r="M310" s="281" t="s">
        <v>4496</v>
      </c>
    </row>
    <row r="311" spans="2:28">
      <c r="B311" s="250" t="s">
        <v>1976</v>
      </c>
      <c r="C311" s="284" t="s">
        <v>730</v>
      </c>
      <c r="M311" s="281" t="s">
        <v>44</v>
      </c>
    </row>
    <row r="312" spans="2:28">
      <c r="B312" s="250" t="s">
        <v>1515</v>
      </c>
      <c r="C312" s="254" t="s">
        <v>256</v>
      </c>
      <c r="D312" s="255">
        <v>7900</v>
      </c>
      <c r="E312" s="250" t="s">
        <v>2426</v>
      </c>
      <c r="F312" s="255">
        <v>200</v>
      </c>
      <c r="G312" s="253">
        <v>44175</v>
      </c>
      <c r="H312" s="250" t="s">
        <v>3091</v>
      </c>
      <c r="I312" s="250" t="s">
        <v>3088</v>
      </c>
      <c r="J312" s="250" t="s">
        <v>3087</v>
      </c>
      <c r="K312" s="250" t="s">
        <v>430</v>
      </c>
      <c r="L312" s="250">
        <v>2015</v>
      </c>
      <c r="M312" s="250" t="s">
        <v>2390</v>
      </c>
      <c r="N312" s="250" t="s">
        <v>3092</v>
      </c>
      <c r="O312" s="251" t="s">
        <v>813</v>
      </c>
      <c r="P312" s="251">
        <v>200</v>
      </c>
      <c r="Q312" s="251" t="s">
        <v>3093</v>
      </c>
      <c r="R312" s="251" t="s">
        <v>738</v>
      </c>
      <c r="S312" s="251">
        <v>110</v>
      </c>
      <c r="T312" s="251" t="s">
        <v>3094</v>
      </c>
      <c r="U312" s="251" t="s">
        <v>755</v>
      </c>
      <c r="V312" s="251">
        <v>80</v>
      </c>
      <c r="W312" s="251" t="s">
        <v>3095</v>
      </c>
      <c r="X312" s="251" t="s">
        <v>565</v>
      </c>
      <c r="Y312" s="251">
        <v>70</v>
      </c>
      <c r="Z312" s="251" t="s">
        <v>3096</v>
      </c>
      <c r="AA312" s="250" t="s">
        <v>3089</v>
      </c>
    </row>
    <row r="313" spans="2:28">
      <c r="B313" s="250" t="s">
        <v>1819</v>
      </c>
      <c r="C313" s="268" t="s">
        <v>256</v>
      </c>
      <c r="D313" s="255">
        <v>5200</v>
      </c>
      <c r="E313" s="267" t="s">
        <v>813</v>
      </c>
      <c r="F313" s="255">
        <v>400</v>
      </c>
      <c r="G313" s="253">
        <v>28327</v>
      </c>
      <c r="H313" s="267" t="s">
        <v>3933</v>
      </c>
      <c r="I313" s="267" t="s">
        <v>3931</v>
      </c>
      <c r="J313" s="267" t="s">
        <v>614</v>
      </c>
      <c r="K313" s="267" t="s">
        <v>3738</v>
      </c>
      <c r="L313" s="250">
        <v>2012</v>
      </c>
      <c r="N313" s="267" t="s">
        <v>3934</v>
      </c>
      <c r="O313" s="271" t="s">
        <v>496</v>
      </c>
      <c r="P313" s="271" t="s">
        <v>496</v>
      </c>
      <c r="Q313" s="271" t="s">
        <v>496</v>
      </c>
      <c r="R313" s="271" t="s">
        <v>496</v>
      </c>
      <c r="S313" s="271" t="s">
        <v>496</v>
      </c>
      <c r="T313" s="271" t="s">
        <v>496</v>
      </c>
      <c r="U313" s="271" t="s">
        <v>496</v>
      </c>
      <c r="V313" s="271" t="s">
        <v>496</v>
      </c>
      <c r="W313" s="271" t="s">
        <v>496</v>
      </c>
      <c r="X313" s="271" t="s">
        <v>496</v>
      </c>
      <c r="Y313" s="271" t="s">
        <v>496</v>
      </c>
      <c r="Z313" s="271" t="s">
        <v>496</v>
      </c>
      <c r="AA313" s="267" t="s">
        <v>3930</v>
      </c>
    </row>
    <row r="314" spans="2:28">
      <c r="B314" s="250" t="s">
        <v>428</v>
      </c>
      <c r="C314" s="254" t="s">
        <v>256</v>
      </c>
      <c r="D314" s="255">
        <v>4000</v>
      </c>
      <c r="E314" s="250" t="s">
        <v>3071</v>
      </c>
      <c r="F314" s="255">
        <v>400</v>
      </c>
      <c r="G314" s="253">
        <v>44378</v>
      </c>
      <c r="H314" s="250" t="s">
        <v>3069</v>
      </c>
      <c r="I314" s="250" t="s">
        <v>3070</v>
      </c>
      <c r="J314" s="250" t="s">
        <v>614</v>
      </c>
      <c r="K314" s="250" t="s">
        <v>430</v>
      </c>
      <c r="L314" s="250">
        <v>2012</v>
      </c>
      <c r="N314" s="250" t="s">
        <v>3073</v>
      </c>
      <c r="O314" s="251" t="s">
        <v>2426</v>
      </c>
      <c r="P314" s="251" t="s">
        <v>3074</v>
      </c>
      <c r="Q314" s="251" t="s">
        <v>3075</v>
      </c>
      <c r="R314" s="251" t="s">
        <v>813</v>
      </c>
      <c r="S314" s="251">
        <v>106</v>
      </c>
      <c r="T314" s="251" t="s">
        <v>3076</v>
      </c>
      <c r="U314" s="251" t="s">
        <v>738</v>
      </c>
      <c r="V314" s="251">
        <v>52</v>
      </c>
      <c r="W314" s="251" t="s">
        <v>3077</v>
      </c>
      <c r="X314" s="251" t="s">
        <v>755</v>
      </c>
      <c r="Y314" s="251">
        <v>32.799999999999997</v>
      </c>
      <c r="Z314" s="251" t="s">
        <v>3078</v>
      </c>
      <c r="AA314" s="250" t="s">
        <v>3072</v>
      </c>
    </row>
    <row r="315" spans="2:28">
      <c r="B315" s="250" t="s">
        <v>438</v>
      </c>
      <c r="C315" s="254" t="s">
        <v>256</v>
      </c>
      <c r="D315" s="255">
        <v>3100</v>
      </c>
      <c r="E315" s="250" t="s">
        <v>738</v>
      </c>
      <c r="F315" s="255">
        <v>150</v>
      </c>
      <c r="G315" s="253">
        <v>44545</v>
      </c>
      <c r="H315" s="250" t="s">
        <v>1914</v>
      </c>
      <c r="I315" s="267" t="s">
        <v>496</v>
      </c>
      <c r="J315" s="250" t="s">
        <v>614</v>
      </c>
      <c r="K315" s="250" t="s">
        <v>430</v>
      </c>
      <c r="L315" s="250">
        <v>2014</v>
      </c>
      <c r="N315" s="250" t="s">
        <v>1915</v>
      </c>
      <c r="O315" s="251" t="s">
        <v>496</v>
      </c>
      <c r="P315" s="251" t="s">
        <v>496</v>
      </c>
      <c r="Q315" s="251" t="s">
        <v>496</v>
      </c>
      <c r="R315" s="251" t="s">
        <v>496</v>
      </c>
      <c r="S315" s="251" t="s">
        <v>496</v>
      </c>
      <c r="T315" s="251" t="s">
        <v>496</v>
      </c>
      <c r="U315" s="251" t="s">
        <v>496</v>
      </c>
      <c r="V315" s="251" t="s">
        <v>496</v>
      </c>
      <c r="W315" s="251" t="s">
        <v>496</v>
      </c>
      <c r="X315" s="251" t="s">
        <v>496</v>
      </c>
      <c r="Y315" s="251" t="s">
        <v>496</v>
      </c>
      <c r="Z315" s="251" t="s">
        <v>496</v>
      </c>
      <c r="AA315" s="250" t="s">
        <v>834</v>
      </c>
    </row>
    <row r="316" spans="2:28">
      <c r="B316" s="250" t="s">
        <v>1826</v>
      </c>
      <c r="C316" s="278" t="s">
        <v>256</v>
      </c>
      <c r="D316" s="255">
        <v>2800</v>
      </c>
      <c r="E316" s="275" t="s">
        <v>565</v>
      </c>
      <c r="H316" s="275" t="s">
        <v>4031</v>
      </c>
      <c r="J316" s="275" t="s">
        <v>614</v>
      </c>
      <c r="K316" s="275" t="s">
        <v>685</v>
      </c>
      <c r="L316" s="250">
        <v>2006</v>
      </c>
      <c r="M316" s="275" t="s">
        <v>4033</v>
      </c>
      <c r="AA316" s="275" t="s">
        <v>2474</v>
      </c>
      <c r="AB316" s="5" t="s">
        <v>4032</v>
      </c>
    </row>
    <row r="317" spans="2:28">
      <c r="B317" s="250" t="s">
        <v>3723</v>
      </c>
      <c r="C317" s="268" t="s">
        <v>256</v>
      </c>
      <c r="D317" s="255">
        <v>2500</v>
      </c>
      <c r="E317" s="250" t="s">
        <v>496</v>
      </c>
      <c r="F317" s="250" t="s">
        <v>496</v>
      </c>
      <c r="G317" s="250" t="s">
        <v>496</v>
      </c>
      <c r="H317" s="250" t="s">
        <v>3726</v>
      </c>
      <c r="I317" s="250" t="s">
        <v>3720</v>
      </c>
      <c r="J317" s="250" t="s">
        <v>614</v>
      </c>
      <c r="K317" s="250" t="s">
        <v>561</v>
      </c>
      <c r="L317" s="250" t="s">
        <v>3724</v>
      </c>
      <c r="N317" s="250" t="s">
        <v>496</v>
      </c>
      <c r="O317" s="250" t="s">
        <v>496</v>
      </c>
      <c r="P317" s="250" t="s">
        <v>496</v>
      </c>
      <c r="Q317" s="250" t="s">
        <v>496</v>
      </c>
      <c r="R317" s="250" t="s">
        <v>496</v>
      </c>
      <c r="S317" s="250" t="s">
        <v>496</v>
      </c>
      <c r="T317" s="250" t="s">
        <v>496</v>
      </c>
      <c r="U317" s="250" t="s">
        <v>496</v>
      </c>
      <c r="V317" s="250" t="s">
        <v>496</v>
      </c>
      <c r="W317" s="250" t="s">
        <v>496</v>
      </c>
      <c r="X317" s="250" t="s">
        <v>496</v>
      </c>
      <c r="Y317" s="250" t="s">
        <v>496</v>
      </c>
      <c r="Z317" s="250" t="s">
        <v>496</v>
      </c>
      <c r="AA317" s="250" t="s">
        <v>3719</v>
      </c>
    </row>
    <row r="318" spans="2:28">
      <c r="B318" s="250" t="s">
        <v>436</v>
      </c>
      <c r="C318" s="254" t="s">
        <v>256</v>
      </c>
      <c r="D318" s="255">
        <v>1900</v>
      </c>
      <c r="E318" s="250" t="s">
        <v>565</v>
      </c>
      <c r="F318" s="255">
        <v>150</v>
      </c>
      <c r="G318" s="253">
        <v>44649</v>
      </c>
      <c r="H318" s="250" t="s">
        <v>732</v>
      </c>
      <c r="I318" s="267" t="s">
        <v>496</v>
      </c>
      <c r="J318" s="250" t="s">
        <v>614</v>
      </c>
      <c r="K318" s="250" t="s">
        <v>430</v>
      </c>
      <c r="L318" s="250">
        <v>2018</v>
      </c>
      <c r="M318" s="275" t="s">
        <v>4121</v>
      </c>
      <c r="N318" s="250" t="s">
        <v>1889</v>
      </c>
      <c r="O318" s="251" t="s">
        <v>402</v>
      </c>
      <c r="P318" s="251" t="s">
        <v>1890</v>
      </c>
      <c r="Q318" s="251" t="s">
        <v>496</v>
      </c>
      <c r="R318" s="251" t="s">
        <v>496</v>
      </c>
      <c r="S318" s="251" t="s">
        <v>496</v>
      </c>
      <c r="T318" s="251" t="s">
        <v>496</v>
      </c>
      <c r="U318" s="251" t="s">
        <v>496</v>
      </c>
      <c r="V318" s="251" t="s">
        <v>496</v>
      </c>
      <c r="W318" s="251" t="s">
        <v>496</v>
      </c>
      <c r="X318" s="251" t="s">
        <v>496</v>
      </c>
      <c r="Y318" s="251" t="s">
        <v>496</v>
      </c>
      <c r="Z318" s="251" t="s">
        <v>496</v>
      </c>
      <c r="AA318" s="250" t="s">
        <v>1892</v>
      </c>
    </row>
    <row r="319" spans="2:28">
      <c r="B319" s="250" t="s">
        <v>439</v>
      </c>
      <c r="C319" s="254" t="s">
        <v>256</v>
      </c>
      <c r="D319" s="255">
        <v>1900</v>
      </c>
      <c r="E319" s="250" t="s">
        <v>738</v>
      </c>
      <c r="F319" s="255">
        <v>150</v>
      </c>
      <c r="G319" s="253">
        <v>44523</v>
      </c>
      <c r="H319" s="250" t="s">
        <v>1919</v>
      </c>
      <c r="I319" s="267" t="s">
        <v>496</v>
      </c>
      <c r="J319" s="250" t="s">
        <v>614</v>
      </c>
      <c r="K319" s="250" t="s">
        <v>543</v>
      </c>
      <c r="L319" s="250">
        <v>2017</v>
      </c>
      <c r="N319" s="250" t="s">
        <v>1923</v>
      </c>
      <c r="O319" s="251" t="s">
        <v>496</v>
      </c>
      <c r="P319" s="251" t="s">
        <v>496</v>
      </c>
      <c r="Q319" s="251" t="s">
        <v>496</v>
      </c>
      <c r="R319" s="251" t="s">
        <v>496</v>
      </c>
      <c r="S319" s="251" t="s">
        <v>496</v>
      </c>
      <c r="T319" s="251" t="s">
        <v>496</v>
      </c>
      <c r="U319" s="251" t="s">
        <v>496</v>
      </c>
      <c r="V319" s="251" t="s">
        <v>496</v>
      </c>
      <c r="W319" s="251" t="s">
        <v>496</v>
      </c>
      <c r="X319" s="251" t="s">
        <v>496</v>
      </c>
      <c r="Y319" s="251" t="s">
        <v>496</v>
      </c>
      <c r="Z319" s="251" t="s">
        <v>496</v>
      </c>
      <c r="AA319" s="250" t="s">
        <v>1108</v>
      </c>
    </row>
    <row r="320" spans="2:28">
      <c r="B320" s="250" t="s">
        <v>1943</v>
      </c>
      <c r="C320" s="284" t="s">
        <v>256</v>
      </c>
      <c r="D320" s="255">
        <v>1700</v>
      </c>
      <c r="E320" s="281" t="s">
        <v>755</v>
      </c>
      <c r="F320" s="255">
        <v>100</v>
      </c>
      <c r="G320" s="253">
        <v>45027</v>
      </c>
      <c r="H320" s="281" t="s">
        <v>4361</v>
      </c>
      <c r="I320" s="281" t="s">
        <v>4364</v>
      </c>
      <c r="J320" s="281" t="s">
        <v>614</v>
      </c>
      <c r="K320" s="281" t="s">
        <v>685</v>
      </c>
      <c r="L320" s="250">
        <v>2008</v>
      </c>
      <c r="M320" s="281" t="s">
        <v>4360</v>
      </c>
      <c r="N320" s="281" t="s">
        <v>4362</v>
      </c>
      <c r="O320" s="283" t="s">
        <v>496</v>
      </c>
      <c r="P320" s="283" t="s">
        <v>496</v>
      </c>
      <c r="Q320" s="283" t="s">
        <v>496</v>
      </c>
      <c r="R320" s="283" t="s">
        <v>496</v>
      </c>
      <c r="S320" s="283" t="s">
        <v>496</v>
      </c>
      <c r="T320" s="283" t="s">
        <v>496</v>
      </c>
      <c r="U320" s="283" t="s">
        <v>496</v>
      </c>
      <c r="V320" s="283" t="s">
        <v>496</v>
      </c>
      <c r="W320" s="283" t="s">
        <v>496</v>
      </c>
      <c r="X320" s="283" t="s">
        <v>496</v>
      </c>
      <c r="Y320" s="283" t="s">
        <v>496</v>
      </c>
      <c r="Z320" s="283" t="s">
        <v>496</v>
      </c>
      <c r="AA320" s="281" t="s">
        <v>1108</v>
      </c>
      <c r="AB320" s="5" t="s">
        <v>4363</v>
      </c>
    </row>
    <row r="321" spans="2:28">
      <c r="B321" s="250" t="s">
        <v>1385</v>
      </c>
      <c r="C321" s="254" t="s">
        <v>256</v>
      </c>
      <c r="D321" s="255">
        <v>1700</v>
      </c>
      <c r="E321" s="250" t="s">
        <v>755</v>
      </c>
      <c r="F321" s="255">
        <v>85</v>
      </c>
      <c r="G321" s="253">
        <v>42846</v>
      </c>
      <c r="I321" s="250" t="s">
        <v>2771</v>
      </c>
      <c r="J321" s="250" t="s">
        <v>613</v>
      </c>
      <c r="K321" s="250" t="s">
        <v>2772</v>
      </c>
      <c r="L321" s="250">
        <v>2009</v>
      </c>
      <c r="N321" s="250" t="s">
        <v>496</v>
      </c>
      <c r="O321" s="250" t="s">
        <v>496</v>
      </c>
      <c r="P321" s="250" t="s">
        <v>496</v>
      </c>
      <c r="Q321" s="250" t="s">
        <v>496</v>
      </c>
      <c r="R321" s="250" t="s">
        <v>496</v>
      </c>
      <c r="S321" s="250" t="s">
        <v>496</v>
      </c>
      <c r="T321" s="250" t="s">
        <v>496</v>
      </c>
      <c r="U321" s="250" t="s">
        <v>496</v>
      </c>
      <c r="V321" s="250" t="s">
        <v>496</v>
      </c>
      <c r="W321" s="250" t="s">
        <v>496</v>
      </c>
      <c r="X321" s="250" t="s">
        <v>496</v>
      </c>
      <c r="Y321" s="250" t="s">
        <v>496</v>
      </c>
      <c r="Z321" s="250" t="s">
        <v>496</v>
      </c>
      <c r="AA321" s="250" t="s">
        <v>837</v>
      </c>
    </row>
    <row r="322" spans="2:28" s="275" customFormat="1">
      <c r="B322" s="275" t="s">
        <v>1828</v>
      </c>
      <c r="C322" s="278" t="s">
        <v>256</v>
      </c>
      <c r="D322" s="279">
        <v>1500</v>
      </c>
      <c r="E322" s="275" t="s">
        <v>738</v>
      </c>
      <c r="F322" s="279">
        <v>300</v>
      </c>
      <c r="G322" s="277">
        <v>44271</v>
      </c>
      <c r="I322" s="275" t="s">
        <v>4040</v>
      </c>
      <c r="J322" s="275" t="s">
        <v>614</v>
      </c>
      <c r="K322" s="275" t="s">
        <v>4041</v>
      </c>
      <c r="L322" s="275">
        <v>2007</v>
      </c>
      <c r="M322" s="275" t="s">
        <v>4051</v>
      </c>
      <c r="N322" s="275" t="s">
        <v>4042</v>
      </c>
      <c r="O322" s="276" t="s">
        <v>755</v>
      </c>
      <c r="P322" s="276">
        <v>38</v>
      </c>
      <c r="Q322" s="276" t="s">
        <v>4043</v>
      </c>
      <c r="R322" s="276" t="s">
        <v>565</v>
      </c>
      <c r="S322" s="276" t="s">
        <v>496</v>
      </c>
      <c r="T322" s="276" t="s">
        <v>4045</v>
      </c>
      <c r="U322" s="276" t="s">
        <v>402</v>
      </c>
      <c r="V322" s="276">
        <v>10</v>
      </c>
      <c r="W322" s="276" t="s">
        <v>4046</v>
      </c>
      <c r="X322" s="276" t="s">
        <v>544</v>
      </c>
      <c r="Y322" s="276" t="s">
        <v>4049</v>
      </c>
      <c r="Z322" s="276" t="s">
        <v>4050</v>
      </c>
      <c r="AA322" s="275" t="s">
        <v>1030</v>
      </c>
      <c r="AB322" s="5" t="s">
        <v>4039</v>
      </c>
    </row>
    <row r="323" spans="2:28" s="281" customFormat="1">
      <c r="B323" s="281" t="s">
        <v>1939</v>
      </c>
      <c r="C323" s="284" t="s">
        <v>256</v>
      </c>
      <c r="D323" s="285">
        <v>1400</v>
      </c>
      <c r="E323" s="281" t="s">
        <v>755</v>
      </c>
      <c r="F323" s="285">
        <v>70</v>
      </c>
      <c r="G323" s="290">
        <v>44907</v>
      </c>
      <c r="H323" s="281" t="s">
        <v>4322</v>
      </c>
      <c r="I323" s="281" t="s">
        <v>4321</v>
      </c>
      <c r="J323" s="281" t="s">
        <v>614</v>
      </c>
      <c r="K323" s="281" t="s">
        <v>4317</v>
      </c>
      <c r="L323" s="281">
        <v>2015</v>
      </c>
      <c r="M323" s="281" t="s">
        <v>4320</v>
      </c>
      <c r="N323" s="281" t="s">
        <v>496</v>
      </c>
      <c r="O323" s="281" t="s">
        <v>496</v>
      </c>
      <c r="P323" s="281" t="s">
        <v>496</v>
      </c>
      <c r="Q323" s="281" t="s">
        <v>496</v>
      </c>
      <c r="R323" s="281" t="s">
        <v>496</v>
      </c>
      <c r="S323" s="281" t="s">
        <v>496</v>
      </c>
      <c r="T323" s="281" t="s">
        <v>496</v>
      </c>
      <c r="U323" s="281" t="s">
        <v>496</v>
      </c>
      <c r="V323" s="281" t="s">
        <v>496</v>
      </c>
      <c r="W323" s="281" t="s">
        <v>496</v>
      </c>
      <c r="X323" s="281" t="s">
        <v>496</v>
      </c>
      <c r="Y323" s="281" t="s">
        <v>496</v>
      </c>
      <c r="Z323" s="281" t="s">
        <v>496</v>
      </c>
      <c r="AA323" s="281" t="s">
        <v>4318</v>
      </c>
      <c r="AB323" s="5" t="s">
        <v>4319</v>
      </c>
    </row>
    <row r="324" spans="2:28">
      <c r="B324" s="250" t="s">
        <v>437</v>
      </c>
      <c r="C324" s="254" t="s">
        <v>256</v>
      </c>
      <c r="D324" s="255">
        <v>1300</v>
      </c>
      <c r="E324" s="250" t="s">
        <v>755</v>
      </c>
      <c r="F324" s="255">
        <v>150</v>
      </c>
      <c r="G324" s="253">
        <v>44656</v>
      </c>
      <c r="I324" s="250" t="s">
        <v>1908</v>
      </c>
      <c r="J324" s="250" t="s">
        <v>614</v>
      </c>
      <c r="K324" s="250" t="s">
        <v>430</v>
      </c>
      <c r="L324" s="257">
        <v>42323</v>
      </c>
      <c r="N324" s="250" t="s">
        <v>1910</v>
      </c>
      <c r="O324" s="251" t="s">
        <v>496</v>
      </c>
      <c r="P324" s="251" t="s">
        <v>496</v>
      </c>
      <c r="Q324" s="251" t="s">
        <v>496</v>
      </c>
      <c r="R324" s="251" t="s">
        <v>496</v>
      </c>
      <c r="S324" s="251" t="s">
        <v>496</v>
      </c>
      <c r="T324" s="251" t="s">
        <v>496</v>
      </c>
      <c r="U324" s="251" t="s">
        <v>496</v>
      </c>
      <c r="V324" s="251" t="s">
        <v>496</v>
      </c>
      <c r="W324" s="251" t="s">
        <v>496</v>
      </c>
      <c r="X324" s="251" t="s">
        <v>496</v>
      </c>
      <c r="Y324" s="251" t="s">
        <v>496</v>
      </c>
      <c r="Z324" s="251" t="s">
        <v>496</v>
      </c>
      <c r="AA324" s="250" t="s">
        <v>834</v>
      </c>
    </row>
    <row r="325" spans="2:28">
      <c r="B325" s="250" t="s">
        <v>1872</v>
      </c>
      <c r="C325" s="278" t="s">
        <v>256</v>
      </c>
      <c r="D325" s="255">
        <v>1300</v>
      </c>
      <c r="E325" s="275" t="s">
        <v>755</v>
      </c>
      <c r="F325" s="255">
        <v>140</v>
      </c>
      <c r="G325" s="253">
        <v>44602</v>
      </c>
      <c r="J325" s="275" t="s">
        <v>614</v>
      </c>
      <c r="K325" s="275" t="s">
        <v>2564</v>
      </c>
      <c r="L325" s="250">
        <v>2018</v>
      </c>
      <c r="M325" s="275" t="s">
        <v>4098</v>
      </c>
      <c r="AA325" s="275" t="s">
        <v>844</v>
      </c>
      <c r="AB325" s="5" t="s">
        <v>4099</v>
      </c>
    </row>
    <row r="326" spans="2:28">
      <c r="B326" s="250" t="s">
        <v>392</v>
      </c>
      <c r="C326" s="254" t="s">
        <v>256</v>
      </c>
      <c r="D326" s="255">
        <v>1100</v>
      </c>
      <c r="E326" s="250" t="s">
        <v>402</v>
      </c>
      <c r="F326" s="255">
        <v>97.4</v>
      </c>
      <c r="G326" s="253">
        <v>45041</v>
      </c>
      <c r="H326" s="275" t="s">
        <v>4100</v>
      </c>
      <c r="I326" s="250" t="s">
        <v>1235</v>
      </c>
      <c r="J326" s="250" t="s">
        <v>614</v>
      </c>
      <c r="K326" s="250" t="s">
        <v>461</v>
      </c>
      <c r="L326" s="250">
        <v>2016</v>
      </c>
      <c r="N326" s="250" t="s">
        <v>1236</v>
      </c>
      <c r="O326" s="251" t="s">
        <v>1239</v>
      </c>
      <c r="P326" s="251">
        <v>80</v>
      </c>
      <c r="Q326" s="251" t="s">
        <v>1240</v>
      </c>
      <c r="R326" s="251" t="s">
        <v>544</v>
      </c>
      <c r="S326" s="251">
        <v>20</v>
      </c>
      <c r="T326" s="251" t="s">
        <v>1245</v>
      </c>
      <c r="U326" s="251" t="s">
        <v>549</v>
      </c>
      <c r="V326" s="251">
        <v>4.5</v>
      </c>
      <c r="W326" s="251" t="s">
        <v>1246</v>
      </c>
      <c r="X326" s="251" t="s">
        <v>669</v>
      </c>
      <c r="Y326" s="251">
        <v>0.12</v>
      </c>
      <c r="Z326" s="251" t="s">
        <v>1247</v>
      </c>
      <c r="AA326" s="250" t="s">
        <v>834</v>
      </c>
    </row>
    <row r="327" spans="2:28">
      <c r="B327" s="250" t="s">
        <v>1523</v>
      </c>
      <c r="C327" s="254" t="s">
        <v>256</v>
      </c>
      <c r="D327" s="255">
        <v>1000</v>
      </c>
      <c r="E327" s="250" t="s">
        <v>402</v>
      </c>
      <c r="F327" s="255">
        <v>500</v>
      </c>
      <c r="G327" s="253">
        <v>44971</v>
      </c>
      <c r="H327" s="250" t="s">
        <v>2563</v>
      </c>
      <c r="I327" s="267" t="s">
        <v>496</v>
      </c>
      <c r="J327" s="250" t="s">
        <v>614</v>
      </c>
      <c r="K327" s="250" t="s">
        <v>2564</v>
      </c>
      <c r="L327" s="250">
        <v>2016</v>
      </c>
      <c r="M327" s="250" t="s">
        <v>2566</v>
      </c>
      <c r="N327" s="250" t="s">
        <v>2565</v>
      </c>
      <c r="AA327" s="250" t="s">
        <v>844</v>
      </c>
    </row>
    <row r="328" spans="2:28">
      <c r="B328" s="250" t="s">
        <v>1827</v>
      </c>
      <c r="C328" s="278" t="s">
        <v>256</v>
      </c>
      <c r="D328" s="255">
        <v>1000</v>
      </c>
      <c r="E328" s="275" t="s">
        <v>738</v>
      </c>
      <c r="F328" s="255">
        <v>300</v>
      </c>
      <c r="G328" s="253">
        <v>43917</v>
      </c>
      <c r="H328" s="275" t="s">
        <v>4038</v>
      </c>
      <c r="I328" s="275" t="s">
        <v>4036</v>
      </c>
      <c r="J328" s="275" t="s">
        <v>614</v>
      </c>
      <c r="K328" s="275" t="s">
        <v>721</v>
      </c>
      <c r="L328" s="250">
        <v>2014</v>
      </c>
      <c r="M328" s="275" t="s">
        <v>4037</v>
      </c>
      <c r="AA328" s="275" t="s">
        <v>1924</v>
      </c>
      <c r="AB328" s="5" t="s">
        <v>4035</v>
      </c>
    </row>
    <row r="329" spans="2:28">
      <c r="B329" s="281" t="s">
        <v>4215</v>
      </c>
      <c r="C329" s="284" t="s">
        <v>256</v>
      </c>
      <c r="D329" s="255">
        <v>1000</v>
      </c>
      <c r="E329" s="281" t="s">
        <v>402</v>
      </c>
      <c r="F329" s="255">
        <v>283</v>
      </c>
      <c r="G329" s="253">
        <v>43689</v>
      </c>
      <c r="H329" s="281" t="s">
        <v>4220</v>
      </c>
      <c r="I329" s="281" t="s">
        <v>4217</v>
      </c>
      <c r="J329" s="281" t="s">
        <v>614</v>
      </c>
      <c r="K329" s="281" t="s">
        <v>3199</v>
      </c>
      <c r="L329" s="250">
        <v>2015</v>
      </c>
      <c r="M329" s="281" t="s">
        <v>4221</v>
      </c>
      <c r="N329" s="281" t="s">
        <v>4219</v>
      </c>
      <c r="O329" s="283" t="s">
        <v>496</v>
      </c>
      <c r="P329" s="283" t="s">
        <v>496</v>
      </c>
      <c r="Q329" s="283" t="s">
        <v>496</v>
      </c>
      <c r="R329" s="283" t="s">
        <v>496</v>
      </c>
      <c r="S329" s="283" t="s">
        <v>496</v>
      </c>
      <c r="T329" s="283" t="s">
        <v>496</v>
      </c>
      <c r="U329" s="283" t="s">
        <v>496</v>
      </c>
      <c r="V329" s="283" t="s">
        <v>496</v>
      </c>
      <c r="W329" s="283" t="s">
        <v>496</v>
      </c>
      <c r="X329" s="283" t="s">
        <v>496</v>
      </c>
      <c r="Y329" s="283" t="s">
        <v>496</v>
      </c>
      <c r="Z329" s="283" t="s">
        <v>496</v>
      </c>
      <c r="AA329" s="281" t="s">
        <v>1924</v>
      </c>
      <c r="AB329" s="5" t="s">
        <v>4216</v>
      </c>
    </row>
    <row r="330" spans="2:28">
      <c r="B330" s="250" t="s">
        <v>440</v>
      </c>
      <c r="C330" s="254" t="s">
        <v>256</v>
      </c>
      <c r="D330" s="255">
        <v>1000</v>
      </c>
      <c r="E330" s="250" t="s">
        <v>402</v>
      </c>
      <c r="F330" s="255">
        <v>140</v>
      </c>
      <c r="G330" s="205">
        <v>43322</v>
      </c>
      <c r="H330" s="250" t="s">
        <v>689</v>
      </c>
      <c r="I330" s="250" t="s">
        <v>1925</v>
      </c>
      <c r="J330" s="250" t="s">
        <v>614</v>
      </c>
      <c r="K330" s="250" t="s">
        <v>1927</v>
      </c>
      <c r="L330" s="250">
        <v>2014</v>
      </c>
      <c r="M330" s="250" t="s">
        <v>1929</v>
      </c>
      <c r="N330" s="250" t="s">
        <v>1928</v>
      </c>
      <c r="O330" s="251" t="s">
        <v>496</v>
      </c>
      <c r="P330" s="251" t="s">
        <v>496</v>
      </c>
      <c r="Q330" s="251" t="s">
        <v>496</v>
      </c>
      <c r="R330" s="251" t="s">
        <v>496</v>
      </c>
      <c r="S330" s="251" t="s">
        <v>496</v>
      </c>
      <c r="T330" s="251" t="s">
        <v>496</v>
      </c>
      <c r="U330" s="251" t="s">
        <v>496</v>
      </c>
      <c r="V330" s="251" t="s">
        <v>496</v>
      </c>
      <c r="W330" s="251" t="s">
        <v>496</v>
      </c>
      <c r="X330" s="251" t="s">
        <v>496</v>
      </c>
      <c r="Y330" s="251" t="s">
        <v>496</v>
      </c>
      <c r="Z330" s="251" t="s">
        <v>496</v>
      </c>
      <c r="AA330" s="250" t="s">
        <v>1924</v>
      </c>
    </row>
    <row r="331" spans="2:28">
      <c r="B331" s="250" t="s">
        <v>1942</v>
      </c>
      <c r="C331" s="284" t="s">
        <v>730</v>
      </c>
      <c r="D331" s="255">
        <v>1000</v>
      </c>
      <c r="E331" s="281" t="s">
        <v>544</v>
      </c>
      <c r="F331" s="255">
        <v>228.57142857142858</v>
      </c>
      <c r="G331" s="253">
        <v>45078</v>
      </c>
      <c r="H331" s="281" t="s">
        <v>4355</v>
      </c>
      <c r="I331" s="281" t="s">
        <v>4354</v>
      </c>
      <c r="J331" s="281" t="s">
        <v>614</v>
      </c>
      <c r="K331" s="281" t="s">
        <v>1277</v>
      </c>
      <c r="L331" s="250">
        <v>2023</v>
      </c>
      <c r="M331" s="281" t="s">
        <v>4356</v>
      </c>
      <c r="N331" s="281" t="s">
        <v>4357</v>
      </c>
      <c r="O331" s="283" t="s">
        <v>544</v>
      </c>
      <c r="P331" s="251">
        <v>50</v>
      </c>
      <c r="Q331" s="283" t="s">
        <v>4354</v>
      </c>
      <c r="R331" s="283" t="s">
        <v>496</v>
      </c>
      <c r="S331" s="283" t="s">
        <v>496</v>
      </c>
      <c r="T331" s="283" t="s">
        <v>496</v>
      </c>
      <c r="U331" s="283" t="s">
        <v>496</v>
      </c>
      <c r="V331" s="283" t="s">
        <v>496</v>
      </c>
      <c r="W331" s="283" t="s">
        <v>496</v>
      </c>
      <c r="X331" s="283" t="s">
        <v>496</v>
      </c>
      <c r="Y331" s="283" t="s">
        <v>496</v>
      </c>
      <c r="Z331" s="283" t="s">
        <v>496</v>
      </c>
      <c r="AA331" s="281" t="s">
        <v>1924</v>
      </c>
    </row>
    <row r="332" spans="2:28" s="281" customFormat="1">
      <c r="B332" s="281" t="s">
        <v>1988</v>
      </c>
      <c r="C332" s="284" t="s">
        <v>730</v>
      </c>
      <c r="D332" s="285">
        <v>1000</v>
      </c>
      <c r="F332" s="285"/>
      <c r="G332" s="282"/>
      <c r="M332" s="281" t="s">
        <v>4478</v>
      </c>
      <c r="O332" s="283"/>
      <c r="P332" s="283"/>
      <c r="Q332" s="283"/>
      <c r="R332" s="283"/>
      <c r="S332" s="283"/>
      <c r="T332" s="283"/>
      <c r="U332" s="283"/>
      <c r="V332" s="283"/>
      <c r="W332" s="283"/>
      <c r="X332" s="283"/>
      <c r="Y332" s="283"/>
      <c r="Z332" s="283"/>
      <c r="AA332" s="281" t="s">
        <v>1848</v>
      </c>
      <c r="AB332" s="5" t="s">
        <v>4479</v>
      </c>
    </row>
    <row r="333" spans="2:28">
      <c r="B333" s="250" t="s">
        <v>1948</v>
      </c>
      <c r="C333" s="284" t="s">
        <v>256</v>
      </c>
      <c r="D333" s="255">
        <v>785</v>
      </c>
      <c r="E333" s="281" t="s">
        <v>402</v>
      </c>
      <c r="F333" s="255">
        <v>215</v>
      </c>
      <c r="G333" s="253">
        <v>44496</v>
      </c>
      <c r="H333" s="281" t="s">
        <v>4455</v>
      </c>
      <c r="I333" s="281" t="s">
        <v>4452</v>
      </c>
      <c r="J333" s="281" t="s">
        <v>430</v>
      </c>
      <c r="K333" s="281" t="s">
        <v>4450</v>
      </c>
      <c r="L333" s="250">
        <v>2018</v>
      </c>
      <c r="M333" s="281" t="s">
        <v>4451</v>
      </c>
      <c r="N333" s="281" t="s">
        <v>4454</v>
      </c>
      <c r="AA333" s="281" t="s">
        <v>1108</v>
      </c>
      <c r="AB333" s="5" t="s">
        <v>4453</v>
      </c>
    </row>
    <row r="334" spans="2:28">
      <c r="B334" s="275" t="s">
        <v>1825</v>
      </c>
      <c r="C334" s="278" t="s">
        <v>256</v>
      </c>
      <c r="D334" s="255">
        <v>700</v>
      </c>
      <c r="E334" s="275" t="s">
        <v>565</v>
      </c>
      <c r="H334" s="275"/>
      <c r="J334" s="275" t="s">
        <v>614</v>
      </c>
      <c r="K334" s="275" t="s">
        <v>658</v>
      </c>
      <c r="M334" s="275" t="s">
        <v>4034</v>
      </c>
      <c r="AA334" s="275"/>
      <c r="AB334" s="5"/>
    </row>
    <row r="335" spans="2:28">
      <c r="B335" s="250" t="s">
        <v>1932</v>
      </c>
      <c r="C335" s="278" t="s">
        <v>256</v>
      </c>
      <c r="D335" s="255">
        <v>700</v>
      </c>
      <c r="E335" s="275" t="s">
        <v>402</v>
      </c>
      <c r="F335" s="255">
        <f>1500/7</f>
        <v>214.28571428571428</v>
      </c>
      <c r="G335" s="253">
        <v>44922</v>
      </c>
      <c r="H335" s="275" t="s">
        <v>4030</v>
      </c>
      <c r="I335" s="275" t="s">
        <v>4027</v>
      </c>
      <c r="J335" s="275" t="s">
        <v>614</v>
      </c>
      <c r="K335" s="275" t="s">
        <v>633</v>
      </c>
      <c r="L335" s="250">
        <v>2020</v>
      </c>
      <c r="N335" s="275" t="s">
        <v>496</v>
      </c>
      <c r="O335" s="275" t="s">
        <v>496</v>
      </c>
      <c r="P335" s="275" t="s">
        <v>496</v>
      </c>
      <c r="Q335" s="275" t="s">
        <v>496</v>
      </c>
      <c r="R335" s="275" t="s">
        <v>496</v>
      </c>
      <c r="S335" s="275" t="s">
        <v>496</v>
      </c>
      <c r="T335" s="275" t="s">
        <v>496</v>
      </c>
      <c r="U335" s="275" t="s">
        <v>496</v>
      </c>
      <c r="V335" s="275" t="s">
        <v>496</v>
      </c>
      <c r="W335" s="275" t="s">
        <v>496</v>
      </c>
      <c r="X335" s="275" t="s">
        <v>496</v>
      </c>
      <c r="Y335" s="275" t="s">
        <v>496</v>
      </c>
      <c r="Z335" s="275" t="s">
        <v>496</v>
      </c>
      <c r="AA335" s="275" t="s">
        <v>1924</v>
      </c>
      <c r="AB335" s="5" t="s">
        <v>4029</v>
      </c>
    </row>
    <row r="336" spans="2:28">
      <c r="B336" s="250" t="s">
        <v>634</v>
      </c>
      <c r="C336" s="254" t="s">
        <v>256</v>
      </c>
      <c r="D336" s="255">
        <v>400</v>
      </c>
      <c r="E336" s="250" t="s">
        <v>402</v>
      </c>
      <c r="F336" s="255">
        <v>44</v>
      </c>
      <c r="G336" s="253">
        <v>45006</v>
      </c>
      <c r="H336" s="250" t="s">
        <v>1229</v>
      </c>
      <c r="I336" s="250" t="s">
        <v>1228</v>
      </c>
      <c r="J336" s="250" t="s">
        <v>614</v>
      </c>
      <c r="K336" s="250" t="s">
        <v>646</v>
      </c>
      <c r="L336" s="250">
        <v>2012</v>
      </c>
      <c r="N336" s="250" t="s">
        <v>1230</v>
      </c>
      <c r="O336" s="251" t="s">
        <v>496</v>
      </c>
      <c r="P336" s="251">
        <v>39.700000000000003</v>
      </c>
      <c r="Q336" s="251" t="s">
        <v>496</v>
      </c>
      <c r="R336" s="251" t="s">
        <v>544</v>
      </c>
      <c r="S336" s="251">
        <v>15</v>
      </c>
      <c r="T336" s="251" t="s">
        <v>1231</v>
      </c>
      <c r="U336" s="251" t="s">
        <v>549</v>
      </c>
      <c r="V336" s="251">
        <v>4</v>
      </c>
      <c r="W336" s="251" t="s">
        <v>1232</v>
      </c>
      <c r="X336" s="251" t="s">
        <v>669</v>
      </c>
      <c r="Y336" s="251" t="s">
        <v>496</v>
      </c>
      <c r="Z336" s="251" t="s">
        <v>496</v>
      </c>
      <c r="AA336" s="250" t="s">
        <v>834</v>
      </c>
    </row>
    <row r="337" spans="2:27">
      <c r="B337" s="250" t="s">
        <v>435</v>
      </c>
      <c r="C337" s="254" t="s">
        <v>256</v>
      </c>
      <c r="D337" s="255">
        <v>500</v>
      </c>
      <c r="E337" s="250" t="s">
        <v>402</v>
      </c>
      <c r="F337" s="255">
        <v>159</v>
      </c>
      <c r="G337" s="253">
        <v>45092</v>
      </c>
      <c r="H337" s="250" t="s">
        <v>729</v>
      </c>
      <c r="I337" s="267" t="s">
        <v>496</v>
      </c>
      <c r="J337" s="250" t="s">
        <v>728</v>
      </c>
      <c r="K337" s="250" t="s">
        <v>728</v>
      </c>
      <c r="L337" s="250">
        <v>2015</v>
      </c>
      <c r="N337" s="250" t="s">
        <v>1893</v>
      </c>
      <c r="O337" s="251" t="s">
        <v>402</v>
      </c>
      <c r="P337" s="251">
        <v>159</v>
      </c>
      <c r="Q337" s="251" t="s">
        <v>1894</v>
      </c>
      <c r="R337" s="251" t="s">
        <v>544</v>
      </c>
      <c r="S337" s="251">
        <v>12</v>
      </c>
      <c r="T337" s="251" t="s">
        <v>1895</v>
      </c>
      <c r="U337" s="251" t="s">
        <v>496</v>
      </c>
      <c r="V337" s="251" t="s">
        <v>496</v>
      </c>
      <c r="W337" s="251" t="s">
        <v>496</v>
      </c>
      <c r="X337" s="251" t="s">
        <v>496</v>
      </c>
      <c r="Y337" s="251" t="s">
        <v>496</v>
      </c>
      <c r="Z337" s="251" t="s">
        <v>496</v>
      </c>
      <c r="AA337" s="250" t="s">
        <v>844</v>
      </c>
    </row>
    <row r="338" spans="2:27">
      <c r="B338" s="250" t="s">
        <v>434</v>
      </c>
      <c r="C338" s="254" t="s">
        <v>256</v>
      </c>
      <c r="D338" s="255">
        <v>500</v>
      </c>
      <c r="E338" s="250" t="s">
        <v>565</v>
      </c>
      <c r="F338" s="255">
        <v>169</v>
      </c>
      <c r="G338" s="253">
        <v>44727</v>
      </c>
      <c r="H338" s="250" t="s">
        <v>451</v>
      </c>
      <c r="I338" s="250" t="s">
        <v>1896</v>
      </c>
      <c r="J338" s="250" t="s">
        <v>451</v>
      </c>
      <c r="K338" s="250" t="s">
        <v>451</v>
      </c>
      <c r="L338" s="250">
        <v>2010</v>
      </c>
      <c r="N338" s="250" t="s">
        <v>1897</v>
      </c>
      <c r="O338" s="251" t="s">
        <v>402</v>
      </c>
      <c r="P338" s="251">
        <v>14</v>
      </c>
      <c r="Q338" s="251" t="s">
        <v>1898</v>
      </c>
      <c r="R338" s="251" t="s">
        <v>544</v>
      </c>
      <c r="S338" s="251">
        <v>6</v>
      </c>
      <c r="T338" s="251" t="s">
        <v>1899</v>
      </c>
      <c r="U338" s="251" t="s">
        <v>496</v>
      </c>
      <c r="V338" s="251" t="s">
        <v>496</v>
      </c>
      <c r="W338" s="251" t="s">
        <v>496</v>
      </c>
      <c r="X338" s="251" t="s">
        <v>496</v>
      </c>
      <c r="Y338" s="251" t="s">
        <v>496</v>
      </c>
      <c r="Z338" s="251" t="s">
        <v>496</v>
      </c>
      <c r="AA338" s="250" t="s">
        <v>1735</v>
      </c>
    </row>
    <row r="339" spans="2:27">
      <c r="B339" s="250" t="s">
        <v>620</v>
      </c>
      <c r="C339" s="254" t="s">
        <v>256</v>
      </c>
      <c r="D339" s="255">
        <v>400</v>
      </c>
      <c r="E339" s="250" t="s">
        <v>544</v>
      </c>
      <c r="F339" s="255">
        <v>70</v>
      </c>
      <c r="G339" s="253">
        <v>45035</v>
      </c>
      <c r="H339" s="250" t="s">
        <v>1668</v>
      </c>
      <c r="I339" s="250" t="s">
        <v>1666</v>
      </c>
      <c r="J339" s="250" t="s">
        <v>614</v>
      </c>
      <c r="K339" s="250" t="s">
        <v>658</v>
      </c>
      <c r="L339" s="250">
        <v>2022</v>
      </c>
      <c r="N339" s="250" t="s">
        <v>1669</v>
      </c>
      <c r="O339" s="251" t="s">
        <v>496</v>
      </c>
      <c r="P339" s="251" t="s">
        <v>496</v>
      </c>
      <c r="Q339" s="251" t="s">
        <v>496</v>
      </c>
      <c r="R339" s="251" t="s">
        <v>496</v>
      </c>
      <c r="S339" s="251" t="s">
        <v>496</v>
      </c>
      <c r="T339" s="251" t="s">
        <v>496</v>
      </c>
      <c r="U339" s="251" t="s">
        <v>496</v>
      </c>
      <c r="V339" s="251" t="s">
        <v>496</v>
      </c>
      <c r="W339" s="251" t="s">
        <v>496</v>
      </c>
      <c r="X339" s="251" t="s">
        <v>496</v>
      </c>
      <c r="Y339" s="251" t="s">
        <v>496</v>
      </c>
      <c r="Z339" s="251" t="s">
        <v>496</v>
      </c>
      <c r="AA339" s="250" t="s">
        <v>1667</v>
      </c>
    </row>
    <row r="340" spans="2:27">
      <c r="B340" s="250" t="s">
        <v>1520</v>
      </c>
      <c r="C340" s="254" t="s">
        <v>256</v>
      </c>
      <c r="D340" s="255">
        <v>300</v>
      </c>
      <c r="E340" s="250" t="s">
        <v>565</v>
      </c>
      <c r="F340" s="255">
        <v>40</v>
      </c>
      <c r="G340" s="253">
        <v>44909</v>
      </c>
      <c r="H340" s="250" t="s">
        <v>3033</v>
      </c>
      <c r="I340" s="250" t="s">
        <v>3030</v>
      </c>
      <c r="J340" s="250" t="s">
        <v>614</v>
      </c>
      <c r="K340" s="250" t="s">
        <v>3034</v>
      </c>
      <c r="L340" s="250">
        <v>2013</v>
      </c>
      <c r="M340" s="250" t="s">
        <v>3029</v>
      </c>
      <c r="N340" s="250" t="s">
        <v>3032</v>
      </c>
      <c r="O340" s="251" t="s">
        <v>565</v>
      </c>
      <c r="P340" s="251">
        <v>40</v>
      </c>
      <c r="Q340" s="251" t="s">
        <v>3035</v>
      </c>
      <c r="R340" s="251" t="s">
        <v>402</v>
      </c>
      <c r="S340" s="251" t="s">
        <v>496</v>
      </c>
      <c r="T340" s="251" t="s">
        <v>3036</v>
      </c>
      <c r="U340" s="251" t="s">
        <v>544</v>
      </c>
      <c r="V340" s="251">
        <v>15</v>
      </c>
      <c r="W340" s="251" t="s">
        <v>3037</v>
      </c>
      <c r="X340" s="251" t="s">
        <v>496</v>
      </c>
      <c r="Y340" s="251" t="s">
        <v>496</v>
      </c>
      <c r="Z340" s="251" t="s">
        <v>496</v>
      </c>
      <c r="AA340" s="250" t="s">
        <v>837</v>
      </c>
    </row>
    <row r="341" spans="2:27">
      <c r="B341" s="250" t="s">
        <v>2223</v>
      </c>
      <c r="C341" s="254" t="s">
        <v>256</v>
      </c>
      <c r="D341" s="255" t="s">
        <v>496</v>
      </c>
      <c r="E341" s="250" t="s">
        <v>549</v>
      </c>
      <c r="F341" s="255" t="s">
        <v>496</v>
      </c>
      <c r="G341" s="253">
        <v>44750</v>
      </c>
      <c r="H341" s="250" t="s">
        <v>2224</v>
      </c>
      <c r="I341" s="250" t="s">
        <v>2221</v>
      </c>
      <c r="J341" s="250" t="s">
        <v>759</v>
      </c>
      <c r="K341" s="250" t="s">
        <v>2220</v>
      </c>
      <c r="L341" s="250">
        <v>2020</v>
      </c>
      <c r="N341" s="250" t="s">
        <v>2225</v>
      </c>
      <c r="O341" s="251" t="s">
        <v>669</v>
      </c>
      <c r="P341" s="251">
        <v>2</v>
      </c>
      <c r="Q341" s="251" t="s">
        <v>2226</v>
      </c>
      <c r="R341" s="251" t="s">
        <v>496</v>
      </c>
      <c r="S341" s="251" t="s">
        <v>496</v>
      </c>
      <c r="T341" s="251" t="s">
        <v>496</v>
      </c>
      <c r="U341" s="251" t="s">
        <v>496</v>
      </c>
      <c r="V341" s="251" t="s">
        <v>496</v>
      </c>
      <c r="W341" s="251" t="s">
        <v>496</v>
      </c>
      <c r="X341" s="251" t="s">
        <v>496</v>
      </c>
      <c r="Y341" s="251" t="s">
        <v>496</v>
      </c>
      <c r="Z341" s="251" t="s">
        <v>496</v>
      </c>
      <c r="AA341" s="250" t="s">
        <v>2227</v>
      </c>
    </row>
    <row r="342" spans="2:27">
      <c r="B342" s="250" t="s">
        <v>1900</v>
      </c>
      <c r="C342" s="254" t="s">
        <v>730</v>
      </c>
      <c r="D342" s="255">
        <v>230</v>
      </c>
      <c r="E342" s="250" t="s">
        <v>544</v>
      </c>
      <c r="F342" s="255">
        <v>150</v>
      </c>
      <c r="G342" s="253">
        <v>44165</v>
      </c>
      <c r="I342" s="267" t="s">
        <v>496</v>
      </c>
      <c r="J342" s="250" t="s">
        <v>614</v>
      </c>
      <c r="K342" s="250" t="s">
        <v>731</v>
      </c>
      <c r="L342" s="250">
        <v>2016</v>
      </c>
      <c r="N342" s="250" t="s">
        <v>1901</v>
      </c>
      <c r="O342" s="251" t="s">
        <v>496</v>
      </c>
      <c r="P342" s="251" t="s">
        <v>496</v>
      </c>
      <c r="Q342" s="251" t="s">
        <v>496</v>
      </c>
      <c r="R342" s="251" t="s">
        <v>496</v>
      </c>
      <c r="S342" s="251" t="s">
        <v>496</v>
      </c>
      <c r="T342" s="251" t="s">
        <v>496</v>
      </c>
      <c r="U342" s="251" t="s">
        <v>496</v>
      </c>
      <c r="V342" s="251" t="s">
        <v>496</v>
      </c>
      <c r="W342" s="251" t="s">
        <v>496</v>
      </c>
      <c r="X342" s="251" t="s">
        <v>496</v>
      </c>
      <c r="Y342" s="251" t="s">
        <v>496</v>
      </c>
      <c r="Z342" s="251" t="s">
        <v>496</v>
      </c>
      <c r="AA342" s="250" t="s">
        <v>1903</v>
      </c>
    </row>
    <row r="343" spans="2:27">
      <c r="B343" s="281" t="s">
        <v>4163</v>
      </c>
      <c r="C343" s="284" t="s">
        <v>730</v>
      </c>
      <c r="D343" s="255">
        <v>200</v>
      </c>
      <c r="E343" s="281" t="s">
        <v>755</v>
      </c>
      <c r="F343" s="255">
        <v>30</v>
      </c>
      <c r="G343" s="253">
        <v>43178</v>
      </c>
      <c r="H343" s="281" t="s">
        <v>4166</v>
      </c>
      <c r="I343" s="281" t="s">
        <v>4164</v>
      </c>
      <c r="J343" s="281" t="s">
        <v>614</v>
      </c>
      <c r="K343" s="281" t="s">
        <v>2564</v>
      </c>
      <c r="L343" s="250">
        <v>2000</v>
      </c>
      <c r="M343" s="281" t="s">
        <v>4167</v>
      </c>
      <c r="N343" s="281" t="s">
        <v>4168</v>
      </c>
      <c r="O343" s="283" t="s">
        <v>755</v>
      </c>
      <c r="P343" s="251">
        <v>40</v>
      </c>
      <c r="Q343" s="283" t="s">
        <v>4176</v>
      </c>
      <c r="R343" s="283" t="s">
        <v>496</v>
      </c>
      <c r="S343" s="283" t="s">
        <v>496</v>
      </c>
      <c r="T343" s="283" t="s">
        <v>496</v>
      </c>
      <c r="U343" s="283" t="s">
        <v>496</v>
      </c>
      <c r="V343" s="283" t="s">
        <v>496</v>
      </c>
      <c r="W343" s="283" t="s">
        <v>496</v>
      </c>
      <c r="X343" s="283" t="s">
        <v>496</v>
      </c>
      <c r="Y343" s="283" t="s">
        <v>496</v>
      </c>
      <c r="Z343" s="283" t="s">
        <v>496</v>
      </c>
      <c r="AA343" s="281" t="s">
        <v>4165</v>
      </c>
    </row>
    <row r="344" spans="2:27">
      <c r="B344" s="250" t="s">
        <v>1677</v>
      </c>
      <c r="C344" s="254" t="s">
        <v>256</v>
      </c>
      <c r="D344" s="255">
        <v>150</v>
      </c>
      <c r="E344" s="250" t="s">
        <v>565</v>
      </c>
      <c r="F344" s="255">
        <v>30</v>
      </c>
      <c r="G344" s="253">
        <v>44251</v>
      </c>
      <c r="H344" s="250" t="s">
        <v>3717</v>
      </c>
      <c r="I344" s="250" t="s">
        <v>3716</v>
      </c>
      <c r="J344" s="250" t="s">
        <v>614</v>
      </c>
      <c r="K344" s="250" t="s">
        <v>2591</v>
      </c>
      <c r="L344" s="250">
        <v>2014</v>
      </c>
      <c r="N344" s="250" t="s">
        <v>3718</v>
      </c>
      <c r="O344" s="251" t="s">
        <v>496</v>
      </c>
      <c r="P344" s="251" t="s">
        <v>496</v>
      </c>
      <c r="Q344" s="251" t="s">
        <v>496</v>
      </c>
      <c r="R344" s="251" t="s">
        <v>496</v>
      </c>
      <c r="S344" s="251" t="s">
        <v>496</v>
      </c>
      <c r="T344" s="251" t="s">
        <v>496</v>
      </c>
      <c r="U344" s="251" t="s">
        <v>496</v>
      </c>
      <c r="V344" s="251" t="s">
        <v>496</v>
      </c>
      <c r="W344" s="251" t="s">
        <v>496</v>
      </c>
      <c r="X344" s="251" t="s">
        <v>496</v>
      </c>
      <c r="Y344" s="251" t="s">
        <v>496</v>
      </c>
      <c r="Z344" s="251" t="s">
        <v>496</v>
      </c>
      <c r="AA344" s="250" t="s">
        <v>1848</v>
      </c>
    </row>
    <row r="345" spans="2:27">
      <c r="B345" s="250" t="s">
        <v>590</v>
      </c>
      <c r="C345" s="254" t="s">
        <v>256</v>
      </c>
      <c r="D345" s="255" t="s">
        <v>496</v>
      </c>
      <c r="E345" s="250" t="s">
        <v>669</v>
      </c>
      <c r="F345" s="255" t="s">
        <v>496</v>
      </c>
      <c r="G345" s="255" t="s">
        <v>496</v>
      </c>
      <c r="I345" s="250" t="s">
        <v>2175</v>
      </c>
      <c r="J345" s="250" t="s">
        <v>456</v>
      </c>
      <c r="K345" s="250" t="s">
        <v>430</v>
      </c>
      <c r="L345" s="250">
        <v>2022</v>
      </c>
      <c r="N345" s="263" t="s">
        <v>496</v>
      </c>
      <c r="O345" s="263" t="s">
        <v>496</v>
      </c>
      <c r="P345" s="263" t="s">
        <v>496</v>
      </c>
      <c r="Q345" s="263" t="s">
        <v>496</v>
      </c>
      <c r="R345" s="263" t="s">
        <v>496</v>
      </c>
      <c r="S345" s="263" t="s">
        <v>496</v>
      </c>
      <c r="T345" s="263" t="s">
        <v>496</v>
      </c>
      <c r="U345" s="263" t="s">
        <v>496</v>
      </c>
      <c r="V345" s="263" t="s">
        <v>496</v>
      </c>
      <c r="W345" s="263" t="s">
        <v>496</v>
      </c>
      <c r="X345" s="263" t="s">
        <v>496</v>
      </c>
      <c r="Y345" s="263" t="s">
        <v>496</v>
      </c>
      <c r="Z345" s="263" t="s">
        <v>496</v>
      </c>
      <c r="AA345" s="250" t="s">
        <v>2174</v>
      </c>
    </row>
    <row r="346" spans="2:27">
      <c r="B346" s="250" t="s">
        <v>1916</v>
      </c>
      <c r="C346" s="254" t="s">
        <v>730</v>
      </c>
      <c r="D346" s="255" t="s">
        <v>496</v>
      </c>
      <c r="E346" s="263" t="s">
        <v>496</v>
      </c>
      <c r="F346" s="255">
        <v>150</v>
      </c>
      <c r="G346" s="252">
        <v>2016</v>
      </c>
      <c r="H346" s="250" t="s">
        <v>1917</v>
      </c>
      <c r="I346" s="267" t="s">
        <v>496</v>
      </c>
      <c r="J346" s="250" t="s">
        <v>614</v>
      </c>
      <c r="K346" s="250" t="s">
        <v>1918</v>
      </c>
      <c r="L346" s="250">
        <v>2016</v>
      </c>
      <c r="N346" s="250" t="s">
        <v>496</v>
      </c>
      <c r="O346" s="251" t="s">
        <v>496</v>
      </c>
      <c r="P346" s="251" t="s">
        <v>496</v>
      </c>
      <c r="Q346" s="251" t="s">
        <v>496</v>
      </c>
      <c r="R346" s="251" t="s">
        <v>496</v>
      </c>
      <c r="S346" s="251" t="s">
        <v>496</v>
      </c>
      <c r="T346" s="251" t="s">
        <v>496</v>
      </c>
      <c r="U346" s="251" t="s">
        <v>496</v>
      </c>
      <c r="V346" s="251" t="s">
        <v>496</v>
      </c>
      <c r="W346" s="251" t="s">
        <v>496</v>
      </c>
      <c r="X346" s="251" t="s">
        <v>496</v>
      </c>
      <c r="Y346" s="251" t="s">
        <v>496</v>
      </c>
      <c r="Z346" s="251" t="s">
        <v>496</v>
      </c>
      <c r="AA346" s="250" t="s">
        <v>844</v>
      </c>
    </row>
    <row r="347" spans="2:27">
      <c r="B347" s="250" t="s">
        <v>1145</v>
      </c>
      <c r="C347" s="254" t="s">
        <v>256</v>
      </c>
      <c r="D347" s="255" t="s">
        <v>496</v>
      </c>
      <c r="E347" s="250" t="s">
        <v>669</v>
      </c>
      <c r="F347" s="255" t="s">
        <v>496</v>
      </c>
      <c r="G347" s="252" t="s">
        <v>496</v>
      </c>
      <c r="H347" s="250" t="s">
        <v>2475</v>
      </c>
      <c r="I347" s="267" t="s">
        <v>496</v>
      </c>
      <c r="J347" s="250" t="s">
        <v>613</v>
      </c>
      <c r="K347" s="250" t="s">
        <v>2455</v>
      </c>
      <c r="L347" s="250">
        <v>2022</v>
      </c>
      <c r="N347" s="250" t="s">
        <v>2477</v>
      </c>
      <c r="O347" s="250" t="s">
        <v>496</v>
      </c>
      <c r="P347" s="250" t="s">
        <v>496</v>
      </c>
      <c r="Q347" s="250" t="s">
        <v>496</v>
      </c>
      <c r="R347" s="250" t="s">
        <v>496</v>
      </c>
      <c r="S347" s="250" t="s">
        <v>496</v>
      </c>
      <c r="T347" s="250" t="s">
        <v>496</v>
      </c>
      <c r="U347" s="250" t="s">
        <v>496</v>
      </c>
      <c r="V347" s="250" t="s">
        <v>496</v>
      </c>
      <c r="W347" s="250" t="s">
        <v>496</v>
      </c>
      <c r="X347" s="250" t="s">
        <v>496</v>
      </c>
      <c r="Y347" s="250" t="s">
        <v>496</v>
      </c>
      <c r="Z347" s="250" t="s">
        <v>496</v>
      </c>
      <c r="AA347" s="250" t="s">
        <v>2474</v>
      </c>
    </row>
    <row r="348" spans="2:27">
      <c r="B348" s="250" t="s">
        <v>1148</v>
      </c>
      <c r="C348" s="254" t="s">
        <v>256</v>
      </c>
      <c r="D348" s="255" t="s">
        <v>256</v>
      </c>
      <c r="E348" s="255" t="s">
        <v>256</v>
      </c>
      <c r="F348" s="255" t="s">
        <v>256</v>
      </c>
      <c r="G348" s="255" t="s">
        <v>256</v>
      </c>
      <c r="H348" s="250" t="s">
        <v>865</v>
      </c>
      <c r="I348" s="267" t="s">
        <v>496</v>
      </c>
      <c r="J348" s="250" t="s">
        <v>614</v>
      </c>
      <c r="K348" s="250" t="s">
        <v>639</v>
      </c>
      <c r="L348" s="250">
        <v>2014</v>
      </c>
      <c r="N348" s="250" t="s">
        <v>496</v>
      </c>
      <c r="O348" s="250" t="s">
        <v>496</v>
      </c>
      <c r="P348" s="250" t="s">
        <v>496</v>
      </c>
      <c r="Q348" s="250" t="s">
        <v>496</v>
      </c>
      <c r="R348" s="250" t="s">
        <v>496</v>
      </c>
      <c r="S348" s="250" t="s">
        <v>496</v>
      </c>
      <c r="T348" s="250" t="s">
        <v>496</v>
      </c>
      <c r="U348" s="250" t="s">
        <v>496</v>
      </c>
      <c r="V348" s="250" t="s">
        <v>496</v>
      </c>
      <c r="W348" s="250" t="s">
        <v>496</v>
      </c>
      <c r="X348" s="250" t="s">
        <v>496</v>
      </c>
      <c r="Y348" s="250" t="s">
        <v>496</v>
      </c>
      <c r="Z348" s="250" t="s">
        <v>496</v>
      </c>
      <c r="AA348" s="250" t="s">
        <v>1848</v>
      </c>
    </row>
    <row r="349" spans="2:27">
      <c r="B349" s="250" t="s">
        <v>503</v>
      </c>
      <c r="C349" s="254" t="s">
        <v>256</v>
      </c>
      <c r="D349" s="255" t="s">
        <v>496</v>
      </c>
      <c r="E349" s="255" t="s">
        <v>496</v>
      </c>
      <c r="F349" s="255" t="s">
        <v>496</v>
      </c>
      <c r="G349" s="255" t="s">
        <v>496</v>
      </c>
      <c r="H349" s="250" t="s">
        <v>2371</v>
      </c>
      <c r="I349" s="250" t="s">
        <v>2373</v>
      </c>
      <c r="J349" s="250" t="s">
        <v>614</v>
      </c>
      <c r="K349" s="250" t="s">
        <v>2372</v>
      </c>
      <c r="L349" s="250">
        <v>2022</v>
      </c>
      <c r="M349" s="5" t="s">
        <v>506</v>
      </c>
      <c r="N349" s="250" t="s">
        <v>496</v>
      </c>
      <c r="O349" s="250" t="s">
        <v>496</v>
      </c>
      <c r="P349" s="250" t="s">
        <v>496</v>
      </c>
      <c r="Q349" s="250" t="s">
        <v>496</v>
      </c>
      <c r="R349" s="250" t="s">
        <v>496</v>
      </c>
      <c r="S349" s="250" t="s">
        <v>496</v>
      </c>
      <c r="T349" s="250" t="s">
        <v>496</v>
      </c>
      <c r="U349" s="250" t="s">
        <v>496</v>
      </c>
      <c r="V349" s="250" t="s">
        <v>496</v>
      </c>
      <c r="W349" s="250" t="s">
        <v>496</v>
      </c>
      <c r="X349" s="250" t="s">
        <v>496</v>
      </c>
      <c r="Y349" s="250" t="s">
        <v>496</v>
      </c>
      <c r="Z349" s="250" t="s">
        <v>496</v>
      </c>
      <c r="AA349" s="250" t="s">
        <v>1108</v>
      </c>
    </row>
    <row r="350" spans="2:27">
      <c r="B350" s="250" t="s">
        <v>3728</v>
      </c>
      <c r="C350" s="254" t="s">
        <v>256</v>
      </c>
      <c r="D350" s="255" t="s">
        <v>496</v>
      </c>
      <c r="E350" s="255" t="s">
        <v>496</v>
      </c>
      <c r="F350" s="255" t="s">
        <v>496</v>
      </c>
      <c r="G350" s="255" t="s">
        <v>496</v>
      </c>
      <c r="H350" s="250" t="s">
        <v>2374</v>
      </c>
      <c r="I350" s="250" t="s">
        <v>2375</v>
      </c>
      <c r="J350" s="250" t="s">
        <v>614</v>
      </c>
      <c r="K350" s="250" t="s">
        <v>430</v>
      </c>
      <c r="L350" s="250">
        <v>2019</v>
      </c>
      <c r="N350" s="250" t="s">
        <v>496</v>
      </c>
      <c r="O350" s="250" t="s">
        <v>496</v>
      </c>
      <c r="P350" s="250" t="s">
        <v>496</v>
      </c>
      <c r="Q350" s="250" t="s">
        <v>496</v>
      </c>
      <c r="R350" s="250" t="s">
        <v>496</v>
      </c>
      <c r="S350" s="250" t="s">
        <v>496</v>
      </c>
      <c r="T350" s="250" t="s">
        <v>496</v>
      </c>
      <c r="U350" s="250" t="s">
        <v>496</v>
      </c>
      <c r="V350" s="250" t="s">
        <v>496</v>
      </c>
      <c r="W350" s="250" t="s">
        <v>496</v>
      </c>
      <c r="X350" s="250" t="s">
        <v>496</v>
      </c>
      <c r="Y350" s="250" t="s">
        <v>496</v>
      </c>
      <c r="Z350" s="250" t="s">
        <v>496</v>
      </c>
      <c r="AA350" s="250" t="s">
        <v>932</v>
      </c>
    </row>
    <row r="351" spans="2:27">
      <c r="B351" s="250" t="s">
        <v>2396</v>
      </c>
      <c r="C351" s="254" t="s">
        <v>256</v>
      </c>
      <c r="D351" s="255">
        <v>20</v>
      </c>
      <c r="E351" s="250" t="s">
        <v>544</v>
      </c>
      <c r="F351" s="255">
        <v>4</v>
      </c>
      <c r="G351" s="253">
        <v>44531</v>
      </c>
      <c r="H351" s="250" t="s">
        <v>2398</v>
      </c>
      <c r="I351" s="250" t="s">
        <v>2397</v>
      </c>
      <c r="J351" s="250" t="s">
        <v>614</v>
      </c>
      <c r="K351" s="250" t="s">
        <v>1641</v>
      </c>
      <c r="L351" s="250">
        <v>2018</v>
      </c>
      <c r="N351" s="250" t="s">
        <v>496</v>
      </c>
      <c r="O351" s="250" t="s">
        <v>549</v>
      </c>
      <c r="P351" s="251">
        <v>1.5</v>
      </c>
      <c r="Q351" s="250" t="s">
        <v>496</v>
      </c>
      <c r="R351" s="250" t="s">
        <v>669</v>
      </c>
      <c r="S351" s="251">
        <v>0.3</v>
      </c>
      <c r="T351" s="250" t="s">
        <v>496</v>
      </c>
      <c r="U351" s="250" t="s">
        <v>496</v>
      </c>
      <c r="V351" s="250" t="s">
        <v>496</v>
      </c>
      <c r="W351" s="250" t="s">
        <v>496</v>
      </c>
      <c r="X351" s="250" t="s">
        <v>496</v>
      </c>
      <c r="Y351" s="250" t="s">
        <v>496</v>
      </c>
      <c r="Z351" s="250" t="s">
        <v>496</v>
      </c>
      <c r="AA351" s="250" t="s">
        <v>2399</v>
      </c>
    </row>
    <row r="352" spans="2:27">
      <c r="B352" s="250" t="s">
        <v>2503</v>
      </c>
      <c r="C352" s="254" t="s">
        <v>256</v>
      </c>
      <c r="D352" s="255" t="s">
        <v>496</v>
      </c>
      <c r="E352" s="255" t="s">
        <v>496</v>
      </c>
      <c r="F352" s="255" t="s">
        <v>496</v>
      </c>
      <c r="G352" s="255" t="s">
        <v>496</v>
      </c>
      <c r="H352" s="250" t="s">
        <v>2504</v>
      </c>
      <c r="J352" s="250" t="s">
        <v>496</v>
      </c>
      <c r="K352" s="250" t="s">
        <v>496</v>
      </c>
      <c r="L352" s="250">
        <v>2018</v>
      </c>
      <c r="N352" s="250" t="s">
        <v>2505</v>
      </c>
      <c r="O352" s="251" t="s">
        <v>496</v>
      </c>
      <c r="P352" s="251" t="s">
        <v>496</v>
      </c>
      <c r="Q352" s="251" t="s">
        <v>496</v>
      </c>
      <c r="R352" s="251" t="s">
        <v>496</v>
      </c>
      <c r="S352" s="251" t="s">
        <v>496</v>
      </c>
      <c r="T352" s="251" t="s">
        <v>496</v>
      </c>
      <c r="U352" s="251" t="s">
        <v>496</v>
      </c>
      <c r="V352" s="251" t="s">
        <v>496</v>
      </c>
      <c r="W352" s="251" t="s">
        <v>496</v>
      </c>
      <c r="X352" s="251" t="s">
        <v>496</v>
      </c>
      <c r="Y352" s="251" t="s">
        <v>496</v>
      </c>
      <c r="Z352" s="251" t="s">
        <v>496</v>
      </c>
      <c r="AA352" s="250" t="s">
        <v>2502</v>
      </c>
    </row>
    <row r="353" spans="2:27">
      <c r="B353" s="250" t="s">
        <v>1727</v>
      </c>
      <c r="C353" s="268" t="s">
        <v>256</v>
      </c>
      <c r="D353" s="255">
        <v>50</v>
      </c>
      <c r="E353" s="267" t="s">
        <v>544</v>
      </c>
      <c r="F353" s="255">
        <v>22</v>
      </c>
      <c r="G353" s="253">
        <v>45072</v>
      </c>
      <c r="H353" s="267" t="s">
        <v>3771</v>
      </c>
      <c r="I353" s="267" t="s">
        <v>3767</v>
      </c>
      <c r="J353" s="267" t="s">
        <v>646</v>
      </c>
      <c r="K353" s="267" t="s">
        <v>3766</v>
      </c>
      <c r="L353" s="250">
        <v>2018</v>
      </c>
      <c r="N353" s="267" t="s">
        <v>3768</v>
      </c>
      <c r="O353" s="271" t="s">
        <v>549</v>
      </c>
      <c r="P353" s="251">
        <v>23.6</v>
      </c>
      <c r="Q353" s="271" t="s">
        <v>3769</v>
      </c>
      <c r="R353" s="271" t="s">
        <v>549</v>
      </c>
      <c r="S353" s="251">
        <v>4.5</v>
      </c>
      <c r="T353" s="271" t="s">
        <v>3770</v>
      </c>
      <c r="U353" s="271" t="s">
        <v>496</v>
      </c>
      <c r="V353" s="271" t="s">
        <v>496</v>
      </c>
      <c r="W353" s="271" t="s">
        <v>496</v>
      </c>
      <c r="X353" s="271" t="s">
        <v>496</v>
      </c>
      <c r="Y353" s="271" t="s">
        <v>496</v>
      </c>
      <c r="Z353" s="271" t="s">
        <v>496</v>
      </c>
      <c r="AA353" s="267" t="s">
        <v>840</v>
      </c>
    </row>
    <row r="354" spans="2:27">
      <c r="B354" s="250" t="s">
        <v>1353</v>
      </c>
      <c r="C354" s="254" t="s">
        <v>256</v>
      </c>
      <c r="D354" s="255">
        <v>50</v>
      </c>
      <c r="E354" s="250" t="s">
        <v>544</v>
      </c>
      <c r="F354" s="255">
        <v>20</v>
      </c>
      <c r="G354" s="253">
        <v>44396</v>
      </c>
      <c r="H354" s="250" t="s">
        <v>3066</v>
      </c>
      <c r="I354" s="250" t="s">
        <v>3065</v>
      </c>
      <c r="J354" s="250" t="s">
        <v>614</v>
      </c>
      <c r="K354" s="250" t="s">
        <v>430</v>
      </c>
      <c r="L354" s="250">
        <v>2013</v>
      </c>
      <c r="N354" s="250" t="s">
        <v>3067</v>
      </c>
      <c r="O354" s="251" t="s">
        <v>549</v>
      </c>
      <c r="P354" s="251" t="s">
        <v>496</v>
      </c>
      <c r="Q354" s="251" t="s">
        <v>3068</v>
      </c>
      <c r="R354" s="251" t="s">
        <v>496</v>
      </c>
      <c r="S354" s="251" t="s">
        <v>496</v>
      </c>
      <c r="T354" s="251" t="s">
        <v>496</v>
      </c>
      <c r="U354" s="251" t="s">
        <v>496</v>
      </c>
      <c r="V354" s="251" t="s">
        <v>496</v>
      </c>
      <c r="W354" s="251" t="s">
        <v>496</v>
      </c>
      <c r="X354" s="251" t="s">
        <v>496</v>
      </c>
      <c r="Y354" s="251" t="s">
        <v>496</v>
      </c>
      <c r="Z354" s="251" t="s">
        <v>496</v>
      </c>
      <c r="AA354" s="250" t="s">
        <v>932</v>
      </c>
    </row>
    <row r="355" spans="2:27">
      <c r="B355" s="250" t="s">
        <v>1517</v>
      </c>
      <c r="C355" s="254" t="s">
        <v>256</v>
      </c>
      <c r="D355" s="255">
        <v>50</v>
      </c>
      <c r="E355" s="250" t="s">
        <v>402</v>
      </c>
      <c r="F355" s="255">
        <v>20</v>
      </c>
      <c r="G355" s="253">
        <v>44792</v>
      </c>
      <c r="H355" s="250" t="s">
        <v>2389</v>
      </c>
      <c r="I355" s="267" t="s">
        <v>496</v>
      </c>
      <c r="J355" s="250" t="s">
        <v>614</v>
      </c>
      <c r="K355" s="250" t="s">
        <v>430</v>
      </c>
      <c r="L355" s="250">
        <v>2018</v>
      </c>
      <c r="M355" s="250" t="s">
        <v>2390</v>
      </c>
      <c r="AA355" s="250" t="s">
        <v>1257</v>
      </c>
    </row>
    <row r="356" spans="2:27">
      <c r="B356" s="250" t="s">
        <v>1146</v>
      </c>
      <c r="C356" s="254" t="s">
        <v>256</v>
      </c>
      <c r="D356" s="255" t="s">
        <v>496</v>
      </c>
      <c r="E356" s="263" t="s">
        <v>549</v>
      </c>
      <c r="F356" s="255" t="s">
        <v>496</v>
      </c>
      <c r="G356" s="253">
        <v>44454</v>
      </c>
      <c r="I356" s="250" t="s">
        <v>2488</v>
      </c>
      <c r="J356" s="250" t="s">
        <v>614</v>
      </c>
      <c r="K356" s="250" t="s">
        <v>2490</v>
      </c>
      <c r="L356" s="252" t="s">
        <v>496</v>
      </c>
      <c r="N356" s="250" t="s">
        <v>1906</v>
      </c>
      <c r="O356" s="251" t="s">
        <v>496</v>
      </c>
      <c r="P356" s="251" t="s">
        <v>496</v>
      </c>
      <c r="Q356" s="251" t="s">
        <v>496</v>
      </c>
      <c r="R356" s="251" t="s">
        <v>496</v>
      </c>
      <c r="S356" s="251" t="s">
        <v>496</v>
      </c>
      <c r="T356" s="251" t="s">
        <v>496</v>
      </c>
      <c r="U356" s="251" t="s">
        <v>496</v>
      </c>
      <c r="V356" s="251" t="s">
        <v>496</v>
      </c>
      <c r="W356" s="251" t="s">
        <v>496</v>
      </c>
      <c r="X356" s="251" t="s">
        <v>496</v>
      </c>
      <c r="Y356" s="251" t="s">
        <v>496</v>
      </c>
      <c r="Z356" s="251" t="s">
        <v>496</v>
      </c>
      <c r="AA356" s="250" t="s">
        <v>1848</v>
      </c>
    </row>
    <row r="357" spans="2:27">
      <c r="B357" s="250" t="s">
        <v>1290</v>
      </c>
      <c r="C357" s="254" t="s">
        <v>256</v>
      </c>
      <c r="D357" s="255">
        <v>20</v>
      </c>
      <c r="E357" s="250" t="s">
        <v>549</v>
      </c>
      <c r="F357" s="255">
        <v>1.5</v>
      </c>
      <c r="G357" s="253">
        <v>45028</v>
      </c>
      <c r="H357" s="250" t="s">
        <v>2616</v>
      </c>
      <c r="I357" s="250" t="s">
        <v>2618</v>
      </c>
      <c r="J357" s="250" t="s">
        <v>646</v>
      </c>
      <c r="K357" s="250" t="s">
        <v>2615</v>
      </c>
      <c r="L357" s="250">
        <v>2014</v>
      </c>
      <c r="N357" s="250" t="s">
        <v>2619</v>
      </c>
      <c r="O357" s="251" t="s">
        <v>496</v>
      </c>
      <c r="P357" s="251" t="s">
        <v>496</v>
      </c>
      <c r="Q357" s="251" t="s">
        <v>496</v>
      </c>
      <c r="R357" s="251" t="s">
        <v>496</v>
      </c>
      <c r="S357" s="251" t="s">
        <v>496</v>
      </c>
      <c r="T357" s="251" t="s">
        <v>496</v>
      </c>
      <c r="U357" s="251" t="s">
        <v>496</v>
      </c>
      <c r="V357" s="251" t="s">
        <v>496</v>
      </c>
      <c r="W357" s="251" t="s">
        <v>496</v>
      </c>
      <c r="X357" s="251" t="s">
        <v>496</v>
      </c>
      <c r="Y357" s="251" t="s">
        <v>496</v>
      </c>
      <c r="Z357" s="251" t="s">
        <v>496</v>
      </c>
      <c r="AA357" s="250" t="s">
        <v>2617</v>
      </c>
    </row>
    <row r="358" spans="2:27">
      <c r="B358" s="250" t="s">
        <v>1639</v>
      </c>
      <c r="C358" s="254" t="s">
        <v>256</v>
      </c>
      <c r="D358" s="255">
        <v>60</v>
      </c>
      <c r="E358" s="250" t="s">
        <v>544</v>
      </c>
      <c r="F358" s="255">
        <v>12</v>
      </c>
      <c r="G358" s="253">
        <v>43207</v>
      </c>
      <c r="H358" s="250" t="s">
        <v>2708</v>
      </c>
      <c r="I358" s="250" t="s">
        <v>2706</v>
      </c>
      <c r="J358" s="250" t="s">
        <v>614</v>
      </c>
      <c r="K358" s="250" t="s">
        <v>22</v>
      </c>
      <c r="L358" s="250">
        <v>2014</v>
      </c>
      <c r="M358" s="250" t="s">
        <v>2709</v>
      </c>
      <c r="N358" s="250" t="s">
        <v>2707</v>
      </c>
      <c r="AA358" s="250" t="s">
        <v>2649</v>
      </c>
    </row>
    <row r="359" spans="2:27">
      <c r="B359" s="250" t="s">
        <v>1308</v>
      </c>
      <c r="C359" s="254" t="s">
        <v>256</v>
      </c>
      <c r="D359" s="255">
        <v>50</v>
      </c>
      <c r="E359" s="250" t="s">
        <v>544</v>
      </c>
      <c r="F359" s="255">
        <v>15</v>
      </c>
      <c r="G359" s="253">
        <v>43879</v>
      </c>
      <c r="H359" s="250" t="s">
        <v>213</v>
      </c>
      <c r="I359" s="250" t="s">
        <v>2630</v>
      </c>
      <c r="J359" s="250" t="s">
        <v>614</v>
      </c>
      <c r="K359" s="250" t="s">
        <v>213</v>
      </c>
      <c r="L359" s="250">
        <v>2016</v>
      </c>
      <c r="M359" s="250" t="s">
        <v>2631</v>
      </c>
      <c r="N359" s="250" t="s">
        <v>2634</v>
      </c>
      <c r="O359" s="251" t="s">
        <v>2632</v>
      </c>
      <c r="P359" s="251" t="s">
        <v>2633</v>
      </c>
      <c r="Q359" s="251" t="s">
        <v>496</v>
      </c>
      <c r="R359" s="251" t="s">
        <v>496</v>
      </c>
      <c r="S359" s="251" t="s">
        <v>496</v>
      </c>
      <c r="T359" s="251" t="s">
        <v>496</v>
      </c>
      <c r="U359" s="251" t="s">
        <v>496</v>
      </c>
      <c r="V359" s="251" t="s">
        <v>496</v>
      </c>
      <c r="W359" s="251" t="s">
        <v>496</v>
      </c>
      <c r="X359" s="251" t="s">
        <v>496</v>
      </c>
      <c r="Y359" s="251" t="s">
        <v>496</v>
      </c>
      <c r="Z359" s="251" t="s">
        <v>496</v>
      </c>
      <c r="AA359" s="250" t="s">
        <v>2629</v>
      </c>
    </row>
    <row r="360" spans="2:27">
      <c r="B360" s="250" t="s">
        <v>1147</v>
      </c>
      <c r="C360" s="254" t="s">
        <v>256</v>
      </c>
      <c r="D360" s="255" t="s">
        <v>496</v>
      </c>
      <c r="E360" s="263" t="s">
        <v>496</v>
      </c>
      <c r="F360" s="255" t="s">
        <v>496</v>
      </c>
      <c r="G360" s="255" t="s">
        <v>496</v>
      </c>
      <c r="H360" s="250" t="s">
        <v>2500</v>
      </c>
      <c r="I360" s="267" t="s">
        <v>496</v>
      </c>
      <c r="J360" s="250" t="s">
        <v>614</v>
      </c>
      <c r="K360" s="250" t="s">
        <v>2501</v>
      </c>
      <c r="L360" s="250">
        <v>2022</v>
      </c>
      <c r="N360" s="263" t="s">
        <v>496</v>
      </c>
      <c r="O360" s="263" t="s">
        <v>496</v>
      </c>
      <c r="P360" s="263" t="s">
        <v>496</v>
      </c>
      <c r="Q360" s="263" t="s">
        <v>496</v>
      </c>
      <c r="R360" s="263" t="s">
        <v>496</v>
      </c>
      <c r="S360" s="263" t="s">
        <v>496</v>
      </c>
      <c r="T360" s="263" t="s">
        <v>496</v>
      </c>
      <c r="U360" s="263" t="s">
        <v>496</v>
      </c>
      <c r="V360" s="263" t="s">
        <v>496</v>
      </c>
      <c r="W360" s="263" t="s">
        <v>496</v>
      </c>
      <c r="X360" s="263" t="s">
        <v>496</v>
      </c>
      <c r="Y360" s="263" t="s">
        <v>496</v>
      </c>
      <c r="Z360" s="263" t="s">
        <v>496</v>
      </c>
      <c r="AA360" s="250" t="s">
        <v>2499</v>
      </c>
    </row>
    <row r="361" spans="2:27">
      <c r="B361" s="250" t="s">
        <v>1227</v>
      </c>
      <c r="C361" s="254" t="s">
        <v>256</v>
      </c>
      <c r="D361" s="255" t="s">
        <v>496</v>
      </c>
      <c r="E361" s="263" t="s">
        <v>496</v>
      </c>
      <c r="F361" s="255" t="s">
        <v>496</v>
      </c>
      <c r="G361" s="255" t="s">
        <v>496</v>
      </c>
      <c r="H361" s="250" t="s">
        <v>2538</v>
      </c>
      <c r="I361" s="250" t="s">
        <v>2541</v>
      </c>
      <c r="J361" s="250" t="s">
        <v>614</v>
      </c>
      <c r="K361" s="250" t="s">
        <v>461</v>
      </c>
      <c r="L361" s="250">
        <v>2022</v>
      </c>
      <c r="N361" s="250" t="s">
        <v>496</v>
      </c>
      <c r="O361" s="250" t="s">
        <v>496</v>
      </c>
      <c r="P361" s="250" t="s">
        <v>496</v>
      </c>
      <c r="Q361" s="250" t="s">
        <v>496</v>
      </c>
      <c r="R361" s="250" t="s">
        <v>496</v>
      </c>
      <c r="S361" s="250" t="s">
        <v>496</v>
      </c>
      <c r="T361" s="250" t="s">
        <v>496</v>
      </c>
      <c r="U361" s="250" t="s">
        <v>496</v>
      </c>
      <c r="V361" s="250" t="s">
        <v>496</v>
      </c>
      <c r="W361" s="250" t="s">
        <v>496</v>
      </c>
      <c r="X361" s="250" t="s">
        <v>496</v>
      </c>
      <c r="Y361" s="250" t="s">
        <v>496</v>
      </c>
      <c r="Z361" s="250" t="s">
        <v>496</v>
      </c>
      <c r="AA361" s="250" t="s">
        <v>1108</v>
      </c>
    </row>
    <row r="362" spans="2:27">
      <c r="B362" s="250" t="s">
        <v>2621</v>
      </c>
      <c r="C362" s="254" t="s">
        <v>256</v>
      </c>
      <c r="D362" s="255">
        <v>20</v>
      </c>
      <c r="E362" s="251" t="s">
        <v>549</v>
      </c>
      <c r="F362" s="255">
        <v>2.2999999999999998</v>
      </c>
      <c r="G362" s="205">
        <v>42782</v>
      </c>
      <c r="H362" s="250" t="s">
        <v>2623</v>
      </c>
      <c r="I362" s="250" t="s">
        <v>2622</v>
      </c>
      <c r="J362" s="250" t="s">
        <v>614</v>
      </c>
      <c r="K362" s="250" t="s">
        <v>2535</v>
      </c>
      <c r="L362" s="250">
        <v>2012</v>
      </c>
      <c r="M362" s="250" t="s">
        <v>2624</v>
      </c>
      <c r="N362" s="250" t="s">
        <v>496</v>
      </c>
      <c r="O362" s="250" t="s">
        <v>496</v>
      </c>
      <c r="P362" s="250" t="s">
        <v>496</v>
      </c>
      <c r="Q362" s="250" t="s">
        <v>496</v>
      </c>
      <c r="R362" s="250" t="s">
        <v>496</v>
      </c>
      <c r="S362" s="250" t="s">
        <v>496</v>
      </c>
      <c r="T362" s="250" t="s">
        <v>496</v>
      </c>
      <c r="U362" s="250" t="s">
        <v>496</v>
      </c>
      <c r="V362" s="250" t="s">
        <v>496</v>
      </c>
      <c r="W362" s="250" t="s">
        <v>496</v>
      </c>
      <c r="X362" s="250" t="s">
        <v>496</v>
      </c>
      <c r="Y362" s="250" t="s">
        <v>496</v>
      </c>
      <c r="Z362" s="250" t="s">
        <v>496</v>
      </c>
      <c r="AA362" s="250" t="s">
        <v>2516</v>
      </c>
    </row>
    <row r="363" spans="2:27">
      <c r="B363" s="250" t="s">
        <v>1309</v>
      </c>
      <c r="C363" s="254" t="s">
        <v>256</v>
      </c>
      <c r="D363" s="255">
        <v>10</v>
      </c>
      <c r="E363" s="251" t="s">
        <v>669</v>
      </c>
      <c r="F363" s="255">
        <v>0.5</v>
      </c>
      <c r="G363" s="253">
        <v>44470</v>
      </c>
      <c r="H363" s="250" t="s">
        <v>2637</v>
      </c>
      <c r="I363" s="267" t="s">
        <v>496</v>
      </c>
      <c r="J363" s="250" t="s">
        <v>614</v>
      </c>
      <c r="K363" s="250" t="s">
        <v>640</v>
      </c>
      <c r="L363" s="250">
        <v>2013</v>
      </c>
      <c r="N363" s="250" t="s">
        <v>2636</v>
      </c>
      <c r="O363" s="251" t="s">
        <v>496</v>
      </c>
      <c r="P363" s="251" t="s">
        <v>496</v>
      </c>
      <c r="Q363" s="251" t="s">
        <v>496</v>
      </c>
      <c r="R363" s="251" t="s">
        <v>496</v>
      </c>
      <c r="S363" s="251" t="s">
        <v>496</v>
      </c>
      <c r="T363" s="251" t="s">
        <v>496</v>
      </c>
      <c r="U363" s="251" t="s">
        <v>496</v>
      </c>
      <c r="V363" s="251" t="s">
        <v>496</v>
      </c>
      <c r="W363" s="251" t="s">
        <v>496</v>
      </c>
      <c r="X363" s="251" t="s">
        <v>496</v>
      </c>
      <c r="Y363" s="251" t="s">
        <v>496</v>
      </c>
      <c r="Z363" s="251" t="s">
        <v>496</v>
      </c>
      <c r="AA363" s="250" t="s">
        <v>1120</v>
      </c>
    </row>
    <row r="364" spans="2:27">
      <c r="B364" s="250" t="s">
        <v>1226</v>
      </c>
      <c r="C364" s="254" t="s">
        <v>256</v>
      </c>
      <c r="D364" s="255">
        <v>10</v>
      </c>
      <c r="E364" s="251" t="s">
        <v>669</v>
      </c>
      <c r="F364" s="255">
        <v>0.12</v>
      </c>
      <c r="G364" s="253">
        <v>44082</v>
      </c>
      <c r="H364" s="250" t="s">
        <v>2534</v>
      </c>
      <c r="I364" s="250" t="s">
        <v>2536</v>
      </c>
      <c r="J364" s="250" t="s">
        <v>614</v>
      </c>
      <c r="K364" s="250" t="s">
        <v>2535</v>
      </c>
      <c r="L364" s="250">
        <v>2019</v>
      </c>
      <c r="N364" s="250" t="s">
        <v>1855</v>
      </c>
      <c r="O364" s="251" t="s">
        <v>2479</v>
      </c>
      <c r="P364" s="251">
        <v>1</v>
      </c>
      <c r="Q364" s="251" t="s">
        <v>2537</v>
      </c>
      <c r="R364" s="251" t="s">
        <v>496</v>
      </c>
      <c r="S364" s="251" t="s">
        <v>496</v>
      </c>
      <c r="T364" s="251" t="s">
        <v>496</v>
      </c>
      <c r="U364" s="251" t="s">
        <v>496</v>
      </c>
      <c r="V364" s="251" t="s">
        <v>496</v>
      </c>
      <c r="W364" s="251" t="s">
        <v>496</v>
      </c>
      <c r="X364" s="251" t="s">
        <v>496</v>
      </c>
      <c r="Y364" s="251" t="s">
        <v>496</v>
      </c>
      <c r="Z364" s="251" t="s">
        <v>496</v>
      </c>
      <c r="AA364" s="250" t="s">
        <v>2516</v>
      </c>
    </row>
    <row r="365" spans="2:27">
      <c r="B365" s="250" t="s">
        <v>1287</v>
      </c>
      <c r="C365" s="254" t="s">
        <v>256</v>
      </c>
      <c r="D365" s="255">
        <v>100</v>
      </c>
      <c r="E365" s="251" t="s">
        <v>402</v>
      </c>
      <c r="F365" s="255">
        <v>55</v>
      </c>
      <c r="H365" s="250" t="s">
        <v>2610</v>
      </c>
      <c r="I365" s="250" t="s">
        <v>2611</v>
      </c>
      <c r="J365" s="250" t="s">
        <v>2613</v>
      </c>
      <c r="K365" s="250" t="s">
        <v>2613</v>
      </c>
      <c r="L365" s="250">
        <v>2018</v>
      </c>
      <c r="M365" s="250" t="s">
        <v>2614</v>
      </c>
      <c r="N365" s="250" t="s">
        <v>2612</v>
      </c>
      <c r="AA365" s="250" t="s">
        <v>1848</v>
      </c>
    </row>
    <row r="366" spans="2:27">
      <c r="B366" s="250" t="s">
        <v>3242</v>
      </c>
      <c r="C366" s="268" t="s">
        <v>730</v>
      </c>
      <c r="D366" s="255">
        <v>100</v>
      </c>
      <c r="E366" s="250" t="s">
        <v>565</v>
      </c>
      <c r="F366" s="255">
        <v>20</v>
      </c>
      <c r="G366" s="253">
        <v>44734</v>
      </c>
      <c r="H366" s="250" t="s">
        <v>3246</v>
      </c>
      <c r="I366" s="250" t="s">
        <v>3244</v>
      </c>
      <c r="J366" s="250" t="s">
        <v>614</v>
      </c>
      <c r="K366" s="250" t="s">
        <v>728</v>
      </c>
      <c r="L366" s="252" t="s">
        <v>3243</v>
      </c>
      <c r="N366" s="250" t="s">
        <v>496</v>
      </c>
      <c r="O366" s="251" t="s">
        <v>565</v>
      </c>
      <c r="P366" s="251">
        <v>38</v>
      </c>
      <c r="Q366" s="251" t="s">
        <v>3700</v>
      </c>
      <c r="R366" s="251" t="s">
        <v>402</v>
      </c>
      <c r="S366" s="251">
        <v>6.9</v>
      </c>
      <c r="T366" s="251" t="s">
        <v>3706</v>
      </c>
      <c r="U366" s="251" t="s">
        <v>544</v>
      </c>
      <c r="V366" s="251" t="s">
        <v>3708</v>
      </c>
      <c r="W366" s="251" t="s">
        <v>3706</v>
      </c>
      <c r="X366" s="251" t="s">
        <v>496</v>
      </c>
      <c r="Y366" s="251" t="s">
        <v>496</v>
      </c>
      <c r="Z366" s="251" t="s">
        <v>496</v>
      </c>
      <c r="AA366" s="250" t="s">
        <v>3245</v>
      </c>
    </row>
    <row r="367" spans="2:27">
      <c r="B367" s="250" t="s">
        <v>2607</v>
      </c>
      <c r="C367" s="268" t="s">
        <v>730</v>
      </c>
      <c r="D367" s="255">
        <v>20</v>
      </c>
      <c r="E367" s="251" t="s">
        <v>402</v>
      </c>
      <c r="F367" s="255">
        <v>1.6</v>
      </c>
      <c r="G367" s="253">
        <v>43661</v>
      </c>
      <c r="H367" s="250" t="s">
        <v>2601</v>
      </c>
      <c r="I367" s="250" t="s">
        <v>496</v>
      </c>
      <c r="J367" s="250" t="s">
        <v>496</v>
      </c>
      <c r="K367" s="250" t="s">
        <v>496</v>
      </c>
      <c r="L367" s="250">
        <v>2016</v>
      </c>
      <c r="M367" s="250" t="s">
        <v>496</v>
      </c>
      <c r="N367" s="250" t="s">
        <v>2603</v>
      </c>
      <c r="O367" s="251" t="s">
        <v>496</v>
      </c>
      <c r="P367" s="251" t="s">
        <v>496</v>
      </c>
      <c r="Q367" s="251" t="s">
        <v>496</v>
      </c>
      <c r="R367" s="251" t="s">
        <v>496</v>
      </c>
      <c r="S367" s="251" t="s">
        <v>496</v>
      </c>
      <c r="T367" s="251" t="s">
        <v>496</v>
      </c>
      <c r="U367" s="251" t="s">
        <v>496</v>
      </c>
      <c r="V367" s="251" t="s">
        <v>496</v>
      </c>
      <c r="W367" s="251" t="s">
        <v>496</v>
      </c>
      <c r="X367" s="251" t="s">
        <v>496</v>
      </c>
      <c r="Y367" s="251" t="s">
        <v>496</v>
      </c>
      <c r="Z367" s="251" t="s">
        <v>496</v>
      </c>
      <c r="AA367" s="250" t="s">
        <v>2602</v>
      </c>
    </row>
    <row r="368" spans="2:27">
      <c r="B368" s="250" t="s">
        <v>1526</v>
      </c>
      <c r="C368" s="268" t="s">
        <v>730</v>
      </c>
      <c r="E368" s="251"/>
      <c r="H368" s="250" t="s">
        <v>2675</v>
      </c>
      <c r="I368" s="267" t="s">
        <v>496</v>
      </c>
      <c r="J368" s="250" t="s">
        <v>614</v>
      </c>
      <c r="K368" s="250" t="s">
        <v>728</v>
      </c>
      <c r="L368" s="250">
        <v>2014</v>
      </c>
      <c r="M368" s="250" t="s">
        <v>2674</v>
      </c>
    </row>
    <row r="369" spans="2:28" s="275" customFormat="1">
      <c r="B369" s="275" t="s">
        <v>1909</v>
      </c>
      <c r="C369" s="278" t="s">
        <v>256</v>
      </c>
      <c r="D369" s="279"/>
      <c r="F369" s="279"/>
      <c r="G369" s="274"/>
      <c r="H369" s="275" t="s">
        <v>4125</v>
      </c>
      <c r="M369" s="275" t="s">
        <v>4124</v>
      </c>
      <c r="O369" s="276"/>
      <c r="P369" s="276"/>
      <c r="Q369" s="276"/>
      <c r="R369" s="276"/>
      <c r="S369" s="276"/>
      <c r="T369" s="276"/>
      <c r="U369" s="276"/>
      <c r="V369" s="276"/>
      <c r="W369" s="276"/>
      <c r="X369" s="276"/>
      <c r="Y369" s="276"/>
      <c r="Z369" s="276"/>
      <c r="AA369" s="275" t="s">
        <v>2516</v>
      </c>
      <c r="AB369" s="5" t="s">
        <v>4126</v>
      </c>
    </row>
    <row r="370" spans="2:28">
      <c r="B370" s="250" t="s">
        <v>2669</v>
      </c>
      <c r="C370" s="268" t="s">
        <v>730</v>
      </c>
      <c r="E370" s="251" t="s">
        <v>402</v>
      </c>
      <c r="F370" s="255">
        <v>30</v>
      </c>
      <c r="G370" s="253">
        <v>44252</v>
      </c>
      <c r="H370" s="250" t="s">
        <v>2564</v>
      </c>
      <c r="I370" s="250" t="s">
        <v>2671</v>
      </c>
      <c r="J370" s="250" t="s">
        <v>614</v>
      </c>
      <c r="K370" s="250" t="s">
        <v>2564</v>
      </c>
      <c r="L370" s="250">
        <v>2017</v>
      </c>
      <c r="M370" s="250" t="s">
        <v>2670</v>
      </c>
      <c r="N370" s="250" t="s">
        <v>2672</v>
      </c>
      <c r="O370" s="251" t="s">
        <v>544</v>
      </c>
      <c r="P370" s="251">
        <v>16.5</v>
      </c>
      <c r="Q370" s="251" t="s">
        <v>2673</v>
      </c>
      <c r="R370" s="251" t="s">
        <v>496</v>
      </c>
      <c r="S370" s="251" t="s">
        <v>496</v>
      </c>
      <c r="T370" s="251" t="s">
        <v>496</v>
      </c>
      <c r="U370" s="251" t="s">
        <v>496</v>
      </c>
      <c r="V370" s="251" t="s">
        <v>496</v>
      </c>
      <c r="W370" s="251" t="s">
        <v>496</v>
      </c>
      <c r="X370" s="251" t="s">
        <v>496</v>
      </c>
      <c r="Y370" s="251" t="s">
        <v>496</v>
      </c>
      <c r="Z370" s="251" t="s">
        <v>496</v>
      </c>
      <c r="AA370" s="250" t="s">
        <v>1667</v>
      </c>
    </row>
    <row r="371" spans="2:28">
      <c r="B371" s="250" t="s">
        <v>1413</v>
      </c>
      <c r="C371" s="268" t="s">
        <v>3758</v>
      </c>
      <c r="D371" s="255">
        <v>30</v>
      </c>
      <c r="E371" s="251" t="s">
        <v>549</v>
      </c>
      <c r="F371" s="255">
        <v>3.5</v>
      </c>
      <c r="G371" s="253">
        <v>43046</v>
      </c>
      <c r="I371" s="250" t="s">
        <v>3081</v>
      </c>
      <c r="J371" s="250" t="s">
        <v>614</v>
      </c>
      <c r="K371" s="250" t="s">
        <v>694</v>
      </c>
      <c r="L371" s="252" t="s">
        <v>3082</v>
      </c>
      <c r="N371" s="250" t="s">
        <v>3083</v>
      </c>
      <c r="AA371" s="250" t="s">
        <v>1848</v>
      </c>
    </row>
    <row r="372" spans="2:28">
      <c r="B372" s="250" t="s">
        <v>1544</v>
      </c>
      <c r="C372" s="254" t="s">
        <v>256</v>
      </c>
      <c r="D372" s="255">
        <v>25</v>
      </c>
      <c r="E372" s="250" t="s">
        <v>549</v>
      </c>
      <c r="F372" s="255">
        <v>4</v>
      </c>
      <c r="G372" s="253">
        <v>44518</v>
      </c>
      <c r="H372" s="250" t="s">
        <v>3125</v>
      </c>
      <c r="I372" s="250" t="s">
        <v>3127</v>
      </c>
      <c r="J372" s="250" t="s">
        <v>614</v>
      </c>
      <c r="K372" s="250" t="s">
        <v>3126</v>
      </c>
      <c r="L372" s="250">
        <v>2018</v>
      </c>
      <c r="N372" s="250" t="s">
        <v>3128</v>
      </c>
      <c r="O372" s="251" t="s">
        <v>669</v>
      </c>
      <c r="P372" s="251">
        <v>0.12</v>
      </c>
      <c r="Q372" s="251" t="s">
        <v>1855</v>
      </c>
      <c r="R372" s="251" t="s">
        <v>496</v>
      </c>
      <c r="S372" s="251" t="s">
        <v>496</v>
      </c>
      <c r="T372" s="251" t="s">
        <v>496</v>
      </c>
      <c r="U372" s="251" t="s">
        <v>496</v>
      </c>
      <c r="V372" s="251" t="s">
        <v>496</v>
      </c>
      <c r="W372" s="251" t="s">
        <v>496</v>
      </c>
      <c r="X372" s="251" t="s">
        <v>496</v>
      </c>
      <c r="Y372" s="251" t="s">
        <v>496</v>
      </c>
      <c r="Z372" s="251" t="s">
        <v>496</v>
      </c>
      <c r="AA372" s="251" t="s">
        <v>496</v>
      </c>
    </row>
    <row r="373" spans="2:28">
      <c r="B373" s="275" t="s">
        <v>4059</v>
      </c>
      <c r="C373" s="278" t="s">
        <v>730</v>
      </c>
      <c r="D373" s="255">
        <v>20</v>
      </c>
      <c r="E373" s="275" t="s">
        <v>549</v>
      </c>
      <c r="F373" s="255">
        <v>1.6</v>
      </c>
      <c r="G373" s="253">
        <v>43060</v>
      </c>
      <c r="H373" s="275" t="s">
        <v>4060</v>
      </c>
      <c r="I373" s="275" t="s">
        <v>4061</v>
      </c>
      <c r="J373" s="275" t="s">
        <v>614</v>
      </c>
      <c r="K373" s="275" t="s">
        <v>636</v>
      </c>
      <c r="L373" s="250">
        <v>2015</v>
      </c>
      <c r="N373" s="275" t="s">
        <v>4062</v>
      </c>
      <c r="O373" s="276" t="s">
        <v>549</v>
      </c>
      <c r="P373" s="276">
        <v>0.7</v>
      </c>
      <c r="Q373" s="276" t="s">
        <v>1879</v>
      </c>
      <c r="R373" s="276" t="s">
        <v>496</v>
      </c>
      <c r="S373" s="276" t="s">
        <v>496</v>
      </c>
      <c r="T373" s="276" t="s">
        <v>496</v>
      </c>
      <c r="U373" s="276" t="s">
        <v>496</v>
      </c>
      <c r="V373" s="276" t="s">
        <v>496</v>
      </c>
      <c r="W373" s="276" t="s">
        <v>496</v>
      </c>
      <c r="X373" s="276" t="s">
        <v>496</v>
      </c>
      <c r="Y373" s="276" t="s">
        <v>496</v>
      </c>
      <c r="Z373" s="276" t="s">
        <v>496</v>
      </c>
      <c r="AA373" s="275" t="s">
        <v>2406</v>
      </c>
      <c r="AB373" s="5" t="s">
        <v>4065</v>
      </c>
    </row>
    <row r="374" spans="2:28">
      <c r="B374" s="250" t="s">
        <v>1546</v>
      </c>
      <c r="C374" s="268" t="s">
        <v>3758</v>
      </c>
      <c r="D374" s="255" t="s">
        <v>496</v>
      </c>
      <c r="E374" s="250" t="s">
        <v>549</v>
      </c>
      <c r="F374" s="255" t="s">
        <v>496</v>
      </c>
      <c r="G374" s="253">
        <v>44169</v>
      </c>
      <c r="I374" s="250" t="s">
        <v>3138</v>
      </c>
      <c r="J374" s="250" t="s">
        <v>614</v>
      </c>
      <c r="K374" s="250" t="s">
        <v>3139</v>
      </c>
      <c r="L374" s="250">
        <v>2017</v>
      </c>
      <c r="M374" s="250" t="s">
        <v>3027</v>
      </c>
      <c r="N374" s="250" t="s">
        <v>3140</v>
      </c>
      <c r="O374" s="251" t="s">
        <v>496</v>
      </c>
      <c r="P374" s="251" t="s">
        <v>496</v>
      </c>
      <c r="Q374" s="251" t="s">
        <v>496</v>
      </c>
      <c r="R374" s="251" t="s">
        <v>496</v>
      </c>
      <c r="S374" s="251" t="s">
        <v>496</v>
      </c>
      <c r="T374" s="251" t="s">
        <v>496</v>
      </c>
      <c r="U374" s="251" t="s">
        <v>496</v>
      </c>
      <c r="V374" s="251" t="s">
        <v>496</v>
      </c>
      <c r="W374" s="251" t="s">
        <v>496</v>
      </c>
      <c r="X374" s="251" t="s">
        <v>496</v>
      </c>
      <c r="Y374" s="251" t="s">
        <v>496</v>
      </c>
      <c r="Z374" s="251" t="s">
        <v>496</v>
      </c>
      <c r="AA374" s="250" t="s">
        <v>2376</v>
      </c>
    </row>
    <row r="375" spans="2:28">
      <c r="B375" s="250" t="s">
        <v>1697</v>
      </c>
      <c r="C375" s="254" t="s">
        <v>256</v>
      </c>
      <c r="D375" s="255" t="s">
        <v>496</v>
      </c>
      <c r="E375" s="255" t="s">
        <v>496</v>
      </c>
      <c r="F375" s="255" t="s">
        <v>496</v>
      </c>
      <c r="G375" s="255" t="s">
        <v>496</v>
      </c>
      <c r="H375" s="250" t="s">
        <v>3747</v>
      </c>
      <c r="I375" s="250" t="s">
        <v>3744</v>
      </c>
      <c r="J375" s="250" t="s">
        <v>614</v>
      </c>
      <c r="K375" s="250" t="s">
        <v>3743</v>
      </c>
      <c r="L375" s="250">
        <v>2019</v>
      </c>
      <c r="N375" s="250" t="s">
        <v>496</v>
      </c>
      <c r="O375" s="250" t="s">
        <v>496</v>
      </c>
      <c r="P375" s="250" t="s">
        <v>496</v>
      </c>
      <c r="Q375" s="250" t="s">
        <v>496</v>
      </c>
      <c r="R375" s="250" t="s">
        <v>496</v>
      </c>
      <c r="S375" s="250" t="s">
        <v>496</v>
      </c>
      <c r="T375" s="250" t="s">
        <v>496</v>
      </c>
      <c r="U375" s="250" t="s">
        <v>496</v>
      </c>
      <c r="V375" s="250" t="s">
        <v>496</v>
      </c>
      <c r="W375" s="250" t="s">
        <v>496</v>
      </c>
      <c r="X375" s="250" t="s">
        <v>496</v>
      </c>
      <c r="Y375" s="250" t="s">
        <v>496</v>
      </c>
      <c r="Z375" s="250" t="s">
        <v>496</v>
      </c>
      <c r="AA375" s="250" t="s">
        <v>3745</v>
      </c>
    </row>
    <row r="376" spans="2:28">
      <c r="B376" s="250" t="s">
        <v>1540</v>
      </c>
      <c r="C376" s="254" t="s">
        <v>256</v>
      </c>
      <c r="D376" s="255" t="s">
        <v>496</v>
      </c>
      <c r="E376" s="263" t="s">
        <v>496</v>
      </c>
      <c r="F376" s="255" t="s">
        <v>496</v>
      </c>
      <c r="G376" s="255" t="s">
        <v>496</v>
      </c>
      <c r="H376" s="250" t="s">
        <v>3100</v>
      </c>
      <c r="I376" s="267" t="s">
        <v>496</v>
      </c>
      <c r="J376" s="250" t="s">
        <v>614</v>
      </c>
      <c r="K376" s="250" t="s">
        <v>631</v>
      </c>
      <c r="L376" s="250">
        <v>2016</v>
      </c>
      <c r="M376" s="250" t="s">
        <v>3101</v>
      </c>
      <c r="N376" s="250" t="s">
        <v>496</v>
      </c>
      <c r="O376" s="250" t="s">
        <v>496</v>
      </c>
      <c r="P376" s="250" t="s">
        <v>496</v>
      </c>
      <c r="Q376" s="250" t="s">
        <v>496</v>
      </c>
      <c r="R376" s="250" t="s">
        <v>496</v>
      </c>
      <c r="S376" s="250" t="s">
        <v>496</v>
      </c>
      <c r="T376" s="250" t="s">
        <v>496</v>
      </c>
      <c r="U376" s="250" t="s">
        <v>496</v>
      </c>
      <c r="V376" s="250" t="s">
        <v>496</v>
      </c>
      <c r="W376" s="250" t="s">
        <v>496</v>
      </c>
      <c r="X376" s="250" t="s">
        <v>496</v>
      </c>
      <c r="Y376" s="250" t="s">
        <v>496</v>
      </c>
      <c r="Z376" s="250" t="s">
        <v>496</v>
      </c>
      <c r="AA376" s="250" t="s">
        <v>2227</v>
      </c>
    </row>
    <row r="377" spans="2:28">
      <c r="B377" s="250" t="s">
        <v>1548</v>
      </c>
      <c r="C377" s="268" t="s">
        <v>3758</v>
      </c>
      <c r="D377" s="255">
        <v>25</v>
      </c>
      <c r="E377" s="250" t="s">
        <v>549</v>
      </c>
      <c r="F377" s="255">
        <v>5</v>
      </c>
      <c r="G377" s="253">
        <v>43224</v>
      </c>
      <c r="H377" s="250" t="s">
        <v>3154</v>
      </c>
      <c r="I377" s="250" t="s">
        <v>3153</v>
      </c>
      <c r="J377" s="250" t="s">
        <v>614</v>
      </c>
      <c r="K377" s="250" t="s">
        <v>3155</v>
      </c>
      <c r="L377" s="250">
        <v>2017</v>
      </c>
      <c r="M377" s="250" t="s">
        <v>3027</v>
      </c>
      <c r="N377" s="250" t="s">
        <v>3156</v>
      </c>
      <c r="O377" s="251" t="s">
        <v>496</v>
      </c>
      <c r="P377" s="251" t="s">
        <v>496</v>
      </c>
      <c r="Q377" s="251" t="s">
        <v>496</v>
      </c>
      <c r="R377" s="251" t="s">
        <v>496</v>
      </c>
      <c r="S377" s="251" t="s">
        <v>496</v>
      </c>
      <c r="T377" s="251" t="s">
        <v>496</v>
      </c>
      <c r="U377" s="251" t="s">
        <v>496</v>
      </c>
      <c r="V377" s="251" t="s">
        <v>496</v>
      </c>
      <c r="W377" s="251" t="s">
        <v>496</v>
      </c>
      <c r="X377" s="251" t="s">
        <v>496</v>
      </c>
      <c r="Y377" s="251" t="s">
        <v>496</v>
      </c>
      <c r="Z377" s="251" t="s">
        <v>496</v>
      </c>
      <c r="AA377" s="250" t="s">
        <v>2376</v>
      </c>
    </row>
    <row r="378" spans="2:28">
      <c r="B378" s="267" t="s">
        <v>1717</v>
      </c>
      <c r="C378" s="268" t="s">
        <v>3758</v>
      </c>
      <c r="D378" s="269" t="s">
        <v>496</v>
      </c>
      <c r="E378" s="269" t="s">
        <v>496</v>
      </c>
      <c r="F378" s="269" t="s">
        <v>496</v>
      </c>
      <c r="G378" s="269" t="s">
        <v>496</v>
      </c>
      <c r="H378" s="270" t="s">
        <v>496</v>
      </c>
      <c r="I378" s="267" t="s">
        <v>3759</v>
      </c>
      <c r="L378" s="250">
        <v>2017</v>
      </c>
      <c r="N378" s="270" t="s">
        <v>496</v>
      </c>
      <c r="O378" s="270" t="s">
        <v>496</v>
      </c>
      <c r="P378" s="270" t="s">
        <v>496</v>
      </c>
      <c r="Q378" s="270" t="s">
        <v>496</v>
      </c>
      <c r="R378" s="270" t="s">
        <v>496</v>
      </c>
      <c r="S378" s="270" t="s">
        <v>496</v>
      </c>
      <c r="T378" s="270" t="s">
        <v>496</v>
      </c>
      <c r="U378" s="270" t="s">
        <v>496</v>
      </c>
      <c r="V378" s="270" t="s">
        <v>496</v>
      </c>
      <c r="W378" s="270" t="s">
        <v>496</v>
      </c>
      <c r="X378" s="270" t="s">
        <v>496</v>
      </c>
      <c r="Y378" s="270" t="s">
        <v>496</v>
      </c>
      <c r="Z378" s="270" t="s">
        <v>496</v>
      </c>
      <c r="AA378" s="267" t="s">
        <v>3760</v>
      </c>
    </row>
    <row r="379" spans="2:28">
      <c r="B379" s="250" t="s">
        <v>3185</v>
      </c>
      <c r="C379" s="268" t="s">
        <v>730</v>
      </c>
      <c r="D379" s="255" t="s">
        <v>496</v>
      </c>
      <c r="E379" s="255" t="s">
        <v>496</v>
      </c>
      <c r="F379" s="255" t="s">
        <v>496</v>
      </c>
      <c r="G379" s="255" t="s">
        <v>496</v>
      </c>
      <c r="H379" s="250" t="s">
        <v>3188</v>
      </c>
      <c r="I379" s="250" t="s">
        <v>3187</v>
      </c>
      <c r="J379" s="250" t="s">
        <v>614</v>
      </c>
      <c r="K379" s="250" t="s">
        <v>430</v>
      </c>
      <c r="L379" s="252" t="s">
        <v>3186</v>
      </c>
      <c r="N379" s="263" t="s">
        <v>496</v>
      </c>
      <c r="O379" s="263" t="s">
        <v>496</v>
      </c>
      <c r="P379" s="263" t="s">
        <v>496</v>
      </c>
      <c r="Q379" s="263" t="s">
        <v>496</v>
      </c>
      <c r="R379" s="263" t="s">
        <v>496</v>
      </c>
      <c r="S379" s="263" t="s">
        <v>496</v>
      </c>
      <c r="T379" s="263" t="s">
        <v>496</v>
      </c>
      <c r="U379" s="263" t="s">
        <v>496</v>
      </c>
      <c r="V379" s="263" t="s">
        <v>496</v>
      </c>
      <c r="W379" s="263" t="s">
        <v>496</v>
      </c>
      <c r="X379" s="263" t="s">
        <v>496</v>
      </c>
      <c r="Y379" s="263" t="s">
        <v>496</v>
      </c>
      <c r="Z379" s="263" t="s">
        <v>496</v>
      </c>
      <c r="AA379" s="250" t="s">
        <v>844</v>
      </c>
    </row>
    <row r="380" spans="2:28">
      <c r="B380" s="250" t="s">
        <v>1541</v>
      </c>
      <c r="C380" s="268" t="s">
        <v>3758</v>
      </c>
      <c r="D380" s="255" t="s">
        <v>496</v>
      </c>
      <c r="E380" s="263" t="s">
        <v>496</v>
      </c>
      <c r="F380" s="255" t="s">
        <v>496</v>
      </c>
      <c r="G380" s="255" t="s">
        <v>496</v>
      </c>
      <c r="H380" s="250" t="s">
        <v>3106</v>
      </c>
      <c r="I380" s="250" t="s">
        <v>3102</v>
      </c>
      <c r="J380" s="250" t="s">
        <v>614</v>
      </c>
      <c r="K380" s="250" t="s">
        <v>721</v>
      </c>
      <c r="L380" s="252" t="s">
        <v>3105</v>
      </c>
      <c r="M380" s="250" t="s">
        <v>3027</v>
      </c>
      <c r="N380" s="264" t="s">
        <v>496</v>
      </c>
      <c r="O380" s="264" t="s">
        <v>496</v>
      </c>
      <c r="P380" s="264" t="s">
        <v>496</v>
      </c>
      <c r="Q380" s="264" t="s">
        <v>496</v>
      </c>
      <c r="R380" s="264" t="s">
        <v>496</v>
      </c>
      <c r="S380" s="264" t="s">
        <v>496</v>
      </c>
      <c r="T380" s="264" t="s">
        <v>496</v>
      </c>
      <c r="U380" s="264" t="s">
        <v>496</v>
      </c>
      <c r="V380" s="264" t="s">
        <v>496</v>
      </c>
      <c r="W380" s="264" t="s">
        <v>496</v>
      </c>
      <c r="X380" s="264" t="s">
        <v>496</v>
      </c>
      <c r="Y380" s="264" t="s">
        <v>496</v>
      </c>
      <c r="Z380" s="264" t="s">
        <v>496</v>
      </c>
      <c r="AA380" s="250" t="s">
        <v>1302</v>
      </c>
    </row>
    <row r="381" spans="2:28">
      <c r="B381" s="250" t="s">
        <v>3097</v>
      </c>
      <c r="C381" s="268" t="s">
        <v>730</v>
      </c>
      <c r="E381" s="251"/>
      <c r="H381" s="250" t="s">
        <v>3098</v>
      </c>
      <c r="I381" s="267" t="s">
        <v>496</v>
      </c>
      <c r="J381" s="250" t="s">
        <v>614</v>
      </c>
      <c r="K381" s="250" t="s">
        <v>2532</v>
      </c>
      <c r="L381" s="250">
        <v>1995</v>
      </c>
    </row>
    <row r="382" spans="2:28">
      <c r="B382" s="267" t="s">
        <v>3754</v>
      </c>
      <c r="C382" s="268" t="s">
        <v>730</v>
      </c>
      <c r="D382" s="269" t="s">
        <v>496</v>
      </c>
      <c r="E382" s="269" t="s">
        <v>496</v>
      </c>
      <c r="F382" s="269" t="s">
        <v>496</v>
      </c>
      <c r="G382" s="269" t="s">
        <v>496</v>
      </c>
      <c r="H382" s="267" t="s">
        <v>3757</v>
      </c>
      <c r="I382" s="267" t="s">
        <v>496</v>
      </c>
      <c r="J382" s="267" t="s">
        <v>496</v>
      </c>
      <c r="K382" s="267" t="s">
        <v>496</v>
      </c>
      <c r="N382" s="267" t="s">
        <v>496</v>
      </c>
      <c r="O382" s="267" t="s">
        <v>496</v>
      </c>
      <c r="P382" s="267" t="s">
        <v>496</v>
      </c>
      <c r="Q382" s="267" t="s">
        <v>496</v>
      </c>
      <c r="R382" s="267" t="s">
        <v>496</v>
      </c>
      <c r="S382" s="267" t="s">
        <v>496</v>
      </c>
      <c r="T382" s="267" t="s">
        <v>496</v>
      </c>
      <c r="U382" s="267" t="s">
        <v>496</v>
      </c>
      <c r="V382" s="267" t="s">
        <v>496</v>
      </c>
      <c r="W382" s="267" t="s">
        <v>496</v>
      </c>
      <c r="X382" s="267" t="s">
        <v>496</v>
      </c>
      <c r="Y382" s="267" t="s">
        <v>496</v>
      </c>
      <c r="Z382" s="267" t="s">
        <v>496</v>
      </c>
      <c r="AA382" s="267" t="s">
        <v>496</v>
      </c>
    </row>
    <row r="383" spans="2:28">
      <c r="B383" s="250" t="s">
        <v>2346</v>
      </c>
      <c r="C383" s="268" t="s">
        <v>730</v>
      </c>
      <c r="D383" s="255">
        <v>50</v>
      </c>
      <c r="E383" s="250" t="s">
        <v>544</v>
      </c>
      <c r="F383" s="255">
        <v>18</v>
      </c>
      <c r="G383" s="253">
        <v>43510</v>
      </c>
      <c r="I383" s="267" t="s">
        <v>496</v>
      </c>
      <c r="J383" s="250" t="s">
        <v>614</v>
      </c>
      <c r="L383" s="250">
        <v>2004</v>
      </c>
      <c r="N383" s="250" t="s">
        <v>2348</v>
      </c>
      <c r="O383" s="250" t="s">
        <v>549</v>
      </c>
      <c r="P383" s="251">
        <v>3.4</v>
      </c>
      <c r="Q383" s="250" t="s">
        <v>1887</v>
      </c>
      <c r="R383" s="250" t="s">
        <v>496</v>
      </c>
      <c r="S383" s="250" t="s">
        <v>496</v>
      </c>
      <c r="T383" s="250" t="s">
        <v>496</v>
      </c>
      <c r="U383" s="250" t="s">
        <v>496</v>
      </c>
      <c r="V383" s="250" t="s">
        <v>496</v>
      </c>
      <c r="W383" s="250" t="s">
        <v>496</v>
      </c>
      <c r="X383" s="250" t="s">
        <v>496</v>
      </c>
      <c r="Y383" s="250" t="s">
        <v>496</v>
      </c>
      <c r="Z383" s="250" t="s">
        <v>496</v>
      </c>
      <c r="AA383" s="250" t="s">
        <v>2347</v>
      </c>
    </row>
    <row r="384" spans="2:28">
      <c r="C384" s="268"/>
      <c r="G384" s="253"/>
      <c r="I384" s="267"/>
      <c r="O384" s="250"/>
      <c r="Q384" s="250"/>
      <c r="R384" s="250"/>
      <c r="S384" s="250"/>
      <c r="T384" s="250"/>
      <c r="U384" s="250"/>
      <c r="V384" s="250"/>
      <c r="W384" s="250"/>
      <c r="X384" s="250"/>
      <c r="Y384" s="250"/>
      <c r="Z384" s="250"/>
    </row>
    <row r="385" spans="2:28">
      <c r="C385" s="268"/>
      <c r="E385" s="267"/>
      <c r="G385" s="273"/>
      <c r="I385" s="267"/>
      <c r="J385" s="267"/>
      <c r="K385" s="267"/>
      <c r="N385" s="267"/>
      <c r="O385" s="271"/>
      <c r="Q385" s="271"/>
      <c r="R385" s="271"/>
      <c r="T385" s="271"/>
      <c r="U385" s="271"/>
      <c r="V385" s="271"/>
      <c r="W385" s="271"/>
      <c r="X385" s="271"/>
      <c r="Y385" s="271"/>
      <c r="Z385" s="271"/>
      <c r="AA385" s="267"/>
      <c r="AB385" s="5"/>
    </row>
    <row r="386" spans="2:28">
      <c r="B386" s="95" t="s">
        <v>4460</v>
      </c>
      <c r="C386" s="268"/>
      <c r="E386" s="267"/>
      <c r="G386" s="273"/>
      <c r="I386" s="267"/>
      <c r="J386" s="267"/>
      <c r="K386" s="267"/>
      <c r="N386" s="267"/>
      <c r="O386" s="271"/>
      <c r="Q386" s="271"/>
      <c r="R386" s="271"/>
      <c r="T386" s="271"/>
      <c r="U386" s="271"/>
      <c r="V386" s="271"/>
      <c r="W386" s="271"/>
      <c r="X386" s="271"/>
      <c r="Y386" s="271"/>
      <c r="Z386" s="271"/>
      <c r="AA386" s="267"/>
      <c r="AB386" s="5"/>
    </row>
    <row r="387" spans="2:28">
      <c r="B387" s="250" t="s">
        <v>1946</v>
      </c>
      <c r="C387" s="284" t="s">
        <v>256</v>
      </c>
      <c r="E387" s="281" t="s">
        <v>755</v>
      </c>
      <c r="F387" s="255">
        <v>220</v>
      </c>
      <c r="G387" s="253">
        <v>44287</v>
      </c>
      <c r="I387" s="281" t="s">
        <v>4403</v>
      </c>
      <c r="J387" s="281" t="s">
        <v>646</v>
      </c>
      <c r="K387" s="281" t="s">
        <v>4402</v>
      </c>
      <c r="L387" s="250">
        <v>2016</v>
      </c>
      <c r="N387" s="281" t="s">
        <v>4404</v>
      </c>
      <c r="AA387" s="281" t="s">
        <v>4400</v>
      </c>
      <c r="AB387" s="5" t="s">
        <v>4401</v>
      </c>
    </row>
    <row r="388" spans="2:28">
      <c r="B388" s="250" t="s">
        <v>1950</v>
      </c>
      <c r="C388" s="284" t="s">
        <v>256</v>
      </c>
      <c r="E388" s="281" t="s">
        <v>402</v>
      </c>
      <c r="K388" s="281" t="s">
        <v>4402</v>
      </c>
    </row>
    <row r="389" spans="2:28">
      <c r="B389" s="250" t="s">
        <v>1952</v>
      </c>
      <c r="C389" s="284" t="s">
        <v>256</v>
      </c>
      <c r="K389" s="281" t="s">
        <v>4402</v>
      </c>
      <c r="AA389" s="281" t="s">
        <v>833</v>
      </c>
      <c r="AB389" s="5" t="s">
        <v>4459</v>
      </c>
    </row>
    <row r="390" spans="2:28">
      <c r="B390" s="250" t="s">
        <v>1953</v>
      </c>
      <c r="C390" s="284" t="s">
        <v>256</v>
      </c>
      <c r="E390" s="281" t="s">
        <v>565</v>
      </c>
      <c r="J390" s="281" t="s">
        <v>614</v>
      </c>
      <c r="K390" s="281" t="s">
        <v>694</v>
      </c>
      <c r="AA390" s="281" t="s">
        <v>4461</v>
      </c>
      <c r="AB390" s="5" t="s">
        <v>4462</v>
      </c>
    </row>
    <row r="391" spans="2:28" s="281" customFormat="1">
      <c r="B391" s="281" t="s">
        <v>1954</v>
      </c>
      <c r="C391" s="284" t="s">
        <v>256</v>
      </c>
      <c r="D391" s="285"/>
      <c r="F391" s="285"/>
      <c r="G391" s="282"/>
      <c r="J391" s="281" t="s">
        <v>614</v>
      </c>
      <c r="K391" s="281" t="s">
        <v>721</v>
      </c>
      <c r="O391" s="283"/>
      <c r="P391" s="283"/>
      <c r="Q391" s="283"/>
      <c r="R391" s="283"/>
      <c r="S391" s="283"/>
      <c r="T391" s="283"/>
      <c r="U391" s="283"/>
      <c r="V391" s="283"/>
      <c r="W391" s="283"/>
      <c r="X391" s="283"/>
      <c r="Y391" s="283"/>
      <c r="Z391" s="283"/>
      <c r="AA391" s="281" t="s">
        <v>1766</v>
      </c>
      <c r="AB391" s="5" t="s">
        <v>4463</v>
      </c>
    </row>
    <row r="392" spans="2:28" s="281" customFormat="1">
      <c r="B392" s="281" t="s">
        <v>1955</v>
      </c>
      <c r="C392" s="284" t="s">
        <v>256</v>
      </c>
      <c r="D392" s="285"/>
      <c r="F392" s="285"/>
      <c r="G392" s="282"/>
      <c r="J392" s="281" t="s">
        <v>614</v>
      </c>
      <c r="K392" s="281" t="s">
        <v>636</v>
      </c>
      <c r="O392" s="283"/>
      <c r="P392" s="283"/>
      <c r="Q392" s="283"/>
      <c r="R392" s="283"/>
      <c r="S392" s="283"/>
      <c r="T392" s="283"/>
      <c r="U392" s="283"/>
      <c r="V392" s="283"/>
      <c r="W392" s="283"/>
      <c r="X392" s="283"/>
      <c r="Y392" s="283"/>
      <c r="Z392" s="283"/>
      <c r="AA392" s="281" t="s">
        <v>3760</v>
      </c>
      <c r="AB392" s="5" t="s">
        <v>4465</v>
      </c>
    </row>
    <row r="393" spans="2:28" s="281" customFormat="1">
      <c r="B393" s="281" t="s">
        <v>1956</v>
      </c>
      <c r="C393" s="284" t="s">
        <v>256</v>
      </c>
      <c r="D393" s="285"/>
      <c r="E393" s="281" t="s">
        <v>565</v>
      </c>
      <c r="F393" s="285"/>
      <c r="G393" s="282"/>
      <c r="J393" s="281" t="s">
        <v>614</v>
      </c>
      <c r="K393" s="281" t="s">
        <v>636</v>
      </c>
      <c r="O393" s="283"/>
      <c r="P393" s="283"/>
      <c r="Q393" s="283"/>
      <c r="R393" s="283"/>
      <c r="S393" s="283"/>
      <c r="T393" s="283"/>
      <c r="U393" s="283"/>
      <c r="V393" s="283"/>
      <c r="W393" s="283"/>
      <c r="X393" s="283"/>
      <c r="Y393" s="283"/>
      <c r="Z393" s="283"/>
      <c r="AA393" s="281" t="s">
        <v>837</v>
      </c>
      <c r="AB393" s="5" t="s">
        <v>4466</v>
      </c>
    </row>
    <row r="394" spans="2:28" s="281" customFormat="1">
      <c r="B394" s="281" t="s">
        <v>1957</v>
      </c>
      <c r="C394" s="284" t="s">
        <v>256</v>
      </c>
      <c r="D394" s="285"/>
      <c r="E394" s="281" t="s">
        <v>755</v>
      </c>
      <c r="F394" s="285"/>
      <c r="G394" s="282"/>
      <c r="J394" s="281" t="s">
        <v>614</v>
      </c>
      <c r="K394" s="281" t="s">
        <v>4402</v>
      </c>
      <c r="O394" s="283"/>
      <c r="P394" s="283"/>
      <c r="Q394" s="283"/>
      <c r="R394" s="283"/>
      <c r="S394" s="283"/>
      <c r="T394" s="283"/>
      <c r="U394" s="283"/>
      <c r="V394" s="283"/>
      <c r="W394" s="283"/>
      <c r="X394" s="283"/>
      <c r="Y394" s="283"/>
      <c r="Z394" s="283"/>
      <c r="AA394" s="281" t="s">
        <v>837</v>
      </c>
      <c r="AB394" s="5" t="s">
        <v>4467</v>
      </c>
    </row>
    <row r="395" spans="2:28" s="281" customFormat="1">
      <c r="B395" s="281" t="s">
        <v>1958</v>
      </c>
      <c r="C395" s="284" t="s">
        <v>256</v>
      </c>
      <c r="D395" s="285"/>
      <c r="E395" s="281" t="s">
        <v>755</v>
      </c>
      <c r="F395" s="285"/>
      <c r="G395" s="282"/>
      <c r="J395" s="281" t="s">
        <v>614</v>
      </c>
      <c r="K395" s="281" t="s">
        <v>636</v>
      </c>
      <c r="O395" s="283"/>
      <c r="P395" s="283"/>
      <c r="Q395" s="283"/>
      <c r="R395" s="283"/>
      <c r="S395" s="283"/>
      <c r="T395" s="283"/>
      <c r="U395" s="283"/>
      <c r="V395" s="283"/>
      <c r="W395" s="283"/>
      <c r="X395" s="283"/>
      <c r="Y395" s="283"/>
      <c r="Z395" s="283"/>
      <c r="AA395" s="281" t="s">
        <v>1108</v>
      </c>
      <c r="AB395" s="5" t="s">
        <v>4468</v>
      </c>
    </row>
    <row r="396" spans="2:28">
      <c r="B396" s="250" t="s">
        <v>1959</v>
      </c>
      <c r="C396" s="284" t="s">
        <v>256</v>
      </c>
      <c r="J396" s="281" t="s">
        <v>614</v>
      </c>
      <c r="K396" s="281" t="s">
        <v>636</v>
      </c>
      <c r="AA396" s="281" t="s">
        <v>837</v>
      </c>
      <c r="AB396" s="5" t="s">
        <v>4469</v>
      </c>
    </row>
    <row r="397" spans="2:28">
      <c r="B397" s="250" t="s">
        <v>1960</v>
      </c>
      <c r="C397" s="284" t="s">
        <v>256</v>
      </c>
      <c r="E397" s="281" t="s">
        <v>813</v>
      </c>
      <c r="J397" s="281" t="s">
        <v>614</v>
      </c>
      <c r="K397" s="281" t="s">
        <v>636</v>
      </c>
      <c r="L397" s="250">
        <v>2013</v>
      </c>
      <c r="AA397" s="281" t="s">
        <v>1848</v>
      </c>
      <c r="AB397" s="5" t="s">
        <v>4470</v>
      </c>
    </row>
    <row r="398" spans="2:28" s="281" customFormat="1">
      <c r="B398" s="281" t="s">
        <v>1961</v>
      </c>
      <c r="C398" s="284" t="s">
        <v>256</v>
      </c>
      <c r="D398" s="285"/>
      <c r="E398" s="281" t="s">
        <v>755</v>
      </c>
      <c r="F398" s="285"/>
      <c r="G398" s="282"/>
      <c r="J398" s="281" t="s">
        <v>614</v>
      </c>
      <c r="K398" s="281" t="s">
        <v>636</v>
      </c>
      <c r="O398" s="283"/>
      <c r="P398" s="283"/>
      <c r="Q398" s="283"/>
      <c r="R398" s="283"/>
      <c r="S398" s="283"/>
      <c r="T398" s="283"/>
      <c r="U398" s="283"/>
      <c r="V398" s="283"/>
      <c r="W398" s="283"/>
      <c r="X398" s="283"/>
      <c r="Y398" s="283"/>
      <c r="Z398" s="283"/>
      <c r="AA398" s="281" t="s">
        <v>1848</v>
      </c>
      <c r="AB398" s="5" t="s">
        <v>4471</v>
      </c>
    </row>
    <row r="399" spans="2:28" s="281" customFormat="1">
      <c r="B399" s="281" t="s">
        <v>1962</v>
      </c>
      <c r="C399" s="284" t="s">
        <v>256</v>
      </c>
      <c r="D399" s="285"/>
      <c r="F399" s="285"/>
      <c r="G399" s="282"/>
      <c r="J399" s="281" t="s">
        <v>614</v>
      </c>
      <c r="K399" s="281" t="s">
        <v>633</v>
      </c>
      <c r="L399" s="281">
        <v>2022</v>
      </c>
      <c r="M399" s="281" t="s">
        <v>4472</v>
      </c>
      <c r="O399" s="283"/>
      <c r="P399" s="283"/>
      <c r="Q399" s="283"/>
      <c r="R399" s="283"/>
      <c r="S399" s="283"/>
      <c r="T399" s="283"/>
      <c r="U399" s="283"/>
      <c r="V399" s="283"/>
      <c r="W399" s="283"/>
      <c r="X399" s="283"/>
      <c r="Y399" s="283"/>
      <c r="Z399" s="283"/>
      <c r="AA399" s="281" t="s">
        <v>4474</v>
      </c>
      <c r="AB399" s="5" t="s">
        <v>4473</v>
      </c>
    </row>
    <row r="400" spans="2:28">
      <c r="B400" s="250" t="s">
        <v>1963</v>
      </c>
      <c r="C400" s="284" t="s">
        <v>256</v>
      </c>
      <c r="E400" s="281" t="s">
        <v>549</v>
      </c>
      <c r="J400" s="281" t="s">
        <v>614</v>
      </c>
      <c r="K400" s="281" t="s">
        <v>636</v>
      </c>
      <c r="L400" s="250">
        <v>2021</v>
      </c>
      <c r="AA400" s="281" t="s">
        <v>1848</v>
      </c>
      <c r="AB400" s="5" t="s">
        <v>4475</v>
      </c>
    </row>
    <row r="401" spans="2:28">
      <c r="B401" s="250" t="s">
        <v>1964</v>
      </c>
      <c r="C401" s="284" t="s">
        <v>256</v>
      </c>
      <c r="E401" s="281" t="s">
        <v>565</v>
      </c>
      <c r="J401" s="281" t="s">
        <v>646</v>
      </c>
      <c r="K401" s="281" t="s">
        <v>4476</v>
      </c>
      <c r="AA401" s="281" t="s">
        <v>3072</v>
      </c>
      <c r="AB401" s="5" t="s">
        <v>4477</v>
      </c>
    </row>
    <row r="402" spans="2:28">
      <c r="B402" s="250" t="s">
        <v>1965</v>
      </c>
      <c r="C402" s="284" t="s">
        <v>256</v>
      </c>
      <c r="E402" s="281" t="s">
        <v>565</v>
      </c>
      <c r="J402" s="281" t="s">
        <v>614</v>
      </c>
      <c r="K402" s="281" t="s">
        <v>725</v>
      </c>
      <c r="AA402" s="281" t="s">
        <v>833</v>
      </c>
      <c r="AB402" s="5" t="s">
        <v>4480</v>
      </c>
    </row>
    <row r="403" spans="2:28" s="281" customFormat="1">
      <c r="B403" s="281" t="s">
        <v>4481</v>
      </c>
      <c r="C403" s="284" t="s">
        <v>256</v>
      </c>
      <c r="D403" s="285"/>
      <c r="E403" s="281" t="s">
        <v>755</v>
      </c>
      <c r="F403" s="285"/>
      <c r="G403" s="282"/>
      <c r="J403" s="281" t="s">
        <v>614</v>
      </c>
      <c r="K403" s="281" t="s">
        <v>636</v>
      </c>
      <c r="O403" s="283"/>
      <c r="P403" s="283"/>
      <c r="Q403" s="283"/>
      <c r="R403" s="283"/>
      <c r="S403" s="283"/>
      <c r="T403" s="283"/>
      <c r="U403" s="283"/>
      <c r="V403" s="283"/>
      <c r="W403" s="283"/>
      <c r="X403" s="283"/>
      <c r="Y403" s="283"/>
      <c r="Z403" s="283"/>
      <c r="AA403" s="281" t="s">
        <v>1848</v>
      </c>
      <c r="AB403" s="5" t="s">
        <v>4482</v>
      </c>
    </row>
    <row r="404" spans="2:28" s="281" customFormat="1">
      <c r="B404" s="281" t="s">
        <v>1966</v>
      </c>
      <c r="C404" s="284" t="s">
        <v>256</v>
      </c>
      <c r="D404" s="285"/>
      <c r="E404" s="281" t="s">
        <v>565</v>
      </c>
      <c r="F404" s="285"/>
      <c r="G404" s="282"/>
      <c r="J404" s="281" t="s">
        <v>614</v>
      </c>
      <c r="K404" s="281" t="s">
        <v>2572</v>
      </c>
      <c r="O404" s="283"/>
      <c r="P404" s="283"/>
      <c r="Q404" s="283"/>
      <c r="R404" s="283"/>
      <c r="S404" s="283"/>
      <c r="T404" s="283"/>
      <c r="U404" s="283"/>
      <c r="V404" s="283"/>
      <c r="W404" s="283"/>
      <c r="X404" s="283"/>
      <c r="Y404" s="283"/>
      <c r="Z404" s="283"/>
      <c r="AA404" s="281" t="s">
        <v>1848</v>
      </c>
      <c r="AB404" s="5" t="s">
        <v>4483</v>
      </c>
    </row>
    <row r="405" spans="2:28" s="281" customFormat="1">
      <c r="B405" s="281" t="s">
        <v>1968</v>
      </c>
      <c r="C405" s="284" t="s">
        <v>256</v>
      </c>
      <c r="D405" s="285"/>
      <c r="E405" s="281" t="s">
        <v>544</v>
      </c>
      <c r="F405" s="285"/>
      <c r="G405" s="282"/>
      <c r="J405" s="281" t="s">
        <v>614</v>
      </c>
      <c r="K405" s="281" t="s">
        <v>4485</v>
      </c>
      <c r="O405" s="283"/>
      <c r="P405" s="283"/>
      <c r="Q405" s="283"/>
      <c r="R405" s="283"/>
      <c r="S405" s="283"/>
      <c r="T405" s="283"/>
      <c r="U405" s="283"/>
      <c r="V405" s="283"/>
      <c r="W405" s="283"/>
      <c r="X405" s="283"/>
      <c r="Y405" s="283"/>
      <c r="Z405" s="283"/>
      <c r="AA405" s="281" t="s">
        <v>1120</v>
      </c>
      <c r="AB405" s="5" t="s">
        <v>4486</v>
      </c>
    </row>
    <row r="406" spans="2:28">
      <c r="B406" s="250" t="s">
        <v>1970</v>
      </c>
      <c r="C406" s="284" t="s">
        <v>256</v>
      </c>
      <c r="E406" s="281" t="s">
        <v>544</v>
      </c>
      <c r="J406" s="281" t="s">
        <v>614</v>
      </c>
      <c r="K406" s="281" t="s">
        <v>2564</v>
      </c>
      <c r="AA406" s="281" t="s">
        <v>1181</v>
      </c>
      <c r="AB406" s="5" t="s">
        <v>4488</v>
      </c>
    </row>
    <row r="407" spans="2:28">
      <c r="B407" s="250" t="s">
        <v>1971</v>
      </c>
      <c r="C407" s="284" t="s">
        <v>256</v>
      </c>
      <c r="E407" s="281" t="s">
        <v>565</v>
      </c>
      <c r="J407" s="281" t="s">
        <v>614</v>
      </c>
      <c r="K407" s="281" t="s">
        <v>633</v>
      </c>
      <c r="AA407" s="281" t="s">
        <v>932</v>
      </c>
      <c r="AB407" s="5" t="s">
        <v>4489</v>
      </c>
    </row>
    <row r="408" spans="2:28" s="281" customFormat="1">
      <c r="B408" s="281" t="s">
        <v>1972</v>
      </c>
      <c r="C408" s="284" t="s">
        <v>256</v>
      </c>
      <c r="D408" s="285"/>
      <c r="F408" s="285"/>
      <c r="G408" s="282"/>
      <c r="J408" s="281" t="s">
        <v>614</v>
      </c>
      <c r="K408" s="281" t="s">
        <v>4490</v>
      </c>
      <c r="O408" s="283"/>
      <c r="P408" s="283"/>
      <c r="Q408" s="283"/>
      <c r="R408" s="283"/>
      <c r="S408" s="283"/>
      <c r="T408" s="283"/>
      <c r="U408" s="283"/>
      <c r="V408" s="283"/>
      <c r="W408" s="283"/>
      <c r="X408" s="283"/>
      <c r="Y408" s="283"/>
      <c r="Z408" s="283"/>
      <c r="AA408" s="281" t="s">
        <v>4492</v>
      </c>
      <c r="AB408" s="5" t="s">
        <v>4491</v>
      </c>
    </row>
    <row r="409" spans="2:28">
      <c r="B409" s="250" t="s">
        <v>1973</v>
      </c>
      <c r="C409" s="284" t="s">
        <v>256</v>
      </c>
      <c r="E409" s="281" t="s">
        <v>565</v>
      </c>
      <c r="J409" s="281" t="s">
        <v>614</v>
      </c>
      <c r="K409" s="281" t="s">
        <v>3738</v>
      </c>
      <c r="AA409" s="281" t="s">
        <v>1848</v>
      </c>
      <c r="AB409" s="5" t="s">
        <v>4493</v>
      </c>
    </row>
    <row r="410" spans="2:28">
      <c r="B410" s="250" t="s">
        <v>1974</v>
      </c>
      <c r="C410" s="284" t="s">
        <v>256</v>
      </c>
      <c r="E410" s="281" t="s">
        <v>402</v>
      </c>
      <c r="J410" s="281" t="s">
        <v>430</v>
      </c>
      <c r="K410" s="281" t="s">
        <v>4494</v>
      </c>
      <c r="AA410" s="281" t="s">
        <v>1848</v>
      </c>
      <c r="AB410" s="5" t="s">
        <v>4495</v>
      </c>
    </row>
    <row r="411" spans="2:28">
      <c r="B411" s="250" t="s">
        <v>1977</v>
      </c>
      <c r="C411" s="284" t="s">
        <v>256</v>
      </c>
      <c r="J411" s="281" t="s">
        <v>430</v>
      </c>
      <c r="K411" s="281" t="s">
        <v>4497</v>
      </c>
      <c r="AA411" s="281" t="s">
        <v>1848</v>
      </c>
      <c r="AB411" s="5" t="s">
        <v>4498</v>
      </c>
    </row>
    <row r="412" spans="2:28">
      <c r="B412" s="250" t="s">
        <v>1978</v>
      </c>
      <c r="C412" s="284" t="s">
        <v>256</v>
      </c>
      <c r="E412" s="281" t="s">
        <v>402</v>
      </c>
      <c r="J412" s="281" t="s">
        <v>430</v>
      </c>
      <c r="K412" s="281" t="s">
        <v>4499</v>
      </c>
      <c r="M412" s="281" t="s">
        <v>4458</v>
      </c>
      <c r="AA412" s="281" t="s">
        <v>2418</v>
      </c>
      <c r="AB412" s="5" t="s">
        <v>4500</v>
      </c>
    </row>
    <row r="413" spans="2:28">
      <c r="B413" s="250" t="s">
        <v>1979</v>
      </c>
      <c r="C413" s="284" t="s">
        <v>256</v>
      </c>
      <c r="E413" s="281" t="s">
        <v>402</v>
      </c>
      <c r="J413" s="281" t="s">
        <v>614</v>
      </c>
      <c r="K413" s="281" t="s">
        <v>636</v>
      </c>
      <c r="AA413" s="281" t="s">
        <v>1108</v>
      </c>
      <c r="AB413" s="5" t="s">
        <v>4501</v>
      </c>
    </row>
    <row r="414" spans="2:28" s="281" customFormat="1">
      <c r="B414" s="281" t="s">
        <v>1980</v>
      </c>
      <c r="C414" s="284" t="s">
        <v>256</v>
      </c>
      <c r="D414" s="285"/>
      <c r="F414" s="285"/>
      <c r="G414" s="282"/>
      <c r="J414" s="281" t="s">
        <v>614</v>
      </c>
      <c r="K414" s="281" t="s">
        <v>4502</v>
      </c>
      <c r="O414" s="283"/>
      <c r="P414" s="283"/>
      <c r="Q414" s="283"/>
      <c r="R414" s="283"/>
      <c r="S414" s="283"/>
      <c r="T414" s="283"/>
      <c r="U414" s="283"/>
      <c r="V414" s="283"/>
      <c r="W414" s="283"/>
      <c r="X414" s="283"/>
      <c r="Y414" s="283"/>
      <c r="Z414" s="283"/>
      <c r="AA414" s="281" t="s">
        <v>2649</v>
      </c>
      <c r="AB414" s="5" t="s">
        <v>4503</v>
      </c>
    </row>
    <row r="415" spans="2:28">
      <c r="B415" s="281" t="s">
        <v>4504</v>
      </c>
      <c r="C415" s="284" t="s">
        <v>256</v>
      </c>
      <c r="D415" s="285"/>
      <c r="E415" s="281" t="s">
        <v>544</v>
      </c>
      <c r="AA415" s="281" t="s">
        <v>1848</v>
      </c>
      <c r="AB415" s="5" t="s">
        <v>4505</v>
      </c>
    </row>
    <row r="416" spans="2:28" s="281" customFormat="1">
      <c r="B416" s="281" t="s">
        <v>1982</v>
      </c>
      <c r="C416" s="284" t="s">
        <v>256</v>
      </c>
      <c r="D416" s="285"/>
      <c r="E416" s="281" t="s">
        <v>402</v>
      </c>
      <c r="F416" s="285"/>
      <c r="G416" s="282"/>
      <c r="J416" s="281" t="s">
        <v>614</v>
      </c>
      <c r="K416" s="281" t="s">
        <v>643</v>
      </c>
      <c r="O416" s="283"/>
      <c r="P416" s="283"/>
      <c r="Q416" s="283"/>
      <c r="R416" s="283"/>
      <c r="S416" s="283"/>
      <c r="T416" s="283"/>
      <c r="U416" s="283"/>
      <c r="V416" s="283"/>
      <c r="W416" s="283"/>
      <c r="X416" s="283"/>
      <c r="Y416" s="283"/>
      <c r="Z416" s="283"/>
      <c r="AA416" s="281" t="s">
        <v>837</v>
      </c>
      <c r="AB416" s="5" t="s">
        <v>4506</v>
      </c>
    </row>
    <row r="417" spans="2:2">
      <c r="B417" s="281" t="s">
        <v>4507</v>
      </c>
    </row>
    <row r="418" spans="2:2">
      <c r="B418" s="250" t="s">
        <v>1983</v>
      </c>
    </row>
    <row r="419" spans="2:2">
      <c r="B419" s="250" t="s">
        <v>1984</v>
      </c>
    </row>
    <row r="420" spans="2:2">
      <c r="B420" s="250" t="s">
        <v>1986</v>
      </c>
    </row>
    <row r="421" spans="2:2">
      <c r="B421" s="250" t="s">
        <v>1987</v>
      </c>
    </row>
    <row r="422" spans="2:2">
      <c r="B422" s="250" t="s">
        <v>1989</v>
      </c>
    </row>
    <row r="423" spans="2:2">
      <c r="B423" s="250" t="s">
        <v>1990</v>
      </c>
    </row>
    <row r="424" spans="2:2">
      <c r="B424" s="250" t="s">
        <v>1991</v>
      </c>
    </row>
    <row r="425" spans="2:2">
      <c r="B425" s="250" t="s">
        <v>1992</v>
      </c>
    </row>
    <row r="426" spans="2:2">
      <c r="B426" s="250" t="s">
        <v>1993</v>
      </c>
    </row>
    <row r="427" spans="2:2">
      <c r="B427" s="250" t="s">
        <v>1994</v>
      </c>
    </row>
    <row r="428" spans="2:2">
      <c r="B428" s="250" t="s">
        <v>1995</v>
      </c>
    </row>
    <row r="429" spans="2:2">
      <c r="B429" s="250" t="s">
        <v>1996</v>
      </c>
    </row>
    <row r="430" spans="2:2">
      <c r="B430" s="250" t="s">
        <v>1997</v>
      </c>
    </row>
    <row r="431" spans="2:2">
      <c r="B431" s="250" t="s">
        <v>1998</v>
      </c>
    </row>
    <row r="432" spans="2:2">
      <c r="B432" s="250" t="s">
        <v>1999</v>
      </c>
    </row>
    <row r="433" spans="2:2">
      <c r="B433" s="250" t="s">
        <v>2000</v>
      </c>
    </row>
    <row r="434" spans="2:2">
      <c r="B434" s="250" t="s">
        <v>2001</v>
      </c>
    </row>
    <row r="435" spans="2:2">
      <c r="B435" s="250" t="s">
        <v>2002</v>
      </c>
    </row>
    <row r="436" spans="2:2">
      <c r="B436" s="250" t="s">
        <v>2003</v>
      </c>
    </row>
    <row r="437" spans="2:2">
      <c r="B437" s="250" t="s">
        <v>2004</v>
      </c>
    </row>
    <row r="438" spans="2:2">
      <c r="B438" s="250" t="s">
        <v>2005</v>
      </c>
    </row>
    <row r="439" spans="2:2">
      <c r="B439" s="250" t="s">
        <v>2006</v>
      </c>
    </row>
    <row r="440" spans="2:2">
      <c r="B440" s="250" t="s">
        <v>2007</v>
      </c>
    </row>
    <row r="441" spans="2:2">
      <c r="B441" s="250" t="s">
        <v>2008</v>
      </c>
    </row>
    <row r="442" spans="2:2">
      <c r="B442" s="250" t="s">
        <v>2009</v>
      </c>
    </row>
    <row r="443" spans="2:2">
      <c r="B443" s="250" t="s">
        <v>2010</v>
      </c>
    </row>
    <row r="444" spans="2:2">
      <c r="B444" s="250" t="s">
        <v>2011</v>
      </c>
    </row>
    <row r="445" spans="2:2">
      <c r="B445" s="250" t="s">
        <v>2012</v>
      </c>
    </row>
    <row r="446" spans="2:2">
      <c r="B446" s="250" t="s">
        <v>2013</v>
      </c>
    </row>
    <row r="447" spans="2:2">
      <c r="B447" s="250" t="s">
        <v>2014</v>
      </c>
    </row>
    <row r="448" spans="2:2">
      <c r="B448" s="250" t="s">
        <v>2015</v>
      </c>
    </row>
    <row r="449" spans="2:2">
      <c r="B449" s="250" t="s">
        <v>2016</v>
      </c>
    </row>
    <row r="450" spans="2:2">
      <c r="B450" s="250" t="s">
        <v>2017</v>
      </c>
    </row>
    <row r="451" spans="2:2">
      <c r="B451" s="250" t="s">
        <v>2018</v>
      </c>
    </row>
    <row r="452" spans="2:2">
      <c r="B452" s="250" t="s">
        <v>2019</v>
      </c>
    </row>
    <row r="453" spans="2:2">
      <c r="B453" s="250" t="s">
        <v>2020</v>
      </c>
    </row>
    <row r="454" spans="2:2">
      <c r="B454" s="250" t="s">
        <v>2021</v>
      </c>
    </row>
    <row r="455" spans="2:2">
      <c r="B455" s="250" t="s">
        <v>2022</v>
      </c>
    </row>
    <row r="456" spans="2:2">
      <c r="B456" s="250" t="s">
        <v>2023</v>
      </c>
    </row>
    <row r="457" spans="2:2">
      <c r="B457" s="250" t="s">
        <v>2024</v>
      </c>
    </row>
    <row r="458" spans="2:2">
      <c r="B458" s="250" t="s">
        <v>2025</v>
      </c>
    </row>
    <row r="459" spans="2:2">
      <c r="B459" s="250" t="s">
        <v>2026</v>
      </c>
    </row>
    <row r="460" spans="2:2">
      <c r="B460" s="64" t="s">
        <v>2027</v>
      </c>
    </row>
    <row r="461" spans="2:2">
      <c r="B461" s="250" t="s">
        <v>2028</v>
      </c>
    </row>
    <row r="462" spans="2:2">
      <c r="B462" s="250" t="s">
        <v>2029</v>
      </c>
    </row>
    <row r="463" spans="2:2">
      <c r="B463" s="250" t="s">
        <v>2030</v>
      </c>
    </row>
    <row r="464" spans="2:2">
      <c r="B464" s="250" t="s">
        <v>2031</v>
      </c>
    </row>
    <row r="465" spans="2:13">
      <c r="B465" s="250" t="s">
        <v>2032</v>
      </c>
    </row>
    <row r="466" spans="2:13">
      <c r="B466" s="250" t="s">
        <v>2033</v>
      </c>
      <c r="M466" s="281" t="s">
        <v>4448</v>
      </c>
    </row>
    <row r="467" spans="2:13">
      <c r="B467" s="64" t="s">
        <v>2034</v>
      </c>
    </row>
    <row r="468" spans="2:13">
      <c r="B468" s="250" t="s">
        <v>2035</v>
      </c>
    </row>
    <row r="469" spans="2:13">
      <c r="B469" s="250" t="s">
        <v>2036</v>
      </c>
    </row>
    <row r="470" spans="2:13">
      <c r="B470" s="250" t="s">
        <v>2037</v>
      </c>
    </row>
    <row r="471" spans="2:13">
      <c r="B471" s="250" t="s">
        <v>2038</v>
      </c>
    </row>
    <row r="472" spans="2:13">
      <c r="B472" s="250" t="s">
        <v>2039</v>
      </c>
    </row>
    <row r="473" spans="2:13">
      <c r="B473" s="250" t="s">
        <v>2040</v>
      </c>
    </row>
    <row r="474" spans="2:13">
      <c r="B474" s="250" t="s">
        <v>2041</v>
      </c>
    </row>
    <row r="475" spans="2:13">
      <c r="B475" s="250" t="s">
        <v>2042</v>
      </c>
      <c r="M475" s="281" t="s">
        <v>4448</v>
      </c>
    </row>
    <row r="476" spans="2:13">
      <c r="B476" s="250" t="s">
        <v>2043</v>
      </c>
    </row>
    <row r="477" spans="2:13">
      <c r="B477" s="250" t="s">
        <v>2044</v>
      </c>
    </row>
    <row r="478" spans="2:13">
      <c r="B478" s="250" t="s">
        <v>2045</v>
      </c>
    </row>
    <row r="479" spans="2:13">
      <c r="B479" s="250" t="s">
        <v>2046</v>
      </c>
    </row>
    <row r="480" spans="2:13">
      <c r="B480" s="250" t="s">
        <v>2047</v>
      </c>
    </row>
    <row r="481" spans="2:2">
      <c r="B481" s="250" t="s">
        <v>2048</v>
      </c>
    </row>
    <row r="482" spans="2:2">
      <c r="B482" s="250" t="s">
        <v>2049</v>
      </c>
    </row>
    <row r="483" spans="2:2">
      <c r="B483" s="250" t="s">
        <v>2050</v>
      </c>
    </row>
    <row r="484" spans="2:2">
      <c r="B484" s="250" t="s">
        <v>2051</v>
      </c>
    </row>
    <row r="485" spans="2:2">
      <c r="B485" s="250" t="s">
        <v>2052</v>
      </c>
    </row>
    <row r="486" spans="2:2">
      <c r="B486" s="250" t="s">
        <v>2053</v>
      </c>
    </row>
    <row r="487" spans="2:2">
      <c r="B487" s="64" t="s">
        <v>2054</v>
      </c>
    </row>
    <row r="488" spans="2:2">
      <c r="B488" s="250" t="s">
        <v>2055</v>
      </c>
    </row>
    <row r="489" spans="2:2">
      <c r="B489" s="250" t="s">
        <v>2056</v>
      </c>
    </row>
    <row r="490" spans="2:2">
      <c r="B490" s="250" t="s">
        <v>2057</v>
      </c>
    </row>
    <row r="491" spans="2:2">
      <c r="B491" s="250" t="s">
        <v>2058</v>
      </c>
    </row>
    <row r="492" spans="2:2">
      <c r="B492" s="250" t="s">
        <v>2059</v>
      </c>
    </row>
    <row r="493" spans="2:2">
      <c r="B493" s="250" t="s">
        <v>2060</v>
      </c>
    </row>
    <row r="494" spans="2:2">
      <c r="B494" s="250" t="s">
        <v>2061</v>
      </c>
    </row>
    <row r="495" spans="2:2">
      <c r="B495" s="250" t="s">
        <v>2062</v>
      </c>
    </row>
    <row r="496" spans="2:2">
      <c r="B496" s="250" t="s">
        <v>2063</v>
      </c>
    </row>
    <row r="497" spans="2:2">
      <c r="B497" s="250" t="s">
        <v>2064</v>
      </c>
    </row>
    <row r="498" spans="2:2">
      <c r="B498" s="250" t="s">
        <v>2065</v>
      </c>
    </row>
    <row r="499" spans="2:2">
      <c r="B499" s="250" t="s">
        <v>2066</v>
      </c>
    </row>
    <row r="500" spans="2:2">
      <c r="B500" s="250" t="s">
        <v>2067</v>
      </c>
    </row>
    <row r="501" spans="2:2">
      <c r="B501" s="250" t="s">
        <v>2068</v>
      </c>
    </row>
    <row r="502" spans="2:2">
      <c r="B502" s="250" t="s">
        <v>2069</v>
      </c>
    </row>
    <row r="503" spans="2:2">
      <c r="B503" s="250" t="s">
        <v>2070</v>
      </c>
    </row>
    <row r="504" spans="2:2">
      <c r="B504" s="250" t="s">
        <v>2071</v>
      </c>
    </row>
    <row r="505" spans="2:2">
      <c r="B505" s="250" t="s">
        <v>2072</v>
      </c>
    </row>
    <row r="506" spans="2:2">
      <c r="B506" s="250" t="s">
        <v>2073</v>
      </c>
    </row>
    <row r="507" spans="2:2">
      <c r="B507" s="250" t="s">
        <v>2074</v>
      </c>
    </row>
    <row r="508" spans="2:2">
      <c r="B508" s="250" t="s">
        <v>2075</v>
      </c>
    </row>
    <row r="509" spans="2:2">
      <c r="B509" s="250" t="s">
        <v>2076</v>
      </c>
    </row>
    <row r="510" spans="2:2">
      <c r="B510" s="250" t="s">
        <v>2077</v>
      </c>
    </row>
    <row r="511" spans="2:2">
      <c r="B511" s="250" t="s">
        <v>2078</v>
      </c>
    </row>
    <row r="512" spans="2:2">
      <c r="B512" s="250" t="s">
        <v>2079</v>
      </c>
    </row>
    <row r="513" spans="2:13">
      <c r="B513" s="250" t="s">
        <v>2080</v>
      </c>
    </row>
    <row r="514" spans="2:13">
      <c r="B514" s="250" t="s">
        <v>2081</v>
      </c>
    </row>
    <row r="515" spans="2:13">
      <c r="B515" s="250" t="s">
        <v>2082</v>
      </c>
      <c r="M515" s="281" t="s">
        <v>4448</v>
      </c>
    </row>
    <row r="516" spans="2:13">
      <c r="B516" s="250" t="s">
        <v>2083</v>
      </c>
    </row>
    <row r="517" spans="2:13">
      <c r="B517" s="250" t="s">
        <v>2084</v>
      </c>
    </row>
    <row r="518" spans="2:13">
      <c r="B518" s="250" t="s">
        <v>2085</v>
      </c>
    </row>
    <row r="519" spans="2:13">
      <c r="B519" s="250" t="s">
        <v>2086</v>
      </c>
    </row>
    <row r="520" spans="2:13">
      <c r="B520" s="250" t="s">
        <v>2087</v>
      </c>
    </row>
    <row r="521" spans="2:13">
      <c r="B521" s="250" t="s">
        <v>2088</v>
      </c>
    </row>
    <row r="522" spans="2:13">
      <c r="B522" s="250" t="s">
        <v>2089</v>
      </c>
    </row>
    <row r="523" spans="2:13">
      <c r="B523" s="250" t="s">
        <v>2090</v>
      </c>
    </row>
    <row r="524" spans="2:13">
      <c r="B524" s="250" t="s">
        <v>2091</v>
      </c>
    </row>
    <row r="525" spans="2:13">
      <c r="B525" s="250" t="s">
        <v>2092</v>
      </c>
    </row>
    <row r="526" spans="2:13">
      <c r="B526" s="250" t="s">
        <v>2093</v>
      </c>
    </row>
    <row r="527" spans="2:13">
      <c r="B527" s="250" t="s">
        <v>2094</v>
      </c>
    </row>
    <row r="528" spans="2:13">
      <c r="B528" s="250" t="s">
        <v>2095</v>
      </c>
    </row>
    <row r="529" spans="2:13">
      <c r="B529" s="250" t="s">
        <v>2096</v>
      </c>
    </row>
    <row r="530" spans="2:13">
      <c r="B530" s="250" t="s">
        <v>2097</v>
      </c>
    </row>
    <row r="531" spans="2:13">
      <c r="B531" s="250" t="s">
        <v>2099</v>
      </c>
    </row>
    <row r="532" spans="2:13">
      <c r="B532" s="250" t="s">
        <v>2100</v>
      </c>
    </row>
    <row r="533" spans="2:13">
      <c r="B533" s="250" t="s">
        <v>2101</v>
      </c>
    </row>
    <row r="534" spans="2:13">
      <c r="B534" s="250" t="s">
        <v>2102</v>
      </c>
    </row>
    <row r="535" spans="2:13">
      <c r="B535" s="250" t="s">
        <v>2103</v>
      </c>
    </row>
    <row r="536" spans="2:13">
      <c r="B536" s="250" t="s">
        <v>2104</v>
      </c>
    </row>
    <row r="537" spans="2:13">
      <c r="B537" s="250" t="s">
        <v>2105</v>
      </c>
    </row>
    <row r="538" spans="2:13">
      <c r="B538" s="250" t="s">
        <v>2106</v>
      </c>
      <c r="M538" s="281" t="s">
        <v>4448</v>
      </c>
    </row>
    <row r="539" spans="2:13">
      <c r="B539" s="250" t="s">
        <v>2107</v>
      </c>
    </row>
    <row r="540" spans="2:13">
      <c r="B540" s="250" t="s">
        <v>2108</v>
      </c>
      <c r="M540" s="281" t="s">
        <v>4448</v>
      </c>
    </row>
    <row r="541" spans="2:13">
      <c r="B541" s="250" t="s">
        <v>2109</v>
      </c>
    </row>
    <row r="542" spans="2:13">
      <c r="B542" s="250" t="s">
        <v>2110</v>
      </c>
    </row>
    <row r="543" spans="2:13">
      <c r="B543" s="250" t="s">
        <v>2111</v>
      </c>
    </row>
    <row r="544" spans="2:13">
      <c r="B544" s="250" t="s">
        <v>2112</v>
      </c>
    </row>
    <row r="545" spans="2:13">
      <c r="B545" s="250" t="s">
        <v>2113</v>
      </c>
    </row>
    <row r="546" spans="2:13">
      <c r="B546" s="250" t="s">
        <v>2114</v>
      </c>
    </row>
    <row r="547" spans="2:13">
      <c r="B547" s="250" t="s">
        <v>2115</v>
      </c>
    </row>
    <row r="548" spans="2:13">
      <c r="B548" s="250" t="s">
        <v>2120</v>
      </c>
    </row>
    <row r="549" spans="2:13">
      <c r="B549" s="250" t="s">
        <v>2145</v>
      </c>
    </row>
    <row r="550" spans="2:13">
      <c r="B550" s="250" t="s">
        <v>2195</v>
      </c>
    </row>
    <row r="551" spans="2:13">
      <c r="B551" s="250" t="s">
        <v>2196</v>
      </c>
    </row>
    <row r="552" spans="2:13">
      <c r="B552" s="250" t="s">
        <v>2197</v>
      </c>
      <c r="M552" s="281" t="s">
        <v>4448</v>
      </c>
    </row>
    <row r="553" spans="2:13">
      <c r="B553" s="250" t="s">
        <v>2198</v>
      </c>
      <c r="I553" s="250" t="s">
        <v>2972</v>
      </c>
    </row>
    <row r="554" spans="2:13">
      <c r="B554" s="250" t="s">
        <v>2199</v>
      </c>
      <c r="M554" s="281" t="s">
        <v>4448</v>
      </c>
    </row>
    <row r="555" spans="2:13">
      <c r="B555" s="250" t="s">
        <v>2200</v>
      </c>
      <c r="M555" s="281" t="s">
        <v>4448</v>
      </c>
    </row>
    <row r="556" spans="2:13">
      <c r="B556" s="250" t="s">
        <v>2201</v>
      </c>
      <c r="M556" s="281" t="s">
        <v>4448</v>
      </c>
    </row>
    <row r="557" spans="2:13">
      <c r="B557" s="250" t="s">
        <v>2202</v>
      </c>
      <c r="M557" s="281" t="s">
        <v>4448</v>
      </c>
    </row>
    <row r="558" spans="2:13">
      <c r="B558" s="250" t="s">
        <v>2203</v>
      </c>
      <c r="M558" s="281" t="s">
        <v>4448</v>
      </c>
    </row>
    <row r="559" spans="2:13">
      <c r="B559" s="250" t="s">
        <v>2204</v>
      </c>
      <c r="M559" s="281" t="s">
        <v>4449</v>
      </c>
    </row>
    <row r="560" spans="2:13">
      <c r="B560" s="250" t="s">
        <v>2205</v>
      </c>
      <c r="M560" s="281" t="s">
        <v>4448</v>
      </c>
    </row>
    <row r="561" spans="2:13">
      <c r="B561" s="250" t="s">
        <v>2206</v>
      </c>
      <c r="M561" s="281" t="s">
        <v>4448</v>
      </c>
    </row>
    <row r="562" spans="2:13">
      <c r="B562" s="250" t="s">
        <v>2207</v>
      </c>
      <c r="M562" s="281" t="s">
        <v>4448</v>
      </c>
    </row>
    <row r="563" spans="2:13">
      <c r="B563" s="250" t="s">
        <v>2208</v>
      </c>
      <c r="M563" s="281" t="s">
        <v>4448</v>
      </c>
    </row>
    <row r="564" spans="2:13">
      <c r="B564" s="250" t="s">
        <v>2209</v>
      </c>
      <c r="M564" s="281" t="s">
        <v>4448</v>
      </c>
    </row>
    <row r="565" spans="2:13">
      <c r="B565" s="250" t="s">
        <v>2210</v>
      </c>
      <c r="M565" s="281" t="s">
        <v>4448</v>
      </c>
    </row>
    <row r="566" spans="2:13">
      <c r="B566" s="250" t="s">
        <v>2211</v>
      </c>
      <c r="M566" s="281" t="s">
        <v>4448</v>
      </c>
    </row>
    <row r="567" spans="2:13">
      <c r="B567" s="250" t="s">
        <v>2212</v>
      </c>
      <c r="M567" s="281" t="s">
        <v>4448</v>
      </c>
    </row>
    <row r="568" spans="2:13">
      <c r="B568" s="250" t="s">
        <v>2222</v>
      </c>
    </row>
    <row r="569" spans="2:13">
      <c r="B569" s="250" t="s">
        <v>2254</v>
      </c>
    </row>
    <row r="570" spans="2:13">
      <c r="B570" s="250" t="s">
        <v>2273</v>
      </c>
    </row>
    <row r="571" spans="2:13">
      <c r="B571" s="250" t="s">
        <v>2289</v>
      </c>
    </row>
    <row r="572" spans="2:13">
      <c r="B572" s="250" t="s">
        <v>2290</v>
      </c>
    </row>
    <row r="573" spans="2:13">
      <c r="B573" s="250" t="s">
        <v>2301</v>
      </c>
    </row>
    <row r="574" spans="2:13">
      <c r="B574" s="250" t="s">
        <v>2343</v>
      </c>
    </row>
    <row r="575" spans="2:13">
      <c r="B575" s="250" t="s">
        <v>2349</v>
      </c>
    </row>
    <row r="576" spans="2:13">
      <c r="B576" s="250" t="s">
        <v>2409</v>
      </c>
    </row>
    <row r="577" spans="2:2">
      <c r="B577" s="250" t="s">
        <v>2410</v>
      </c>
    </row>
    <row r="578" spans="2:2">
      <c r="B578" s="250" t="s">
        <v>2424</v>
      </c>
    </row>
    <row r="579" spans="2:2">
      <c r="B579" s="250" t="s">
        <v>2452</v>
      </c>
    </row>
    <row r="580" spans="2:2">
      <c r="B580" s="250" t="s">
        <v>2468</v>
      </c>
    </row>
    <row r="581" spans="2:2">
      <c r="B581" s="250" t="s">
        <v>2476</v>
      </c>
    </row>
    <row r="582" spans="2:2">
      <c r="B582" s="250" t="s">
        <v>2489</v>
      </c>
    </row>
    <row r="583" spans="2:2">
      <c r="B583" s="250" t="s">
        <v>2529</v>
      </c>
    </row>
    <row r="584" spans="2:2">
      <c r="B584" s="250" t="s">
        <v>2539</v>
      </c>
    </row>
    <row r="585" spans="2:2">
      <c r="B585" s="250" t="s">
        <v>2540</v>
      </c>
    </row>
    <row r="586" spans="2:2">
      <c r="B586" s="250" t="s">
        <v>2544</v>
      </c>
    </row>
    <row r="587" spans="2:2">
      <c r="B587" s="250" t="s">
        <v>2547</v>
      </c>
    </row>
    <row r="588" spans="2:2">
      <c r="B588" s="250" t="s">
        <v>2567</v>
      </c>
    </row>
    <row r="589" spans="2:2">
      <c r="B589" s="250" t="s">
        <v>2568</v>
      </c>
    </row>
    <row r="590" spans="2:2">
      <c r="B590" s="250" t="s">
        <v>2608</v>
      </c>
    </row>
    <row r="591" spans="2:2">
      <c r="B591" s="250" t="s">
        <v>2609</v>
      </c>
    </row>
    <row r="592" spans="2:2">
      <c r="B592" s="250" t="s">
        <v>2620</v>
      </c>
    </row>
    <row r="593" spans="2:2">
      <c r="B593" s="250" t="s">
        <v>2625</v>
      </c>
    </row>
    <row r="594" spans="2:2">
      <c r="B594" s="250" t="s">
        <v>3348</v>
      </c>
    </row>
    <row r="595" spans="2:2">
      <c r="B595" s="250" t="s">
        <v>2635</v>
      </c>
    </row>
    <row r="596" spans="2:2">
      <c r="B596" s="250" t="s">
        <v>2648</v>
      </c>
    </row>
    <row r="597" spans="2:2">
      <c r="B597" s="250" t="s">
        <v>2650</v>
      </c>
    </row>
    <row r="598" spans="2:2">
      <c r="B598" s="250" t="s">
        <v>2656</v>
      </c>
    </row>
    <row r="599" spans="2:2">
      <c r="B599" s="250" t="s">
        <v>2657</v>
      </c>
    </row>
    <row r="600" spans="2:2">
      <c r="B600" s="250" t="s">
        <v>2676</v>
      </c>
    </row>
    <row r="601" spans="2:2">
      <c r="B601" s="250" t="s">
        <v>2677</v>
      </c>
    </row>
    <row r="602" spans="2:2">
      <c r="B602" s="250" t="s">
        <v>2695</v>
      </c>
    </row>
    <row r="603" spans="2:2">
      <c r="B603" s="250" t="s">
        <v>2696</v>
      </c>
    </row>
    <row r="604" spans="2:2">
      <c r="B604" s="250" t="s">
        <v>2700</v>
      </c>
    </row>
    <row r="605" spans="2:2">
      <c r="B605" s="250" t="s">
        <v>2701</v>
      </c>
    </row>
    <row r="606" spans="2:2">
      <c r="B606" s="250" t="s">
        <v>2711</v>
      </c>
    </row>
    <row r="607" spans="2:2">
      <c r="B607" s="250" t="s">
        <v>2712</v>
      </c>
    </row>
    <row r="608" spans="2:2">
      <c r="B608" s="250" t="s">
        <v>2721</v>
      </c>
    </row>
    <row r="609" spans="2:13">
      <c r="B609" s="250" t="s">
        <v>2743</v>
      </c>
    </row>
    <row r="610" spans="2:13">
      <c r="B610" s="250" t="s">
        <v>2744</v>
      </c>
    </row>
    <row r="611" spans="2:13">
      <c r="B611" s="250" t="s">
        <v>2746</v>
      </c>
    </row>
    <row r="612" spans="2:13">
      <c r="B612" s="250" t="s">
        <v>2759</v>
      </c>
    </row>
    <row r="613" spans="2:13">
      <c r="B613" s="250" t="s">
        <v>2788</v>
      </c>
    </row>
    <row r="614" spans="2:13">
      <c r="B614" s="250" t="s">
        <v>2821</v>
      </c>
    </row>
    <row r="615" spans="2:13">
      <c r="B615" s="250" t="s">
        <v>2832</v>
      </c>
    </row>
    <row r="616" spans="2:13">
      <c r="B616" s="250" t="s">
        <v>2833</v>
      </c>
    </row>
    <row r="617" spans="2:13">
      <c r="B617" s="250" t="s">
        <v>2837</v>
      </c>
    </row>
    <row r="618" spans="2:13">
      <c r="B618" s="250" t="s">
        <v>2848</v>
      </c>
      <c r="C618" s="254" t="s">
        <v>256</v>
      </c>
      <c r="M618" s="250" t="s">
        <v>2910</v>
      </c>
    </row>
    <row r="619" spans="2:13">
      <c r="B619" s="250" t="s">
        <v>2864</v>
      </c>
      <c r="C619" s="254" t="s">
        <v>256</v>
      </c>
    </row>
    <row r="620" spans="2:13">
      <c r="B620" s="250" t="s">
        <v>2865</v>
      </c>
      <c r="C620" s="254" t="s">
        <v>256</v>
      </c>
      <c r="M620" s="250" t="s">
        <v>2908</v>
      </c>
    </row>
    <row r="621" spans="2:13">
      <c r="B621" s="250" t="s">
        <v>2867</v>
      </c>
      <c r="C621" s="254" t="s">
        <v>256</v>
      </c>
      <c r="M621" s="250" t="s">
        <v>2908</v>
      </c>
    </row>
    <row r="622" spans="2:13">
      <c r="B622" s="250" t="s">
        <v>2868</v>
      </c>
      <c r="C622" s="254" t="s">
        <v>256</v>
      </c>
      <c r="M622" s="250" t="s">
        <v>2908</v>
      </c>
    </row>
    <row r="623" spans="2:13">
      <c r="B623" s="250" t="s">
        <v>2869</v>
      </c>
      <c r="C623" s="254" t="s">
        <v>256</v>
      </c>
      <c r="M623" s="250" t="s">
        <v>2908</v>
      </c>
    </row>
    <row r="624" spans="2:13">
      <c r="B624" s="250" t="s">
        <v>2870</v>
      </c>
      <c r="C624" s="254" t="s">
        <v>256</v>
      </c>
      <c r="M624" s="250" t="s">
        <v>2908</v>
      </c>
    </row>
    <row r="625" spans="2:13">
      <c r="B625" s="250" t="s">
        <v>2871</v>
      </c>
      <c r="C625" s="254" t="s">
        <v>256</v>
      </c>
      <c r="M625" s="250" t="s">
        <v>2908</v>
      </c>
    </row>
    <row r="626" spans="2:13">
      <c r="B626" s="250" t="s">
        <v>2872</v>
      </c>
      <c r="C626" s="254" t="s">
        <v>256</v>
      </c>
      <c r="M626" s="250" t="s">
        <v>2908</v>
      </c>
    </row>
    <row r="627" spans="2:13">
      <c r="B627" s="250" t="s">
        <v>2873</v>
      </c>
      <c r="C627" s="254" t="s">
        <v>256</v>
      </c>
      <c r="M627" s="250" t="s">
        <v>2908</v>
      </c>
    </row>
    <row r="628" spans="2:13">
      <c r="B628" s="250" t="s">
        <v>2874</v>
      </c>
      <c r="C628" s="254" t="s">
        <v>256</v>
      </c>
      <c r="M628" s="250" t="s">
        <v>2908</v>
      </c>
    </row>
    <row r="629" spans="2:13">
      <c r="B629" s="250" t="s">
        <v>2875</v>
      </c>
      <c r="C629" s="254" t="s">
        <v>256</v>
      </c>
      <c r="M629" s="250" t="s">
        <v>2908</v>
      </c>
    </row>
    <row r="630" spans="2:13">
      <c r="B630" s="250" t="s">
        <v>2876</v>
      </c>
      <c r="C630" s="254" t="s">
        <v>256</v>
      </c>
      <c r="M630" s="250" t="s">
        <v>2908</v>
      </c>
    </row>
    <row r="631" spans="2:13">
      <c r="B631" s="250" t="s">
        <v>2877</v>
      </c>
      <c r="C631" s="254" t="s">
        <v>256</v>
      </c>
      <c r="M631" s="250" t="s">
        <v>2908</v>
      </c>
    </row>
    <row r="632" spans="2:13">
      <c r="B632" s="250" t="s">
        <v>2878</v>
      </c>
      <c r="C632" s="254" t="s">
        <v>256</v>
      </c>
      <c r="M632" s="250" t="s">
        <v>2908</v>
      </c>
    </row>
    <row r="633" spans="2:13">
      <c r="B633" s="250" t="s">
        <v>2879</v>
      </c>
      <c r="C633" s="254" t="s">
        <v>256</v>
      </c>
      <c r="M633" s="250" t="s">
        <v>2908</v>
      </c>
    </row>
    <row r="634" spans="2:13">
      <c r="B634" s="250" t="s">
        <v>2880</v>
      </c>
      <c r="C634" s="254" t="s">
        <v>256</v>
      </c>
      <c r="M634" s="250" t="s">
        <v>2908</v>
      </c>
    </row>
    <row r="635" spans="2:13">
      <c r="B635" s="250" t="s">
        <v>2881</v>
      </c>
      <c r="C635" s="254" t="s">
        <v>256</v>
      </c>
      <c r="M635" s="250" t="s">
        <v>2908</v>
      </c>
    </row>
    <row r="636" spans="2:13">
      <c r="B636" s="250" t="s">
        <v>2882</v>
      </c>
      <c r="C636" s="254" t="s">
        <v>256</v>
      </c>
      <c r="M636" s="250" t="s">
        <v>2908</v>
      </c>
    </row>
    <row r="637" spans="2:13">
      <c r="B637" s="250" t="s">
        <v>2883</v>
      </c>
      <c r="C637" s="254" t="s">
        <v>256</v>
      </c>
      <c r="M637" s="250" t="s">
        <v>2908</v>
      </c>
    </row>
    <row r="638" spans="2:13">
      <c r="B638" s="250" t="s">
        <v>2884</v>
      </c>
      <c r="C638" s="254" t="s">
        <v>256</v>
      </c>
      <c r="M638" s="250" t="s">
        <v>2908</v>
      </c>
    </row>
    <row r="639" spans="2:13">
      <c r="B639" s="250" t="s">
        <v>2885</v>
      </c>
      <c r="C639" s="254" t="s">
        <v>256</v>
      </c>
      <c r="M639" s="250" t="s">
        <v>2908</v>
      </c>
    </row>
    <row r="640" spans="2:13">
      <c r="B640" s="250" t="s">
        <v>2886</v>
      </c>
      <c r="C640" s="254" t="s">
        <v>256</v>
      </c>
      <c r="M640" s="250" t="s">
        <v>2908</v>
      </c>
    </row>
    <row r="641" spans="2:13">
      <c r="B641" s="250" t="s">
        <v>2887</v>
      </c>
      <c r="C641" s="254" t="s">
        <v>256</v>
      </c>
      <c r="M641" s="250" t="s">
        <v>2908</v>
      </c>
    </row>
    <row r="642" spans="2:13">
      <c r="B642" s="250" t="s">
        <v>2888</v>
      </c>
      <c r="C642" s="254" t="s">
        <v>256</v>
      </c>
      <c r="M642" s="250" t="s">
        <v>2908</v>
      </c>
    </row>
    <row r="643" spans="2:13">
      <c r="B643" s="250" t="s">
        <v>2889</v>
      </c>
      <c r="C643" s="254" t="s">
        <v>256</v>
      </c>
      <c r="M643" s="250" t="s">
        <v>2908</v>
      </c>
    </row>
    <row r="644" spans="2:13">
      <c r="B644" s="250" t="s">
        <v>2890</v>
      </c>
      <c r="C644" s="254" t="s">
        <v>256</v>
      </c>
      <c r="M644" s="250" t="s">
        <v>2908</v>
      </c>
    </row>
    <row r="645" spans="2:13">
      <c r="B645" s="250" t="s">
        <v>2891</v>
      </c>
      <c r="C645" s="254" t="s">
        <v>256</v>
      </c>
      <c r="M645" s="250" t="s">
        <v>2908</v>
      </c>
    </row>
    <row r="646" spans="2:13">
      <c r="B646" s="250" t="s">
        <v>2892</v>
      </c>
      <c r="C646" s="254" t="s">
        <v>256</v>
      </c>
      <c r="M646" s="250" t="s">
        <v>2908</v>
      </c>
    </row>
    <row r="647" spans="2:13">
      <c r="B647" s="250" t="s">
        <v>2893</v>
      </c>
      <c r="C647" s="254" t="s">
        <v>256</v>
      </c>
      <c r="M647" s="250" t="s">
        <v>2908</v>
      </c>
    </row>
    <row r="648" spans="2:13">
      <c r="B648" s="250" t="s">
        <v>2894</v>
      </c>
      <c r="C648" s="254" t="s">
        <v>256</v>
      </c>
      <c r="M648" s="250" t="s">
        <v>2908</v>
      </c>
    </row>
    <row r="649" spans="2:13">
      <c r="B649" s="250" t="s">
        <v>2895</v>
      </c>
      <c r="C649" s="254" t="s">
        <v>256</v>
      </c>
      <c r="M649" s="250" t="s">
        <v>2908</v>
      </c>
    </row>
    <row r="650" spans="2:13">
      <c r="B650" s="250" t="s">
        <v>2896</v>
      </c>
      <c r="C650" s="254" t="s">
        <v>256</v>
      </c>
      <c r="M650" s="250" t="s">
        <v>2908</v>
      </c>
    </row>
    <row r="651" spans="2:13">
      <c r="B651" s="250" t="s">
        <v>2897</v>
      </c>
      <c r="C651" s="254" t="s">
        <v>256</v>
      </c>
      <c r="M651" s="250" t="s">
        <v>2908</v>
      </c>
    </row>
    <row r="652" spans="2:13">
      <c r="B652" s="250" t="s">
        <v>2898</v>
      </c>
      <c r="C652" s="254" t="s">
        <v>256</v>
      </c>
      <c r="M652" s="250" t="s">
        <v>2908</v>
      </c>
    </row>
    <row r="653" spans="2:13">
      <c r="B653" s="250" t="s">
        <v>2899</v>
      </c>
      <c r="C653" s="254" t="s">
        <v>256</v>
      </c>
      <c r="M653" s="250" t="s">
        <v>2908</v>
      </c>
    </row>
    <row r="654" spans="2:13">
      <c r="B654" s="250" t="s">
        <v>2900</v>
      </c>
      <c r="C654" s="254" t="s">
        <v>256</v>
      </c>
      <c r="M654" s="250" t="s">
        <v>2908</v>
      </c>
    </row>
    <row r="655" spans="2:13">
      <c r="B655" s="250" t="s">
        <v>2901</v>
      </c>
      <c r="C655" s="254" t="s">
        <v>256</v>
      </c>
      <c r="M655" s="250" t="s">
        <v>2908</v>
      </c>
    </row>
    <row r="656" spans="2:13">
      <c r="B656" s="250" t="s">
        <v>2902</v>
      </c>
      <c r="C656" s="254" t="s">
        <v>256</v>
      </c>
      <c r="M656" s="250" t="s">
        <v>2908</v>
      </c>
    </row>
    <row r="657" spans="2:13">
      <c r="B657" s="250" t="s">
        <v>2903</v>
      </c>
      <c r="C657" s="254" t="s">
        <v>256</v>
      </c>
      <c r="M657" s="250" t="s">
        <v>2908</v>
      </c>
    </row>
    <row r="658" spans="2:13">
      <c r="B658" s="250" t="s">
        <v>2904</v>
      </c>
      <c r="C658" s="254" t="s">
        <v>256</v>
      </c>
      <c r="M658" s="250" t="s">
        <v>2908</v>
      </c>
    </row>
    <row r="659" spans="2:13">
      <c r="B659" s="250" t="s">
        <v>2905</v>
      </c>
      <c r="C659" s="254" t="s">
        <v>256</v>
      </c>
      <c r="M659" s="250" t="s">
        <v>2908</v>
      </c>
    </row>
    <row r="660" spans="2:13">
      <c r="B660" s="250" t="s">
        <v>2906</v>
      </c>
      <c r="C660" s="254" t="s">
        <v>256</v>
      </c>
      <c r="M660" s="250" t="s">
        <v>2908</v>
      </c>
    </row>
    <row r="661" spans="2:13">
      <c r="B661" s="250" t="s">
        <v>2907</v>
      </c>
      <c r="C661" s="254" t="s">
        <v>256</v>
      </c>
      <c r="M661" s="250" t="s">
        <v>2908</v>
      </c>
    </row>
    <row r="662" spans="2:13">
      <c r="B662" s="250" t="s">
        <v>2909</v>
      </c>
      <c r="C662" s="254" t="s">
        <v>256</v>
      </c>
      <c r="M662" s="250" t="s">
        <v>2910</v>
      </c>
    </row>
    <row r="663" spans="2:13">
      <c r="B663" s="250" t="s">
        <v>2911</v>
      </c>
      <c r="C663" s="254" t="s">
        <v>256</v>
      </c>
      <c r="M663" s="250" t="s">
        <v>2910</v>
      </c>
    </row>
    <row r="664" spans="2:13">
      <c r="B664" s="250" t="s">
        <v>2912</v>
      </c>
      <c r="C664" s="254" t="s">
        <v>256</v>
      </c>
      <c r="M664" s="250" t="s">
        <v>2910</v>
      </c>
    </row>
    <row r="665" spans="2:13">
      <c r="B665" s="250" t="s">
        <v>2913</v>
      </c>
      <c r="C665" s="254" t="s">
        <v>256</v>
      </c>
      <c r="M665" s="250" t="s">
        <v>2910</v>
      </c>
    </row>
    <row r="666" spans="2:13">
      <c r="B666" s="250" t="s">
        <v>2914</v>
      </c>
      <c r="C666" s="254" t="s">
        <v>256</v>
      </c>
      <c r="M666" s="250" t="s">
        <v>2910</v>
      </c>
    </row>
    <row r="667" spans="2:13">
      <c r="B667" s="250" t="s">
        <v>2915</v>
      </c>
      <c r="C667" s="254" t="s">
        <v>256</v>
      </c>
      <c r="M667" s="250" t="s">
        <v>2910</v>
      </c>
    </row>
    <row r="668" spans="2:13">
      <c r="B668" s="250" t="s">
        <v>2916</v>
      </c>
      <c r="C668" s="254" t="s">
        <v>256</v>
      </c>
      <c r="M668" s="250" t="s">
        <v>2910</v>
      </c>
    </row>
    <row r="669" spans="2:13">
      <c r="B669" s="250" t="s">
        <v>2917</v>
      </c>
      <c r="C669" s="254" t="s">
        <v>256</v>
      </c>
      <c r="M669" s="250" t="s">
        <v>2910</v>
      </c>
    </row>
    <row r="670" spans="2:13">
      <c r="B670" s="250" t="s">
        <v>2918</v>
      </c>
      <c r="C670" s="254" t="s">
        <v>256</v>
      </c>
      <c r="M670" s="250" t="s">
        <v>2910</v>
      </c>
    </row>
    <row r="671" spans="2:13">
      <c r="B671" s="250" t="s">
        <v>2367</v>
      </c>
      <c r="C671" s="254" t="s">
        <v>256</v>
      </c>
      <c r="M671" s="250" t="s">
        <v>2910</v>
      </c>
    </row>
    <row r="672" spans="2:13">
      <c r="B672" s="250" t="s">
        <v>2919</v>
      </c>
      <c r="C672" s="254" t="s">
        <v>256</v>
      </c>
      <c r="M672" s="250" t="s">
        <v>2910</v>
      </c>
    </row>
    <row r="673" spans="2:13">
      <c r="B673" s="250" t="s">
        <v>2920</v>
      </c>
      <c r="C673" s="254" t="s">
        <v>256</v>
      </c>
      <c r="M673" s="250" t="s">
        <v>2910</v>
      </c>
    </row>
    <row r="674" spans="2:13">
      <c r="B674" s="250" t="s">
        <v>2921</v>
      </c>
      <c r="C674" s="254" t="s">
        <v>256</v>
      </c>
      <c r="M674" s="250" t="s">
        <v>2910</v>
      </c>
    </row>
    <row r="675" spans="2:13">
      <c r="B675" s="250" t="s">
        <v>2922</v>
      </c>
      <c r="C675" s="254" t="s">
        <v>256</v>
      </c>
      <c r="M675" s="250" t="s">
        <v>2910</v>
      </c>
    </row>
    <row r="676" spans="2:13">
      <c r="B676" s="250" t="s">
        <v>2923</v>
      </c>
      <c r="C676" s="254" t="s">
        <v>256</v>
      </c>
      <c r="M676" s="250" t="s">
        <v>2910</v>
      </c>
    </row>
    <row r="677" spans="2:13">
      <c r="B677" s="250" t="s">
        <v>2924</v>
      </c>
      <c r="C677" s="254" t="s">
        <v>256</v>
      </c>
      <c r="M677" s="250" t="s">
        <v>2910</v>
      </c>
    </row>
    <row r="678" spans="2:13">
      <c r="B678" s="250" t="s">
        <v>2925</v>
      </c>
      <c r="C678" s="254" t="s">
        <v>256</v>
      </c>
      <c r="M678" s="250" t="s">
        <v>2910</v>
      </c>
    </row>
    <row r="679" spans="2:13">
      <c r="B679" s="250" t="s">
        <v>2926</v>
      </c>
      <c r="C679" s="254" t="s">
        <v>256</v>
      </c>
      <c r="M679" s="250" t="s">
        <v>2910</v>
      </c>
    </row>
    <row r="680" spans="2:13">
      <c r="B680" s="250" t="s">
        <v>2927</v>
      </c>
      <c r="C680" s="254" t="s">
        <v>256</v>
      </c>
      <c r="M680" s="250" t="s">
        <v>2910</v>
      </c>
    </row>
    <row r="681" spans="2:13">
      <c r="B681" s="250" t="s">
        <v>2928</v>
      </c>
      <c r="C681" s="254" t="s">
        <v>256</v>
      </c>
      <c r="M681" s="250" t="s">
        <v>2910</v>
      </c>
    </row>
    <row r="682" spans="2:13">
      <c r="B682" s="250" t="s">
        <v>2929</v>
      </c>
      <c r="C682" s="254" t="s">
        <v>256</v>
      </c>
      <c r="M682" s="250" t="s">
        <v>2910</v>
      </c>
    </row>
    <row r="683" spans="2:13">
      <c r="B683" s="250" t="s">
        <v>2930</v>
      </c>
      <c r="C683" s="254" t="s">
        <v>256</v>
      </c>
      <c r="M683" s="250" t="s">
        <v>2910</v>
      </c>
    </row>
    <row r="684" spans="2:13">
      <c r="B684" s="250" t="s">
        <v>2931</v>
      </c>
      <c r="C684" s="254" t="s">
        <v>256</v>
      </c>
      <c r="M684" s="250" t="s">
        <v>2910</v>
      </c>
    </row>
    <row r="685" spans="2:13">
      <c r="B685" s="250" t="s">
        <v>2932</v>
      </c>
      <c r="C685" s="254" t="s">
        <v>256</v>
      </c>
      <c r="M685" s="250" t="s">
        <v>2910</v>
      </c>
    </row>
    <row r="686" spans="2:13">
      <c r="B686" s="250" t="s">
        <v>2933</v>
      </c>
      <c r="C686" s="254" t="s">
        <v>256</v>
      </c>
      <c r="M686" s="250" t="s">
        <v>2910</v>
      </c>
    </row>
    <row r="687" spans="2:13">
      <c r="B687" s="250" t="s">
        <v>2934</v>
      </c>
      <c r="C687" s="254" t="s">
        <v>256</v>
      </c>
      <c r="M687" s="250" t="s">
        <v>2910</v>
      </c>
    </row>
    <row r="688" spans="2:13">
      <c r="B688" s="250" t="s">
        <v>2935</v>
      </c>
      <c r="C688" s="254" t="s">
        <v>256</v>
      </c>
      <c r="M688" s="250" t="s">
        <v>2910</v>
      </c>
    </row>
    <row r="689" spans="2:13">
      <c r="B689" s="250" t="s">
        <v>2936</v>
      </c>
      <c r="C689" s="254" t="s">
        <v>256</v>
      </c>
      <c r="M689" s="250" t="s">
        <v>2910</v>
      </c>
    </row>
    <row r="690" spans="2:13">
      <c r="B690" s="250" t="s">
        <v>2937</v>
      </c>
      <c r="C690" s="254" t="s">
        <v>256</v>
      </c>
      <c r="M690" s="250" t="s">
        <v>2910</v>
      </c>
    </row>
    <row r="691" spans="2:13">
      <c r="B691" s="250" t="s">
        <v>2938</v>
      </c>
      <c r="C691" s="254" t="s">
        <v>256</v>
      </c>
      <c r="M691" s="250" t="s">
        <v>2910</v>
      </c>
    </row>
    <row r="692" spans="2:13">
      <c r="B692" s="250" t="s">
        <v>2939</v>
      </c>
      <c r="C692" s="254" t="s">
        <v>256</v>
      </c>
      <c r="M692" s="250" t="s">
        <v>2910</v>
      </c>
    </row>
    <row r="693" spans="2:13">
      <c r="B693" s="250" t="s">
        <v>2940</v>
      </c>
      <c r="C693" s="254" t="s">
        <v>256</v>
      </c>
      <c r="M693" s="250" t="s">
        <v>2910</v>
      </c>
    </row>
    <row r="694" spans="2:13">
      <c r="B694" s="250" t="s">
        <v>2941</v>
      </c>
      <c r="C694" s="254" t="s">
        <v>256</v>
      </c>
      <c r="M694" s="250" t="s">
        <v>2910</v>
      </c>
    </row>
    <row r="695" spans="2:13">
      <c r="B695" s="250" t="s">
        <v>2942</v>
      </c>
      <c r="C695" s="254" t="s">
        <v>256</v>
      </c>
      <c r="M695" s="250" t="s">
        <v>2910</v>
      </c>
    </row>
    <row r="696" spans="2:13">
      <c r="B696" s="250" t="s">
        <v>2943</v>
      </c>
      <c r="C696" s="254" t="s">
        <v>256</v>
      </c>
      <c r="M696" s="250" t="s">
        <v>2910</v>
      </c>
    </row>
    <row r="697" spans="2:13">
      <c r="B697" s="250" t="s">
        <v>2944</v>
      </c>
      <c r="C697" s="254" t="s">
        <v>256</v>
      </c>
      <c r="M697" s="250" t="s">
        <v>2910</v>
      </c>
    </row>
    <row r="698" spans="2:13">
      <c r="B698" s="250" t="s">
        <v>2945</v>
      </c>
      <c r="C698" s="254" t="s">
        <v>256</v>
      </c>
      <c r="M698" s="250" t="s">
        <v>2910</v>
      </c>
    </row>
    <row r="699" spans="2:13">
      <c r="B699" s="250" t="s">
        <v>2946</v>
      </c>
      <c r="C699" s="254" t="s">
        <v>256</v>
      </c>
      <c r="M699" s="250" t="s">
        <v>2910</v>
      </c>
    </row>
    <row r="700" spans="2:13">
      <c r="B700" s="250" t="s">
        <v>2947</v>
      </c>
      <c r="C700" s="254" t="s">
        <v>256</v>
      </c>
      <c r="M700" s="250" t="s">
        <v>2910</v>
      </c>
    </row>
    <row r="701" spans="2:13">
      <c r="B701" s="250" t="s">
        <v>2948</v>
      </c>
      <c r="C701" s="254" t="s">
        <v>256</v>
      </c>
      <c r="M701" s="250" t="s">
        <v>2910</v>
      </c>
    </row>
    <row r="702" spans="2:13">
      <c r="B702" s="250" t="s">
        <v>2949</v>
      </c>
      <c r="C702" s="254" t="s">
        <v>256</v>
      </c>
      <c r="M702" s="250" t="s">
        <v>2910</v>
      </c>
    </row>
    <row r="703" spans="2:13">
      <c r="B703" s="265" t="s">
        <v>2950</v>
      </c>
      <c r="C703" s="254" t="s">
        <v>256</v>
      </c>
      <c r="M703" s="250" t="s">
        <v>2910</v>
      </c>
    </row>
    <row r="704" spans="2:13">
      <c r="B704" s="250" t="s">
        <v>2951</v>
      </c>
      <c r="C704" s="254" t="s">
        <v>256</v>
      </c>
      <c r="M704" s="250" t="s">
        <v>2910</v>
      </c>
    </row>
    <row r="705" spans="2:13">
      <c r="B705" s="250" t="s">
        <v>2952</v>
      </c>
      <c r="C705" s="254" t="s">
        <v>256</v>
      </c>
      <c r="M705" s="250" t="s">
        <v>2910</v>
      </c>
    </row>
    <row r="706" spans="2:13">
      <c r="B706" s="250" t="s">
        <v>2953</v>
      </c>
      <c r="C706" s="254" t="s">
        <v>256</v>
      </c>
      <c r="M706" s="250" t="s">
        <v>2910</v>
      </c>
    </row>
    <row r="707" spans="2:13">
      <c r="B707" s="250" t="s">
        <v>2954</v>
      </c>
      <c r="C707" s="254" t="s">
        <v>256</v>
      </c>
      <c r="M707" s="250" t="s">
        <v>2910</v>
      </c>
    </row>
    <row r="708" spans="2:13">
      <c r="B708" s="250" t="s">
        <v>2955</v>
      </c>
      <c r="C708" s="254" t="s">
        <v>256</v>
      </c>
      <c r="M708" s="250" t="s">
        <v>2910</v>
      </c>
    </row>
    <row r="709" spans="2:13">
      <c r="B709" s="250" t="s">
        <v>2956</v>
      </c>
      <c r="C709" s="254" t="s">
        <v>256</v>
      </c>
      <c r="M709" s="250" t="s">
        <v>2910</v>
      </c>
    </row>
    <row r="710" spans="2:13">
      <c r="B710" s="250" t="s">
        <v>2957</v>
      </c>
      <c r="C710" s="254" t="s">
        <v>256</v>
      </c>
      <c r="M710" s="250" t="s">
        <v>2910</v>
      </c>
    </row>
    <row r="711" spans="2:13">
      <c r="B711" s="250" t="s">
        <v>2958</v>
      </c>
      <c r="C711" s="254" t="s">
        <v>256</v>
      </c>
      <c r="M711" s="250" t="s">
        <v>2910</v>
      </c>
    </row>
    <row r="712" spans="2:13">
      <c r="B712" s="250" t="s">
        <v>2959</v>
      </c>
      <c r="C712" s="254" t="s">
        <v>256</v>
      </c>
      <c r="M712" s="250" t="s">
        <v>2910</v>
      </c>
    </row>
    <row r="713" spans="2:13">
      <c r="B713" s="250" t="s">
        <v>2960</v>
      </c>
      <c r="C713" s="254" t="s">
        <v>256</v>
      </c>
      <c r="M713" s="250" t="s">
        <v>2910</v>
      </c>
    </row>
    <row r="714" spans="2:13">
      <c r="B714" s="250" t="s">
        <v>2961</v>
      </c>
      <c r="C714" s="254" t="s">
        <v>256</v>
      </c>
      <c r="M714" s="250" t="s">
        <v>2910</v>
      </c>
    </row>
    <row r="715" spans="2:13">
      <c r="B715" s="250" t="s">
        <v>2962</v>
      </c>
      <c r="C715" s="254" t="s">
        <v>256</v>
      </c>
      <c r="M715" s="250" t="s">
        <v>2910</v>
      </c>
    </row>
    <row r="716" spans="2:13">
      <c r="B716" s="250" t="s">
        <v>2963</v>
      </c>
      <c r="C716" s="254" t="s">
        <v>256</v>
      </c>
      <c r="M716" s="250" t="s">
        <v>2910</v>
      </c>
    </row>
    <row r="717" spans="2:13">
      <c r="B717" s="250" t="s">
        <v>2964</v>
      </c>
      <c r="C717" s="254" t="s">
        <v>256</v>
      </c>
      <c r="M717" s="250" t="s">
        <v>2910</v>
      </c>
    </row>
    <row r="718" spans="2:13">
      <c r="B718" s="250" t="s">
        <v>2965</v>
      </c>
      <c r="C718" s="254" t="s">
        <v>256</v>
      </c>
      <c r="M718" s="250" t="s">
        <v>2910</v>
      </c>
    </row>
    <row r="719" spans="2:13">
      <c r="B719" s="250" t="s">
        <v>2966</v>
      </c>
      <c r="C719" s="254" t="s">
        <v>256</v>
      </c>
      <c r="M719" s="250" t="s">
        <v>2910</v>
      </c>
    </row>
    <row r="720" spans="2:13">
      <c r="B720" s="250" t="s">
        <v>2967</v>
      </c>
      <c r="C720" s="254" t="s">
        <v>256</v>
      </c>
      <c r="M720" s="250" t="s">
        <v>2910</v>
      </c>
    </row>
    <row r="721" spans="2:13">
      <c r="B721" s="250" t="s">
        <v>2968</v>
      </c>
      <c r="C721" s="254" t="s">
        <v>256</v>
      </c>
      <c r="M721" s="250" t="s">
        <v>2910</v>
      </c>
    </row>
    <row r="722" spans="2:13">
      <c r="B722" s="250" t="s">
        <v>2969</v>
      </c>
      <c r="C722" s="254" t="s">
        <v>256</v>
      </c>
      <c r="M722" s="250" t="s">
        <v>2910</v>
      </c>
    </row>
    <row r="723" spans="2:13">
      <c r="B723" s="250" t="s">
        <v>2970</v>
      </c>
      <c r="C723" s="254" t="s">
        <v>256</v>
      </c>
      <c r="M723" s="250" t="s">
        <v>2910</v>
      </c>
    </row>
    <row r="724" spans="2:13">
      <c r="B724" s="250" t="s">
        <v>2971</v>
      </c>
      <c r="C724" s="254" t="s">
        <v>256</v>
      </c>
      <c r="M724" s="250" t="s">
        <v>2910</v>
      </c>
    </row>
    <row r="725" spans="2:13">
      <c r="B725" s="250" t="s">
        <v>2973</v>
      </c>
      <c r="C725" s="254" t="s">
        <v>256</v>
      </c>
      <c r="M725" s="250" t="s">
        <v>2910</v>
      </c>
    </row>
    <row r="726" spans="2:13">
      <c r="B726" s="250" t="s">
        <v>2974</v>
      </c>
      <c r="C726" s="254" t="s">
        <v>256</v>
      </c>
      <c r="M726" s="250" t="s">
        <v>2910</v>
      </c>
    </row>
    <row r="727" spans="2:13">
      <c r="B727" s="250" t="s">
        <v>2975</v>
      </c>
      <c r="C727" s="254" t="s">
        <v>256</v>
      </c>
      <c r="M727" s="250" t="s">
        <v>2910</v>
      </c>
    </row>
    <row r="728" spans="2:13">
      <c r="B728" s="250" t="s">
        <v>2976</v>
      </c>
      <c r="C728" s="254" t="s">
        <v>256</v>
      </c>
      <c r="M728" s="250" t="s">
        <v>2910</v>
      </c>
    </row>
    <row r="729" spans="2:13">
      <c r="B729" s="250" t="s">
        <v>2977</v>
      </c>
      <c r="C729" s="254" t="s">
        <v>256</v>
      </c>
      <c r="M729" s="250" t="s">
        <v>2910</v>
      </c>
    </row>
    <row r="730" spans="2:13">
      <c r="B730" s="250" t="s">
        <v>2978</v>
      </c>
      <c r="C730" s="254" t="s">
        <v>256</v>
      </c>
      <c r="M730" s="250" t="s">
        <v>2910</v>
      </c>
    </row>
    <row r="731" spans="2:13">
      <c r="B731" s="250" t="s">
        <v>2979</v>
      </c>
      <c r="C731" s="254" t="s">
        <v>256</v>
      </c>
      <c r="M731" s="250" t="s">
        <v>2910</v>
      </c>
    </row>
    <row r="732" spans="2:13">
      <c r="B732" s="250" t="s">
        <v>2980</v>
      </c>
      <c r="C732" s="254" t="s">
        <v>256</v>
      </c>
      <c r="M732" s="250" t="s">
        <v>2910</v>
      </c>
    </row>
    <row r="733" spans="2:13">
      <c r="B733" s="250" t="s">
        <v>2981</v>
      </c>
      <c r="C733" s="254" t="s">
        <v>256</v>
      </c>
      <c r="M733" s="250" t="s">
        <v>2910</v>
      </c>
    </row>
    <row r="734" spans="2:13">
      <c r="B734" s="250" t="s">
        <v>2982</v>
      </c>
      <c r="C734" s="254" t="s">
        <v>256</v>
      </c>
      <c r="M734" s="250" t="s">
        <v>2910</v>
      </c>
    </row>
    <row r="735" spans="2:13">
      <c r="B735" s="250" t="s">
        <v>2983</v>
      </c>
      <c r="C735" s="254" t="s">
        <v>256</v>
      </c>
      <c r="M735" s="250" t="s">
        <v>2910</v>
      </c>
    </row>
    <row r="736" spans="2:13">
      <c r="B736" s="250" t="s">
        <v>2984</v>
      </c>
      <c r="C736" s="254" t="s">
        <v>256</v>
      </c>
      <c r="M736" s="250" t="s">
        <v>2910</v>
      </c>
    </row>
    <row r="737" spans="2:13">
      <c r="B737" s="250" t="s">
        <v>2985</v>
      </c>
      <c r="C737" s="254" t="s">
        <v>256</v>
      </c>
      <c r="M737" s="250" t="s">
        <v>2910</v>
      </c>
    </row>
    <row r="738" spans="2:13">
      <c r="B738" s="250" t="s">
        <v>2986</v>
      </c>
      <c r="C738" s="254" t="s">
        <v>256</v>
      </c>
      <c r="M738" s="250" t="s">
        <v>2910</v>
      </c>
    </row>
    <row r="739" spans="2:13">
      <c r="B739" s="250" t="s">
        <v>2987</v>
      </c>
      <c r="C739" s="254" t="s">
        <v>256</v>
      </c>
      <c r="M739" s="250" t="s">
        <v>2910</v>
      </c>
    </row>
    <row r="740" spans="2:13">
      <c r="B740" s="250" t="s">
        <v>2988</v>
      </c>
      <c r="C740" s="254" t="s">
        <v>256</v>
      </c>
      <c r="M740" s="250" t="s">
        <v>2910</v>
      </c>
    </row>
    <row r="741" spans="2:13">
      <c r="B741" s="250" t="s">
        <v>2989</v>
      </c>
      <c r="C741" s="254" t="s">
        <v>256</v>
      </c>
      <c r="M741" s="250" t="s">
        <v>2910</v>
      </c>
    </row>
    <row r="742" spans="2:13">
      <c r="B742" s="250" t="s">
        <v>2990</v>
      </c>
      <c r="C742" s="254" t="s">
        <v>256</v>
      </c>
      <c r="M742" s="250" t="s">
        <v>2910</v>
      </c>
    </row>
    <row r="743" spans="2:13">
      <c r="B743" s="250" t="s">
        <v>2991</v>
      </c>
      <c r="C743" s="254" t="s">
        <v>256</v>
      </c>
      <c r="M743" s="250" t="s">
        <v>2910</v>
      </c>
    </row>
    <row r="744" spans="2:13">
      <c r="B744" s="250" t="s">
        <v>2992</v>
      </c>
      <c r="C744" s="254" t="s">
        <v>256</v>
      </c>
      <c r="M744" s="250" t="s">
        <v>2910</v>
      </c>
    </row>
    <row r="745" spans="2:13">
      <c r="B745" s="250" t="s">
        <v>2993</v>
      </c>
      <c r="C745" s="254" t="s">
        <v>256</v>
      </c>
      <c r="M745" s="250" t="s">
        <v>2910</v>
      </c>
    </row>
    <row r="746" spans="2:13">
      <c r="B746" s="250" t="s">
        <v>2994</v>
      </c>
      <c r="C746" s="254" t="s">
        <v>256</v>
      </c>
      <c r="M746" s="250" t="s">
        <v>2910</v>
      </c>
    </row>
    <row r="747" spans="2:13">
      <c r="B747" s="250" t="s">
        <v>2995</v>
      </c>
      <c r="C747" s="254" t="s">
        <v>256</v>
      </c>
      <c r="M747" s="250" t="s">
        <v>2910</v>
      </c>
    </row>
    <row r="748" spans="2:13">
      <c r="B748" s="250" t="s">
        <v>2996</v>
      </c>
      <c r="C748" s="254" t="s">
        <v>256</v>
      </c>
      <c r="M748" s="250" t="s">
        <v>2910</v>
      </c>
    </row>
    <row r="749" spans="2:13">
      <c r="B749" s="250" t="s">
        <v>2997</v>
      </c>
      <c r="C749" s="254" t="s">
        <v>256</v>
      </c>
      <c r="M749" s="250" t="s">
        <v>2910</v>
      </c>
    </row>
    <row r="750" spans="2:13">
      <c r="B750" s="250" t="s">
        <v>2998</v>
      </c>
      <c r="C750" s="254" t="s">
        <v>256</v>
      </c>
      <c r="M750" s="250" t="s">
        <v>2910</v>
      </c>
    </row>
    <row r="751" spans="2:13">
      <c r="B751" s="250" t="s">
        <v>2999</v>
      </c>
      <c r="C751" s="254" t="s">
        <v>256</v>
      </c>
      <c r="M751" s="250" t="s">
        <v>2910</v>
      </c>
    </row>
    <row r="752" spans="2:13">
      <c r="B752" s="250" t="s">
        <v>3000</v>
      </c>
      <c r="C752" s="254" t="s">
        <v>256</v>
      </c>
      <c r="M752" s="250" t="s">
        <v>2910</v>
      </c>
    </row>
    <row r="753" spans="2:13">
      <c r="B753" s="250" t="s">
        <v>3001</v>
      </c>
      <c r="C753" s="254" t="s">
        <v>256</v>
      </c>
      <c r="M753" s="250" t="s">
        <v>2910</v>
      </c>
    </row>
    <row r="754" spans="2:13">
      <c r="B754" s="250" t="s">
        <v>3002</v>
      </c>
      <c r="C754" s="254" t="s">
        <v>256</v>
      </c>
      <c r="M754" s="250" t="s">
        <v>2910</v>
      </c>
    </row>
    <row r="755" spans="2:13">
      <c r="B755" s="250" t="s">
        <v>3003</v>
      </c>
      <c r="C755" s="254" t="s">
        <v>256</v>
      </c>
      <c r="M755" s="250" t="s">
        <v>2910</v>
      </c>
    </row>
    <row r="756" spans="2:13">
      <c r="B756" s="250" t="s">
        <v>3004</v>
      </c>
      <c r="C756" s="254" t="s">
        <v>256</v>
      </c>
      <c r="M756" s="250" t="s">
        <v>2910</v>
      </c>
    </row>
    <row r="757" spans="2:13">
      <c r="B757" s="250" t="s">
        <v>3005</v>
      </c>
      <c r="C757" s="254" t="s">
        <v>256</v>
      </c>
      <c r="M757" s="250" t="s">
        <v>2910</v>
      </c>
    </row>
    <row r="758" spans="2:13">
      <c r="B758" s="250" t="s">
        <v>3006</v>
      </c>
      <c r="C758" s="254" t="s">
        <v>256</v>
      </c>
      <c r="M758" s="250" t="s">
        <v>2910</v>
      </c>
    </row>
    <row r="759" spans="2:13">
      <c r="B759" s="250" t="s">
        <v>3007</v>
      </c>
      <c r="C759" s="254" t="s">
        <v>256</v>
      </c>
      <c r="M759" s="250" t="s">
        <v>2910</v>
      </c>
    </row>
    <row r="760" spans="2:13">
      <c r="B760" s="250" t="s">
        <v>3008</v>
      </c>
      <c r="C760" s="254" t="s">
        <v>256</v>
      </c>
      <c r="M760" s="250" t="s">
        <v>2910</v>
      </c>
    </row>
    <row r="761" spans="2:13">
      <c r="B761" s="250" t="s">
        <v>3028</v>
      </c>
      <c r="C761" s="254" t="s">
        <v>256</v>
      </c>
    </row>
    <row r="762" spans="2:13">
      <c r="B762" s="250" t="s">
        <v>3031</v>
      </c>
      <c r="C762" s="254" t="s">
        <v>256</v>
      </c>
    </row>
    <row r="763" spans="2:13">
      <c r="B763" s="250" t="s">
        <v>3040</v>
      </c>
      <c r="C763" s="254" t="s">
        <v>256</v>
      </c>
    </row>
    <row r="764" spans="2:13">
      <c r="B764" s="250" t="s">
        <v>3046</v>
      </c>
      <c r="C764" s="254" t="s">
        <v>256</v>
      </c>
    </row>
    <row r="765" spans="2:13">
      <c r="B765" s="250" t="s">
        <v>3047</v>
      </c>
      <c r="C765" s="254" t="s">
        <v>256</v>
      </c>
    </row>
    <row r="766" spans="2:13">
      <c r="B766" s="250" t="s">
        <v>3080</v>
      </c>
      <c r="C766" s="254" t="s">
        <v>256</v>
      </c>
    </row>
    <row r="767" spans="2:13">
      <c r="B767" s="250" t="s">
        <v>3090</v>
      </c>
      <c r="C767" s="254" t="s">
        <v>256</v>
      </c>
    </row>
    <row r="768" spans="2:13">
      <c r="B768" s="250" t="s">
        <v>3099</v>
      </c>
      <c r="C768" s="254" t="s">
        <v>256</v>
      </c>
    </row>
    <row r="769" spans="2:3">
      <c r="B769" s="250" t="s">
        <v>3103</v>
      </c>
      <c r="C769" s="254" t="s">
        <v>256</v>
      </c>
    </row>
    <row r="770" spans="2:3">
      <c r="B770" s="250" t="s">
        <v>3104</v>
      </c>
      <c r="C770" s="254" t="s">
        <v>256</v>
      </c>
    </row>
    <row r="771" spans="2:3">
      <c r="B771" s="250" t="s">
        <v>3107</v>
      </c>
      <c r="C771" s="254" t="s">
        <v>256</v>
      </c>
    </row>
    <row r="772" spans="2:3">
      <c r="B772" s="250" t="s">
        <v>3143</v>
      </c>
      <c r="C772" s="254" t="s">
        <v>256</v>
      </c>
    </row>
    <row r="773" spans="2:3">
      <c r="B773" s="250" t="s">
        <v>3144</v>
      </c>
      <c r="C773" s="254" t="s">
        <v>256</v>
      </c>
    </row>
    <row r="774" spans="2:3">
      <c r="B774" s="250" t="s">
        <v>3145</v>
      </c>
      <c r="C774" s="254" t="s">
        <v>256</v>
      </c>
    </row>
    <row r="775" spans="2:3">
      <c r="B775" s="250" t="s">
        <v>3152</v>
      </c>
    </row>
    <row r="776" spans="2:3">
      <c r="B776" s="250" t="s">
        <v>3164</v>
      </c>
    </row>
    <row r="777" spans="2:3">
      <c r="B777" s="250" t="s">
        <v>3165</v>
      </c>
    </row>
    <row r="778" spans="2:3">
      <c r="B778" s="250" t="s">
        <v>3166</v>
      </c>
    </row>
    <row r="779" spans="2:3">
      <c r="B779" s="250" t="s">
        <v>3167</v>
      </c>
    </row>
    <row r="780" spans="2:3">
      <c r="B780" s="250" t="s">
        <v>3168</v>
      </c>
    </row>
    <row r="781" spans="2:3">
      <c r="B781" s="250" t="s">
        <v>3169</v>
      </c>
    </row>
    <row r="782" spans="2:3">
      <c r="B782" s="250" t="s">
        <v>3170</v>
      </c>
    </row>
    <row r="783" spans="2:3">
      <c r="B783" s="250" t="s">
        <v>3197</v>
      </c>
    </row>
    <row r="784" spans="2:3">
      <c r="B784" s="250" t="s">
        <v>3213</v>
      </c>
    </row>
    <row r="785" spans="2:2">
      <c r="B785" s="250" t="s">
        <v>3239</v>
      </c>
    </row>
    <row r="786" spans="2:2">
      <c r="B786" s="250" t="s">
        <v>3240</v>
      </c>
    </row>
    <row r="787" spans="2:2">
      <c r="B787" s="250" t="s">
        <v>3241</v>
      </c>
    </row>
    <row r="788" spans="2:2">
      <c r="B788" s="250" t="s">
        <v>3247</v>
      </c>
    </row>
    <row r="789" spans="2:2">
      <c r="B789" s="250" t="s">
        <v>3248</v>
      </c>
    </row>
    <row r="790" spans="2:2">
      <c r="B790" s="250" t="s">
        <v>3249</v>
      </c>
    </row>
    <row r="791" spans="2:2">
      <c r="B791" s="250" t="s">
        <v>3250</v>
      </c>
    </row>
    <row r="792" spans="2:2">
      <c r="B792" s="250" t="s">
        <v>3251</v>
      </c>
    </row>
    <row r="793" spans="2:2">
      <c r="B793" s="250" t="s">
        <v>3252</v>
      </c>
    </row>
    <row r="794" spans="2:2">
      <c r="B794" s="250" t="s">
        <v>3253</v>
      </c>
    </row>
    <row r="795" spans="2:2">
      <c r="B795" s="250" t="s">
        <v>3254</v>
      </c>
    </row>
    <row r="796" spans="2:2">
      <c r="B796" s="250" t="s">
        <v>3255</v>
      </c>
    </row>
    <row r="797" spans="2:2">
      <c r="B797" s="250" t="s">
        <v>3256</v>
      </c>
    </row>
    <row r="798" spans="2:2">
      <c r="B798" s="250" t="s">
        <v>3257</v>
      </c>
    </row>
    <row r="799" spans="2:2">
      <c r="B799" s="250" t="s">
        <v>3258</v>
      </c>
    </row>
    <row r="800" spans="2:2">
      <c r="B800" s="250" t="s">
        <v>3259</v>
      </c>
    </row>
    <row r="801" spans="2:2">
      <c r="B801" s="250" t="s">
        <v>3260</v>
      </c>
    </row>
    <row r="802" spans="2:2">
      <c r="B802" s="250" t="s">
        <v>3261</v>
      </c>
    </row>
    <row r="803" spans="2:2">
      <c r="B803" s="250" t="s">
        <v>3262</v>
      </c>
    </row>
    <row r="804" spans="2:2">
      <c r="B804" s="250" t="s">
        <v>3263</v>
      </c>
    </row>
    <row r="805" spans="2:2">
      <c r="B805" s="250" t="s">
        <v>3264</v>
      </c>
    </row>
    <row r="806" spans="2:2">
      <c r="B806" s="250" t="s">
        <v>3265</v>
      </c>
    </row>
    <row r="807" spans="2:2">
      <c r="B807" s="250" t="s">
        <v>3266</v>
      </c>
    </row>
    <row r="808" spans="2:2">
      <c r="B808" s="250" t="s">
        <v>3267</v>
      </c>
    </row>
    <row r="809" spans="2:2">
      <c r="B809" s="250" t="s">
        <v>3268</v>
      </c>
    </row>
    <row r="810" spans="2:2">
      <c r="B810" s="250" t="s">
        <v>3269</v>
      </c>
    </row>
    <row r="811" spans="2:2">
      <c r="B811" s="250" t="s">
        <v>3270</v>
      </c>
    </row>
    <row r="812" spans="2:2">
      <c r="B812" s="250" t="s">
        <v>3271</v>
      </c>
    </row>
    <row r="813" spans="2:2">
      <c r="B813" s="250" t="s">
        <v>3272</v>
      </c>
    </row>
    <row r="814" spans="2:2">
      <c r="B814" s="250" t="s">
        <v>3273</v>
      </c>
    </row>
    <row r="815" spans="2:2">
      <c r="B815" s="250" t="s">
        <v>3274</v>
      </c>
    </row>
    <row r="816" spans="2:2">
      <c r="B816" s="250" t="s">
        <v>3275</v>
      </c>
    </row>
    <row r="817" spans="2:2">
      <c r="B817" s="250" t="s">
        <v>3277</v>
      </c>
    </row>
    <row r="818" spans="2:2">
      <c r="B818" s="250" t="s">
        <v>3278</v>
      </c>
    </row>
    <row r="819" spans="2:2">
      <c r="B819" s="250" t="s">
        <v>3279</v>
      </c>
    </row>
    <row r="820" spans="2:2">
      <c r="B820" s="250" t="s">
        <v>3280</v>
      </c>
    </row>
    <row r="821" spans="2:2">
      <c r="B821" s="250" t="s">
        <v>3281</v>
      </c>
    </row>
    <row r="822" spans="2:2">
      <c r="B822" s="250" t="s">
        <v>3282</v>
      </c>
    </row>
    <row r="823" spans="2:2">
      <c r="B823" s="250" t="s">
        <v>3283</v>
      </c>
    </row>
    <row r="824" spans="2:2">
      <c r="B824" s="250" t="s">
        <v>3284</v>
      </c>
    </row>
    <row r="825" spans="2:2">
      <c r="B825" s="250" t="s">
        <v>3285</v>
      </c>
    </row>
    <row r="826" spans="2:2">
      <c r="B826" s="250" t="s">
        <v>3286</v>
      </c>
    </row>
    <row r="827" spans="2:2">
      <c r="B827" s="250" t="s">
        <v>3287</v>
      </c>
    </row>
    <row r="828" spans="2:2">
      <c r="B828" s="250" t="s">
        <v>3288</v>
      </c>
    </row>
    <row r="829" spans="2:2">
      <c r="B829" s="250" t="s">
        <v>3289</v>
      </c>
    </row>
    <row r="830" spans="2:2">
      <c r="B830" s="250" t="s">
        <v>3290</v>
      </c>
    </row>
    <row r="831" spans="2:2">
      <c r="B831" s="250" t="s">
        <v>3291</v>
      </c>
    </row>
    <row r="832" spans="2:2">
      <c r="B832" s="250" t="s">
        <v>3292</v>
      </c>
    </row>
    <row r="833" spans="2:2">
      <c r="B833" s="250" t="s">
        <v>3293</v>
      </c>
    </row>
    <row r="834" spans="2:2">
      <c r="B834" s="250" t="s">
        <v>3294</v>
      </c>
    </row>
    <row r="835" spans="2:2">
      <c r="B835" s="250" t="s">
        <v>3295</v>
      </c>
    </row>
    <row r="836" spans="2:2">
      <c r="B836" s="250" t="s">
        <v>3296</v>
      </c>
    </row>
    <row r="837" spans="2:2">
      <c r="B837" s="250" t="s">
        <v>3297</v>
      </c>
    </row>
    <row r="838" spans="2:2">
      <c r="B838" s="250" t="s">
        <v>3298</v>
      </c>
    </row>
    <row r="839" spans="2:2">
      <c r="B839" s="250" t="s">
        <v>3299</v>
      </c>
    </row>
    <row r="840" spans="2:2">
      <c r="B840" s="250" t="s">
        <v>3300</v>
      </c>
    </row>
    <row r="841" spans="2:2">
      <c r="B841" s="250" t="s">
        <v>3301</v>
      </c>
    </row>
    <row r="842" spans="2:2">
      <c r="B842" s="250" t="s">
        <v>3302</v>
      </c>
    </row>
    <row r="843" spans="2:2">
      <c r="B843" s="250" t="s">
        <v>3303</v>
      </c>
    </row>
    <row r="844" spans="2:2">
      <c r="B844" s="250" t="s">
        <v>3304</v>
      </c>
    </row>
    <row r="845" spans="2:2">
      <c r="B845" s="250" t="s">
        <v>3305</v>
      </c>
    </row>
    <row r="846" spans="2:2">
      <c r="B846" s="250" t="s">
        <v>3306</v>
      </c>
    </row>
    <row r="847" spans="2:2">
      <c r="B847" s="250" t="s">
        <v>3307</v>
      </c>
    </row>
    <row r="848" spans="2:2">
      <c r="B848" s="250" t="s">
        <v>3308</v>
      </c>
    </row>
    <row r="849" spans="2:2">
      <c r="B849" s="250" t="s">
        <v>3309</v>
      </c>
    </row>
    <row r="850" spans="2:2">
      <c r="B850" s="250" t="s">
        <v>3310</v>
      </c>
    </row>
    <row r="851" spans="2:2">
      <c r="B851" s="250" t="s">
        <v>3311</v>
      </c>
    </row>
    <row r="852" spans="2:2">
      <c r="B852" s="250" t="s">
        <v>3312</v>
      </c>
    </row>
    <row r="853" spans="2:2">
      <c r="B853" s="250" t="s">
        <v>3313</v>
      </c>
    </row>
    <row r="854" spans="2:2">
      <c r="B854" s="250" t="s">
        <v>3314</v>
      </c>
    </row>
    <row r="855" spans="2:2">
      <c r="B855" s="250" t="s">
        <v>3315</v>
      </c>
    </row>
    <row r="856" spans="2:2">
      <c r="B856" s="250" t="s">
        <v>3316</v>
      </c>
    </row>
    <row r="857" spans="2:2">
      <c r="B857" s="250" t="s">
        <v>3317</v>
      </c>
    </row>
    <row r="858" spans="2:2">
      <c r="B858" s="250" t="s">
        <v>3318</v>
      </c>
    </row>
    <row r="859" spans="2:2">
      <c r="B859" s="250" t="s">
        <v>3319</v>
      </c>
    </row>
    <row r="860" spans="2:2">
      <c r="B860" s="250" t="s">
        <v>3320</v>
      </c>
    </row>
    <row r="861" spans="2:2">
      <c r="B861" s="250" t="s">
        <v>3321</v>
      </c>
    </row>
    <row r="862" spans="2:2">
      <c r="B862" s="250" t="s">
        <v>3322</v>
      </c>
    </row>
    <row r="863" spans="2:2">
      <c r="B863" s="250" t="s">
        <v>3323</v>
      </c>
    </row>
    <row r="864" spans="2:2">
      <c r="B864" s="250" t="s">
        <v>3324</v>
      </c>
    </row>
    <row r="865" spans="2:2">
      <c r="B865" s="250" t="s">
        <v>3325</v>
      </c>
    </row>
    <row r="866" spans="2:2">
      <c r="B866" s="250" t="s">
        <v>3326</v>
      </c>
    </row>
    <row r="867" spans="2:2">
      <c r="B867" s="250" t="s">
        <v>3327</v>
      </c>
    </row>
    <row r="868" spans="2:2">
      <c r="B868" s="250" t="s">
        <v>3328</v>
      </c>
    </row>
    <row r="869" spans="2:2">
      <c r="B869" s="250" t="s">
        <v>3329</v>
      </c>
    </row>
    <row r="870" spans="2:2">
      <c r="B870" s="250" t="s">
        <v>3330</v>
      </c>
    </row>
    <row r="871" spans="2:2">
      <c r="B871" s="250" t="s">
        <v>3331</v>
      </c>
    </row>
    <row r="872" spans="2:2">
      <c r="B872" s="250" t="s">
        <v>3332</v>
      </c>
    </row>
    <row r="873" spans="2:2">
      <c r="B873" s="250" t="s">
        <v>3333</v>
      </c>
    </row>
    <row r="874" spans="2:2">
      <c r="B874" s="250" t="s">
        <v>3334</v>
      </c>
    </row>
    <row r="875" spans="2:2">
      <c r="B875" s="250" t="s">
        <v>3335</v>
      </c>
    </row>
    <row r="876" spans="2:2">
      <c r="B876" s="250" t="s">
        <v>3336</v>
      </c>
    </row>
    <row r="877" spans="2:2">
      <c r="B877" s="250" t="s">
        <v>3337</v>
      </c>
    </row>
    <row r="878" spans="2:2">
      <c r="B878" s="250" t="s">
        <v>3338</v>
      </c>
    </row>
    <row r="879" spans="2:2">
      <c r="B879" s="250" t="s">
        <v>3339</v>
      </c>
    </row>
    <row r="880" spans="2:2">
      <c r="B880" s="250" t="s">
        <v>3340</v>
      </c>
    </row>
    <row r="881" spans="2:2">
      <c r="B881" s="250" t="s">
        <v>3341</v>
      </c>
    </row>
    <row r="882" spans="2:2">
      <c r="B882" s="250" t="s">
        <v>3342</v>
      </c>
    </row>
    <row r="883" spans="2:2">
      <c r="B883" s="250" t="s">
        <v>3343</v>
      </c>
    </row>
    <row r="884" spans="2:2">
      <c r="B884" s="250" t="s">
        <v>3344</v>
      </c>
    </row>
    <row r="885" spans="2:2">
      <c r="B885" s="250" t="s">
        <v>3345</v>
      </c>
    </row>
    <row r="886" spans="2:2">
      <c r="B886" s="250" t="s">
        <v>3346</v>
      </c>
    </row>
    <row r="887" spans="2:2">
      <c r="B887" s="250" t="s">
        <v>3347</v>
      </c>
    </row>
    <row r="888" spans="2:2">
      <c r="B888" s="250" t="s">
        <v>3349</v>
      </c>
    </row>
    <row r="889" spans="2:2">
      <c r="B889" s="250" t="s">
        <v>3350</v>
      </c>
    </row>
    <row r="890" spans="2:2">
      <c r="B890" s="250" t="s">
        <v>3351</v>
      </c>
    </row>
    <row r="891" spans="2:2">
      <c r="B891" s="250" t="s">
        <v>2032</v>
      </c>
    </row>
    <row r="892" spans="2:2">
      <c r="B892" s="250" t="s">
        <v>3352</v>
      </c>
    </row>
    <row r="893" spans="2:2">
      <c r="B893" s="250" t="s">
        <v>3353</v>
      </c>
    </row>
    <row r="894" spans="2:2">
      <c r="B894" s="250" t="s">
        <v>3354</v>
      </c>
    </row>
    <row r="895" spans="2:2">
      <c r="B895" s="250" t="s">
        <v>3355</v>
      </c>
    </row>
    <row r="896" spans="2:2">
      <c r="B896" s="250" t="s">
        <v>3356</v>
      </c>
    </row>
    <row r="897" spans="2:2">
      <c r="B897" s="250" t="s">
        <v>3357</v>
      </c>
    </row>
    <row r="898" spans="2:2">
      <c r="B898" s="250" t="s">
        <v>3358</v>
      </c>
    </row>
    <row r="899" spans="2:2">
      <c r="B899" s="250" t="s">
        <v>3359</v>
      </c>
    </row>
    <row r="900" spans="2:2">
      <c r="B900" s="250" t="s">
        <v>3360</v>
      </c>
    </row>
    <row r="901" spans="2:2">
      <c r="B901" s="250" t="s">
        <v>3361</v>
      </c>
    </row>
    <row r="902" spans="2:2">
      <c r="B902" s="250" t="s">
        <v>3362</v>
      </c>
    </row>
    <row r="903" spans="2:2">
      <c r="B903" s="250" t="s">
        <v>3363</v>
      </c>
    </row>
    <row r="904" spans="2:2">
      <c r="B904" s="250" t="s">
        <v>3364</v>
      </c>
    </row>
    <row r="905" spans="2:2">
      <c r="B905" s="250" t="s">
        <v>3365</v>
      </c>
    </row>
    <row r="906" spans="2:2">
      <c r="B906" s="250" t="s">
        <v>3366</v>
      </c>
    </row>
    <row r="907" spans="2:2">
      <c r="B907" s="250" t="s">
        <v>3367</v>
      </c>
    </row>
    <row r="908" spans="2:2">
      <c r="B908" s="250" t="s">
        <v>3368</v>
      </c>
    </row>
    <row r="909" spans="2:2">
      <c r="B909" s="250" t="s">
        <v>3369</v>
      </c>
    </row>
    <row r="910" spans="2:2">
      <c r="B910" s="250" t="s">
        <v>3370</v>
      </c>
    </row>
    <row r="911" spans="2:2">
      <c r="B911" s="250" t="s">
        <v>3371</v>
      </c>
    </row>
    <row r="912" spans="2:2">
      <c r="B912" s="250" t="s">
        <v>3372</v>
      </c>
    </row>
    <row r="913" spans="2:2">
      <c r="B913" s="250" t="s">
        <v>3373</v>
      </c>
    </row>
    <row r="914" spans="2:2">
      <c r="B914" s="250" t="s">
        <v>3374</v>
      </c>
    </row>
    <row r="915" spans="2:2">
      <c r="B915" s="250" t="s">
        <v>3375</v>
      </c>
    </row>
    <row r="916" spans="2:2">
      <c r="B916" s="250" t="s">
        <v>3376</v>
      </c>
    </row>
    <row r="917" spans="2:2">
      <c r="B917" s="250" t="s">
        <v>3377</v>
      </c>
    </row>
    <row r="918" spans="2:2">
      <c r="B918" s="250" t="s">
        <v>3378</v>
      </c>
    </row>
    <row r="919" spans="2:2">
      <c r="B919" s="250" t="s">
        <v>3379</v>
      </c>
    </row>
    <row r="920" spans="2:2">
      <c r="B920" s="250" t="s">
        <v>3380</v>
      </c>
    </row>
    <row r="921" spans="2:2">
      <c r="B921" s="250" t="s">
        <v>3381</v>
      </c>
    </row>
    <row r="922" spans="2:2">
      <c r="B922" s="250" t="s">
        <v>3382</v>
      </c>
    </row>
    <row r="923" spans="2:2">
      <c r="B923" s="250" t="s">
        <v>3383</v>
      </c>
    </row>
    <row r="924" spans="2:2">
      <c r="B924" s="250" t="s">
        <v>3384</v>
      </c>
    </row>
    <row r="925" spans="2:2">
      <c r="B925" s="250" t="s">
        <v>3385</v>
      </c>
    </row>
    <row r="926" spans="2:2">
      <c r="B926" s="250" t="s">
        <v>3386</v>
      </c>
    </row>
    <row r="927" spans="2:2">
      <c r="B927" s="250" t="s">
        <v>3387</v>
      </c>
    </row>
    <row r="928" spans="2:2">
      <c r="B928" s="250" t="s">
        <v>3388</v>
      </c>
    </row>
    <row r="929" spans="2:2">
      <c r="B929" s="250" t="s">
        <v>3389</v>
      </c>
    </row>
    <row r="930" spans="2:2">
      <c r="B930" s="250" t="s">
        <v>3390</v>
      </c>
    </row>
    <row r="931" spans="2:2">
      <c r="B931" s="250" t="s">
        <v>3391</v>
      </c>
    </row>
    <row r="932" spans="2:2">
      <c r="B932" s="250" t="s">
        <v>3392</v>
      </c>
    </row>
    <row r="933" spans="2:2">
      <c r="B933" s="250" t="s">
        <v>3393</v>
      </c>
    </row>
    <row r="934" spans="2:2">
      <c r="B934" s="250" t="s">
        <v>3394</v>
      </c>
    </row>
    <row r="935" spans="2:2">
      <c r="B935" s="250" t="s">
        <v>3395</v>
      </c>
    </row>
    <row r="936" spans="2:2">
      <c r="B936" s="250" t="s">
        <v>3396</v>
      </c>
    </row>
    <row r="937" spans="2:2">
      <c r="B937" s="250" t="s">
        <v>3397</v>
      </c>
    </row>
    <row r="938" spans="2:2">
      <c r="B938" s="250" t="s">
        <v>3398</v>
      </c>
    </row>
    <row r="939" spans="2:2">
      <c r="B939" s="250" t="s">
        <v>3399</v>
      </c>
    </row>
    <row r="940" spans="2:2">
      <c r="B940" s="250" t="s">
        <v>3400</v>
      </c>
    </row>
    <row r="941" spans="2:2">
      <c r="B941" s="250" t="s">
        <v>3401</v>
      </c>
    </row>
    <row r="942" spans="2:2">
      <c r="B942" s="250" t="s">
        <v>3402</v>
      </c>
    </row>
    <row r="943" spans="2:2">
      <c r="B943" s="250" t="s">
        <v>3403</v>
      </c>
    </row>
    <row r="944" spans="2:2">
      <c r="B944" s="250" t="s">
        <v>3404</v>
      </c>
    </row>
    <row r="945" spans="2:2">
      <c r="B945" s="250" t="s">
        <v>3405</v>
      </c>
    </row>
    <row r="946" spans="2:2">
      <c r="B946" s="250" t="s">
        <v>3406</v>
      </c>
    </row>
    <row r="947" spans="2:2">
      <c r="B947" s="250" t="s">
        <v>3407</v>
      </c>
    </row>
    <row r="948" spans="2:2">
      <c r="B948" s="250" t="s">
        <v>3408</v>
      </c>
    </row>
    <row r="949" spans="2:2">
      <c r="B949" s="250" t="s">
        <v>3409</v>
      </c>
    </row>
    <row r="950" spans="2:2">
      <c r="B950" s="250" t="s">
        <v>3410</v>
      </c>
    </row>
    <row r="951" spans="2:2">
      <c r="B951" s="250" t="s">
        <v>3411</v>
      </c>
    </row>
    <row r="952" spans="2:2">
      <c r="B952" s="250" t="s">
        <v>3412</v>
      </c>
    </row>
    <row r="953" spans="2:2">
      <c r="B953" s="250" t="s">
        <v>3413</v>
      </c>
    </row>
    <row r="954" spans="2:2">
      <c r="B954" s="250" t="s">
        <v>3414</v>
      </c>
    </row>
    <row r="955" spans="2:2">
      <c r="B955" s="250" t="s">
        <v>3415</v>
      </c>
    </row>
    <row r="956" spans="2:2">
      <c r="B956" s="250" t="s">
        <v>3416</v>
      </c>
    </row>
    <row r="957" spans="2:2">
      <c r="B957" s="250" t="s">
        <v>3417</v>
      </c>
    </row>
    <row r="958" spans="2:2">
      <c r="B958" s="250" t="s">
        <v>3418</v>
      </c>
    </row>
    <row r="959" spans="2:2">
      <c r="B959" s="250" t="s">
        <v>3419</v>
      </c>
    </row>
    <row r="960" spans="2:2">
      <c r="B960" s="250" t="s">
        <v>3420</v>
      </c>
    </row>
    <row r="961" spans="2:2">
      <c r="B961" s="250" t="s">
        <v>3421</v>
      </c>
    </row>
    <row r="962" spans="2:2">
      <c r="B962" s="250" t="s">
        <v>3422</v>
      </c>
    </row>
    <row r="963" spans="2:2">
      <c r="B963" s="250" t="s">
        <v>3423</v>
      </c>
    </row>
    <row r="964" spans="2:2">
      <c r="B964" s="250" t="s">
        <v>3424</v>
      </c>
    </row>
    <row r="965" spans="2:2">
      <c r="B965" s="250" t="s">
        <v>3425</v>
      </c>
    </row>
    <row r="966" spans="2:2">
      <c r="B966" s="250" t="s">
        <v>3426</v>
      </c>
    </row>
    <row r="967" spans="2:2">
      <c r="B967" s="250" t="s">
        <v>3427</v>
      </c>
    </row>
    <row r="968" spans="2:2">
      <c r="B968" s="250" t="s">
        <v>3428</v>
      </c>
    </row>
    <row r="969" spans="2:2">
      <c r="B969" s="250" t="s">
        <v>3429</v>
      </c>
    </row>
    <row r="970" spans="2:2">
      <c r="B970" s="250" t="s">
        <v>3430</v>
      </c>
    </row>
    <row r="971" spans="2:2">
      <c r="B971" s="250" t="s">
        <v>3431</v>
      </c>
    </row>
    <row r="972" spans="2:2">
      <c r="B972" s="250" t="s">
        <v>3432</v>
      </c>
    </row>
    <row r="973" spans="2:2">
      <c r="B973" s="250" t="s">
        <v>3433</v>
      </c>
    </row>
    <row r="974" spans="2:2">
      <c r="B974" s="250" t="s">
        <v>3434</v>
      </c>
    </row>
    <row r="975" spans="2:2">
      <c r="B975" s="250" t="s">
        <v>3435</v>
      </c>
    </row>
    <row r="976" spans="2:2">
      <c r="B976" s="250" t="s">
        <v>3436</v>
      </c>
    </row>
    <row r="977" spans="2:2">
      <c r="B977" s="250" t="s">
        <v>3437</v>
      </c>
    </row>
    <row r="978" spans="2:2">
      <c r="B978" s="250" t="s">
        <v>3438</v>
      </c>
    </row>
    <row r="979" spans="2:2">
      <c r="B979" s="250" t="s">
        <v>3439</v>
      </c>
    </row>
    <row r="980" spans="2:2">
      <c r="B980" s="250" t="s">
        <v>3440</v>
      </c>
    </row>
    <row r="981" spans="2:2">
      <c r="B981" s="250" t="s">
        <v>3441</v>
      </c>
    </row>
    <row r="982" spans="2:2">
      <c r="B982" s="250" t="s">
        <v>3442</v>
      </c>
    </row>
    <row r="983" spans="2:2">
      <c r="B983" s="250" t="s">
        <v>3443</v>
      </c>
    </row>
    <row r="984" spans="2:2">
      <c r="B984" s="250" t="s">
        <v>3444</v>
      </c>
    </row>
    <row r="985" spans="2:2">
      <c r="B985" s="250" t="s">
        <v>3445</v>
      </c>
    </row>
    <row r="986" spans="2:2">
      <c r="B986" s="250" t="s">
        <v>3446</v>
      </c>
    </row>
    <row r="987" spans="2:2">
      <c r="B987" s="250" t="s">
        <v>3447</v>
      </c>
    </row>
    <row r="988" spans="2:2">
      <c r="B988" s="250" t="s">
        <v>3448</v>
      </c>
    </row>
    <row r="989" spans="2:2">
      <c r="B989" s="250" t="s">
        <v>3449</v>
      </c>
    </row>
    <row r="990" spans="2:2">
      <c r="B990" s="250" t="s">
        <v>3450</v>
      </c>
    </row>
    <row r="991" spans="2:2">
      <c r="B991" s="250" t="s">
        <v>3451</v>
      </c>
    </row>
    <row r="992" spans="2:2">
      <c r="B992" s="250" t="s">
        <v>3452</v>
      </c>
    </row>
    <row r="993" spans="2:28">
      <c r="B993" s="250" t="s">
        <v>3453</v>
      </c>
    </row>
    <row r="994" spans="2:28">
      <c r="B994" s="250" t="s">
        <v>3454</v>
      </c>
    </row>
    <row r="995" spans="2:28">
      <c r="B995" s="250" t="s">
        <v>3455</v>
      </c>
    </row>
    <row r="996" spans="2:28">
      <c r="B996" s="250" t="s">
        <v>3456</v>
      </c>
    </row>
    <row r="997" spans="2:28">
      <c r="B997" s="250" t="s">
        <v>3457</v>
      </c>
    </row>
    <row r="998" spans="2:28">
      <c r="B998" s="250" t="s">
        <v>3458</v>
      </c>
    </row>
    <row r="999" spans="2:28">
      <c r="B999" s="250" t="s">
        <v>3459</v>
      </c>
    </row>
    <row r="1000" spans="2:28">
      <c r="B1000" s="250" t="s">
        <v>3460</v>
      </c>
    </row>
    <row r="1001" spans="2:28">
      <c r="B1001" s="250" t="s">
        <v>3461</v>
      </c>
    </row>
    <row r="1002" spans="2:28">
      <c r="B1002" s="250" t="s">
        <v>3462</v>
      </c>
    </row>
    <row r="1003" spans="2:28">
      <c r="B1003" s="250" t="s">
        <v>3463</v>
      </c>
    </row>
    <row r="1004" spans="2:28">
      <c r="B1004" s="250" t="s">
        <v>3464</v>
      </c>
    </row>
    <row r="1005" spans="2:28">
      <c r="B1005" s="250" t="s">
        <v>3465</v>
      </c>
    </row>
    <row r="1006" spans="2:28">
      <c r="B1006" s="250" t="s">
        <v>3466</v>
      </c>
      <c r="AB1006" s="266"/>
    </row>
    <row r="1007" spans="2:28">
      <c r="B1007" s="250" t="s">
        <v>3467</v>
      </c>
    </row>
    <row r="1008" spans="2:28">
      <c r="B1008" s="250" t="s">
        <v>3468</v>
      </c>
    </row>
    <row r="1009" spans="2:2">
      <c r="B1009" s="250" t="s">
        <v>3469</v>
      </c>
    </row>
    <row r="1010" spans="2:2">
      <c r="B1010" s="250" t="s">
        <v>3470</v>
      </c>
    </row>
    <row r="1011" spans="2:2">
      <c r="B1011" s="250" t="s">
        <v>3471</v>
      </c>
    </row>
    <row r="1012" spans="2:2">
      <c r="B1012" s="250" t="s">
        <v>3472</v>
      </c>
    </row>
    <row r="1013" spans="2:2">
      <c r="B1013" s="250" t="s">
        <v>3473</v>
      </c>
    </row>
    <row r="1014" spans="2:2">
      <c r="B1014" s="250" t="s">
        <v>3474</v>
      </c>
    </row>
    <row r="1015" spans="2:2">
      <c r="B1015" s="250" t="s">
        <v>3475</v>
      </c>
    </row>
    <row r="1016" spans="2:2">
      <c r="B1016" s="250" t="s">
        <v>3476</v>
      </c>
    </row>
    <row r="1017" spans="2:2">
      <c r="B1017" s="250" t="s">
        <v>3477</v>
      </c>
    </row>
    <row r="1018" spans="2:2">
      <c r="B1018" s="250" t="s">
        <v>3478</v>
      </c>
    </row>
    <row r="1019" spans="2:2">
      <c r="B1019" s="250" t="s">
        <v>3479</v>
      </c>
    </row>
    <row r="1020" spans="2:2">
      <c r="B1020" s="250" t="s">
        <v>3480</v>
      </c>
    </row>
    <row r="1021" spans="2:2">
      <c r="B1021" s="250" t="s">
        <v>3481</v>
      </c>
    </row>
    <row r="1022" spans="2:2">
      <c r="B1022" s="250" t="s">
        <v>3482</v>
      </c>
    </row>
    <row r="1023" spans="2:2">
      <c r="B1023" s="250" t="s">
        <v>3483</v>
      </c>
    </row>
    <row r="1024" spans="2:2">
      <c r="B1024" s="250" t="s">
        <v>3484</v>
      </c>
    </row>
    <row r="1025" spans="2:2">
      <c r="B1025" s="250" t="s">
        <v>3485</v>
      </c>
    </row>
    <row r="1026" spans="2:2">
      <c r="B1026" s="250" t="s">
        <v>3486</v>
      </c>
    </row>
    <row r="1027" spans="2:2">
      <c r="B1027" s="250" t="s">
        <v>3487</v>
      </c>
    </row>
    <row r="1028" spans="2:2">
      <c r="B1028" s="250" t="s">
        <v>3488</v>
      </c>
    </row>
    <row r="1029" spans="2:2">
      <c r="B1029" s="250" t="s">
        <v>3489</v>
      </c>
    </row>
    <row r="1030" spans="2:2">
      <c r="B1030" s="250" t="s">
        <v>2451</v>
      </c>
    </row>
    <row r="1031" spans="2:2">
      <c r="B1031" s="250" t="s">
        <v>3490</v>
      </c>
    </row>
    <row r="1032" spans="2:2">
      <c r="B1032" s="250" t="s">
        <v>3491</v>
      </c>
    </row>
    <row r="1033" spans="2:2">
      <c r="B1033" s="250" t="s">
        <v>3492</v>
      </c>
    </row>
    <row r="1034" spans="2:2">
      <c r="B1034" s="250" t="s">
        <v>3493</v>
      </c>
    </row>
    <row r="1035" spans="2:2">
      <c r="B1035" s="250" t="s">
        <v>3002</v>
      </c>
    </row>
    <row r="1036" spans="2:2">
      <c r="B1036" s="250" t="s">
        <v>3494</v>
      </c>
    </row>
    <row r="1037" spans="2:2">
      <c r="B1037" s="250" t="s">
        <v>3495</v>
      </c>
    </row>
    <row r="1038" spans="2:2">
      <c r="B1038" s="250" t="s">
        <v>3496</v>
      </c>
    </row>
    <row r="1039" spans="2:2">
      <c r="B1039" s="250" t="s">
        <v>3497</v>
      </c>
    </row>
    <row r="1040" spans="2:2">
      <c r="B1040" s="250" t="s">
        <v>3498</v>
      </c>
    </row>
    <row r="1041" spans="2:2">
      <c r="B1041" s="250" t="s">
        <v>3499</v>
      </c>
    </row>
    <row r="1042" spans="2:2">
      <c r="B1042" s="250" t="s">
        <v>3500</v>
      </c>
    </row>
    <row r="1043" spans="2:2">
      <c r="B1043" s="250" t="s">
        <v>3501</v>
      </c>
    </row>
    <row r="1044" spans="2:2">
      <c r="B1044" s="250" t="s">
        <v>3502</v>
      </c>
    </row>
    <row r="1045" spans="2:2">
      <c r="B1045" s="250" t="s">
        <v>3503</v>
      </c>
    </row>
    <row r="1046" spans="2:2">
      <c r="B1046" s="250" t="s">
        <v>3504</v>
      </c>
    </row>
    <row r="1047" spans="2:2">
      <c r="B1047" s="250" t="s">
        <v>3505</v>
      </c>
    </row>
    <row r="1048" spans="2:2">
      <c r="B1048" s="250" t="s">
        <v>3506</v>
      </c>
    </row>
    <row r="1049" spans="2:2">
      <c r="B1049" s="250" t="s">
        <v>3507</v>
      </c>
    </row>
    <row r="1050" spans="2:2">
      <c r="B1050" s="250" t="s">
        <v>3508</v>
      </c>
    </row>
    <row r="1051" spans="2:2">
      <c r="B1051" s="250" t="s">
        <v>3509</v>
      </c>
    </row>
    <row r="1052" spans="2:2">
      <c r="B1052" s="250" t="s">
        <v>3510</v>
      </c>
    </row>
    <row r="1053" spans="2:2">
      <c r="B1053" s="250" t="s">
        <v>3511</v>
      </c>
    </row>
    <row r="1054" spans="2:2">
      <c r="B1054" s="250" t="s">
        <v>3512</v>
      </c>
    </row>
    <row r="1055" spans="2:2">
      <c r="B1055" s="250" t="s">
        <v>3513</v>
      </c>
    </row>
    <row r="1056" spans="2:2">
      <c r="B1056" s="250" t="s">
        <v>3514</v>
      </c>
    </row>
    <row r="1057" spans="2:2">
      <c r="B1057" s="250" t="s">
        <v>3515</v>
      </c>
    </row>
    <row r="1058" spans="2:2">
      <c r="B1058" s="250" t="s">
        <v>3516</v>
      </c>
    </row>
    <row r="1059" spans="2:2">
      <c r="B1059" s="250" t="s">
        <v>3517</v>
      </c>
    </row>
    <row r="1060" spans="2:2">
      <c r="B1060" s="250" t="s">
        <v>3518</v>
      </c>
    </row>
    <row r="1061" spans="2:2">
      <c r="B1061" s="250" t="s">
        <v>3519</v>
      </c>
    </row>
    <row r="1062" spans="2:2">
      <c r="B1062" s="250" t="s">
        <v>3520</v>
      </c>
    </row>
    <row r="1063" spans="2:2">
      <c r="B1063" s="250" t="s">
        <v>3521</v>
      </c>
    </row>
    <row r="1064" spans="2:2">
      <c r="B1064" s="250" t="s">
        <v>3522</v>
      </c>
    </row>
    <row r="1065" spans="2:2">
      <c r="B1065" s="250" t="s">
        <v>3523</v>
      </c>
    </row>
    <row r="1066" spans="2:2">
      <c r="B1066" s="250" t="s">
        <v>3524</v>
      </c>
    </row>
    <row r="1067" spans="2:2">
      <c r="B1067" s="250" t="s">
        <v>3525</v>
      </c>
    </row>
    <row r="1068" spans="2:2">
      <c r="B1068" s="250" t="s">
        <v>3526</v>
      </c>
    </row>
    <row r="1069" spans="2:2">
      <c r="B1069" s="250" t="s">
        <v>3527</v>
      </c>
    </row>
    <row r="1070" spans="2:2">
      <c r="B1070" s="250" t="s">
        <v>3528</v>
      </c>
    </row>
    <row r="1071" spans="2:2">
      <c r="B1071" s="250" t="s">
        <v>3529</v>
      </c>
    </row>
    <row r="1072" spans="2:2">
      <c r="B1072" s="250" t="s">
        <v>3530</v>
      </c>
    </row>
    <row r="1073" spans="2:2">
      <c r="B1073" s="250" t="s">
        <v>3531</v>
      </c>
    </row>
    <row r="1074" spans="2:2">
      <c r="B1074" s="250" t="s">
        <v>3532</v>
      </c>
    </row>
    <row r="1075" spans="2:2">
      <c r="B1075" s="250" t="s">
        <v>3533</v>
      </c>
    </row>
    <row r="1076" spans="2:2">
      <c r="B1076" s="250" t="s">
        <v>3534</v>
      </c>
    </row>
    <row r="1077" spans="2:2">
      <c r="B1077" s="250" t="s">
        <v>3535</v>
      </c>
    </row>
    <row r="1078" spans="2:2">
      <c r="B1078" s="250" t="s">
        <v>3536</v>
      </c>
    </row>
    <row r="1079" spans="2:2">
      <c r="B1079" s="250" t="s">
        <v>3537</v>
      </c>
    </row>
    <row r="1080" spans="2:2">
      <c r="B1080" s="250" t="s">
        <v>3538</v>
      </c>
    </row>
    <row r="1081" spans="2:2">
      <c r="B1081" s="250" t="s">
        <v>3539</v>
      </c>
    </row>
    <row r="1082" spans="2:2">
      <c r="B1082" s="250" t="s">
        <v>3540</v>
      </c>
    </row>
    <row r="1083" spans="2:2">
      <c r="B1083" s="250" t="s">
        <v>3541</v>
      </c>
    </row>
    <row r="1084" spans="2:2">
      <c r="B1084" s="250" t="s">
        <v>3542</v>
      </c>
    </row>
    <row r="1085" spans="2:2">
      <c r="B1085" s="250" t="s">
        <v>3543</v>
      </c>
    </row>
    <row r="1086" spans="2:2">
      <c r="B1086" s="250" t="s">
        <v>3544</v>
      </c>
    </row>
    <row r="1087" spans="2:2">
      <c r="B1087" s="250" t="s">
        <v>3545</v>
      </c>
    </row>
    <row r="1088" spans="2:2">
      <c r="B1088" s="250" t="s">
        <v>3546</v>
      </c>
    </row>
    <row r="1089" spans="2:2">
      <c r="B1089" s="250" t="s">
        <v>3547</v>
      </c>
    </row>
    <row r="1090" spans="2:2">
      <c r="B1090" s="250" t="s">
        <v>3548</v>
      </c>
    </row>
    <row r="1091" spans="2:2">
      <c r="B1091" s="250" t="s">
        <v>3549</v>
      </c>
    </row>
    <row r="1092" spans="2:2">
      <c r="B1092" s="250" t="s">
        <v>3550</v>
      </c>
    </row>
    <row r="1093" spans="2:2">
      <c r="B1093" s="250" t="s">
        <v>3551</v>
      </c>
    </row>
    <row r="1094" spans="2:2">
      <c r="B1094" s="250" t="s">
        <v>3552</v>
      </c>
    </row>
    <row r="1095" spans="2:2">
      <c r="B1095" s="250" t="s">
        <v>3553</v>
      </c>
    </row>
    <row r="1096" spans="2:2">
      <c r="B1096" s="250" t="s">
        <v>3554</v>
      </c>
    </row>
    <row r="1097" spans="2:2">
      <c r="B1097" s="250" t="s">
        <v>3555</v>
      </c>
    </row>
    <row r="1098" spans="2:2">
      <c r="B1098" s="250" t="s">
        <v>3556</v>
      </c>
    </row>
    <row r="1099" spans="2:2">
      <c r="B1099" s="250" t="s">
        <v>3557</v>
      </c>
    </row>
    <row r="1100" spans="2:2">
      <c r="B1100" s="250" t="s">
        <v>3558</v>
      </c>
    </row>
    <row r="1101" spans="2:2">
      <c r="B1101" s="250" t="s">
        <v>3559</v>
      </c>
    </row>
    <row r="1102" spans="2:2">
      <c r="B1102" s="250" t="s">
        <v>3560</v>
      </c>
    </row>
    <row r="1103" spans="2:2">
      <c r="B1103" s="250" t="s">
        <v>3561</v>
      </c>
    </row>
    <row r="1104" spans="2:2">
      <c r="B1104" s="250" t="s">
        <v>3562</v>
      </c>
    </row>
    <row r="1105" spans="2:2">
      <c r="B1105" s="250" t="s">
        <v>3563</v>
      </c>
    </row>
    <row r="1106" spans="2:2">
      <c r="B1106" s="250" t="s">
        <v>3564</v>
      </c>
    </row>
    <row r="1107" spans="2:2">
      <c r="B1107" s="250" t="s">
        <v>3565</v>
      </c>
    </row>
    <row r="1108" spans="2:2">
      <c r="B1108" s="250" t="s">
        <v>3566</v>
      </c>
    </row>
    <row r="1109" spans="2:2">
      <c r="B1109" s="250" t="s">
        <v>3567</v>
      </c>
    </row>
    <row r="1110" spans="2:2">
      <c r="B1110" s="250" t="s">
        <v>3568</v>
      </c>
    </row>
    <row r="1111" spans="2:2">
      <c r="B1111" s="250" t="s">
        <v>3569</v>
      </c>
    </row>
    <row r="1112" spans="2:2">
      <c r="B1112" s="250" t="s">
        <v>3570</v>
      </c>
    </row>
    <row r="1113" spans="2:2">
      <c r="B1113" s="250" t="s">
        <v>3571</v>
      </c>
    </row>
    <row r="1114" spans="2:2">
      <c r="B1114" s="250" t="s">
        <v>3572</v>
      </c>
    </row>
    <row r="1115" spans="2:2">
      <c r="B1115" s="250" t="s">
        <v>3573</v>
      </c>
    </row>
    <row r="1116" spans="2:2">
      <c r="B1116" s="250" t="s">
        <v>3574</v>
      </c>
    </row>
    <row r="1117" spans="2:2">
      <c r="B1117" s="250" t="s">
        <v>3575</v>
      </c>
    </row>
    <row r="1118" spans="2:2">
      <c r="B1118" s="250" t="s">
        <v>3576</v>
      </c>
    </row>
    <row r="1119" spans="2:2">
      <c r="B1119" s="250" t="s">
        <v>3577</v>
      </c>
    </row>
    <row r="1120" spans="2:2">
      <c r="B1120" s="250" t="s">
        <v>3578</v>
      </c>
    </row>
    <row r="1121" spans="2:2">
      <c r="B1121" s="250" t="s">
        <v>3579</v>
      </c>
    </row>
    <row r="1122" spans="2:2">
      <c r="B1122" s="250" t="s">
        <v>3580</v>
      </c>
    </row>
    <row r="1123" spans="2:2">
      <c r="B1123" s="250" t="s">
        <v>3581</v>
      </c>
    </row>
    <row r="1124" spans="2:2">
      <c r="B1124" s="250" t="s">
        <v>3582</v>
      </c>
    </row>
    <row r="1125" spans="2:2">
      <c r="B1125" s="250" t="s">
        <v>3583</v>
      </c>
    </row>
    <row r="1126" spans="2:2">
      <c r="B1126" s="250" t="s">
        <v>3584</v>
      </c>
    </row>
    <row r="1127" spans="2:2">
      <c r="B1127" s="250" t="s">
        <v>3585</v>
      </c>
    </row>
    <row r="1128" spans="2:2">
      <c r="B1128" s="250" t="s">
        <v>3586</v>
      </c>
    </row>
    <row r="1129" spans="2:2">
      <c r="B1129" s="250" t="s">
        <v>3587</v>
      </c>
    </row>
    <row r="1130" spans="2:2">
      <c r="B1130" s="250" t="s">
        <v>3588</v>
      </c>
    </row>
    <row r="1131" spans="2:2">
      <c r="B1131" s="250" t="s">
        <v>3589</v>
      </c>
    </row>
    <row r="1132" spans="2:2">
      <c r="B1132" s="250" t="s">
        <v>3590</v>
      </c>
    </row>
    <row r="1133" spans="2:2">
      <c r="B1133" s="250" t="s">
        <v>3591</v>
      </c>
    </row>
    <row r="1134" spans="2:2">
      <c r="B1134" s="250" t="s">
        <v>3592</v>
      </c>
    </row>
    <row r="1135" spans="2:2">
      <c r="B1135" s="250" t="s">
        <v>3593</v>
      </c>
    </row>
    <row r="1136" spans="2:2">
      <c r="B1136" s="250" t="s">
        <v>3594</v>
      </c>
    </row>
    <row r="1137" spans="2:2">
      <c r="B1137" s="250" t="s">
        <v>3595</v>
      </c>
    </row>
    <row r="1138" spans="2:2">
      <c r="B1138" s="250" t="s">
        <v>3596</v>
      </c>
    </row>
    <row r="1139" spans="2:2">
      <c r="B1139" s="250" t="s">
        <v>3597</v>
      </c>
    </row>
    <row r="1140" spans="2:2">
      <c r="B1140" s="250" t="s">
        <v>3598</v>
      </c>
    </row>
    <row r="1141" spans="2:2">
      <c r="B1141" s="250" t="s">
        <v>3599</v>
      </c>
    </row>
    <row r="1142" spans="2:2">
      <c r="B1142" s="250" t="s">
        <v>3600</v>
      </c>
    </row>
    <row r="1143" spans="2:2">
      <c r="B1143" s="250" t="s">
        <v>3601</v>
      </c>
    </row>
    <row r="1144" spans="2:2">
      <c r="B1144" s="250" t="s">
        <v>3602</v>
      </c>
    </row>
    <row r="1145" spans="2:2">
      <c r="B1145" s="250" t="s">
        <v>3603</v>
      </c>
    </row>
    <row r="1146" spans="2:2">
      <c r="B1146" s="250" t="s">
        <v>3604</v>
      </c>
    </row>
    <row r="1147" spans="2:2">
      <c r="B1147" s="250" t="s">
        <v>3605</v>
      </c>
    </row>
    <row r="1148" spans="2:2">
      <c r="B1148" s="250" t="s">
        <v>3606</v>
      </c>
    </row>
    <row r="1149" spans="2:2">
      <c r="B1149" s="250" t="s">
        <v>3607</v>
      </c>
    </row>
    <row r="1150" spans="2:2">
      <c r="B1150" s="250" t="s">
        <v>3608</v>
      </c>
    </row>
    <row r="1151" spans="2:2">
      <c r="B1151" s="250" t="s">
        <v>3609</v>
      </c>
    </row>
    <row r="1152" spans="2:2">
      <c r="B1152" s="250" t="s">
        <v>3610</v>
      </c>
    </row>
    <row r="1153" spans="2:2">
      <c r="B1153" s="250" t="s">
        <v>3611</v>
      </c>
    </row>
    <row r="1154" spans="2:2">
      <c r="B1154" s="250" t="s">
        <v>3612</v>
      </c>
    </row>
    <row r="1155" spans="2:2">
      <c r="B1155" s="250" t="s">
        <v>3613</v>
      </c>
    </row>
    <row r="1156" spans="2:2">
      <c r="B1156" s="250" t="s">
        <v>3614</v>
      </c>
    </row>
    <row r="1157" spans="2:2">
      <c r="B1157" s="250" t="s">
        <v>3615</v>
      </c>
    </row>
    <row r="1158" spans="2:2">
      <c r="B1158" s="250" t="s">
        <v>3616</v>
      </c>
    </row>
    <row r="1159" spans="2:2">
      <c r="B1159" s="250" t="s">
        <v>3617</v>
      </c>
    </row>
    <row r="1160" spans="2:2">
      <c r="B1160" s="250" t="s">
        <v>3618</v>
      </c>
    </row>
    <row r="1161" spans="2:2">
      <c r="B1161" s="250" t="s">
        <v>3619</v>
      </c>
    </row>
    <row r="1162" spans="2:2">
      <c r="B1162" s="250" t="s">
        <v>3620</v>
      </c>
    </row>
    <row r="1163" spans="2:2">
      <c r="B1163" s="250" t="s">
        <v>3621</v>
      </c>
    </row>
    <row r="1164" spans="2:2">
      <c r="B1164" s="250" t="s">
        <v>3622</v>
      </c>
    </row>
    <row r="1165" spans="2:2">
      <c r="B1165" s="250" t="s">
        <v>3623</v>
      </c>
    </row>
    <row r="1166" spans="2:2">
      <c r="B1166" s="250" t="s">
        <v>3624</v>
      </c>
    </row>
    <row r="1167" spans="2:2">
      <c r="B1167" s="250" t="s">
        <v>3625</v>
      </c>
    </row>
    <row r="1168" spans="2:2">
      <c r="B1168" s="250" t="s">
        <v>3626</v>
      </c>
    </row>
    <row r="1169" spans="2:2">
      <c r="B1169" s="250" t="s">
        <v>3627</v>
      </c>
    </row>
    <row r="1170" spans="2:2">
      <c r="B1170" s="250" t="s">
        <v>3628</v>
      </c>
    </row>
    <row r="1171" spans="2:2">
      <c r="B1171" s="250" t="s">
        <v>3629</v>
      </c>
    </row>
    <row r="1172" spans="2:2">
      <c r="B1172" s="250" t="s">
        <v>3630</v>
      </c>
    </row>
    <row r="1173" spans="2:2">
      <c r="B1173" s="250" t="s">
        <v>3631</v>
      </c>
    </row>
    <row r="1174" spans="2:2">
      <c r="B1174" s="250" t="s">
        <v>3632</v>
      </c>
    </row>
    <row r="1175" spans="2:2">
      <c r="B1175" s="250" t="s">
        <v>3633</v>
      </c>
    </row>
    <row r="1176" spans="2:2">
      <c r="B1176" s="250" t="s">
        <v>3634</v>
      </c>
    </row>
    <row r="1177" spans="2:2">
      <c r="B1177" s="250" t="s">
        <v>3635</v>
      </c>
    </row>
    <row r="1178" spans="2:2">
      <c r="B1178" s="250" t="s">
        <v>3636</v>
      </c>
    </row>
    <row r="1179" spans="2:2">
      <c r="B1179" s="250" t="s">
        <v>3637</v>
      </c>
    </row>
    <row r="1180" spans="2:2">
      <c r="B1180" s="250" t="s">
        <v>3638</v>
      </c>
    </row>
    <row r="1181" spans="2:2">
      <c r="B1181" s="250" t="s">
        <v>2113</v>
      </c>
    </row>
    <row r="1182" spans="2:2">
      <c r="B1182" s="250" t="s">
        <v>3639</v>
      </c>
    </row>
    <row r="1183" spans="2:2">
      <c r="B1183" s="250" t="s">
        <v>3640</v>
      </c>
    </row>
    <row r="1184" spans="2:2">
      <c r="B1184" s="250" t="s">
        <v>3641</v>
      </c>
    </row>
    <row r="1185" spans="2:2">
      <c r="B1185" s="250" t="s">
        <v>3642</v>
      </c>
    </row>
    <row r="1186" spans="2:2">
      <c r="B1186" s="250" t="s">
        <v>3643</v>
      </c>
    </row>
    <row r="1187" spans="2:2">
      <c r="B1187" s="250" t="s">
        <v>3644</v>
      </c>
    </row>
    <row r="1188" spans="2:2">
      <c r="B1188" s="250" t="s">
        <v>3645</v>
      </c>
    </row>
    <row r="1189" spans="2:2">
      <c r="B1189" s="250" t="s">
        <v>3646</v>
      </c>
    </row>
    <row r="1190" spans="2:2">
      <c r="B1190" s="250" t="s">
        <v>3647</v>
      </c>
    </row>
    <row r="1191" spans="2:2">
      <c r="B1191" s="250" t="s">
        <v>3648</v>
      </c>
    </row>
    <row r="1192" spans="2:2">
      <c r="B1192" s="250" t="s">
        <v>3649</v>
      </c>
    </row>
    <row r="1193" spans="2:2">
      <c r="B1193" s="250" t="s">
        <v>3650</v>
      </c>
    </row>
    <row r="1194" spans="2:2">
      <c r="B1194" s="250" t="s">
        <v>3651</v>
      </c>
    </row>
    <row r="1195" spans="2:2">
      <c r="B1195" s="250" t="s">
        <v>3652</v>
      </c>
    </row>
    <row r="1196" spans="2:2">
      <c r="B1196" s="250" t="s">
        <v>3653</v>
      </c>
    </row>
    <row r="1197" spans="2:2">
      <c r="B1197" s="250" t="s">
        <v>3654</v>
      </c>
    </row>
    <row r="1198" spans="2:2">
      <c r="B1198" s="250" t="s">
        <v>3655</v>
      </c>
    </row>
    <row r="1199" spans="2:2">
      <c r="B1199" s="250" t="s">
        <v>3656</v>
      </c>
    </row>
    <row r="1200" spans="2:2">
      <c r="B1200" s="250" t="s">
        <v>3657</v>
      </c>
    </row>
    <row r="1201" spans="2:2">
      <c r="B1201" s="250" t="s">
        <v>3658</v>
      </c>
    </row>
    <row r="1202" spans="2:2">
      <c r="B1202" s="250" t="s">
        <v>3659</v>
      </c>
    </row>
    <row r="1203" spans="2:2">
      <c r="B1203" s="250" t="s">
        <v>3660</v>
      </c>
    </row>
    <row r="1204" spans="2:2">
      <c r="B1204" s="250" t="s">
        <v>3661</v>
      </c>
    </row>
    <row r="1205" spans="2:2">
      <c r="B1205" s="250" t="s">
        <v>3662</v>
      </c>
    </row>
    <row r="1206" spans="2:2">
      <c r="B1206" s="250" t="s">
        <v>3663</v>
      </c>
    </row>
    <row r="1207" spans="2:2">
      <c r="B1207" s="250" t="s">
        <v>3664</v>
      </c>
    </row>
    <row r="1208" spans="2:2">
      <c r="B1208" s="250" t="s">
        <v>3665</v>
      </c>
    </row>
    <row r="1209" spans="2:2">
      <c r="B1209" s="250" t="s">
        <v>3666</v>
      </c>
    </row>
    <row r="1210" spans="2:2">
      <c r="B1210" s="250" t="s">
        <v>3667</v>
      </c>
    </row>
    <row r="1211" spans="2:2">
      <c r="B1211" s="250" t="s">
        <v>3668</v>
      </c>
    </row>
    <row r="1212" spans="2:2">
      <c r="B1212" s="250" t="s">
        <v>3669</v>
      </c>
    </row>
    <row r="1213" spans="2:2">
      <c r="B1213" s="250" t="s">
        <v>3670</v>
      </c>
    </row>
    <row r="1214" spans="2:2">
      <c r="B1214" s="250" t="s">
        <v>3671</v>
      </c>
    </row>
    <row r="1215" spans="2:2">
      <c r="B1215" s="250" t="s">
        <v>3672</v>
      </c>
    </row>
    <row r="1216" spans="2:2">
      <c r="B1216" s="250" t="s">
        <v>3673</v>
      </c>
    </row>
    <row r="1217" spans="2:2">
      <c r="B1217" s="250" t="s">
        <v>3674</v>
      </c>
    </row>
    <row r="1218" spans="2:2">
      <c r="B1218" s="250" t="s">
        <v>3675</v>
      </c>
    </row>
    <row r="1219" spans="2:2">
      <c r="B1219" s="250" t="s">
        <v>3676</v>
      </c>
    </row>
    <row r="1220" spans="2:2">
      <c r="B1220" s="250" t="s">
        <v>3677</v>
      </c>
    </row>
    <row r="1221" spans="2:2">
      <c r="B1221" s="250" t="s">
        <v>3678</v>
      </c>
    </row>
    <row r="1222" spans="2:2">
      <c r="B1222" s="250" t="s">
        <v>2103</v>
      </c>
    </row>
    <row r="1223" spans="2:2">
      <c r="B1223" s="250" t="s">
        <v>3679</v>
      </c>
    </row>
    <row r="1224" spans="2:2">
      <c r="B1224" s="250" t="s">
        <v>3680</v>
      </c>
    </row>
    <row r="1225" spans="2:2">
      <c r="B1225" s="250" t="s">
        <v>3681</v>
      </c>
    </row>
    <row r="1226" spans="2:2">
      <c r="B1226" s="250" t="s">
        <v>3682</v>
      </c>
    </row>
    <row r="1227" spans="2:2">
      <c r="B1227" s="250" t="s">
        <v>2093</v>
      </c>
    </row>
    <row r="1228" spans="2:2">
      <c r="B1228" s="250" t="s">
        <v>3683</v>
      </c>
    </row>
    <row r="1229" spans="2:2">
      <c r="B1229" s="250" t="s">
        <v>3684</v>
      </c>
    </row>
    <row r="1230" spans="2:2">
      <c r="B1230" s="250" t="s">
        <v>3685</v>
      </c>
    </row>
    <row r="1231" spans="2:2">
      <c r="B1231" s="250" t="s">
        <v>3686</v>
      </c>
    </row>
    <row r="1232" spans="2:2">
      <c r="B1232" s="250" t="s">
        <v>3687</v>
      </c>
    </row>
    <row r="1233" spans="2:2">
      <c r="B1233" s="250" t="s">
        <v>3688</v>
      </c>
    </row>
    <row r="1234" spans="2:2">
      <c r="B1234" s="250" t="s">
        <v>3689</v>
      </c>
    </row>
    <row r="1235" spans="2:2">
      <c r="B1235" s="250" t="s">
        <v>3690</v>
      </c>
    </row>
    <row r="1236" spans="2:2">
      <c r="B1236" s="250" t="s">
        <v>3691</v>
      </c>
    </row>
    <row r="1237" spans="2:2">
      <c r="B1237" s="250" t="s">
        <v>3692</v>
      </c>
    </row>
    <row r="1238" spans="2:2">
      <c r="B1238" s="250" t="s">
        <v>3693</v>
      </c>
    </row>
    <row r="1239" spans="2:2">
      <c r="B1239" s="250" t="s">
        <v>3694</v>
      </c>
    </row>
    <row r="1240" spans="2:2">
      <c r="B1240" s="250" t="s">
        <v>3695</v>
      </c>
    </row>
    <row r="1241" spans="2:2">
      <c r="B1241" s="250" t="s">
        <v>3696</v>
      </c>
    </row>
    <row r="1242" spans="2:2">
      <c r="B1242" s="250" t="s">
        <v>3697</v>
      </c>
    </row>
    <row r="1243" spans="2:2">
      <c r="B1243" s="250" t="s">
        <v>3698</v>
      </c>
    </row>
    <row r="1244" spans="2:2">
      <c r="B1244" s="250" t="s">
        <v>3699</v>
      </c>
    </row>
    <row r="1245" spans="2:2">
      <c r="B1245" s="250" t="s">
        <v>3721</v>
      </c>
    </row>
    <row r="1246" spans="2:2">
      <c r="B1246" s="250" t="s">
        <v>3722</v>
      </c>
    </row>
    <row r="1247" spans="2:2">
      <c r="B1247" s="250" t="s">
        <v>3725</v>
      </c>
    </row>
    <row r="1248" spans="2:2">
      <c r="B1248" s="250" t="s">
        <v>3727</v>
      </c>
    </row>
    <row r="1249" spans="2:2">
      <c r="B1249" s="250" t="s">
        <v>3729</v>
      </c>
    </row>
    <row r="1250" spans="2:2">
      <c r="B1250" s="250" t="s">
        <v>3733</v>
      </c>
    </row>
    <row r="1251" spans="2:2">
      <c r="B1251" s="250" t="s">
        <v>3734</v>
      </c>
    </row>
    <row r="1252" spans="2:2">
      <c r="B1252" s="250" t="s">
        <v>3735</v>
      </c>
    </row>
    <row r="1253" spans="2:2">
      <c r="B1253" s="250" t="s">
        <v>3736</v>
      </c>
    </row>
    <row r="1254" spans="2:2">
      <c r="B1254" s="250" t="s">
        <v>3746</v>
      </c>
    </row>
    <row r="1255" spans="2:2">
      <c r="B1255" s="250" t="s">
        <v>3748</v>
      </c>
    </row>
    <row r="1256" spans="2:2">
      <c r="B1256" s="250" t="s">
        <v>3750</v>
      </c>
    </row>
    <row r="1257" spans="2:2">
      <c r="B1257" s="267" t="s">
        <v>3755</v>
      </c>
    </row>
    <row r="1258" spans="2:2">
      <c r="B1258" s="267" t="s">
        <v>3756</v>
      </c>
    </row>
    <row r="1259" spans="2:2">
      <c r="B1259" s="267" t="s">
        <v>3762</v>
      </c>
    </row>
    <row r="1260" spans="2:2">
      <c r="B1260" s="267" t="s">
        <v>3763</v>
      </c>
    </row>
    <row r="1261" spans="2:2">
      <c r="B1261" s="267" t="s">
        <v>3784</v>
      </c>
    </row>
    <row r="1262" spans="2:2">
      <c r="B1262" s="267" t="s">
        <v>3834</v>
      </c>
    </row>
    <row r="1263" spans="2:2">
      <c r="B1263" s="267" t="s">
        <v>3835</v>
      </c>
    </row>
    <row r="1264" spans="2:2">
      <c r="B1264" s="267" t="s">
        <v>3850</v>
      </c>
    </row>
    <row r="1265" spans="2:30">
      <c r="B1265" s="267" t="s">
        <v>3851</v>
      </c>
    </row>
    <row r="1266" spans="2:30">
      <c r="B1266" s="267" t="s">
        <v>1823</v>
      </c>
    </row>
    <row r="1267" spans="2:30">
      <c r="B1267" s="267" t="s">
        <v>3854</v>
      </c>
      <c r="AD1267" s="266"/>
    </row>
    <row r="1268" spans="2:30">
      <c r="B1268" s="267" t="s">
        <v>3867</v>
      </c>
    </row>
    <row r="1269" spans="2:30">
      <c r="B1269" s="267" t="s">
        <v>3868</v>
      </c>
    </row>
    <row r="1270" spans="2:30">
      <c r="B1270" s="267" t="s">
        <v>3928</v>
      </c>
    </row>
    <row r="1271" spans="2:30">
      <c r="B1271" s="275" t="s">
        <v>4028</v>
      </c>
    </row>
    <row r="1272" spans="2:30">
      <c r="B1272" s="275" t="s">
        <v>4069</v>
      </c>
    </row>
    <row r="1273" spans="2:30">
      <c r="B1273" s="275" t="s">
        <v>4090</v>
      </c>
    </row>
    <row r="1274" spans="2:30">
      <c r="B1274" s="275" t="s">
        <v>4091</v>
      </c>
    </row>
    <row r="1275" spans="2:30">
      <c r="B1275" s="275" t="s">
        <v>4111</v>
      </c>
    </row>
    <row r="1276" spans="2:30">
      <c r="B1276" s="275" t="s">
        <v>4128</v>
      </c>
    </row>
    <row r="1277" spans="2:30">
      <c r="B1277" s="281" t="s">
        <v>4151</v>
      </c>
    </row>
    <row r="1278" spans="2:30">
      <c r="B1278" s="281" t="s">
        <v>4152</v>
      </c>
    </row>
    <row r="1279" spans="2:30">
      <c r="B1279" s="281" t="s">
        <v>4153</v>
      </c>
    </row>
    <row r="1280" spans="2:30">
      <c r="B1280" s="281" t="s">
        <v>4156</v>
      </c>
    </row>
    <row r="1281" spans="2:2">
      <c r="B1281" s="281" t="s">
        <v>4218</v>
      </c>
    </row>
    <row r="1282" spans="2:2">
      <c r="B1282" s="281" t="s">
        <v>4225</v>
      </c>
    </row>
    <row r="1283" spans="2:2">
      <c r="B1283" s="281" t="s">
        <v>4251</v>
      </c>
    </row>
    <row r="1284" spans="2:2">
      <c r="B1284" s="281" t="s">
        <v>4266</v>
      </c>
    </row>
    <row r="1285" spans="2:2">
      <c r="B1285" s="281" t="s">
        <v>4295</v>
      </c>
    </row>
    <row r="1286" spans="2:2">
      <c r="B1286" s="281" t="s">
        <v>4310</v>
      </c>
    </row>
    <row r="1287" spans="2:2">
      <c r="B1287" s="281" t="s">
        <v>4327</v>
      </c>
    </row>
    <row r="1288" spans="2:2">
      <c r="B1288" s="281" t="s">
        <v>4343</v>
      </c>
    </row>
    <row r="1289" spans="2:2">
      <c r="B1289" s="281" t="s">
        <v>4432</v>
      </c>
    </row>
    <row r="1290" spans="2:2">
      <c r="B1290" s="281" t="s">
        <v>4433</v>
      </c>
    </row>
    <row r="1291" spans="2:2">
      <c r="B1291" s="281" t="s">
        <v>4434</v>
      </c>
    </row>
    <row r="1292" spans="2:2">
      <c r="B1292" s="281" t="s">
        <v>4435</v>
      </c>
    </row>
    <row r="1293" spans="2:2">
      <c r="B1293" s="281" t="s">
        <v>4436</v>
      </c>
    </row>
    <row r="1294" spans="2:2">
      <c r="B1294" s="281" t="s">
        <v>4437</v>
      </c>
    </row>
    <row r="1295" spans="2:2">
      <c r="B1295" s="281" t="s">
        <v>4438</v>
      </c>
    </row>
    <row r="1296" spans="2:2">
      <c r="B1296" s="281" t="s">
        <v>4439</v>
      </c>
    </row>
    <row r="1297" spans="2:2">
      <c r="B1297" s="281" t="s">
        <v>4440</v>
      </c>
    </row>
    <row r="1298" spans="2:2">
      <c r="B1298" s="281" t="s">
        <v>4441</v>
      </c>
    </row>
    <row r="1299" spans="2:2">
      <c r="B1299" s="281" t="s">
        <v>4442</v>
      </c>
    </row>
    <row r="1300" spans="2:2">
      <c r="B1300" s="281" t="s">
        <v>4443</v>
      </c>
    </row>
    <row r="1301" spans="2:2">
      <c r="B1301" s="281" t="s">
        <v>4444</v>
      </c>
    </row>
    <row r="1302" spans="2:2">
      <c r="B1302" s="281" t="s">
        <v>4445</v>
      </c>
    </row>
    <row r="1303" spans="2:2">
      <c r="B1303" s="281" t="s">
        <v>4446</v>
      </c>
    </row>
    <row r="1304" spans="2:2">
      <c r="B1304" s="281" t="s">
        <v>4447</v>
      </c>
    </row>
    <row r="1305" spans="2:2">
      <c r="B1305" s="291" t="s">
        <v>4508</v>
      </c>
    </row>
  </sheetData>
  <autoFilter ref="A2:L383" xr:uid="{DC9C89C9-C58C-431A-80D5-5C7D568EC13B}"/>
  <hyperlinks>
    <hyperlink ref="A1" location="Main!A1" display="Main" xr:uid="{A37A7071-3D61-430B-9870-62023C7BA352}"/>
    <hyperlink ref="M75" r:id="rId1" xr:uid="{7C3C37F8-6BFF-44F4-8D86-2F59EFD976D8}"/>
    <hyperlink ref="M349" r:id="rId2" xr:uid="{82D25570-50C8-456F-B7DA-93D23837F857}"/>
    <hyperlink ref="M42" r:id="rId3" xr:uid="{45530F9C-6F03-4419-B248-DA5DE522BD64}"/>
    <hyperlink ref="AC4" r:id="rId4" location="gid=503924035" xr:uid="{766FAF7F-537A-4945-B336-F36141942782}"/>
    <hyperlink ref="AC3" r:id="rId5" xr:uid="{29085746-BB2B-794A-80FD-E0FFC2B9A551}"/>
    <hyperlink ref="AB272" r:id="rId6" xr:uid="{57BDF0FE-4DEA-8848-BACB-677031F3671F}"/>
    <hyperlink ref="AB300" r:id="rId7" xr:uid="{938ACD04-6FD2-4118-BCDA-7F4D5126A30E}"/>
    <hyperlink ref="AB102" r:id="rId8" xr:uid="{A59341D8-A2F4-439E-9F72-CA7746195183}"/>
    <hyperlink ref="AB103" r:id="rId9" xr:uid="{33D34484-E102-4D4D-A399-94AD36E38A2D}"/>
    <hyperlink ref="AB271" r:id="rId10" xr:uid="{AF13D07A-6F7C-4BA1-BC0D-A8DA11A1C76A}"/>
    <hyperlink ref="AB69" r:id="rId11" xr:uid="{1B0CDC65-8F33-49BC-AE81-0626C648E85D}"/>
    <hyperlink ref="AB273" r:id="rId12" xr:uid="{46C1B3AF-5E9E-4E90-BA13-B3E12549BAA5}"/>
    <hyperlink ref="AB19" r:id="rId13" xr:uid="{0C88B5A3-DCE0-B34C-A603-060AE5ACDA1D}"/>
    <hyperlink ref="AB24" r:id="rId14" xr:uid="{237FE729-95E9-8D42-9FD0-1B3D6D10549E}"/>
    <hyperlink ref="AB30" r:id="rId15" xr:uid="{6D499C26-ED62-1F4B-9C43-3A05BA429B60}"/>
    <hyperlink ref="AB33" r:id="rId16" xr:uid="{A03BA222-9D2B-2C41-B496-1B1C67AE8DD1}"/>
    <hyperlink ref="AB23" r:id="rId17" xr:uid="{306A8E1E-A6BD-2448-A6D3-F50C19396B5D}"/>
    <hyperlink ref="AB36" r:id="rId18" xr:uid="{E4CC9286-D2FD-1648-9618-ACC443F10DDE}"/>
    <hyperlink ref="AB29" r:id="rId19" xr:uid="{845F529F-7D9D-7242-880B-12C75FF7B5B8}"/>
    <hyperlink ref="AB18" r:id="rId20" xr:uid="{B438B147-56EC-874E-BACD-E34875EBEC8B}"/>
    <hyperlink ref="AB31" r:id="rId21" xr:uid="{781F1542-F6ED-664E-A537-CFB86BD4098E}"/>
    <hyperlink ref="AB335" r:id="rId22" xr:uid="{781B3C4A-3C29-4B57-AF93-0A608ABA87A8}"/>
    <hyperlink ref="AB316" r:id="rId23" xr:uid="{4B7D976B-3B3B-468D-9A35-C2B61FED03F1}"/>
    <hyperlink ref="AB328" r:id="rId24" xr:uid="{AE87A7EC-441B-4131-A700-8455AADCC60D}"/>
    <hyperlink ref="AB322" r:id="rId25" xr:uid="{6B810D1F-CCC0-48D1-87C2-85F78E45AB55}"/>
    <hyperlink ref="AB373" r:id="rId26" xr:uid="{90EAAADF-66DF-47B2-9437-A02BED0D71BA}"/>
    <hyperlink ref="AB74" r:id="rId27" xr:uid="{4290A105-5CA1-42E8-B292-61BF5B02D373}"/>
    <hyperlink ref="AB160" r:id="rId28" xr:uid="{FEA40234-CF0A-4DDA-A26D-E6DFD998237C}"/>
    <hyperlink ref="AB325" r:id="rId29" xr:uid="{2EDC7612-D174-4254-BB92-DEFF91461DB2}"/>
    <hyperlink ref="AB34" r:id="rId30" xr:uid="{B12160B4-3578-4CE5-B889-8D0FE3AA3CB8}"/>
    <hyperlink ref="AB369" r:id="rId31" xr:uid="{9AD80055-ED6A-4814-8E24-892523A88F49}"/>
    <hyperlink ref="AB143" r:id="rId32" xr:uid="{D436DB29-D981-43C5-B483-BA2170889BE1}"/>
    <hyperlink ref="AB132" r:id="rId33" xr:uid="{9C337815-285E-4076-A440-3E65D451FE98}"/>
    <hyperlink ref="AB165" r:id="rId34" xr:uid="{1E3D0043-8F91-48A4-B912-39637ECF0D83}"/>
    <hyperlink ref="AB16" r:id="rId35" xr:uid="{19312911-1429-404B-A16C-AEF5F4FD0D6D}"/>
    <hyperlink ref="AB301" r:id="rId36" xr:uid="{85833BEC-BD83-4F22-AA17-F2B9118B3556}"/>
    <hyperlink ref="AB104" r:id="rId37" xr:uid="{5D5DB169-B883-4E80-9BCF-BA4F49A3384B}"/>
    <hyperlink ref="AB9" r:id="rId38" xr:uid="{B314DD9D-0225-47C8-91E5-55CE5EA2ABE6}"/>
    <hyperlink ref="AB329" r:id="rId39" xr:uid="{5D817663-FD1C-488D-94ED-10EC11345625}"/>
    <hyperlink ref="AB51" r:id="rId40" xr:uid="{E1D99A0F-EE3D-4ABB-9CDC-DCA31246400E}"/>
    <hyperlink ref="AB28" r:id="rId41" xr:uid="{19E48E64-5413-459F-B34E-AEADF3828EFE}"/>
    <hyperlink ref="AB58" r:id="rId42" xr:uid="{065E0C90-0E3B-4229-9242-1A4629EFE705}"/>
    <hyperlink ref="AB48" r:id="rId43" xr:uid="{AADBD93A-D426-48FE-A96A-A706F73EDF4C}"/>
    <hyperlink ref="AB21" r:id="rId44" xr:uid="{4E12013C-4459-4C69-BBDE-A019DDA9C44D}"/>
    <hyperlink ref="AB26" r:id="rId45" xr:uid="{F3ED18F1-13A3-428A-9847-C819C35556C3}"/>
    <hyperlink ref="AB59" r:id="rId46" xr:uid="{7D95CC01-15E9-4587-9FA6-C8DCB148D8C0}"/>
    <hyperlink ref="AB323" r:id="rId47" xr:uid="{C856C7C9-AE67-48F6-87D4-A06168453D47}"/>
    <hyperlink ref="AB45" r:id="rId48" xr:uid="{AF06BB56-339C-4B0D-ABF9-6ACE1D9FF0CE}"/>
    <hyperlink ref="AB71" r:id="rId49" xr:uid="{E74E3127-8A38-450E-8DD9-0E41F144D1F8}"/>
    <hyperlink ref="AB320" r:id="rId50" xr:uid="{3C450272-05AE-43B5-A137-7CE1ADD9F33A}"/>
    <hyperlink ref="AB37" r:id="rId51" xr:uid="{C0307A15-3D83-4378-AACC-A966CCCD21C5}"/>
    <hyperlink ref="AB70" r:id="rId52" xr:uid="{650C6C6C-94EB-409A-84FB-524F74C1F75F}"/>
    <hyperlink ref="AB387" r:id="rId53" xr:uid="{7891B8DF-71A5-4417-9C2A-1F7CB84A8BA7}"/>
    <hyperlink ref="AB46" r:id="rId54" xr:uid="{4D97042C-CACB-4F77-8B55-B4AC468DD624}"/>
    <hyperlink ref="AC6" r:id="rId55" xr:uid="{8BC3E6CA-1531-47CE-8678-2C9276BF05AD}"/>
    <hyperlink ref="AB38" r:id="rId56" xr:uid="{3109A154-70E0-46ED-9623-398EEDB4668A}"/>
    <hyperlink ref="AB333" r:id="rId57" xr:uid="{65932F0B-BDBA-499C-9CEB-A06347E40139}"/>
    <hyperlink ref="AB306" r:id="rId58" xr:uid="{2793B62C-25DB-482F-97D1-208D34BC8B5F}"/>
    <hyperlink ref="AB389" r:id="rId59" xr:uid="{F00FF090-E64C-42C6-B1D9-3B3B06878A34}"/>
    <hyperlink ref="AB390" r:id="rId60" xr:uid="{81D7C494-B4CD-43A4-A21E-1A2200663BC4}"/>
    <hyperlink ref="AB391" r:id="rId61" xr:uid="{615EF270-CCA1-4783-814B-4B2CE03BB57D}"/>
    <hyperlink ref="AB392" r:id="rId62" xr:uid="{B5C2EBA6-02BE-4C6C-9AF5-EB189C26753A}"/>
    <hyperlink ref="AB393" r:id="rId63" xr:uid="{01CE42A8-C5AB-4C5C-8D75-0B756E45E2FD}"/>
    <hyperlink ref="AB394" r:id="rId64" xr:uid="{E6BA7051-28A0-42B0-B383-1B856C2C0874}"/>
    <hyperlink ref="AB395" r:id="rId65" xr:uid="{39439B6B-C78C-47A0-9142-5AD79CED0163}"/>
    <hyperlink ref="AB396" r:id="rId66" xr:uid="{6145BF98-0D73-4B3C-9A3D-FEB896A97467}"/>
    <hyperlink ref="AB397" r:id="rId67" xr:uid="{D5446E51-18AE-40C4-BDF6-4CA1E640120D}"/>
    <hyperlink ref="AB398" r:id="rId68" xr:uid="{0275D9A0-FA38-4EC3-9D4E-AAA6A7C3C5FE}"/>
    <hyperlink ref="AB399" r:id="rId69" xr:uid="{BDB18AF7-8F0F-4188-AE0A-D2ED31597B5D}"/>
    <hyperlink ref="AB400" r:id="rId70" xr:uid="{E8A7855A-7F2E-430A-B51C-C16E307A1FCE}"/>
    <hyperlink ref="AB401" r:id="rId71" xr:uid="{10E32126-D80A-4B9D-BE6F-BEF743556E26}"/>
    <hyperlink ref="AB332" r:id="rId72" xr:uid="{F5E98A4D-AF5F-4779-B6E7-D79CAC15D2C7}"/>
    <hyperlink ref="AB402" r:id="rId73" xr:uid="{A1166986-7AC4-4D30-B4A9-E09F96DF32DE}"/>
    <hyperlink ref="AB403" r:id="rId74" xr:uid="{8ADC0EDF-3EEE-4D62-B4E3-8BF78AFC899E}"/>
    <hyperlink ref="AB404" r:id="rId75" xr:uid="{D0A8F241-5C95-421F-8344-524CA278778A}"/>
    <hyperlink ref="AB405" r:id="rId76" xr:uid="{BE0CDE33-399F-4819-A532-22C18F0664A2}"/>
    <hyperlink ref="AB406" r:id="rId77" xr:uid="{65CC057A-760F-4B88-B957-EE3168ED055D}"/>
    <hyperlink ref="AB407" r:id="rId78" xr:uid="{40856C59-F263-4315-8D79-2926C0020AAC}"/>
    <hyperlink ref="AB408" r:id="rId79" xr:uid="{BA7DF5CF-FC7E-4AC3-A1A0-AB346C0D5D18}"/>
    <hyperlink ref="AB409" r:id="rId80" xr:uid="{197B75E3-AF4F-44D0-A871-C7B9EF24E6C1}"/>
    <hyperlink ref="AB410" r:id="rId81" xr:uid="{D96F83B6-A57B-468B-9BCA-78C1BB7AD093}"/>
    <hyperlink ref="AB411" r:id="rId82" xr:uid="{F76543FE-E7A2-4E3B-B0BD-C6B619FBE8B0}"/>
    <hyperlink ref="AB412" r:id="rId83" xr:uid="{126A7ACD-FC95-4305-ADB7-449BB2954BD1}"/>
    <hyperlink ref="AB413" r:id="rId84" xr:uid="{1DF23214-A6BC-4453-B05F-F50FAE348E03}"/>
    <hyperlink ref="AB414" r:id="rId85" xr:uid="{6B9A15E6-4403-4435-875D-29BDE977B5AB}"/>
    <hyperlink ref="AB415" r:id="rId86" xr:uid="{34723554-3031-4794-9264-6677770ED4B4}"/>
    <hyperlink ref="AB416" r:id="rId87" xr:uid="{A8B75729-5097-4B4E-AF79-63AF1F564EDB}"/>
  </hyperlinks>
  <pageMargins left="0.7" right="0.7" top="0.75" bottom="0.75" header="0.3" footer="0.3"/>
  <pageSetup orientation="portrait" r:id="rId88"/>
  <legacyDrawing r:id="rId8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CBFEC-29DF-40E8-ABA2-B3BB501AC0C1}">
  <dimension ref="A1:O25"/>
  <sheetViews>
    <sheetView zoomScale="190" zoomScaleNormal="190"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2.75"/>
  <cols>
    <col min="1" max="1" width="5" style="172" bestFit="1" customWidth="1"/>
    <col min="2" max="2" width="12.7109375" style="172" customWidth="1"/>
    <col min="3" max="16384" width="9.140625" style="172"/>
  </cols>
  <sheetData>
    <row r="1" spans="1:15">
      <c r="A1" s="5" t="s">
        <v>146</v>
      </c>
    </row>
    <row r="2" spans="1:15">
      <c r="B2" s="172" t="s">
        <v>0</v>
      </c>
      <c r="C2" s="172">
        <v>2010</v>
      </c>
      <c r="D2" s="172">
        <f>C2+1</f>
        <v>2011</v>
      </c>
      <c r="E2" s="172">
        <f t="shared" ref="E2:O2" si="0">D2+1</f>
        <v>2012</v>
      </c>
      <c r="F2" s="172">
        <f t="shared" si="0"/>
        <v>2013</v>
      </c>
      <c r="G2" s="172">
        <f t="shared" si="0"/>
        <v>2014</v>
      </c>
      <c r="H2" s="172">
        <f t="shared" si="0"/>
        <v>2015</v>
      </c>
      <c r="I2" s="172">
        <f t="shared" si="0"/>
        <v>2016</v>
      </c>
      <c r="J2" s="172">
        <f t="shared" si="0"/>
        <v>2017</v>
      </c>
      <c r="K2" s="172">
        <f t="shared" si="0"/>
        <v>2018</v>
      </c>
      <c r="L2" s="172">
        <f t="shared" si="0"/>
        <v>2019</v>
      </c>
      <c r="M2" s="172">
        <f t="shared" si="0"/>
        <v>2020</v>
      </c>
      <c r="N2" s="172">
        <f t="shared" si="0"/>
        <v>2021</v>
      </c>
      <c r="O2" s="172">
        <f t="shared" si="0"/>
        <v>2022</v>
      </c>
    </row>
    <row r="3" spans="1:15">
      <c r="B3" s="176" t="s">
        <v>491</v>
      </c>
      <c r="C3" s="173">
        <f>SUM(C5:C25)</f>
        <v>62484</v>
      </c>
      <c r="D3" s="173">
        <f t="shared" ref="D3:O3" si="1">SUM(D5:D25)</f>
        <v>69943</v>
      </c>
      <c r="E3" s="173">
        <f t="shared" si="1"/>
        <v>119762</v>
      </c>
      <c r="F3" s="173">
        <f t="shared" si="1"/>
        <v>141240</v>
      </c>
      <c r="G3" s="173">
        <f t="shared" si="1"/>
        <v>169944</v>
      </c>
      <c r="H3" s="173">
        <f t="shared" si="1"/>
        <v>194377</v>
      </c>
      <c r="I3" s="173">
        <f t="shared" si="1"/>
        <v>253177</v>
      </c>
      <c r="J3" s="173">
        <f t="shared" si="1"/>
        <v>305432</v>
      </c>
      <c r="K3" s="173">
        <f t="shared" si="1"/>
        <v>371389</v>
      </c>
      <c r="L3" s="173">
        <f t="shared" si="1"/>
        <v>436330</v>
      </c>
      <c r="M3" s="173">
        <f t="shared" si="1"/>
        <v>503965</v>
      </c>
      <c r="N3" s="173">
        <f t="shared" si="1"/>
        <v>718643</v>
      </c>
      <c r="O3" s="177">
        <f t="shared" si="1"/>
        <v>825015.8</v>
      </c>
    </row>
    <row r="5" spans="1:15">
      <c r="B5" s="172" t="s">
        <v>9</v>
      </c>
      <c r="E5" s="173">
        <v>46039</v>
      </c>
      <c r="F5" s="173">
        <v>55519</v>
      </c>
      <c r="G5" s="173">
        <v>66001</v>
      </c>
      <c r="H5" s="173">
        <v>74989</v>
      </c>
      <c r="I5" s="173">
        <v>90272</v>
      </c>
      <c r="J5" s="173">
        <v>110855</v>
      </c>
      <c r="K5" s="173">
        <v>136819</v>
      </c>
      <c r="L5" s="173">
        <v>161857</v>
      </c>
      <c r="M5" s="173">
        <v>182527</v>
      </c>
      <c r="N5" s="173">
        <v>257637</v>
      </c>
      <c r="O5" s="173">
        <v>282836</v>
      </c>
    </row>
    <row r="6" spans="1:15">
      <c r="B6" s="172" t="s">
        <v>7</v>
      </c>
      <c r="C6" s="173">
        <v>62484</v>
      </c>
      <c r="D6" s="173">
        <v>69943</v>
      </c>
      <c r="E6" s="173">
        <v>73723</v>
      </c>
      <c r="F6" s="173">
        <v>77849</v>
      </c>
      <c r="G6" s="173">
        <v>86833</v>
      </c>
      <c r="H6" s="173">
        <v>93580</v>
      </c>
      <c r="I6" s="173">
        <v>85320</v>
      </c>
      <c r="J6" s="173">
        <v>96571</v>
      </c>
      <c r="K6" s="173">
        <v>110360</v>
      </c>
      <c r="L6" s="173">
        <v>125843</v>
      </c>
      <c r="M6" s="173">
        <v>143015</v>
      </c>
      <c r="N6" s="173">
        <v>184903</v>
      </c>
      <c r="O6" s="173">
        <v>204094</v>
      </c>
    </row>
    <row r="7" spans="1:15">
      <c r="B7" s="172" t="s">
        <v>13</v>
      </c>
      <c r="F7" s="173">
        <v>7872</v>
      </c>
      <c r="G7" s="173">
        <v>12466</v>
      </c>
      <c r="H7" s="173">
        <v>17928</v>
      </c>
      <c r="I7" s="173">
        <v>27638</v>
      </c>
      <c r="J7" s="173">
        <v>40653</v>
      </c>
      <c r="K7" s="173">
        <v>55838</v>
      </c>
      <c r="L7" s="173">
        <v>70697</v>
      </c>
      <c r="M7" s="173">
        <v>85965</v>
      </c>
      <c r="N7" s="173">
        <v>117929</v>
      </c>
      <c r="O7" s="173">
        <v>116609</v>
      </c>
    </row>
    <row r="8" spans="1:15">
      <c r="B8" s="172" t="s">
        <v>478</v>
      </c>
      <c r="G8" s="173">
        <v>4644</v>
      </c>
      <c r="H8" s="173">
        <v>7880</v>
      </c>
      <c r="I8" s="173">
        <v>12219</v>
      </c>
      <c r="J8" s="173">
        <v>17459</v>
      </c>
      <c r="K8" s="173">
        <v>25655</v>
      </c>
      <c r="L8" s="173">
        <v>35026</v>
      </c>
      <c r="M8" s="173">
        <v>45370</v>
      </c>
      <c r="N8" s="173">
        <v>62202</v>
      </c>
      <c r="O8" s="173">
        <v>80096</v>
      </c>
    </row>
    <row r="9" spans="1:15">
      <c r="B9" s="172" t="s">
        <v>23</v>
      </c>
      <c r="I9" s="173">
        <v>37728</v>
      </c>
      <c r="J9" s="173">
        <v>39831</v>
      </c>
      <c r="K9" s="173">
        <v>39506</v>
      </c>
      <c r="L9" s="173">
        <v>39068</v>
      </c>
      <c r="M9" s="173">
        <v>40479</v>
      </c>
      <c r="N9" s="173">
        <v>42440</v>
      </c>
      <c r="O9" s="173">
        <v>46073</v>
      </c>
    </row>
    <row r="10" spans="1:15">
      <c r="B10" s="172" t="s">
        <v>25</v>
      </c>
      <c r="N10" s="173">
        <v>27843</v>
      </c>
      <c r="O10" s="174">
        <f>N10*1.1</f>
        <v>30627.300000000003</v>
      </c>
    </row>
    <row r="11" spans="1:15">
      <c r="B11" s="172" t="s">
        <v>21</v>
      </c>
      <c r="O11" s="174">
        <v>30294</v>
      </c>
    </row>
    <row r="12" spans="1:15">
      <c r="B12" s="172" t="s">
        <v>19</v>
      </c>
      <c r="N12" s="173">
        <v>15785</v>
      </c>
      <c r="O12" s="174">
        <f>N12*1.1</f>
        <v>17363.5</v>
      </c>
    </row>
    <row r="13" spans="1:15">
      <c r="B13" s="172" t="s">
        <v>479</v>
      </c>
      <c r="J13" s="173">
        <v>63</v>
      </c>
      <c r="K13" s="173">
        <v>150</v>
      </c>
      <c r="L13" s="173">
        <v>350</v>
      </c>
      <c r="M13" s="173">
        <v>2640</v>
      </c>
      <c r="N13" s="173">
        <v>4697</v>
      </c>
      <c r="O13" s="173">
        <v>9401</v>
      </c>
    </row>
    <row r="14" spans="1:15">
      <c r="B14" s="172" t="s">
        <v>264</v>
      </c>
    </row>
    <row r="15" spans="1:15">
      <c r="B15" s="172" t="s">
        <v>44</v>
      </c>
    </row>
    <row r="16" spans="1:15">
      <c r="B16" s="172" t="s">
        <v>178</v>
      </c>
    </row>
    <row r="17" spans="2:15">
      <c r="B17" s="172" t="s">
        <v>29</v>
      </c>
    </row>
    <row r="18" spans="2:15">
      <c r="B18" s="172" t="s">
        <v>480</v>
      </c>
    </row>
    <row r="19" spans="2:15">
      <c r="B19" s="176" t="s">
        <v>180</v>
      </c>
      <c r="K19" s="173">
        <v>3061</v>
      </c>
      <c r="L19" s="173">
        <v>3489</v>
      </c>
      <c r="M19" s="173">
        <v>3969</v>
      </c>
      <c r="N19" s="173">
        <v>5107</v>
      </c>
      <c r="O19" s="173">
        <v>6622</v>
      </c>
    </row>
    <row r="20" spans="2:15">
      <c r="B20" s="172" t="s">
        <v>33</v>
      </c>
    </row>
    <row r="21" spans="2:15">
      <c r="B21" s="172" t="s">
        <v>401</v>
      </c>
      <c r="N21" s="173">
        <v>100</v>
      </c>
      <c r="O21" s="173">
        <v>1000</v>
      </c>
    </row>
    <row r="22" spans="2:15">
      <c r="B22" s="172" t="s">
        <v>40</v>
      </c>
    </row>
    <row r="23" spans="2:15">
      <c r="B23" s="172" t="s">
        <v>50</v>
      </c>
    </row>
    <row r="24" spans="2:15">
      <c r="B24" s="172" t="s">
        <v>52</v>
      </c>
    </row>
    <row r="25" spans="2:15">
      <c r="B25" s="172" t="s">
        <v>304</v>
      </c>
    </row>
  </sheetData>
  <hyperlinks>
    <hyperlink ref="A1" location="Main!A1" display="Main" xr:uid="{04070A17-ACBF-4452-AFD7-3FBDA4940F3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990C-C1C5-4FE2-B554-717099EBE596}">
  <dimension ref="A1:Z29"/>
  <sheetViews>
    <sheetView zoomScale="175" zoomScaleNormal="175"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2.75"/>
  <cols>
    <col min="1" max="1" width="5" style="10" bestFit="1" customWidth="1"/>
    <col min="2" max="2" width="13.7109375" style="10" customWidth="1"/>
    <col min="3" max="3" width="9.140625" style="10"/>
    <col min="4" max="4" width="10" style="10" bestFit="1" customWidth="1"/>
    <col min="5" max="9" width="9.140625" style="10"/>
    <col min="10" max="10" width="10.28515625" style="10" customWidth="1"/>
    <col min="11" max="16384" width="9.140625" style="10"/>
  </cols>
  <sheetData>
    <row r="1" spans="1:26">
      <c r="A1" s="5" t="s">
        <v>146</v>
      </c>
    </row>
    <row r="2" spans="1:26">
      <c r="B2" s="13" t="s">
        <v>0</v>
      </c>
      <c r="C2" s="14" t="s">
        <v>1</v>
      </c>
      <c r="D2" s="15" t="s">
        <v>2</v>
      </c>
      <c r="E2" s="16" t="s">
        <v>3</v>
      </c>
      <c r="F2" s="17" t="s">
        <v>4</v>
      </c>
      <c r="G2" s="17" t="s">
        <v>5</v>
      </c>
      <c r="H2" s="17" t="s">
        <v>221</v>
      </c>
      <c r="I2" s="17" t="s">
        <v>6</v>
      </c>
      <c r="J2" s="42" t="s">
        <v>232</v>
      </c>
      <c r="K2" s="18" t="s">
        <v>216</v>
      </c>
      <c r="L2" s="18" t="s">
        <v>220</v>
      </c>
      <c r="M2" s="18" t="s">
        <v>217</v>
      </c>
      <c r="N2" s="18" t="s">
        <v>218</v>
      </c>
      <c r="O2" s="19" t="s">
        <v>219</v>
      </c>
      <c r="P2" s="48" t="s">
        <v>237</v>
      </c>
      <c r="Q2" s="50" t="s">
        <v>238</v>
      </c>
      <c r="R2" s="50" t="s">
        <v>239</v>
      </c>
      <c r="S2" s="19">
        <v>2025</v>
      </c>
      <c r="T2" s="48" t="s">
        <v>236</v>
      </c>
      <c r="U2" s="18">
        <v>2023</v>
      </c>
      <c r="V2" s="18">
        <v>2024</v>
      </c>
      <c r="W2" s="19">
        <v>2025</v>
      </c>
      <c r="X2" s="51" t="s">
        <v>222</v>
      </c>
      <c r="Y2" s="181" t="s">
        <v>513</v>
      </c>
    </row>
    <row r="3" spans="1:26">
      <c r="A3" s="72" t="s">
        <v>261</v>
      </c>
      <c r="B3" s="5" t="s">
        <v>7</v>
      </c>
      <c r="C3" s="20" t="s">
        <v>8</v>
      </c>
      <c r="D3" s="21">
        <v>252</v>
      </c>
      <c r="E3" s="22">
        <f>D3*[1]Main!$L$3</f>
        <v>1883196</v>
      </c>
      <c r="F3" s="22">
        <f>[1]Main!$L$5-[1]Main!$L$6</f>
        <v>58489</v>
      </c>
      <c r="G3" s="22">
        <f>+E3-F3</f>
        <v>1824707</v>
      </c>
      <c r="H3" s="22">
        <f>+[1]Main!$L$3</f>
        <v>7473</v>
      </c>
      <c r="I3" s="23" t="s">
        <v>14</v>
      </c>
    </row>
    <row r="4" spans="1:26">
      <c r="A4" s="72" t="s">
        <v>261</v>
      </c>
      <c r="B4" s="5" t="s">
        <v>15</v>
      </c>
      <c r="C4" s="20" t="s">
        <v>16</v>
      </c>
      <c r="D4" s="21">
        <v>391.4</v>
      </c>
      <c r="E4" s="22">
        <f>+D4*[21]Main!$L$3*1000/HKD</f>
        <v>482256.9746999924</v>
      </c>
      <c r="F4" s="22">
        <f>([21]Main!$L$5-[21]Main!$L$6)/HKD*1000</f>
        <v>81912.914978725574</v>
      </c>
      <c r="G4" s="22">
        <f>+E4-F4</f>
        <v>400344.05972126685</v>
      </c>
      <c r="H4" s="22"/>
      <c r="I4" s="23" t="s">
        <v>14</v>
      </c>
    </row>
    <row r="5" spans="1:26" s="20" customFormat="1">
      <c r="A5" s="82" t="s">
        <v>261</v>
      </c>
      <c r="B5" s="5" t="s">
        <v>19</v>
      </c>
      <c r="C5" s="20" t="s">
        <v>20</v>
      </c>
      <c r="D5" s="21">
        <v>309.18</v>
      </c>
      <c r="E5" s="22">
        <f>+D5*[28]Main!$N$3</f>
        <v>146087.55000000002</v>
      </c>
      <c r="F5" s="22">
        <f>+[28]Main!$N$5-[28]Main!$N$6</f>
        <v>1173</v>
      </c>
      <c r="G5" s="22">
        <f t="shared" ref="G5:G8" si="0">+E5-F5</f>
        <v>144914.55000000002</v>
      </c>
      <c r="H5" s="22">
        <f>+[28]Main!$N$3</f>
        <v>472.5</v>
      </c>
      <c r="I5" s="23" t="s">
        <v>208</v>
      </c>
      <c r="J5" s="43">
        <v>44823</v>
      </c>
      <c r="K5" s="24"/>
      <c r="L5" s="24"/>
      <c r="M5" s="24"/>
      <c r="N5" s="24"/>
      <c r="O5" s="24"/>
      <c r="P5" s="25"/>
      <c r="Q5" s="24"/>
      <c r="R5" s="24"/>
      <c r="S5" s="26"/>
      <c r="T5" s="25"/>
      <c r="U5" s="24"/>
      <c r="V5" s="24"/>
      <c r="W5" s="26"/>
      <c r="X5" s="20">
        <v>1982</v>
      </c>
    </row>
    <row r="6" spans="1:26" s="20" customFormat="1">
      <c r="A6" s="82" t="s">
        <v>261</v>
      </c>
      <c r="B6" s="5" t="s">
        <v>267</v>
      </c>
      <c r="C6" s="82" t="s">
        <v>268</v>
      </c>
      <c r="D6" s="154">
        <v>12025</v>
      </c>
      <c r="E6" s="22">
        <f>D6*H6/JPY</f>
        <v>108755.68776016941</v>
      </c>
      <c r="F6" s="22">
        <f>([29]Main!$O$7-[29]Main!$O$8)/JPY</f>
        <v>3147.411085956328</v>
      </c>
      <c r="G6" s="22">
        <f t="shared" si="0"/>
        <v>105608.27667421309</v>
      </c>
      <c r="H6" s="22">
        <f>[29]Main!$O$4</f>
        <v>1238.413</v>
      </c>
      <c r="I6" s="155" t="s">
        <v>390</v>
      </c>
      <c r="J6" s="43">
        <v>44994</v>
      </c>
      <c r="K6" s="24"/>
      <c r="L6" s="24"/>
      <c r="M6" s="24"/>
      <c r="N6" s="24"/>
      <c r="O6" s="24"/>
      <c r="P6" s="24"/>
      <c r="Q6" s="24"/>
      <c r="R6" s="24"/>
      <c r="S6" s="24"/>
      <c r="T6" s="24"/>
      <c r="U6" s="24"/>
      <c r="V6" s="24"/>
      <c r="W6" s="24"/>
    </row>
    <row r="7" spans="1:26" s="20" customFormat="1">
      <c r="A7" s="153" t="s">
        <v>261</v>
      </c>
      <c r="B7" s="5" t="s">
        <v>267</v>
      </c>
      <c r="C7" s="153" t="s">
        <v>391</v>
      </c>
      <c r="D7" s="21">
        <v>87.8</v>
      </c>
      <c r="E7" s="22">
        <f>D7*H7</f>
        <v>108732.6614</v>
      </c>
      <c r="F7" s="22">
        <f>([29]Main!$O$7-[29]Main!$O$8)/JPY</f>
        <v>3147.411085956328</v>
      </c>
      <c r="G7" s="22">
        <f t="shared" si="0"/>
        <v>105585.25031404367</v>
      </c>
      <c r="H7" s="22">
        <f>[29]Main!$O$4</f>
        <v>1238.413</v>
      </c>
      <c r="I7" s="155" t="s">
        <v>390</v>
      </c>
      <c r="J7" s="43">
        <v>44994</v>
      </c>
      <c r="K7" s="24"/>
      <c r="L7" s="24"/>
      <c r="M7" s="24"/>
      <c r="N7" s="24"/>
      <c r="O7" s="24"/>
      <c r="P7" s="24"/>
      <c r="Q7" s="24"/>
      <c r="R7" s="24"/>
      <c r="S7" s="24"/>
      <c r="T7" s="24"/>
      <c r="U7" s="24"/>
      <c r="V7" s="24"/>
      <c r="W7" s="24"/>
    </row>
    <row r="8" spans="1:26" s="20" customFormat="1">
      <c r="A8" s="85" t="s">
        <v>261</v>
      </c>
      <c r="B8" s="85" t="s">
        <v>271</v>
      </c>
      <c r="C8" s="85" t="s">
        <v>272</v>
      </c>
      <c r="D8" s="21">
        <v>327</v>
      </c>
      <c r="E8" s="22">
        <v>145680</v>
      </c>
      <c r="F8" s="22"/>
      <c r="G8" s="22">
        <f t="shared" si="0"/>
        <v>145680</v>
      </c>
      <c r="H8" s="22"/>
      <c r="I8" s="23"/>
      <c r="J8" s="23"/>
      <c r="K8" s="24"/>
      <c r="L8" s="24"/>
      <c r="M8" s="24"/>
      <c r="N8" s="24"/>
      <c r="O8" s="24"/>
      <c r="P8" s="24"/>
      <c r="Q8" s="24"/>
      <c r="R8" s="24"/>
      <c r="S8" s="24"/>
      <c r="T8" s="24"/>
      <c r="U8" s="24"/>
      <c r="V8" s="24"/>
      <c r="W8" s="24"/>
    </row>
    <row r="9" spans="1:26">
      <c r="A9" s="87" t="s">
        <v>261</v>
      </c>
      <c r="B9" s="5" t="s">
        <v>175</v>
      </c>
      <c r="C9" s="10" t="s">
        <v>176</v>
      </c>
      <c r="D9" s="10">
        <v>73.88</v>
      </c>
      <c r="E9" s="52">
        <f>+D9*H9</f>
        <v>57820.358567719995</v>
      </c>
      <c r="F9" s="52">
        <f>+[30]Main!$J$5-[30]Main!$J$6</f>
        <v>7078</v>
      </c>
      <c r="G9" s="22">
        <f t="shared" ref="G9" si="1">+E9-F9</f>
        <v>50742.358567719995</v>
      </c>
      <c r="H9" s="52">
        <f>+[30]Main!$J$3</f>
        <v>782.62531899999999</v>
      </c>
      <c r="I9" s="144" t="s">
        <v>359</v>
      </c>
      <c r="J9" s="67">
        <v>44946</v>
      </c>
    </row>
    <row r="10" spans="1:26">
      <c r="A10" s="87" t="s">
        <v>261</v>
      </c>
      <c r="B10" s="10" t="s">
        <v>177</v>
      </c>
      <c r="C10" s="46" t="s">
        <v>240</v>
      </c>
      <c r="D10" s="52">
        <v>59910</v>
      </c>
      <c r="E10" s="52" cm="1">
        <f t="array" ref="E10">6975000/JPY</f>
        <v>50938.435697071494</v>
      </c>
    </row>
    <row r="11" spans="1:26">
      <c r="A11" s="88" t="s">
        <v>261</v>
      </c>
      <c r="B11" s="88" t="s">
        <v>275</v>
      </c>
      <c r="C11" s="88" t="s">
        <v>276</v>
      </c>
      <c r="D11" s="52"/>
      <c r="E11" s="52"/>
    </row>
    <row r="12" spans="1:26">
      <c r="A12" s="98" t="s">
        <v>261</v>
      </c>
      <c r="B12" s="98" t="s">
        <v>293</v>
      </c>
      <c r="C12" s="98" t="s">
        <v>294</v>
      </c>
      <c r="D12" s="52"/>
      <c r="E12" s="52"/>
    </row>
    <row r="13" spans="1:26">
      <c r="A13" s="98" t="s">
        <v>261</v>
      </c>
      <c r="B13" s="5" t="s">
        <v>171</v>
      </c>
      <c r="C13" s="10" t="s">
        <v>172</v>
      </c>
      <c r="D13" s="10">
        <v>130.47999999999999</v>
      </c>
      <c r="E13" s="52">
        <f>+D13*H13</f>
        <v>36664.879999999997</v>
      </c>
      <c r="F13" s="52">
        <f>+[31]Main!$N$5-[31]Main!$N$6</f>
        <v>538</v>
      </c>
      <c r="G13" s="52">
        <f>+E13-F13</f>
        <v>36126.879999999997</v>
      </c>
      <c r="H13" s="10">
        <f>+[31]Main!$N$3</f>
        <v>281</v>
      </c>
      <c r="I13" s="66" t="s">
        <v>208</v>
      </c>
      <c r="J13" s="67">
        <v>44799</v>
      </c>
      <c r="X13" s="10">
        <v>1982</v>
      </c>
    </row>
    <row r="14" spans="1:26" s="1" customFormat="1">
      <c r="A14" s="1" t="s">
        <v>261</v>
      </c>
      <c r="B14" s="5" t="s">
        <v>77</v>
      </c>
      <c r="C14" s="1" t="s">
        <v>78</v>
      </c>
      <c r="D14" s="2">
        <v>37.76</v>
      </c>
      <c r="E14" s="3">
        <f>D14*H14</f>
        <v>22849.913459200001</v>
      </c>
      <c r="F14" s="3">
        <f>[32]Main!$L$5-[32]Main!$L$6</f>
        <v>1988</v>
      </c>
      <c r="G14" s="3">
        <f>+E14-F14</f>
        <v>20861.913459200001</v>
      </c>
      <c r="H14" s="3">
        <f>[32]Main!$L$3</f>
        <v>605.13542000000007</v>
      </c>
      <c r="I14" s="4" t="s">
        <v>390</v>
      </c>
      <c r="J14" s="152">
        <v>44987</v>
      </c>
      <c r="X14" s="1">
        <v>2004</v>
      </c>
      <c r="Y14" s="1">
        <v>56</v>
      </c>
      <c r="Z14" s="183">
        <f>G14/Y14</f>
        <v>372.53416891428571</v>
      </c>
    </row>
    <row r="15" spans="1:26" s="1" customFormat="1">
      <c r="A15" s="1" t="s">
        <v>261</v>
      </c>
      <c r="B15" s="136" t="s">
        <v>340</v>
      </c>
      <c r="C15" s="1" t="s">
        <v>341</v>
      </c>
      <c r="D15" s="2"/>
      <c r="E15" s="3"/>
      <c r="F15" s="3"/>
      <c r="G15" s="3"/>
      <c r="H15" s="4"/>
      <c r="I15" s="4"/>
    </row>
    <row r="16" spans="1:26">
      <c r="B16" s="10" t="s">
        <v>173</v>
      </c>
      <c r="C16" s="10" t="s">
        <v>174</v>
      </c>
      <c r="D16" s="10">
        <v>127.74</v>
      </c>
      <c r="E16" s="52">
        <v>21290</v>
      </c>
    </row>
    <row r="17" spans="2:26" s="1" customFormat="1">
      <c r="B17" s="1" t="s">
        <v>88</v>
      </c>
      <c r="C17" s="1" t="s">
        <v>89</v>
      </c>
      <c r="D17" s="2">
        <v>45.8</v>
      </c>
      <c r="E17" s="3">
        <v>14330</v>
      </c>
      <c r="F17" s="4"/>
      <c r="G17" s="4"/>
      <c r="H17" s="4"/>
    </row>
    <row r="18" spans="2:26" s="1" customFormat="1">
      <c r="B18" s="1" t="s">
        <v>259</v>
      </c>
      <c r="C18" s="1" t="s">
        <v>260</v>
      </c>
      <c r="D18" s="2"/>
      <c r="E18" s="3"/>
      <c r="F18" s="4"/>
      <c r="G18" s="4"/>
      <c r="H18" s="4"/>
    </row>
    <row r="19" spans="2:26" s="20" customFormat="1">
      <c r="B19" s="114" t="s">
        <v>75</v>
      </c>
      <c r="C19" s="20" t="s">
        <v>76</v>
      </c>
      <c r="D19" s="21">
        <v>102.23</v>
      </c>
      <c r="E19" s="22">
        <f>+D19*[33]Main!$K$3</f>
        <v>20147.20788088</v>
      </c>
      <c r="F19" s="22">
        <f>+[33]Main!$K$5-[33]Main!$K$6</f>
        <v>3155</v>
      </c>
      <c r="G19" s="22">
        <f>E19-F19</f>
        <v>16992.20788088</v>
      </c>
      <c r="H19" s="22"/>
      <c r="I19" s="23" t="s">
        <v>14</v>
      </c>
      <c r="J19" s="23"/>
      <c r="K19" s="24"/>
      <c r="L19" s="24"/>
      <c r="M19" s="24"/>
      <c r="N19" s="24"/>
      <c r="O19" s="26"/>
      <c r="P19" s="25"/>
      <c r="Q19" s="24"/>
      <c r="R19" s="24"/>
      <c r="S19" s="26"/>
      <c r="T19" s="25"/>
      <c r="U19" s="24"/>
      <c r="V19" s="24"/>
      <c r="W19" s="26"/>
    </row>
    <row r="20" spans="2:26" s="20" customFormat="1">
      <c r="B20" s="65" t="s">
        <v>258</v>
      </c>
      <c r="D20" s="21"/>
      <c r="E20" s="22"/>
      <c r="F20" s="23"/>
      <c r="G20" s="23"/>
      <c r="H20" s="23"/>
      <c r="I20" s="23"/>
      <c r="J20" s="23"/>
      <c r="K20" s="24"/>
      <c r="L20" s="24"/>
      <c r="M20" s="24"/>
      <c r="N20" s="24"/>
      <c r="O20" s="24"/>
      <c r="P20" s="24"/>
      <c r="Q20" s="24"/>
      <c r="R20" s="24"/>
      <c r="S20" s="24"/>
      <c r="T20" s="24"/>
      <c r="U20" s="24"/>
      <c r="V20" s="24"/>
      <c r="W20" s="24"/>
    </row>
    <row r="21" spans="2:26" s="20" customFormat="1">
      <c r="D21" s="21"/>
      <c r="E21" s="22"/>
      <c r="F21" s="23"/>
      <c r="G21" s="23"/>
      <c r="H21" s="23"/>
      <c r="I21" s="23"/>
      <c r="J21" s="23"/>
      <c r="K21" s="24"/>
      <c r="L21" s="24"/>
      <c r="M21" s="24"/>
      <c r="N21" s="24"/>
      <c r="O21" s="24"/>
      <c r="P21" s="24"/>
      <c r="Q21" s="24"/>
      <c r="R21" s="24"/>
      <c r="S21" s="24"/>
      <c r="T21" s="24"/>
      <c r="U21" s="24"/>
      <c r="V21" s="24"/>
      <c r="W21" s="24"/>
    </row>
    <row r="22" spans="2:26" s="20" customFormat="1">
      <c r="D22" s="21"/>
      <c r="E22" s="22"/>
      <c r="F22" s="23"/>
      <c r="G22" s="23"/>
      <c r="H22" s="23"/>
      <c r="I22" s="23"/>
      <c r="J22" s="23"/>
      <c r="K22" s="24"/>
      <c r="L22" s="24"/>
      <c r="M22" s="24"/>
      <c r="N22" s="24"/>
      <c r="O22" s="24"/>
      <c r="P22" s="24"/>
      <c r="Q22" s="24"/>
      <c r="R22" s="24"/>
      <c r="S22" s="24"/>
      <c r="T22" s="24"/>
      <c r="U22" s="24"/>
      <c r="V22" s="24"/>
      <c r="W22" s="24"/>
    </row>
    <row r="23" spans="2:26" s="20" customFormat="1">
      <c r="D23" s="21"/>
      <c r="E23" s="22"/>
      <c r="F23" s="23"/>
      <c r="G23" s="23"/>
      <c r="H23" s="23"/>
      <c r="I23" s="23"/>
      <c r="J23" s="23"/>
      <c r="K23" s="24"/>
      <c r="L23" s="24"/>
      <c r="M23" s="24"/>
      <c r="N23" s="24"/>
      <c r="O23" s="24"/>
      <c r="P23" s="24"/>
      <c r="Q23" s="24"/>
      <c r="R23" s="24"/>
      <c r="S23" s="24"/>
      <c r="T23" s="24"/>
      <c r="U23" s="24"/>
      <c r="V23" s="24"/>
      <c r="W23" s="24"/>
    </row>
    <row r="24" spans="2:26">
      <c r="B24" s="1" t="s">
        <v>54</v>
      </c>
      <c r="C24" s="1"/>
      <c r="D24" s="2"/>
      <c r="E24" s="3">
        <v>31500</v>
      </c>
      <c r="G24" s="52">
        <f>E24</f>
        <v>31500</v>
      </c>
      <c r="Y24" s="10">
        <v>270</v>
      </c>
      <c r="Z24" s="183">
        <f>G24/Y24</f>
        <v>116.66666666666667</v>
      </c>
    </row>
    <row r="25" spans="2:26" s="20" customFormat="1">
      <c r="B25" s="20" t="s">
        <v>58</v>
      </c>
      <c r="D25" s="21"/>
      <c r="E25" s="22">
        <v>27000</v>
      </c>
      <c r="F25" s="23"/>
      <c r="G25" s="23"/>
      <c r="H25" s="23"/>
      <c r="I25" s="23"/>
      <c r="J25" s="23"/>
      <c r="K25" s="24"/>
      <c r="L25" s="24"/>
      <c r="M25" s="24"/>
      <c r="N25" s="24"/>
      <c r="O25" s="24"/>
      <c r="P25" s="24"/>
      <c r="Q25" s="24"/>
      <c r="R25" s="24"/>
      <c r="S25" s="24"/>
      <c r="T25" s="24"/>
      <c r="U25" s="24"/>
      <c r="V25" s="24"/>
      <c r="W25" s="24"/>
    </row>
    <row r="26" spans="2:26" s="20" customFormat="1">
      <c r="B26" s="20" t="s">
        <v>110</v>
      </c>
      <c r="D26" s="21"/>
      <c r="E26" s="22">
        <v>10000</v>
      </c>
      <c r="F26" s="23"/>
      <c r="G26" s="23"/>
      <c r="H26" s="23"/>
      <c r="I26" s="23"/>
      <c r="J26" s="23"/>
      <c r="K26" s="24"/>
      <c r="L26" s="24"/>
      <c r="M26" s="24"/>
      <c r="N26" s="24"/>
      <c r="O26" s="24"/>
      <c r="P26" s="24"/>
      <c r="Q26" s="24"/>
      <c r="R26" s="24"/>
      <c r="S26" s="24"/>
      <c r="T26" s="24"/>
      <c r="U26" s="24"/>
      <c r="V26" s="24"/>
      <c r="W26" s="24"/>
    </row>
    <row r="27" spans="2:26">
      <c r="B27" s="63" t="s">
        <v>257</v>
      </c>
    </row>
    <row r="28" spans="2:26">
      <c r="B28" s="165" t="s">
        <v>473</v>
      </c>
    </row>
    <row r="29" spans="2:26">
      <c r="B29" s="192" t="s">
        <v>598</v>
      </c>
      <c r="E29" s="10">
        <v>100</v>
      </c>
      <c r="H29" s="192" t="s">
        <v>599</v>
      </c>
    </row>
  </sheetData>
  <hyperlinks>
    <hyperlink ref="A1" location="Main!A1" display="Main" xr:uid="{B2E999A0-B9C6-426F-B868-4B47C66D3C76}"/>
    <hyperlink ref="B14" r:id="rId1" xr:uid="{4D4AAA00-BFE8-4498-9D01-136889AF20D4}"/>
    <hyperlink ref="B3" r:id="rId2" xr:uid="{3976EBF1-944B-4446-8A82-A83B8F045357}"/>
    <hyperlink ref="B4" r:id="rId3" xr:uid="{F038AE55-03C6-4C11-AB9A-E55BDED9EAEB}"/>
    <hyperlink ref="B13" r:id="rId4" xr:uid="{7C332E55-E10B-4AF1-A314-5F96A0E9060B}"/>
    <hyperlink ref="B5" r:id="rId5" xr:uid="{D15C9016-D909-4B61-8E61-89DF546A9452}"/>
    <hyperlink ref="B19" r:id="rId6" xr:uid="{B43B07AD-918B-4E3C-B6FF-2D0A1726D08C}"/>
    <hyperlink ref="B9" r:id="rId7" xr:uid="{54D233D9-C949-4228-9F3B-6F4618FC7C4C}"/>
    <hyperlink ref="B6" r:id="rId8" xr:uid="{C317DCAB-F486-4C03-A390-844EB230A084}"/>
    <hyperlink ref="B7" r:id="rId9" xr:uid="{B27274A8-24B6-4DB9-826D-7802A0C1EEB1}"/>
  </hyperlinks>
  <pageMargins left="0.7" right="0.7" top="0.75" bottom="0.75" header="0.3" footer="0.3"/>
  <pageSetup orientation="portrait" r:id="rId1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5841C-1187-4786-8CDA-18459BF1140B}">
  <dimension ref="A1:X35"/>
  <sheetViews>
    <sheetView zoomScale="235" zoomScaleNormal="235" workbookViewId="0">
      <pane xSplit="2" ySplit="2" topLeftCell="C3" activePane="bottomRight" state="frozen"/>
      <selection pane="topRight" activeCell="C1" sqref="C1"/>
      <selection pane="bottomLeft" activeCell="A3" sqref="A3"/>
      <selection pane="bottomRight" activeCell="B8" sqref="B8"/>
    </sheetView>
  </sheetViews>
  <sheetFormatPr defaultColWidth="9.140625" defaultRowHeight="12.75"/>
  <cols>
    <col min="1" max="1" width="5" style="10" bestFit="1" customWidth="1"/>
    <col min="2" max="2" width="18.28515625" style="10" customWidth="1"/>
    <col min="3" max="3" width="10.42578125" style="10" bestFit="1" customWidth="1"/>
    <col min="4" max="9" width="9.140625" style="68"/>
    <col min="10" max="16384" width="9.140625" style="10"/>
  </cols>
  <sheetData>
    <row r="1" spans="1:24">
      <c r="A1" s="5" t="s">
        <v>146</v>
      </c>
    </row>
    <row r="2" spans="1:24">
      <c r="B2" s="13" t="s">
        <v>0</v>
      </c>
      <c r="C2" s="14" t="s">
        <v>1</v>
      </c>
      <c r="D2" s="15" t="s">
        <v>2</v>
      </c>
      <c r="E2" s="16" t="s">
        <v>3</v>
      </c>
      <c r="F2" s="17" t="s">
        <v>4</v>
      </c>
      <c r="G2" s="17" t="s">
        <v>5</v>
      </c>
      <c r="H2" s="17" t="s">
        <v>221</v>
      </c>
      <c r="I2" s="17" t="s">
        <v>6</v>
      </c>
      <c r="J2" s="42" t="s">
        <v>232</v>
      </c>
      <c r="K2" s="18" t="s">
        <v>216</v>
      </c>
      <c r="L2" s="18" t="s">
        <v>220</v>
      </c>
      <c r="M2" s="18" t="s">
        <v>217</v>
      </c>
      <c r="N2" s="18" t="s">
        <v>218</v>
      </c>
      <c r="O2" s="19" t="s">
        <v>219</v>
      </c>
      <c r="P2" s="48" t="s">
        <v>237</v>
      </c>
      <c r="Q2" s="50" t="s">
        <v>238</v>
      </c>
      <c r="R2" s="50" t="s">
        <v>239</v>
      </c>
      <c r="S2" s="19">
        <v>2025</v>
      </c>
      <c r="T2" s="48" t="s">
        <v>236</v>
      </c>
      <c r="U2" s="18">
        <v>2023</v>
      </c>
      <c r="V2" s="18">
        <v>2024</v>
      </c>
      <c r="W2" s="19">
        <v>2025</v>
      </c>
      <c r="X2" s="51" t="s">
        <v>222</v>
      </c>
    </row>
    <row r="3" spans="1:24" s="52" customFormat="1">
      <c r="A3" s="71" t="s">
        <v>261</v>
      </c>
      <c r="B3" s="52" t="s">
        <v>166</v>
      </c>
      <c r="C3" s="52" t="s">
        <v>167</v>
      </c>
      <c r="D3" s="69">
        <v>206.8</v>
      </c>
      <c r="E3" s="70">
        <v>427830</v>
      </c>
      <c r="F3" s="70"/>
      <c r="G3" s="70"/>
      <c r="H3" s="70"/>
      <c r="I3" s="70"/>
    </row>
    <row r="4" spans="1:24" s="52" customFormat="1">
      <c r="A4" s="71" t="s">
        <v>261</v>
      </c>
      <c r="B4" s="52" t="s">
        <v>168</v>
      </c>
      <c r="C4" s="112" t="s">
        <v>323</v>
      </c>
      <c r="D4" s="69">
        <v>340.89</v>
      </c>
      <c r="E4" s="70">
        <v>329430</v>
      </c>
      <c r="F4" s="70"/>
      <c r="G4" s="70"/>
      <c r="H4" s="70"/>
      <c r="I4" s="70"/>
    </row>
    <row r="5" spans="1:24" s="52" customFormat="1">
      <c r="A5" s="83" t="s">
        <v>261</v>
      </c>
      <c r="B5" s="83" t="s">
        <v>265</v>
      </c>
      <c r="C5" s="83" t="s">
        <v>266</v>
      </c>
      <c r="D5" s="69"/>
      <c r="E5" s="70"/>
      <c r="F5" s="70"/>
      <c r="G5" s="70"/>
      <c r="H5" s="70"/>
      <c r="I5" s="70"/>
    </row>
    <row r="6" spans="1:24" s="52" customFormat="1">
      <c r="A6" s="84" t="s">
        <v>261</v>
      </c>
      <c r="B6" s="84" t="s">
        <v>269</v>
      </c>
      <c r="C6" s="84" t="s">
        <v>270</v>
      </c>
      <c r="D6" s="69"/>
      <c r="E6" s="70"/>
      <c r="F6" s="70"/>
      <c r="G6" s="70"/>
      <c r="H6" s="70"/>
      <c r="I6" s="70"/>
    </row>
    <row r="7" spans="1:24" s="20" customFormat="1">
      <c r="A7" s="82" t="s">
        <v>261</v>
      </c>
      <c r="B7" s="142" t="s">
        <v>26</v>
      </c>
      <c r="C7" s="20" t="s">
        <v>27</v>
      </c>
      <c r="D7" s="21">
        <v>413.72</v>
      </c>
      <c r="E7" s="22">
        <f>+D7*H7</f>
        <v>116615.20633988002</v>
      </c>
      <c r="F7" s="22">
        <f>[34]Main!$L$5-[34]Main!$L$6</f>
        <v>-2851</v>
      </c>
      <c r="G7" s="22">
        <f>E7-F7</f>
        <v>119466.20633988002</v>
      </c>
      <c r="H7" s="22">
        <f>+[34]Main!$L$3</f>
        <v>281.86987900000003</v>
      </c>
      <c r="I7" s="131" t="s">
        <v>208</v>
      </c>
      <c r="J7" s="43">
        <v>44830</v>
      </c>
      <c r="K7" s="24"/>
      <c r="L7" s="24"/>
      <c r="M7" s="24"/>
      <c r="N7" s="24"/>
      <c r="O7" s="26"/>
      <c r="P7" s="25"/>
      <c r="Q7" s="24"/>
      <c r="R7" s="24"/>
      <c r="S7" s="26"/>
      <c r="T7" s="25"/>
      <c r="U7" s="24"/>
      <c r="V7" s="24"/>
      <c r="W7" s="26"/>
      <c r="X7" s="20">
        <v>1984</v>
      </c>
    </row>
    <row r="8" spans="1:24" s="52" customFormat="1">
      <c r="A8" s="84" t="s">
        <v>261</v>
      </c>
      <c r="B8" s="179" t="s">
        <v>31</v>
      </c>
      <c r="C8" s="57" t="s">
        <v>32</v>
      </c>
      <c r="D8" s="60">
        <v>65</v>
      </c>
      <c r="E8" s="3">
        <f>D8*H8</f>
        <v>74360</v>
      </c>
      <c r="F8" s="70">
        <f>[35]Main!$M$5-[35]Main!$M$6</f>
        <v>5469</v>
      </c>
      <c r="G8" s="22">
        <f>E8-F8</f>
        <v>68891</v>
      </c>
      <c r="H8" s="70">
        <f>[35]Main!$M$3</f>
        <v>1144</v>
      </c>
      <c r="I8" s="180" t="s">
        <v>390</v>
      </c>
      <c r="J8" s="43">
        <v>45069</v>
      </c>
    </row>
    <row r="9" spans="1:24">
      <c r="A9" s="87" t="s">
        <v>261</v>
      </c>
      <c r="B9" s="87" t="s">
        <v>273</v>
      </c>
      <c r="C9" s="87" t="s">
        <v>274</v>
      </c>
    </row>
    <row r="10" spans="1:24">
      <c r="A10" s="88" t="s">
        <v>261</v>
      </c>
      <c r="B10" s="88" t="s">
        <v>277</v>
      </c>
      <c r="C10" s="88" t="s">
        <v>278</v>
      </c>
    </row>
    <row r="11" spans="1:24" s="52" customFormat="1">
      <c r="A11" s="91" t="s">
        <v>261</v>
      </c>
      <c r="B11" s="59" t="s">
        <v>251</v>
      </c>
      <c r="C11" s="52" t="s">
        <v>165</v>
      </c>
      <c r="D11" s="69">
        <v>70.94</v>
      </c>
      <c r="E11" s="70">
        <v>41870</v>
      </c>
      <c r="F11" s="70"/>
      <c r="G11" s="70"/>
      <c r="H11" s="70"/>
      <c r="I11" s="70"/>
    </row>
    <row r="12" spans="1:24" s="52" customFormat="1">
      <c r="A12" s="91" t="s">
        <v>261</v>
      </c>
      <c r="B12" s="91" t="s">
        <v>279</v>
      </c>
      <c r="C12" s="91" t="s">
        <v>280</v>
      </c>
      <c r="D12" s="69"/>
      <c r="E12" s="70"/>
      <c r="F12" s="70"/>
      <c r="G12" s="70"/>
      <c r="H12" s="70"/>
      <c r="I12" s="70"/>
    </row>
    <row r="13" spans="1:24" s="52" customFormat="1">
      <c r="A13" s="93" t="s">
        <v>261</v>
      </c>
      <c r="B13" s="93" t="s">
        <v>281</v>
      </c>
      <c r="C13" s="93" t="s">
        <v>282</v>
      </c>
      <c r="D13" s="69"/>
      <c r="E13" s="70"/>
      <c r="F13" s="70"/>
      <c r="G13" s="70"/>
      <c r="H13" s="70"/>
      <c r="I13" s="70"/>
    </row>
    <row r="14" spans="1:24" s="52" customFormat="1">
      <c r="A14" s="99" t="s">
        <v>261</v>
      </c>
      <c r="B14" s="99" t="s">
        <v>297</v>
      </c>
      <c r="C14" s="99" t="s">
        <v>297</v>
      </c>
      <c r="D14" s="69"/>
      <c r="E14" s="70"/>
      <c r="F14" s="70"/>
      <c r="G14" s="70"/>
      <c r="H14" s="70"/>
      <c r="I14" s="70"/>
    </row>
    <row r="15" spans="1:24" s="52" customFormat="1">
      <c r="A15" s="99" t="s">
        <v>261</v>
      </c>
      <c r="B15" s="99" t="s">
        <v>298</v>
      </c>
      <c r="C15" s="99" t="s">
        <v>299</v>
      </c>
      <c r="D15" s="69"/>
      <c r="E15" s="70"/>
      <c r="F15" s="70"/>
      <c r="G15" s="70"/>
      <c r="H15" s="70"/>
      <c r="I15" s="70"/>
    </row>
    <row r="16" spans="1:24" s="52" customFormat="1">
      <c r="A16" s="104" t="s">
        <v>261</v>
      </c>
      <c r="B16" s="104" t="s">
        <v>302</v>
      </c>
      <c r="C16" s="104" t="s">
        <v>303</v>
      </c>
      <c r="D16" s="69"/>
      <c r="E16" s="70"/>
      <c r="F16" s="70"/>
      <c r="G16" s="70"/>
      <c r="H16" s="70"/>
      <c r="I16" s="70"/>
    </row>
    <row r="17" spans="1:23" s="52" customFormat="1">
      <c r="A17" s="106" t="s">
        <v>261</v>
      </c>
      <c r="B17" s="106" t="s">
        <v>305</v>
      </c>
      <c r="C17" s="106" t="s">
        <v>306</v>
      </c>
      <c r="D17" s="69"/>
      <c r="E17" s="70"/>
      <c r="F17" s="70"/>
      <c r="G17" s="70"/>
      <c r="H17" s="70"/>
      <c r="I17" s="70"/>
    </row>
    <row r="18" spans="1:23" s="52" customFormat="1">
      <c r="A18" s="109" t="s">
        <v>261</v>
      </c>
      <c r="B18" s="109" t="s">
        <v>315</v>
      </c>
      <c r="C18" s="109" t="s">
        <v>316</v>
      </c>
      <c r="D18" s="69"/>
      <c r="E18" s="70"/>
      <c r="F18" s="70"/>
      <c r="G18" s="70"/>
      <c r="H18" s="70"/>
      <c r="I18" s="70"/>
    </row>
    <row r="19" spans="1:23" s="52" customFormat="1">
      <c r="B19" s="57" t="s">
        <v>71</v>
      </c>
      <c r="C19" s="57" t="s">
        <v>72</v>
      </c>
      <c r="D19" s="60">
        <v>68.930000000000007</v>
      </c>
      <c r="E19" s="3">
        <v>18053</v>
      </c>
      <c r="F19" s="70"/>
      <c r="G19" s="70"/>
      <c r="H19" s="70"/>
      <c r="I19" s="70"/>
    </row>
    <row r="20" spans="1:23" s="52" customFormat="1">
      <c r="B20" s="52" t="s">
        <v>83</v>
      </c>
      <c r="C20" s="52" t="s">
        <v>84</v>
      </c>
      <c r="D20" s="69">
        <v>58.75</v>
      </c>
      <c r="E20" s="70">
        <v>14980</v>
      </c>
      <c r="F20" s="70"/>
      <c r="G20" s="70"/>
      <c r="H20" s="70"/>
      <c r="I20" s="70"/>
    </row>
    <row r="21" spans="1:23" s="52" customFormat="1">
      <c r="B21" s="57" t="s">
        <v>104</v>
      </c>
      <c r="C21" s="57" t="s">
        <v>105</v>
      </c>
      <c r="D21" s="60">
        <v>184.44</v>
      </c>
      <c r="E21" s="3">
        <v>10400</v>
      </c>
      <c r="F21" s="70"/>
      <c r="G21" s="70"/>
      <c r="H21" s="70"/>
      <c r="I21" s="70"/>
    </row>
    <row r="22" spans="1:23" s="20" customFormat="1">
      <c r="A22" s="108" t="s">
        <v>261</v>
      </c>
      <c r="B22" s="117" t="s">
        <v>309</v>
      </c>
      <c r="C22" s="108" t="s">
        <v>310</v>
      </c>
      <c r="D22" s="21">
        <v>175.2</v>
      </c>
      <c r="E22" s="22">
        <v>27500</v>
      </c>
      <c r="F22" s="22"/>
      <c r="G22" s="22"/>
      <c r="H22" s="22"/>
      <c r="I22" s="23"/>
      <c r="J22" s="23"/>
      <c r="K22" s="24"/>
      <c r="L22" s="24"/>
      <c r="M22" s="24"/>
      <c r="N22" s="24"/>
      <c r="O22" s="26"/>
      <c r="P22" s="25"/>
      <c r="Q22" s="24"/>
      <c r="R22" s="24"/>
      <c r="S22" s="26"/>
      <c r="T22" s="25"/>
      <c r="U22" s="24"/>
      <c r="V22" s="24"/>
      <c r="W22" s="26"/>
    </row>
    <row r="23" spans="1:23">
      <c r="B23" s="120" t="s">
        <v>65</v>
      </c>
      <c r="C23" s="20" t="s">
        <v>66</v>
      </c>
      <c r="D23" s="21">
        <v>312</v>
      </c>
      <c r="E23" s="22">
        <v>19090</v>
      </c>
    </row>
    <row r="24" spans="1:23">
      <c r="B24" s="185" t="s">
        <v>521</v>
      </c>
      <c r="C24" s="185" t="s">
        <v>522</v>
      </c>
    </row>
    <row r="25" spans="1:23">
      <c r="B25" s="185" t="s">
        <v>527</v>
      </c>
      <c r="C25" s="185" t="s">
        <v>528</v>
      </c>
    </row>
    <row r="27" spans="1:23" s="52" customFormat="1">
      <c r="B27" s="58" t="s">
        <v>33</v>
      </c>
      <c r="C27" s="58" t="s">
        <v>154</v>
      </c>
      <c r="D27" s="61">
        <v>0</v>
      </c>
      <c r="E27" s="9">
        <v>100000</v>
      </c>
      <c r="F27" s="70"/>
      <c r="G27" s="70"/>
      <c r="H27" s="70"/>
      <c r="I27" s="70"/>
    </row>
    <row r="28" spans="1:23">
      <c r="B28" s="166" t="s">
        <v>59</v>
      </c>
      <c r="C28" s="166"/>
      <c r="D28" s="167">
        <v>0</v>
      </c>
      <c r="E28" s="168">
        <v>26000</v>
      </c>
    </row>
    <row r="29" spans="1:23">
      <c r="B29" s="57" t="s">
        <v>87</v>
      </c>
      <c r="C29" s="57"/>
      <c r="D29" s="61">
        <v>0</v>
      </c>
      <c r="E29" s="3">
        <v>15000</v>
      </c>
    </row>
    <row r="30" spans="1:23">
      <c r="B30" s="56" t="s">
        <v>250</v>
      </c>
      <c r="D30" s="61">
        <v>0</v>
      </c>
      <c r="E30" s="68">
        <v>75</v>
      </c>
    </row>
    <row r="31" spans="1:23">
      <c r="B31" s="62" t="s">
        <v>252</v>
      </c>
      <c r="D31" s="61">
        <v>0</v>
      </c>
    </row>
    <row r="32" spans="1:23">
      <c r="B32" s="94" t="s">
        <v>283</v>
      </c>
      <c r="E32" s="68">
        <v>424</v>
      </c>
    </row>
    <row r="33" spans="2:5">
      <c r="B33" s="94" t="s">
        <v>285</v>
      </c>
      <c r="E33" s="68">
        <v>159.5</v>
      </c>
    </row>
    <row r="34" spans="2:5">
      <c r="B34" s="165" t="s">
        <v>474</v>
      </c>
    </row>
    <row r="35" spans="2:5">
      <c r="B35" s="165"/>
    </row>
  </sheetData>
  <hyperlinks>
    <hyperlink ref="A1" location="Main!A1" display="Main" xr:uid="{A1A6C7BE-B827-4E66-8B30-A4C4FF1A4224}"/>
    <hyperlink ref="B7" r:id="rId1" xr:uid="{B2FAC7EC-CB56-42A3-96CC-14E909698321}"/>
    <hyperlink ref="B8" r:id="rId2" xr:uid="{B88BB985-A6BE-418A-A3AF-D32B8C4FDEDC}"/>
  </hyperlinks>
  <pageMargins left="0.7" right="0.7" top="0.75" bottom="0.75" header="0.3" footer="0.3"/>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EF4EB-ECD2-418F-8A42-9502B535E912}">
  <dimension ref="A1:X32"/>
  <sheetViews>
    <sheetView zoomScale="175" zoomScaleNormal="175" workbookViewId="0">
      <pane xSplit="2" ySplit="2" topLeftCell="C18" activePane="bottomRight" state="frozen"/>
      <selection pane="topRight" activeCell="C1" sqref="C1"/>
      <selection pane="bottomLeft" activeCell="A3" sqref="A3"/>
      <selection pane="bottomRight" activeCell="L32" sqref="L32"/>
    </sheetView>
  </sheetViews>
  <sheetFormatPr defaultColWidth="9.140625" defaultRowHeight="12.75"/>
  <cols>
    <col min="1" max="1" width="5" style="10" bestFit="1" customWidth="1"/>
    <col min="2" max="2" width="11.85546875" style="10" customWidth="1"/>
    <col min="3" max="16384" width="9.140625" style="10"/>
  </cols>
  <sheetData>
    <row r="1" spans="1:24">
      <c r="A1" s="5" t="s">
        <v>146</v>
      </c>
    </row>
    <row r="2" spans="1:24" s="72" customFormat="1">
      <c r="B2" s="73" t="s">
        <v>0</v>
      </c>
      <c r="C2" s="74" t="s">
        <v>1</v>
      </c>
      <c r="D2" s="75" t="s">
        <v>2</v>
      </c>
      <c r="E2" s="76" t="s">
        <v>3</v>
      </c>
      <c r="F2" s="77" t="s">
        <v>4</v>
      </c>
      <c r="G2" s="77" t="s">
        <v>5</v>
      </c>
      <c r="H2" s="77" t="s">
        <v>221</v>
      </c>
      <c r="I2" s="77" t="s">
        <v>6</v>
      </c>
      <c r="J2" s="77" t="s">
        <v>232</v>
      </c>
      <c r="K2" s="78" t="s">
        <v>216</v>
      </c>
      <c r="L2" s="78" t="s">
        <v>220</v>
      </c>
      <c r="M2" s="78" t="s">
        <v>217</v>
      </c>
      <c r="N2" s="78" t="s">
        <v>218</v>
      </c>
      <c r="O2" s="79" t="s">
        <v>219</v>
      </c>
      <c r="P2" s="80" t="s">
        <v>237</v>
      </c>
      <c r="Q2" s="81" t="s">
        <v>238</v>
      </c>
      <c r="R2" s="81" t="s">
        <v>239</v>
      </c>
      <c r="S2" s="79">
        <v>2025</v>
      </c>
      <c r="T2" s="80" t="s">
        <v>236</v>
      </c>
      <c r="U2" s="78">
        <v>2023</v>
      </c>
      <c r="V2" s="78">
        <v>2024</v>
      </c>
      <c r="W2" s="79">
        <v>2025</v>
      </c>
      <c r="X2" s="72" t="s">
        <v>222</v>
      </c>
    </row>
    <row r="3" spans="1:24">
      <c r="A3" s="72" t="s">
        <v>261</v>
      </c>
      <c r="B3" s="5" t="s">
        <v>11</v>
      </c>
      <c r="C3" s="1" t="s">
        <v>12</v>
      </c>
      <c r="D3" s="2">
        <v>98.24</v>
      </c>
      <c r="E3" s="3">
        <f>+D3*H3</f>
        <v>1014917.44</v>
      </c>
      <c r="F3" s="3">
        <f>[6]Main!$K$5-[6]Main!$K$6</f>
        <v>-257</v>
      </c>
      <c r="G3" s="3">
        <f>+E3-F3</f>
        <v>1015174.44</v>
      </c>
      <c r="H3" s="52">
        <f>+[6]Main!$K$3</f>
        <v>10331</v>
      </c>
      <c r="I3" s="4" t="s">
        <v>14</v>
      </c>
      <c r="J3" s="67">
        <v>44967</v>
      </c>
    </row>
    <row r="4" spans="1:24" s="20" customFormat="1">
      <c r="A4" s="72" t="s">
        <v>261</v>
      </c>
      <c r="B4" s="5" t="s">
        <v>17</v>
      </c>
      <c r="C4" s="20" t="s">
        <v>18</v>
      </c>
      <c r="D4" s="21">
        <v>115.9</v>
      </c>
      <c r="E4" s="22">
        <f>D4*[36]Main!$L$3</f>
        <v>310046.98749999999</v>
      </c>
      <c r="F4" s="22" cm="1">
        <f t="array" ref="F4">([36]Main!$L$5-[36]Main!$L$6)/RMB</f>
        <v>119719.43620178041</v>
      </c>
      <c r="G4" s="22">
        <f>+E4-F4</f>
        <v>190327.55129821959</v>
      </c>
      <c r="H4" s="22"/>
      <c r="I4" s="23" t="s">
        <v>14</v>
      </c>
      <c r="J4" s="23"/>
      <c r="K4" s="24"/>
      <c r="L4" s="24"/>
      <c r="M4" s="24"/>
      <c r="N4" s="24"/>
      <c r="O4" s="24"/>
      <c r="P4" s="25"/>
      <c r="Q4" s="24"/>
      <c r="R4" s="24"/>
      <c r="S4" s="26"/>
      <c r="T4" s="25"/>
      <c r="U4" s="24"/>
      <c r="V4" s="24"/>
      <c r="W4" s="26"/>
    </row>
    <row r="5" spans="1:24">
      <c r="A5" s="72" t="s">
        <v>261</v>
      </c>
      <c r="B5" s="5" t="s">
        <v>17</v>
      </c>
      <c r="C5" s="1" t="s">
        <v>18</v>
      </c>
      <c r="D5" s="2">
        <v>115.9</v>
      </c>
      <c r="E5" s="3">
        <f>D5*[36]Main!$L$3</f>
        <v>310046.98749999999</v>
      </c>
      <c r="F5" s="3" cm="1">
        <f t="array" ref="F5">([36]Main!$L$5-[36]Main!$L$6)/RMB</f>
        <v>119719.43620178041</v>
      </c>
      <c r="G5" s="3">
        <f>+E5-F5</f>
        <v>190327.55129821959</v>
      </c>
      <c r="I5" s="4" t="s">
        <v>14</v>
      </c>
    </row>
    <row r="6" spans="1:24">
      <c r="A6" s="82" t="s">
        <v>261</v>
      </c>
      <c r="B6" s="1" t="s">
        <v>28</v>
      </c>
      <c r="C6" s="1" t="s">
        <v>28</v>
      </c>
      <c r="D6" s="2">
        <v>65.180000000000007</v>
      </c>
      <c r="E6" s="3">
        <v>101795</v>
      </c>
    </row>
    <row r="7" spans="1:24">
      <c r="A7" s="82" t="s">
        <v>261</v>
      </c>
      <c r="B7" s="82" t="s">
        <v>262</v>
      </c>
      <c r="C7" s="82" t="s">
        <v>263</v>
      </c>
    </row>
    <row r="8" spans="1:24">
      <c r="A8" s="86" t="s">
        <v>261</v>
      </c>
      <c r="B8" s="11" t="s">
        <v>206</v>
      </c>
      <c r="C8" s="11" t="s">
        <v>207</v>
      </c>
    </row>
    <row r="9" spans="1:24">
      <c r="A9" s="87" t="s">
        <v>261</v>
      </c>
      <c r="B9" s="5" t="s">
        <v>34</v>
      </c>
      <c r="C9" s="10" t="s">
        <v>35</v>
      </c>
      <c r="D9" s="10">
        <v>116.42</v>
      </c>
      <c r="E9" s="52">
        <f>+D9*H9</f>
        <v>73714.487644859997</v>
      </c>
      <c r="F9" s="52">
        <f>+[37]Main!$L$5-[37]Main!$L$6</f>
        <v>7643.4470000000001</v>
      </c>
      <c r="G9" s="22">
        <f>E9-F9</f>
        <v>66071.040644859997</v>
      </c>
      <c r="H9" s="52">
        <f>+[37]Main!$L$3</f>
        <v>633.17718300000001</v>
      </c>
      <c r="I9" s="151" t="s">
        <v>359</v>
      </c>
      <c r="J9" s="67">
        <v>44971</v>
      </c>
    </row>
    <row r="10" spans="1:24">
      <c r="A10" s="86" t="s">
        <v>261</v>
      </c>
      <c r="B10" s="11" t="s">
        <v>204</v>
      </c>
      <c r="C10" s="11" t="s">
        <v>205</v>
      </c>
    </row>
    <row r="11" spans="1:24">
      <c r="A11" s="98" t="s">
        <v>261</v>
      </c>
      <c r="B11" s="98" t="s">
        <v>293</v>
      </c>
      <c r="C11" s="98" t="s">
        <v>294</v>
      </c>
    </row>
    <row r="12" spans="1:24">
      <c r="A12" s="96" t="s">
        <v>261</v>
      </c>
      <c r="B12" s="10" t="s">
        <v>42</v>
      </c>
      <c r="C12" s="10" t="s">
        <v>43</v>
      </c>
    </row>
    <row r="13" spans="1:24" s="20" customFormat="1">
      <c r="A13" s="98" t="s">
        <v>261</v>
      </c>
      <c r="B13" s="5" t="s">
        <v>36</v>
      </c>
      <c r="C13" s="20" t="s">
        <v>37</v>
      </c>
      <c r="D13" s="21">
        <v>36.71</v>
      </c>
      <c r="E13" s="22">
        <f>+D13*[38]Main!$M$3</f>
        <v>46254.6</v>
      </c>
      <c r="F13" s="22">
        <f>+[38]Main!$M$5-[38]Main!$M$6</f>
        <v>6335.1410000000005</v>
      </c>
      <c r="G13" s="22">
        <f t="shared" ref="G13" si="0">E13-F13</f>
        <v>39919.458999999995</v>
      </c>
      <c r="H13" s="22"/>
      <c r="I13" s="23" t="s">
        <v>14</v>
      </c>
      <c r="J13" s="23"/>
      <c r="K13" s="24"/>
      <c r="L13" s="24"/>
      <c r="M13" s="24"/>
      <c r="N13" s="24"/>
      <c r="O13" s="24"/>
      <c r="P13" s="25"/>
      <c r="Q13" s="24"/>
      <c r="R13" s="24"/>
      <c r="S13" s="26"/>
      <c r="T13" s="25"/>
      <c r="U13" s="24"/>
      <c r="V13" s="24"/>
      <c r="W13" s="26"/>
    </row>
    <row r="14" spans="1:24" s="20" customFormat="1">
      <c r="A14" s="98" t="s">
        <v>261</v>
      </c>
      <c r="B14" s="98" t="s">
        <v>295</v>
      </c>
      <c r="C14" s="98" t="s">
        <v>296</v>
      </c>
      <c r="D14" s="21"/>
      <c r="E14" s="22"/>
      <c r="F14" s="22"/>
      <c r="G14" s="22"/>
      <c r="H14" s="22"/>
      <c r="I14" s="23"/>
      <c r="J14" s="23"/>
      <c r="K14" s="24"/>
      <c r="L14" s="24"/>
      <c r="M14" s="24"/>
      <c r="N14" s="24"/>
      <c r="O14" s="24"/>
      <c r="P14" s="24"/>
      <c r="Q14" s="24"/>
      <c r="R14" s="24"/>
      <c r="S14" s="24"/>
      <c r="T14" s="24"/>
      <c r="U14" s="24"/>
      <c r="V14" s="24"/>
      <c r="W14" s="24"/>
    </row>
    <row r="15" spans="1:24">
      <c r="A15" s="108" t="s">
        <v>261</v>
      </c>
      <c r="B15" s="1" t="s">
        <v>60</v>
      </c>
      <c r="C15" s="1" t="s">
        <v>61</v>
      </c>
      <c r="D15" s="2">
        <v>71.66</v>
      </c>
      <c r="E15" s="3">
        <v>25171</v>
      </c>
    </row>
    <row r="16" spans="1:24">
      <c r="A16" s="108" t="s">
        <v>261</v>
      </c>
      <c r="B16" s="108" t="s">
        <v>311</v>
      </c>
      <c r="C16" s="108" t="s">
        <v>312</v>
      </c>
    </row>
    <row r="17" spans="1:23">
      <c r="A17" s="108" t="s">
        <v>261</v>
      </c>
      <c r="B17" s="108" t="s">
        <v>313</v>
      </c>
      <c r="C17" s="108" t="s">
        <v>314</v>
      </c>
    </row>
    <row r="18" spans="1:23">
      <c r="A18" s="110" t="s">
        <v>261</v>
      </c>
      <c r="B18" s="110" t="s">
        <v>317</v>
      </c>
      <c r="C18" s="110" t="s">
        <v>318</v>
      </c>
    </row>
    <row r="19" spans="1:23">
      <c r="A19" s="111" t="s">
        <v>261</v>
      </c>
      <c r="B19" s="111" t="s">
        <v>319</v>
      </c>
      <c r="C19" s="111" t="s">
        <v>320</v>
      </c>
    </row>
    <row r="20" spans="1:23">
      <c r="A20" s="134" t="s">
        <v>261</v>
      </c>
      <c r="B20" s="10" t="s">
        <v>161</v>
      </c>
      <c r="C20" s="10" t="s">
        <v>162</v>
      </c>
    </row>
    <row r="21" spans="1:23">
      <c r="B21" s="1" t="s">
        <v>97</v>
      </c>
      <c r="C21" s="1" t="s">
        <v>98</v>
      </c>
      <c r="D21" s="2">
        <v>2.5099999999999998</v>
      </c>
      <c r="E21" s="3">
        <v>12580</v>
      </c>
    </row>
    <row r="22" spans="1:23">
      <c r="B22" s="10" t="s">
        <v>163</v>
      </c>
      <c r="C22" s="10" t="s">
        <v>164</v>
      </c>
    </row>
    <row r="23" spans="1:23" s="20" customFormat="1">
      <c r="B23" s="20" t="s">
        <v>135</v>
      </c>
      <c r="C23" s="20" t="s">
        <v>136</v>
      </c>
      <c r="D23" s="21">
        <v>17.63</v>
      </c>
      <c r="E23" s="22">
        <v>6480</v>
      </c>
      <c r="F23" s="23"/>
      <c r="G23" s="23"/>
      <c r="H23" s="23"/>
      <c r="I23" s="23"/>
      <c r="J23" s="23"/>
      <c r="K23" s="24"/>
      <c r="L23" s="24"/>
      <c r="M23" s="24"/>
      <c r="N23" s="24"/>
      <c r="O23" s="24"/>
      <c r="P23" s="25"/>
      <c r="Q23" s="24"/>
      <c r="R23" s="24"/>
      <c r="S23" s="26"/>
      <c r="T23" s="25"/>
      <c r="U23" s="24"/>
      <c r="V23" s="24"/>
      <c r="W23" s="26"/>
    </row>
    <row r="24" spans="1:23">
      <c r="B24" s="5" t="s">
        <v>387</v>
      </c>
      <c r="C24" s="146" t="s">
        <v>388</v>
      </c>
      <c r="D24" s="10">
        <v>8.86</v>
      </c>
      <c r="E24" s="52">
        <f>+D24*H24</f>
        <v>963.51364147999993</v>
      </c>
      <c r="F24" s="52">
        <f>+[39]Main!$K$5-[39]Main!$K$6</f>
        <v>-1163.2909999999999</v>
      </c>
      <c r="G24" s="52">
        <f>+E24-F24</f>
        <v>2126.8046414800001</v>
      </c>
      <c r="H24" s="52">
        <f>+[39]Main!$K$3</f>
        <v>108.748718</v>
      </c>
      <c r="I24" s="150" t="s">
        <v>359</v>
      </c>
      <c r="J24" s="67">
        <v>44965</v>
      </c>
    </row>
    <row r="25" spans="1:23">
      <c r="B25" s="149" t="s">
        <v>389</v>
      </c>
    </row>
    <row r="29" spans="1:23">
      <c r="B29" s="1" t="s">
        <v>119</v>
      </c>
      <c r="C29" s="1"/>
      <c r="D29" s="2"/>
      <c r="E29" s="3">
        <v>8333</v>
      </c>
    </row>
    <row r="30" spans="1:23">
      <c r="B30" s="20" t="s">
        <v>64</v>
      </c>
      <c r="C30" s="20"/>
      <c r="D30" s="21"/>
      <c r="E30" s="22">
        <v>22000</v>
      </c>
    </row>
    <row r="31" spans="1:23">
      <c r="B31" s="20" t="s">
        <v>55</v>
      </c>
      <c r="C31" s="20"/>
      <c r="D31" s="21"/>
      <c r="E31" s="22">
        <v>30000</v>
      </c>
    </row>
    <row r="32" spans="1:23">
      <c r="B32" s="219" t="s">
        <v>1810</v>
      </c>
      <c r="L32" s="219" t="s">
        <v>1811</v>
      </c>
    </row>
  </sheetData>
  <hyperlinks>
    <hyperlink ref="A1" location="Main!A1" display="Main" xr:uid="{5E6A4119-6CB3-4DE8-85D8-71624588AB5F}"/>
    <hyperlink ref="B5" r:id="rId1" xr:uid="{1DBE1AD0-E144-4B11-A369-C38208461D50}"/>
    <hyperlink ref="B3" r:id="rId2" xr:uid="{9E979F32-3FB9-4155-8C38-6368365757C8}"/>
    <hyperlink ref="B13" r:id="rId3" xr:uid="{7B3BF246-9F57-4E65-999A-345E6DC43A15}"/>
    <hyperlink ref="B4" r:id="rId4" xr:uid="{EBAD1208-6B7E-4686-85C8-90DFDB7B9D36}"/>
    <hyperlink ref="B24" r:id="rId5" xr:uid="{E112D5EE-DF74-4C8E-8A8A-40FA1E1DA6A2}"/>
    <hyperlink ref="B9" r:id="rId6" xr:uid="{0E4A8717-CB7F-480C-A1D1-B315F728D1CA}"/>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07CF4-895A-4CDE-92B2-BF34D258BE21}">
  <dimension ref="A1:H10"/>
  <sheetViews>
    <sheetView zoomScale="190" zoomScaleNormal="190" workbookViewId="0">
      <pane xSplit="2" ySplit="2" topLeftCell="C3" activePane="bottomRight" state="frozen"/>
      <selection pane="topRight" activeCell="C1" sqref="C1"/>
      <selection pane="bottomLeft" activeCell="A3" sqref="A3"/>
      <selection pane="bottomRight" activeCell="D10" sqref="D10"/>
    </sheetView>
  </sheetViews>
  <sheetFormatPr defaultColWidth="9.140625" defaultRowHeight="12.75"/>
  <cols>
    <col min="1" max="1" width="5" style="10" bestFit="1" customWidth="1"/>
    <col min="2" max="2" width="17" style="10" bestFit="1" customWidth="1"/>
    <col min="3" max="16384" width="9.140625" style="10"/>
  </cols>
  <sheetData>
    <row r="1" spans="1:8">
      <c r="A1" s="5" t="s">
        <v>146</v>
      </c>
    </row>
    <row r="2" spans="1:8">
      <c r="B2" s="10" t="s">
        <v>0</v>
      </c>
      <c r="C2" s="10" t="s">
        <v>1</v>
      </c>
      <c r="D2" s="10" t="s">
        <v>2</v>
      </c>
      <c r="E2" s="10" t="s">
        <v>3</v>
      </c>
    </row>
    <row r="3" spans="1:8">
      <c r="A3" s="89" t="s">
        <v>261</v>
      </c>
      <c r="B3" s="10" t="s">
        <v>155</v>
      </c>
      <c r="C3" s="10" t="s">
        <v>156</v>
      </c>
    </row>
    <row r="4" spans="1:8">
      <c r="A4" s="90" t="s">
        <v>261</v>
      </c>
      <c r="B4" s="10" t="s">
        <v>160</v>
      </c>
      <c r="C4" s="10" t="s">
        <v>159</v>
      </c>
    </row>
    <row r="5" spans="1:8">
      <c r="A5" s="92" t="s">
        <v>261</v>
      </c>
      <c r="B5" s="10" t="s">
        <v>157</v>
      </c>
      <c r="C5" s="10" t="s">
        <v>158</v>
      </c>
    </row>
    <row r="6" spans="1:8">
      <c r="A6" s="101" t="s">
        <v>261</v>
      </c>
      <c r="B6" s="101" t="s">
        <v>300</v>
      </c>
      <c r="C6" s="101" t="s">
        <v>301</v>
      </c>
    </row>
    <row r="7" spans="1:8" s="1" customFormat="1">
      <c r="B7" s="1" t="s">
        <v>81</v>
      </c>
      <c r="C7" s="1" t="s">
        <v>82</v>
      </c>
      <c r="D7" s="2">
        <v>128.05000000000001</v>
      </c>
      <c r="E7" s="3">
        <v>16470</v>
      </c>
      <c r="F7" s="4"/>
      <c r="G7" s="4"/>
      <c r="H7" s="4"/>
    </row>
    <row r="8" spans="1:8">
      <c r="B8" s="10" t="s">
        <v>197</v>
      </c>
      <c r="C8" s="10" t="s">
        <v>198</v>
      </c>
    </row>
    <row r="9" spans="1:8">
      <c r="B9" s="120" t="s">
        <v>189</v>
      </c>
      <c r="C9" s="20" t="s">
        <v>190</v>
      </c>
      <c r="D9" s="21">
        <v>181.71</v>
      </c>
      <c r="E9" s="22">
        <v>25220</v>
      </c>
    </row>
    <row r="10" spans="1:8">
      <c r="B10" s="185" t="s">
        <v>531</v>
      </c>
      <c r="C10" s="185" t="s">
        <v>532</v>
      </c>
    </row>
  </sheetData>
  <hyperlinks>
    <hyperlink ref="A1" location="Main!A1" display="Main" xr:uid="{8911E9A3-ACF0-4B55-98BB-1EFB77BE02DE}"/>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50321-4AE5-45B4-8FB8-F8D64CF71E0E}">
  <dimension ref="A1:C7"/>
  <sheetViews>
    <sheetView workbookViewId="0"/>
  </sheetViews>
  <sheetFormatPr defaultColWidth="9.140625" defaultRowHeight="12.75"/>
  <cols>
    <col min="1" max="1" width="5" style="45" bestFit="1" customWidth="1"/>
    <col min="2" max="16384" width="9.140625" style="45"/>
  </cols>
  <sheetData>
    <row r="1" spans="1:3">
      <c r="A1" s="5" t="s">
        <v>146</v>
      </c>
    </row>
    <row r="2" spans="1:3">
      <c r="B2" s="45" t="s">
        <v>150</v>
      </c>
      <c r="C2" s="45">
        <v>7.8498000000000001</v>
      </c>
    </row>
    <row r="3" spans="1:3">
      <c r="B3" s="45" t="s">
        <v>151</v>
      </c>
      <c r="C3" s="45">
        <v>6.74</v>
      </c>
    </row>
    <row r="4" spans="1:3">
      <c r="B4" s="45" t="s">
        <v>215</v>
      </c>
      <c r="C4" s="45">
        <v>1.01</v>
      </c>
    </row>
    <row r="5" spans="1:3">
      <c r="B5" s="45" t="s">
        <v>233</v>
      </c>
      <c r="C5" s="45">
        <v>10.3437</v>
      </c>
    </row>
    <row r="6" spans="1:3">
      <c r="B6" s="46" t="s">
        <v>241</v>
      </c>
      <c r="C6" s="45">
        <v>136.93</v>
      </c>
    </row>
    <row r="7" spans="1:3">
      <c r="B7" s="46" t="s">
        <v>242</v>
      </c>
      <c r="C7" s="45">
        <v>1.2991999999999999</v>
      </c>
    </row>
  </sheetData>
  <hyperlinks>
    <hyperlink ref="A1" location="Main!A1" display="Main" xr:uid="{CA8672F6-BB57-4BF8-83E1-A8CF0133433F}"/>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5831F-FB2E-134D-9E1A-7188BFBB74B9}">
  <dimension ref="A1:G11"/>
  <sheetViews>
    <sheetView zoomScaleNormal="100" zoomScaleSheetLayoutView="100" workbookViewId="0">
      <pane xSplit="2" ySplit="2" topLeftCell="C3" activePane="bottomRight" state="frozen"/>
      <selection pane="topRight" activeCell="C1" sqref="C1"/>
      <selection pane="bottomLeft" activeCell="A3" sqref="A3"/>
      <selection pane="bottomRight" activeCell="D12" sqref="D12"/>
    </sheetView>
  </sheetViews>
  <sheetFormatPr defaultColWidth="9.140625" defaultRowHeight="12.75"/>
  <cols>
    <col min="1" max="1" width="5" style="6" bestFit="1" customWidth="1"/>
    <col min="2" max="2" width="19.7109375" style="6" bestFit="1" customWidth="1"/>
    <col min="3" max="3" width="9.140625" style="7"/>
    <col min="4" max="16384" width="9.140625" style="6"/>
  </cols>
  <sheetData>
    <row r="1" spans="1:7">
      <c r="A1" s="5" t="s">
        <v>146</v>
      </c>
    </row>
    <row r="2" spans="1:7">
      <c r="B2" s="6" t="s">
        <v>0</v>
      </c>
      <c r="C2" s="7" t="s">
        <v>149</v>
      </c>
      <c r="D2" s="12" t="s">
        <v>211</v>
      </c>
      <c r="E2" s="46" t="s">
        <v>222</v>
      </c>
      <c r="F2" s="46" t="s">
        <v>244</v>
      </c>
      <c r="G2" s="53" t="s">
        <v>248</v>
      </c>
    </row>
    <row r="3" spans="1:7">
      <c r="B3" s="8" t="s">
        <v>33</v>
      </c>
      <c r="C3" s="7">
        <v>100000</v>
      </c>
      <c r="D3" s="12" t="s">
        <v>212</v>
      </c>
    </row>
    <row r="4" spans="1:7">
      <c r="B4" s="6" t="s">
        <v>87</v>
      </c>
      <c r="C4" s="7">
        <v>15000</v>
      </c>
      <c r="D4" s="12" t="s">
        <v>212</v>
      </c>
    </row>
    <row r="5" spans="1:7">
      <c r="B5" s="6" t="s">
        <v>124</v>
      </c>
      <c r="C5" s="7">
        <v>8000</v>
      </c>
      <c r="D5" s="12" t="s">
        <v>213</v>
      </c>
    </row>
    <row r="6" spans="1:7">
      <c r="B6" s="6" t="s">
        <v>144</v>
      </c>
      <c r="D6" s="12" t="s">
        <v>214</v>
      </c>
    </row>
    <row r="7" spans="1:7">
      <c r="B7" s="6" t="s">
        <v>145</v>
      </c>
      <c r="D7" s="12" t="s">
        <v>214</v>
      </c>
    </row>
    <row r="8" spans="1:7">
      <c r="B8" s="12" t="s">
        <v>209</v>
      </c>
      <c r="D8" s="12" t="s">
        <v>210</v>
      </c>
    </row>
    <row r="9" spans="1:7">
      <c r="B9" s="46" t="s">
        <v>243</v>
      </c>
      <c r="D9" s="46" t="s">
        <v>212</v>
      </c>
      <c r="E9" s="6">
        <v>2021</v>
      </c>
      <c r="F9" s="46" t="s">
        <v>245</v>
      </c>
      <c r="G9" s="53" t="s">
        <v>249</v>
      </c>
    </row>
    <row r="10" spans="1:7">
      <c r="B10" s="53" t="s">
        <v>246</v>
      </c>
      <c r="D10" s="53" t="s">
        <v>247</v>
      </c>
      <c r="E10" s="6">
        <v>2021</v>
      </c>
      <c r="G10" s="53" t="s">
        <v>249</v>
      </c>
    </row>
    <row r="11" spans="1:7">
      <c r="B11" s="162" t="s">
        <v>399</v>
      </c>
      <c r="D11" s="162" t="s">
        <v>400</v>
      </c>
    </row>
  </sheetData>
  <hyperlinks>
    <hyperlink ref="A1" location="Main!A1" display="Main" xr:uid="{F0FD3AE8-EA92-47CC-9713-F9163090CCA8}"/>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6</vt:i4>
      </vt:variant>
    </vt:vector>
  </HeadingPairs>
  <TitlesOfParts>
    <vt:vector size="23" baseType="lpstr">
      <vt:lpstr>Acquisitions</vt:lpstr>
      <vt:lpstr>People</vt:lpstr>
      <vt:lpstr>Glossary</vt:lpstr>
      <vt:lpstr>Historical</vt:lpstr>
      <vt:lpstr>Main</vt:lpstr>
      <vt:lpstr>Enterprise-Cloud</vt:lpstr>
      <vt:lpstr>Social-Dating</vt:lpstr>
      <vt:lpstr>Simulation-Technical Design</vt:lpstr>
      <vt:lpstr>AI Investors</vt:lpstr>
      <vt:lpstr>AI</vt:lpstr>
      <vt:lpstr>Revenue</vt:lpstr>
      <vt:lpstr>Media-Games-Design</vt:lpstr>
      <vt:lpstr>Fintech</vt:lpstr>
      <vt:lpstr>Ecommerce</vt:lpstr>
      <vt:lpstr>Security</vt:lpstr>
      <vt:lpstr>FX</vt:lpstr>
      <vt:lpstr>Private</vt:lpstr>
      <vt:lpstr>CAD</vt:lpstr>
      <vt:lpstr>EUR</vt:lpstr>
      <vt:lpstr>HKD</vt:lpstr>
      <vt:lpstr>JPY</vt:lpstr>
      <vt:lpstr>RMB</vt:lpstr>
      <vt:lpstr>SEK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2022-07-14T18:55:24Z</dcterms:created>
  <dcterms:modified xsi:type="dcterms:W3CDTF">2023-07-10T13:08:54Z</dcterms:modified>
  <cp:category/>
  <cp:contentStatus/>
</cp:coreProperties>
</file>