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5E918FF-6015-4832-B4D8-855B4AECD032}" xr6:coauthVersionLast="47" xr6:coauthVersionMax="47" xr10:uidLastSave="{00000000-0000-0000-0000-000000000000}"/>
  <bookViews>
    <workbookView xWindow="1020" yWindow="1530" windowWidth="27375" windowHeight="1759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B29" i="1"/>
  <c r="B28" i="1"/>
  <c r="B27" i="1"/>
  <c r="G15" i="1" l="1"/>
  <c r="H15" i="1" s="1"/>
  <c r="I15" i="1"/>
  <c r="G39" i="1" l="1"/>
  <c r="I39" i="1"/>
  <c r="F39" i="1" s="1"/>
  <c r="H39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7" i="1"/>
  <c r="I47" i="1"/>
  <c r="F47" i="1" s="1"/>
  <c r="H47" i="1" l="1"/>
  <c r="H49" i="1" l="1"/>
  <c r="I46" i="1"/>
  <c r="F46" i="1" s="1"/>
  <c r="G46" i="1"/>
  <c r="G29" i="1"/>
  <c r="I29" i="1"/>
  <c r="F29" i="1" s="1"/>
  <c r="G13" i="1"/>
  <c r="I13" i="1"/>
  <c r="F13" i="1" s="1"/>
  <c r="G12" i="1"/>
  <c r="I12" i="1"/>
  <c r="F12" i="1" s="1"/>
  <c r="H46" i="1" l="1"/>
  <c r="H13" i="1"/>
  <c r="H12" i="1"/>
  <c r="G34" i="1"/>
  <c r="I34" i="1"/>
  <c r="F34" i="1" s="1"/>
  <c r="H34" i="1" l="1"/>
  <c r="G38" i="1"/>
  <c r="I38" i="1"/>
  <c r="F38" i="1" s="1"/>
  <c r="H38" i="1" l="1"/>
  <c r="H29" i="1"/>
  <c r="G32" i="1"/>
  <c r="I32" i="1"/>
  <c r="F32" i="1" s="1" a="1"/>
  <c r="F32" i="1" s="1"/>
  <c r="G37" i="1"/>
  <c r="I37" i="1"/>
  <c r="F37" i="1" s="1" a="1"/>
  <c r="F37" i="1" s="1"/>
  <c r="H37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5" i="1" l="1"/>
  <c r="I145" i="1"/>
  <c r="F145" i="1" s="1"/>
  <c r="I109" i="1"/>
  <c r="F109" i="1" s="1"/>
  <c r="G109" i="1"/>
  <c r="G110" i="1"/>
  <c r="I110" i="1"/>
  <c r="F110" i="1" s="1"/>
  <c r="H145" i="1" l="1"/>
  <c r="H110" i="1"/>
  <c r="H109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0" i="1" l="1"/>
  <c r="I160" i="1"/>
  <c r="F160" i="1" s="1"/>
  <c r="B10" i="1"/>
  <c r="G111" i="1"/>
  <c r="I111" i="1"/>
  <c r="F111" i="1" s="1"/>
  <c r="B11" i="1" l="1"/>
  <c r="B12" i="1" s="1"/>
  <c r="H111" i="1"/>
  <c r="H160" i="1"/>
  <c r="G36" i="1"/>
  <c r="I36" i="1"/>
  <c r="F36" i="1" s="1"/>
  <c r="B13" i="1" l="1"/>
  <c r="B14" i="1" s="1"/>
  <c r="H36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15" i="1"/>
  <c r="B26" i="1"/>
  <c r="B32" i="1" s="1"/>
  <c r="B33" i="1" s="1"/>
  <c r="B34" i="1" s="1"/>
  <c r="B35" i="1" s="1"/>
  <c r="B36" i="1" s="1"/>
  <c r="B37" i="1" s="1"/>
  <c r="B38" i="1" s="1"/>
  <c r="B39" i="1" s="1"/>
  <c r="H30" i="1"/>
  <c r="I24" i="1"/>
  <c r="F24" i="1" s="1"/>
  <c r="G22" i="1" l="1"/>
  <c r="F22" i="1"/>
  <c r="B1" i="5" l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I18" i="1"/>
  <c r="B2" i="5" l="1"/>
  <c r="B3" i="5"/>
  <c r="B4" i="5" s="1"/>
  <c r="B5" i="5" s="1"/>
  <c r="I17" i="1"/>
  <c r="F17" i="1" s="1"/>
  <c r="B6" i="5" l="1"/>
  <c r="B7" i="5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G14" i="1"/>
  <c r="B8" i="5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G16" i="1"/>
  <c r="I16" i="1"/>
  <c r="F16" i="1" s="1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" i="1"/>
  <c r="I14" i="1"/>
  <c r="F14" i="1" l="1"/>
  <c r="F21" i="1" l="1"/>
  <c r="F20" i="1"/>
  <c r="K21" i="1"/>
  <c r="K2" i="1" s="1"/>
  <c r="G27" i="1" l="1"/>
  <c r="F35" i="1"/>
  <c r="I27" i="1"/>
  <c r="F27" i="1" s="1"/>
  <c r="H27" i="1" l="1"/>
  <c r="G155" i="1"/>
  <c r="I155" i="1"/>
  <c r="F155" i="1" s="1"/>
  <c r="G59" i="1"/>
  <c r="I59" i="1"/>
  <c r="F59" i="1" s="1"/>
  <c r="H59" i="1" l="1"/>
  <c r="H155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8" i="1" l="1"/>
  <c r="I58" i="1"/>
  <c r="F58" i="1" s="1"/>
  <c r="H58" i="1" l="1"/>
  <c r="G144" i="1"/>
  <c r="F144" i="1"/>
  <c r="H144" i="1" l="1"/>
  <c r="G48" i="1"/>
  <c r="F48" i="1"/>
  <c r="H48" i="1" l="1"/>
  <c r="G108" i="1"/>
  <c r="F108" i="1"/>
  <c r="G143" i="1"/>
  <c r="F143" i="1"/>
  <c r="F28" i="1"/>
  <c r="G28" i="1"/>
  <c r="H108" i="1" l="1"/>
  <c r="H143" i="1"/>
  <c r="H28" i="1"/>
  <c r="G52" i="1"/>
  <c r="F52" i="1"/>
  <c r="G162" i="1"/>
  <c r="F162" i="1"/>
  <c r="H52" i="1" l="1"/>
  <c r="H35" i="1"/>
  <c r="H162" i="1"/>
  <c r="F57" i="1"/>
  <c r="G57" i="1"/>
  <c r="G19" i="1"/>
  <c r="H57" i="1" l="1"/>
  <c r="H19" i="1"/>
  <c r="F4" i="1"/>
  <c r="G56" i="1" l="1"/>
  <c r="F56" i="1"/>
  <c r="H56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4" i="1"/>
  <c r="G18" i="1"/>
  <c r="F18" i="1"/>
  <c r="G17" i="1"/>
  <c r="H10" i="1"/>
  <c r="G4" i="1"/>
  <c r="H4" i="1" s="1"/>
  <c r="H24" i="1" l="1"/>
  <c r="H167" i="1"/>
  <c r="H21" i="1"/>
  <c r="H14" i="1"/>
  <c r="H8" i="1"/>
  <c r="H166" i="1"/>
  <c r="H168" i="1"/>
  <c r="H18" i="1"/>
  <c r="H163" i="1"/>
  <c r="H20" i="1"/>
  <c r="H164" i="1"/>
  <c r="H17" i="1"/>
  <c r="H22" i="1"/>
  <c r="H159" i="1"/>
  <c r="H161" i="1"/>
  <c r="H7" i="1"/>
  <c r="H16" i="1"/>
  <c r="H165" i="1"/>
  <c r="H6" i="1"/>
  <c r="H5" i="1" l="1"/>
  <c r="V5" i="1" l="1"/>
  <c r="S5" i="1"/>
  <c r="R5" i="1"/>
  <c r="Q5" i="1"/>
  <c r="U5" i="1"/>
  <c r="T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<sst xmlns="http://schemas.openxmlformats.org/spreadsheetml/2006/main" count="570" uniqueCount="440">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</sst>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63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styles" Target="styles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calcChain" Target="calcChain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 refreshError="1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63" Type="http://schemas.openxmlformats.org/officeDocument/2006/relationships/hyperlink" Target="4503%20JP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20" Type="http://schemas.openxmlformats.org/officeDocument/2006/relationships/hyperlink" Target="../../AppData/Roaming/Microsoft/Excel/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39" Type="http://schemas.openxmlformats.org/officeDocument/2006/relationships/hyperlink" Target="../../AppData/Roaming/Microsoft/Excel/AL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7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J26" sqref="J26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RANDBETWEEN(1,B160)</f>
        <v>28</v>
      </c>
    </row>
    <row r="2" spans="1:29" x14ac:dyDescent="0.2">
      <c r="K2" s="9">
        <f>MIN(K4:K37)</f>
        <v>44828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47.814999999999998</v>
      </c>
      <c r="F23" s="6">
        <f>+E23*I23*EUR</f>
        <v>47787.06963279</v>
      </c>
      <c r="G23" s="6">
        <f>([16]Main!$J$5-[16]Main!$J$6)</f>
        <v>-36575</v>
      </c>
      <c r="H23" s="6">
        <f>+F23-G23</f>
        <v>84362.069632789993</v>
      </c>
      <c r="I23" s="6">
        <f>+[16]Main!$J$3</f>
        <v>982.42</v>
      </c>
      <c r="J23" s="3" t="s">
        <v>310</v>
      </c>
      <c r="K23" s="9">
        <v>44837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44845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288</v>
      </c>
      <c r="F28" s="6">
        <f>+E28*[20]Main!$M$3</f>
        <v>73728</v>
      </c>
      <c r="G28" s="6">
        <f>+[20]Main!$M$5-[20]Main!$M$6</f>
        <v>9253.4</v>
      </c>
      <c r="H28" s="6">
        <f>F28-G28</f>
        <v>64474.6</v>
      </c>
      <c r="I28" s="6">
        <f>+[20]Main!$M$3</f>
        <v>256</v>
      </c>
      <c r="J28" s="3" t="s">
        <v>16</v>
      </c>
      <c r="K28" s="9">
        <v>44845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55391.667404776817</v>
      </c>
      <c r="G29" s="6">
        <f>([21]Main!$M$5-[21]Main!$M$6)</f>
        <v>780.00599999999986</v>
      </c>
      <c r="H29" s="6">
        <f>+F29-G29</f>
        <v>54611.661404776816</v>
      </c>
      <c r="I29" s="6">
        <f>+[21]Main!$M$3</f>
        <v>1916.81864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58" si="2">B31+1</f>
        <v>24</v>
      </c>
      <c r="C32" s="5" t="s">
        <v>265</v>
      </c>
      <c r="D32" t="s">
        <v>266</v>
      </c>
      <c r="E32" s="6">
        <v>807000</v>
      </c>
      <c r="F32" s="6" cm="1">
        <f t="array" ref="F32">+E32*I32/KRW</f>
        <v>40081.938590369857</v>
      </c>
      <c r="G32" s="6">
        <f>([24]Main!$M$5-[24]Main!$M$6)/KRW*1000</f>
        <v>648.63921842288903</v>
      </c>
      <c r="H32" s="6">
        <f>+F32-G32</f>
        <v>39433.299371946967</v>
      </c>
      <c r="I32" s="6">
        <f>+[24]Main!$M$3</f>
        <v>71.174000000000007</v>
      </c>
      <c r="J32" s="3" t="s">
        <v>310</v>
      </c>
      <c r="K32" s="9">
        <v>44847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41524.161733486522</v>
      </c>
      <c r="G33" s="6">
        <f>([25]Main!$J$5-[25]Main!$J$6)/JPY</f>
        <v>4140.0320311955984</v>
      </c>
      <c r="H33" s="6">
        <f>+F33-G33</f>
        <v>37384.129702290928</v>
      </c>
      <c r="I33" s="6">
        <f>+[25]Main!$J$3</f>
        <v>1644.5904210000001</v>
      </c>
      <c r="J33" s="3" t="s">
        <v>310</v>
      </c>
      <c r="K33" s="9">
        <v>44834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3">
        <v>8.69</v>
      </c>
      <c r="F35" s="6">
        <f>E35*[27]Main!$M$3</f>
        <v>10537.3283686</v>
      </c>
      <c r="G35" s="6">
        <f>[27]Main!$M$5-[27]Main!$M$6</f>
        <v>-18665.5</v>
      </c>
      <c r="H35" s="6">
        <f>F35-G35</f>
        <v>29202.8283686</v>
      </c>
      <c r="I35" s="6">
        <f>+[27]Main!$M$3</f>
        <v>1212.5809400000001</v>
      </c>
      <c r="J35" s="3" t="s">
        <v>310</v>
      </c>
      <c r="K35" s="9">
        <v>44828</v>
      </c>
    </row>
    <row r="36" spans="1:29" x14ac:dyDescent="0.2">
      <c r="A36" s="1" t="s">
        <v>344</v>
      </c>
      <c r="B36" s="1">
        <f t="shared" si="2"/>
        <v>28</v>
      </c>
      <c r="C36" s="5" t="s">
        <v>74</v>
      </c>
      <c r="D36" s="1" t="s">
        <v>75</v>
      </c>
      <c r="E36" s="7">
        <v>150.91</v>
      </c>
      <c r="F36" s="6">
        <f>+E36*I36</f>
        <v>36623.653864910004</v>
      </c>
      <c r="G36" s="6">
        <f>+[28]Main!$K$5-[28]Main!$K$6</f>
        <v>8320.9</v>
      </c>
      <c r="H36" s="6">
        <f>+F36-G36</f>
        <v>28302.753864910002</v>
      </c>
      <c r="I36" s="6">
        <f>+[28]Main!$K$3</f>
        <v>242.68540100000001</v>
      </c>
      <c r="J36" s="3" t="s">
        <v>310</v>
      </c>
      <c r="K36" s="9">
        <v>44877</v>
      </c>
    </row>
    <row r="37" spans="1:29" x14ac:dyDescent="0.2">
      <c r="A37" s="1" t="s">
        <v>344</v>
      </c>
      <c r="B37" s="1">
        <f t="shared" si="2"/>
        <v>29</v>
      </c>
      <c r="C37" s="5" t="s">
        <v>267</v>
      </c>
      <c r="D37" s="1" t="s">
        <v>268</v>
      </c>
      <c r="E37" s="7">
        <v>48.3</v>
      </c>
      <c r="F37" s="6" cm="1">
        <f t="array" ref="F37">+E37*I37/HKD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6">
        <f>+[29]Main!$J$3</f>
        <v>4263.5283170000002</v>
      </c>
      <c r="J37" s="3" t="s">
        <v>310</v>
      </c>
      <c r="K37" s="9">
        <v>44838</v>
      </c>
      <c r="AC37" s="1">
        <v>2014</v>
      </c>
    </row>
    <row r="38" spans="1:29" x14ac:dyDescent="0.2">
      <c r="A38" s="1" t="s">
        <v>344</v>
      </c>
      <c r="B38" s="1">
        <f t="shared" si="2"/>
        <v>30</v>
      </c>
      <c r="C38" s="5" t="s">
        <v>72</v>
      </c>
      <c r="D38" s="1" t="s">
        <v>73</v>
      </c>
      <c r="E38" s="7">
        <v>133.4</v>
      </c>
      <c r="F38" s="6">
        <f>+E38*I38</f>
        <v>24603.689830399999</v>
      </c>
      <c r="G38" s="6">
        <f>+[30]Main!$K$5-[30]Main!$K$6</f>
        <v>1850.3220000000001</v>
      </c>
      <c r="H38" s="6">
        <f>+F38-G38</f>
        <v>22753.367830399999</v>
      </c>
      <c r="I38" s="6">
        <f>+[30]Main!$K$3</f>
        <v>184.43545599999999</v>
      </c>
      <c r="J38" s="3" t="s">
        <v>310</v>
      </c>
      <c r="K38" s="9">
        <v>44847</v>
      </c>
    </row>
    <row r="39" spans="1:29" x14ac:dyDescent="0.2">
      <c r="A39" s="1" t="s">
        <v>344</v>
      </c>
      <c r="B39" s="1">
        <f t="shared" si="2"/>
        <v>31</v>
      </c>
      <c r="C39" s="5" t="s">
        <v>82</v>
      </c>
      <c r="D39" s="1" t="s">
        <v>83</v>
      </c>
      <c r="E39" s="17">
        <v>1978</v>
      </c>
      <c r="F39" s="6">
        <f>+E39*I39/JPY</f>
        <v>25103.603606991153</v>
      </c>
      <c r="G39" s="6">
        <f>([31]Main!$K$5-[31]Main!$K$6)/JPY</f>
        <v>1443.3953067335142</v>
      </c>
      <c r="H39" s="6">
        <f>+F39-G39</f>
        <v>23660.20830025764</v>
      </c>
      <c r="I39" s="6">
        <f>+[31]Main!$K$3</f>
        <v>1822.6130000000001</v>
      </c>
      <c r="J39" s="3" t="s">
        <v>434</v>
      </c>
      <c r="K39" s="9">
        <v>44870</v>
      </c>
    </row>
    <row r="40" spans="1:29" x14ac:dyDescent="0.2">
      <c r="A40" s="1" t="s">
        <v>344</v>
      </c>
      <c r="B40" s="1">
        <f t="shared" si="2"/>
        <v>32</v>
      </c>
      <c r="C40" s="1" t="s">
        <v>78</v>
      </c>
      <c r="D40" s="1" t="s">
        <v>79</v>
      </c>
      <c r="E40" s="3">
        <v>39.35</v>
      </c>
      <c r="K40" s="9"/>
    </row>
    <row r="41" spans="1:29" x14ac:dyDescent="0.2">
      <c r="A41" t="s">
        <v>344</v>
      </c>
      <c r="B41" s="1">
        <f t="shared" si="2"/>
        <v>33</v>
      </c>
      <c r="C41" t="s">
        <v>273</v>
      </c>
      <c r="D41" t="s">
        <v>274</v>
      </c>
      <c r="K41" s="9"/>
    </row>
    <row r="42" spans="1:29" x14ac:dyDescent="0.2">
      <c r="A42" t="s">
        <v>344</v>
      </c>
      <c r="B42" s="1">
        <f t="shared" si="2"/>
        <v>34</v>
      </c>
      <c r="C42" t="s">
        <v>421</v>
      </c>
      <c r="D42" t="s">
        <v>422</v>
      </c>
      <c r="K42" s="9"/>
    </row>
    <row r="43" spans="1:29" x14ac:dyDescent="0.2">
      <c r="A43" t="s">
        <v>344</v>
      </c>
      <c r="B43" s="1">
        <f t="shared" si="2"/>
        <v>35</v>
      </c>
      <c r="C43" t="s">
        <v>423</v>
      </c>
      <c r="D43" t="s">
        <v>424</v>
      </c>
      <c r="K43" s="9"/>
    </row>
    <row r="44" spans="1:29" x14ac:dyDescent="0.2">
      <c r="B44" s="1">
        <f t="shared" si="2"/>
        <v>36</v>
      </c>
      <c r="C44" s="1" t="s">
        <v>68</v>
      </c>
      <c r="D44" s="1" t="s">
        <v>69</v>
      </c>
      <c r="E44" s="6">
        <v>4360</v>
      </c>
      <c r="K44" s="9"/>
    </row>
    <row r="45" spans="1:29" x14ac:dyDescent="0.2">
      <c r="B45" s="1">
        <f t="shared" si="2"/>
        <v>37</v>
      </c>
      <c r="C45" t="s">
        <v>364</v>
      </c>
      <c r="D45" t="s">
        <v>365</v>
      </c>
      <c r="E45" s="6"/>
      <c r="K45" s="9"/>
    </row>
    <row r="46" spans="1:29" x14ac:dyDescent="0.2">
      <c r="B46" s="1">
        <f t="shared" si="2"/>
        <v>38</v>
      </c>
      <c r="C46" s="5" t="s">
        <v>58</v>
      </c>
      <c r="D46" s="1" t="s">
        <v>59</v>
      </c>
      <c r="E46" s="7">
        <v>198</v>
      </c>
      <c r="F46" s="6">
        <f>+E46*I46</f>
        <v>23765.258682</v>
      </c>
      <c r="G46" s="6">
        <f>+[32]Main!$L$5-[32]Main!$L$6</f>
        <v>267.96899999999982</v>
      </c>
      <c r="H46" s="6">
        <f>F46-G46</f>
        <v>23497.289681999999</v>
      </c>
      <c r="I46" s="6">
        <f>+[32]Main!$L$3</f>
        <v>120.02655900000001</v>
      </c>
      <c r="J46" s="3" t="s">
        <v>310</v>
      </c>
      <c r="K46" s="9">
        <v>44857</v>
      </c>
    </row>
    <row r="47" spans="1:29" x14ac:dyDescent="0.2">
      <c r="B47" s="1">
        <f t="shared" si="2"/>
        <v>39</v>
      </c>
      <c r="C47" s="5" t="s">
        <v>70</v>
      </c>
      <c r="D47" s="1" t="s">
        <v>71</v>
      </c>
      <c r="E47" s="7">
        <v>89</v>
      </c>
      <c r="F47" s="6">
        <f>+E47*I47</f>
        <v>16507.174163</v>
      </c>
      <c r="G47" s="6">
        <f>+[33]Main!$L$5-[33]Main!$L$6</f>
        <v>441.20299999999997</v>
      </c>
      <c r="H47" s="6">
        <f>F47-G47</f>
        <v>16065.971163</v>
      </c>
      <c r="I47" s="6">
        <f>+[33]Main!$L$3</f>
        <v>185.47386700000001</v>
      </c>
      <c r="J47" s="3" t="s">
        <v>310</v>
      </c>
      <c r="K47" s="9">
        <v>44858</v>
      </c>
    </row>
    <row r="48" spans="1:29" x14ac:dyDescent="0.2">
      <c r="B48" s="1">
        <f t="shared" si="2"/>
        <v>40</v>
      </c>
      <c r="C48" s="5" t="s">
        <v>50</v>
      </c>
      <c r="D48" s="1" t="s">
        <v>51</v>
      </c>
      <c r="E48" s="3">
        <v>71.27</v>
      </c>
      <c r="F48" s="6">
        <f>+E48*[34]Main!$K$3</f>
        <v>15786.66213397</v>
      </c>
      <c r="G48" s="6">
        <f>+[34]Main!$K$5-[34]Main!$K$6</f>
        <v>2721</v>
      </c>
      <c r="H48" s="6">
        <f>F48-G48</f>
        <v>13065.66213397</v>
      </c>
      <c r="J48" s="3" t="s">
        <v>16</v>
      </c>
      <c r="K48" s="9"/>
    </row>
    <row r="49" spans="1:11" x14ac:dyDescent="0.2">
      <c r="B49" s="1">
        <f t="shared" si="2"/>
        <v>41</v>
      </c>
      <c r="C49" s="5" t="s">
        <v>92</v>
      </c>
      <c r="D49" s="1" t="s">
        <v>93</v>
      </c>
      <c r="E49" s="3">
        <v>109.54</v>
      </c>
      <c r="F49" s="6">
        <v>10476.331222340001</v>
      </c>
      <c r="G49" s="6">
        <v>968.3</v>
      </c>
      <c r="H49" s="6">
        <f>F49-G49</f>
        <v>9508.0312223400015</v>
      </c>
      <c r="I49" s="6">
        <v>95.639320999999995</v>
      </c>
      <c r="J49" s="3" t="s">
        <v>310</v>
      </c>
      <c r="K49" s="9">
        <v>44848</v>
      </c>
    </row>
    <row r="50" spans="1:11" x14ac:dyDescent="0.2">
      <c r="B50" s="1">
        <f t="shared" si="2"/>
        <v>42</v>
      </c>
      <c r="C50" s="5" t="s">
        <v>60</v>
      </c>
      <c r="D50" s="1" t="s">
        <v>61</v>
      </c>
      <c r="E50" s="3">
        <v>28.54</v>
      </c>
    </row>
    <row r="51" spans="1:11" x14ac:dyDescent="0.2">
      <c r="B51" s="1">
        <f t="shared" si="2"/>
        <v>43</v>
      </c>
      <c r="C51" s="1" t="s">
        <v>64</v>
      </c>
      <c r="D51" s="1" t="s">
        <v>65</v>
      </c>
      <c r="E51" s="3">
        <v>349.96</v>
      </c>
    </row>
    <row r="52" spans="1:11" x14ac:dyDescent="0.2">
      <c r="B52" s="1">
        <f t="shared" si="2"/>
        <v>44</v>
      </c>
      <c r="C52" s="5" t="s">
        <v>80</v>
      </c>
      <c r="D52" s="1" t="s">
        <v>81</v>
      </c>
      <c r="E52" s="7">
        <v>132.13999999999999</v>
      </c>
      <c r="F52" s="6">
        <f>E52*[35]Main!$L$3</f>
        <v>13539.443113239999</v>
      </c>
      <c r="G52" s="6">
        <f>[35]Main!$L$5-[35]Main!$L$6</f>
        <v>5643.241</v>
      </c>
      <c r="H52" s="6">
        <f>F52-G52</f>
        <v>7896.2021132399987</v>
      </c>
      <c r="J52" s="3" t="s">
        <v>16</v>
      </c>
    </row>
    <row r="53" spans="1:11" x14ac:dyDescent="0.2">
      <c r="B53" s="1">
        <f t="shared" si="2"/>
        <v>45</v>
      </c>
      <c r="C53" s="1" t="s">
        <v>86</v>
      </c>
      <c r="D53" s="1" t="s">
        <v>87</v>
      </c>
      <c r="E53" s="3">
        <v>11.57</v>
      </c>
    </row>
    <row r="54" spans="1:11" x14ac:dyDescent="0.2">
      <c r="A54" s="1" t="s">
        <v>344</v>
      </c>
      <c r="B54" s="1">
        <f t="shared" si="2"/>
        <v>46</v>
      </c>
      <c r="C54" t="s">
        <v>282</v>
      </c>
      <c r="D54" t="s">
        <v>283</v>
      </c>
    </row>
    <row r="55" spans="1:11" x14ac:dyDescent="0.2">
      <c r="B55" s="1">
        <f t="shared" si="2"/>
        <v>47</v>
      </c>
      <c r="C55" s="1" t="s">
        <v>104</v>
      </c>
      <c r="D55" s="1" t="s">
        <v>105</v>
      </c>
      <c r="E55" s="3">
        <v>82.53</v>
      </c>
    </row>
    <row r="56" spans="1:11" x14ac:dyDescent="0.2">
      <c r="B56" s="1">
        <f t="shared" si="2"/>
        <v>48</v>
      </c>
      <c r="C56" s="5" t="s">
        <v>90</v>
      </c>
      <c r="D56" s="1" t="s">
        <v>91</v>
      </c>
      <c r="E56" s="7">
        <v>219.38</v>
      </c>
      <c r="F56" s="6">
        <f>E56*[36]Main!$K$3</f>
        <v>10464.426000000001</v>
      </c>
      <c r="G56" s="6">
        <f>[36]Main!$K$5-[36]Main!$K$6</f>
        <v>3027</v>
      </c>
      <c r="H56" s="6">
        <f>F56-G56</f>
        <v>7437.4260000000013</v>
      </c>
      <c r="J56" s="3" t="s">
        <v>16</v>
      </c>
    </row>
    <row r="57" spans="1:11" x14ac:dyDescent="0.2">
      <c r="B57" s="1">
        <f t="shared" si="2"/>
        <v>49</v>
      </c>
      <c r="C57" s="5" t="s">
        <v>136</v>
      </c>
      <c r="D57" s="1" t="s">
        <v>137</v>
      </c>
      <c r="E57" s="7">
        <v>57</v>
      </c>
      <c r="F57" s="6">
        <f>+E57*[37]Main!$L$3</f>
        <v>6071.7436259999995</v>
      </c>
      <c r="G57" s="6">
        <f>+[37]Main!$L$5-[37]Main!$L$6</f>
        <v>776.13</v>
      </c>
      <c r="H57" s="6">
        <f>+F57-G57</f>
        <v>5295.6136259999994</v>
      </c>
      <c r="J57" s="3" t="s">
        <v>16</v>
      </c>
    </row>
    <row r="58" spans="1:11" x14ac:dyDescent="0.2">
      <c r="B58" s="1">
        <f t="shared" si="2"/>
        <v>50</v>
      </c>
      <c r="C58" s="5" t="s">
        <v>305</v>
      </c>
      <c r="D58" t="s">
        <v>306</v>
      </c>
      <c r="E58" s="6">
        <v>1721.48</v>
      </c>
      <c r="F58" s="6">
        <f>+E58*I58/100*GBP</f>
        <v>4492.3742080000002</v>
      </c>
      <c r="G58" s="6">
        <f>+[38]Main!$K$5-[38]Main!$K$6</f>
        <v>-337</v>
      </c>
      <c r="H58" s="6">
        <f>+F58-G58</f>
        <v>4829.3742080000002</v>
      </c>
      <c r="I58" s="6">
        <f>+[38]Main!$K$3</f>
        <v>233</v>
      </c>
      <c r="J58" s="3" t="s">
        <v>23</v>
      </c>
    </row>
    <row r="59" spans="1:11" x14ac:dyDescent="0.2">
      <c r="B59" s="1">
        <f t="shared" ref="B59:B90" si="3">B58+1</f>
        <v>51</v>
      </c>
      <c r="C59" s="5" t="s">
        <v>138</v>
      </c>
      <c r="D59" s="1" t="s">
        <v>139</v>
      </c>
      <c r="E59" s="3">
        <v>28.03</v>
      </c>
      <c r="F59" s="6">
        <f>+I59*E59</f>
        <v>4604.0473282500006</v>
      </c>
      <c r="G59" s="6">
        <f>+[39]Main!$L$5-[39]Main!$L$6</f>
        <v>465.44</v>
      </c>
      <c r="H59" s="6">
        <f>+F59-G59</f>
        <v>4138.607328250001</v>
      </c>
      <c r="I59" s="6">
        <f>+[39]Main!$L$3</f>
        <v>164.25427500000001</v>
      </c>
      <c r="J59" s="3" t="s">
        <v>310</v>
      </c>
      <c r="K59" s="9">
        <v>44782</v>
      </c>
    </row>
    <row r="60" spans="1:11" x14ac:dyDescent="0.2">
      <c r="B60" s="1">
        <f t="shared" si="3"/>
        <v>52</v>
      </c>
      <c r="C60" s="1" t="s">
        <v>376</v>
      </c>
      <c r="D60" t="s">
        <v>377</v>
      </c>
    </row>
    <row r="61" spans="1:11" x14ac:dyDescent="0.2">
      <c r="B61" s="1">
        <f t="shared" si="3"/>
        <v>53</v>
      </c>
      <c r="C61" s="1" t="s">
        <v>393</v>
      </c>
      <c r="D61" t="s">
        <v>394</v>
      </c>
    </row>
    <row r="62" spans="1:11" x14ac:dyDescent="0.2">
      <c r="B62" s="1">
        <f t="shared" si="3"/>
        <v>54</v>
      </c>
      <c r="C62" s="1" t="s">
        <v>393</v>
      </c>
      <c r="D62" t="s">
        <v>395</v>
      </c>
    </row>
    <row r="63" spans="1:11" x14ac:dyDescent="0.2">
      <c r="B63" s="1">
        <f t="shared" si="3"/>
        <v>55</v>
      </c>
      <c r="C63" s="1" t="s">
        <v>94</v>
      </c>
      <c r="D63" s="1" t="s">
        <v>95</v>
      </c>
      <c r="E63" s="3">
        <v>142.91</v>
      </c>
    </row>
    <row r="64" spans="1:11" x14ac:dyDescent="0.2">
      <c r="B64" s="1">
        <f t="shared" si="3"/>
        <v>56</v>
      </c>
      <c r="C64" t="s">
        <v>279</v>
      </c>
      <c r="D64" t="s">
        <v>279</v>
      </c>
    </row>
    <row r="65" spans="2:5" x14ac:dyDescent="0.2">
      <c r="B65" s="1">
        <f t="shared" si="3"/>
        <v>57</v>
      </c>
      <c r="C65" s="1" t="s">
        <v>96</v>
      </c>
      <c r="D65" s="1" t="s">
        <v>97</v>
      </c>
      <c r="E65" s="3">
        <v>7.71</v>
      </c>
    </row>
    <row r="66" spans="2:5" x14ac:dyDescent="0.2">
      <c r="B66" s="1">
        <f t="shared" si="3"/>
        <v>58</v>
      </c>
      <c r="C66" t="s">
        <v>380</v>
      </c>
      <c r="D66" t="s">
        <v>381</v>
      </c>
    </row>
    <row r="67" spans="2:5" x14ac:dyDescent="0.2">
      <c r="B67" s="1">
        <f t="shared" si="3"/>
        <v>59</v>
      </c>
      <c r="C67" t="s">
        <v>382</v>
      </c>
      <c r="D67" t="s">
        <v>383</v>
      </c>
    </row>
    <row r="68" spans="2:5" x14ac:dyDescent="0.2">
      <c r="B68" s="1">
        <f t="shared" si="3"/>
        <v>60</v>
      </c>
      <c r="C68" t="s">
        <v>384</v>
      </c>
      <c r="D68" t="s">
        <v>385</v>
      </c>
    </row>
    <row r="69" spans="2:5" x14ac:dyDescent="0.2">
      <c r="B69" s="1">
        <f t="shared" si="3"/>
        <v>61</v>
      </c>
      <c r="C69" t="s">
        <v>378</v>
      </c>
      <c r="D69" t="s">
        <v>379</v>
      </c>
    </row>
    <row r="70" spans="2:5" x14ac:dyDescent="0.2">
      <c r="B70" s="1">
        <f t="shared" si="3"/>
        <v>62</v>
      </c>
      <c r="C70" t="s">
        <v>284</v>
      </c>
      <c r="D70" t="s">
        <v>285</v>
      </c>
    </row>
    <row r="71" spans="2:5" x14ac:dyDescent="0.2">
      <c r="B71" s="1">
        <f t="shared" si="3"/>
        <v>63</v>
      </c>
      <c r="C71" t="s">
        <v>366</v>
      </c>
      <c r="D71" t="s">
        <v>367</v>
      </c>
    </row>
    <row r="72" spans="2:5" x14ac:dyDescent="0.2">
      <c r="B72" s="1">
        <f t="shared" si="3"/>
        <v>64</v>
      </c>
      <c r="C72" t="s">
        <v>370</v>
      </c>
      <c r="D72" t="s">
        <v>371</v>
      </c>
    </row>
    <row r="73" spans="2:5" x14ac:dyDescent="0.2">
      <c r="B73" s="1">
        <f t="shared" si="3"/>
        <v>65</v>
      </c>
      <c r="C73" t="s">
        <v>368</v>
      </c>
      <c r="D73" t="s">
        <v>369</v>
      </c>
    </row>
    <row r="74" spans="2:5" x14ac:dyDescent="0.2">
      <c r="B74" s="1">
        <f t="shared" si="3"/>
        <v>66</v>
      </c>
      <c r="C74" t="s">
        <v>280</v>
      </c>
      <c r="D74" t="s">
        <v>281</v>
      </c>
    </row>
    <row r="75" spans="2:5" x14ac:dyDescent="0.2">
      <c r="B75" s="1">
        <f t="shared" si="3"/>
        <v>67</v>
      </c>
      <c r="C75" t="s">
        <v>277</v>
      </c>
      <c r="D75" t="s">
        <v>278</v>
      </c>
    </row>
    <row r="76" spans="2:5" x14ac:dyDescent="0.2">
      <c r="B76" s="1">
        <f t="shared" si="3"/>
        <v>68</v>
      </c>
      <c r="C76" t="s">
        <v>374</v>
      </c>
      <c r="D76" t="s">
        <v>375</v>
      </c>
    </row>
    <row r="77" spans="2:5" x14ac:dyDescent="0.2">
      <c r="B77" s="1">
        <f t="shared" si="3"/>
        <v>69</v>
      </c>
      <c r="C77" t="s">
        <v>261</v>
      </c>
      <c r="D77" t="s">
        <v>262</v>
      </c>
    </row>
    <row r="78" spans="2:5" x14ac:dyDescent="0.2">
      <c r="B78" s="1">
        <f t="shared" si="3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3"/>
        <v>71</v>
      </c>
      <c r="C79" t="s">
        <v>389</v>
      </c>
      <c r="D79" t="s">
        <v>390</v>
      </c>
      <c r="E79" s="7">
        <v>43.5</v>
      </c>
    </row>
    <row r="80" spans="2:5" x14ac:dyDescent="0.2">
      <c r="B80" s="1">
        <f t="shared" si="3"/>
        <v>72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3"/>
        <v>73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3"/>
        <v>74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3"/>
        <v>75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3"/>
        <v>76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3"/>
        <v>77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3"/>
        <v>78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3"/>
        <v>79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3"/>
        <v>80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3"/>
        <v>81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3"/>
        <v>82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22" si="4">B90+1</f>
        <v>83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4"/>
        <v>84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4"/>
        <v>85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4"/>
        <v>86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4"/>
        <v>87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4"/>
        <v>88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4"/>
        <v>89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4"/>
        <v>90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4"/>
        <v>91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4"/>
        <v>92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si="4"/>
        <v>93</v>
      </c>
      <c r="C101" t="s">
        <v>316</v>
      </c>
      <c r="D101" t="s">
        <v>317</v>
      </c>
      <c r="E101" s="3">
        <v>4.26</v>
      </c>
      <c r="AC101" s="1">
        <v>2011</v>
      </c>
    </row>
    <row r="102" spans="2:29" x14ac:dyDescent="0.2">
      <c r="B102" s="1">
        <f t="shared" si="4"/>
        <v>94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4"/>
        <v>95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4"/>
        <v>96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4"/>
        <v>97</v>
      </c>
      <c r="C105" s="1" t="s">
        <v>154</v>
      </c>
      <c r="D105" s="1" t="s">
        <v>155</v>
      </c>
      <c r="E105" s="3">
        <v>74.459999999999994</v>
      </c>
    </row>
    <row r="106" spans="2:29" x14ac:dyDescent="0.2">
      <c r="B106" s="1">
        <f t="shared" si="4"/>
        <v>98</v>
      </c>
      <c r="C106" s="1" t="s">
        <v>156</v>
      </c>
      <c r="D106" s="1" t="s">
        <v>157</v>
      </c>
      <c r="E106" s="3">
        <v>48.63</v>
      </c>
    </row>
    <row r="107" spans="2:29" x14ac:dyDescent="0.2">
      <c r="B107" s="1">
        <f t="shared" si="4"/>
        <v>99</v>
      </c>
      <c r="C107" s="1" t="s">
        <v>158</v>
      </c>
      <c r="D107" s="1" t="s">
        <v>159</v>
      </c>
      <c r="E107" s="3">
        <v>27.73</v>
      </c>
    </row>
    <row r="108" spans="2:29" x14ac:dyDescent="0.2">
      <c r="B108" s="1">
        <f t="shared" si="4"/>
        <v>100</v>
      </c>
      <c r="C108" s="5" t="s">
        <v>160</v>
      </c>
      <c r="D108" s="1" t="s">
        <v>161</v>
      </c>
      <c r="E108" s="3">
        <v>9.18</v>
      </c>
      <c r="F108" s="6">
        <f>+E108*[40]Main!$N$3</f>
        <v>2859.4049160599998</v>
      </c>
      <c r="G108" s="6">
        <f>+[40]Main!$N$5-[40]Main!$N$6</f>
        <v>869.93499999999995</v>
      </c>
      <c r="H108" s="6">
        <f>+F108-G108</f>
        <v>1989.4699160599998</v>
      </c>
      <c r="J108" s="3" t="s">
        <v>16</v>
      </c>
    </row>
    <row r="109" spans="2:29" x14ac:dyDescent="0.2">
      <c r="B109" s="1">
        <f t="shared" si="4"/>
        <v>101</v>
      </c>
      <c r="C109" s="5" t="s">
        <v>162</v>
      </c>
      <c r="D109" s="1" t="s">
        <v>163</v>
      </c>
      <c r="E109" s="7">
        <v>46.19</v>
      </c>
      <c r="F109" s="6">
        <f>+E109*I109</f>
        <v>3249.6786968599999</v>
      </c>
      <c r="G109" s="6">
        <f>+[41]Main!$K$5-[41]Main!$K$6</f>
        <v>1178.8610000000001</v>
      </c>
      <c r="H109" s="6">
        <f>+F109-G109</f>
        <v>2070.8176968600001</v>
      </c>
      <c r="I109" s="6">
        <f>+[41]Main!$K$3</f>
        <v>70.354594000000006</v>
      </c>
      <c r="J109" s="3" t="s">
        <v>310</v>
      </c>
      <c r="K109" s="9">
        <v>44827</v>
      </c>
    </row>
    <row r="110" spans="2:29" x14ac:dyDescent="0.2">
      <c r="B110" s="1">
        <f t="shared" si="4"/>
        <v>102</v>
      </c>
      <c r="C110" s="5" t="s">
        <v>387</v>
      </c>
      <c r="D110" t="s">
        <v>388</v>
      </c>
      <c r="E110" s="3">
        <v>24.73</v>
      </c>
      <c r="F110" s="6">
        <f>+E110*I110</f>
        <v>1436.0261408599999</v>
      </c>
      <c r="G110" s="6">
        <f>+[42]Main!$J$5-[42]Main!$J$6</f>
        <v>566.44900000000007</v>
      </c>
      <c r="H110" s="6">
        <f>+F110-G110</f>
        <v>869.57714085999987</v>
      </c>
      <c r="I110" s="6">
        <f>+[42]Main!$J$3</f>
        <v>58.068182</v>
      </c>
      <c r="J110" s="3" t="s">
        <v>310</v>
      </c>
      <c r="K110" s="9">
        <v>44824</v>
      </c>
    </row>
    <row r="111" spans="2:29" x14ac:dyDescent="0.2">
      <c r="B111" s="1">
        <f t="shared" si="4"/>
        <v>103</v>
      </c>
      <c r="C111" s="5" t="s">
        <v>360</v>
      </c>
      <c r="D111" t="s">
        <v>361</v>
      </c>
      <c r="E111" s="3">
        <v>3.42</v>
      </c>
      <c r="F111" s="6">
        <f>+E111*I111</f>
        <v>2379.9056977800001</v>
      </c>
      <c r="G111" s="6">
        <f>+[43]Main!$K$5-[43]Main!$K$6</f>
        <v>1840.732</v>
      </c>
      <c r="H111" s="6">
        <f>+F111-G111</f>
        <v>539.17369778000011</v>
      </c>
      <c r="I111" s="6">
        <f>+[43]Main!$K$3</f>
        <v>695.87885900000003</v>
      </c>
      <c r="J111" s="3" t="s">
        <v>310</v>
      </c>
      <c r="K111" s="9">
        <v>44816</v>
      </c>
    </row>
    <row r="112" spans="2:29" x14ac:dyDescent="0.2">
      <c r="B112" s="1">
        <f t="shared" si="4"/>
        <v>104</v>
      </c>
      <c r="C112" s="1" t="s">
        <v>164</v>
      </c>
      <c r="D112" s="1" t="s">
        <v>165</v>
      </c>
      <c r="E112" s="7">
        <v>7.5</v>
      </c>
    </row>
    <row r="113" spans="2:5" x14ac:dyDescent="0.2">
      <c r="B113" s="1">
        <f t="shared" si="4"/>
        <v>105</v>
      </c>
      <c r="C113" s="1" t="s">
        <v>166</v>
      </c>
      <c r="D113" s="1" t="s">
        <v>167</v>
      </c>
      <c r="E113" s="3">
        <v>6.92</v>
      </c>
    </row>
    <row r="114" spans="2:5" x14ac:dyDescent="0.2">
      <c r="B114" s="1">
        <f t="shared" si="4"/>
        <v>106</v>
      </c>
      <c r="C114" s="1" t="s">
        <v>88</v>
      </c>
      <c r="D114" s="1" t="s">
        <v>89</v>
      </c>
      <c r="E114" s="3">
        <v>145.13999999999999</v>
      </c>
    </row>
    <row r="115" spans="2:5" x14ac:dyDescent="0.2">
      <c r="B115" s="1">
        <f t="shared" si="4"/>
        <v>107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108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109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110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111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112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113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114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ref="B123:B134" si="5">B122+1</f>
        <v>115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5"/>
        <v>116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5"/>
        <v>117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5"/>
        <v>118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5"/>
        <v>119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5"/>
        <v>120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5"/>
        <v>121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5"/>
        <v>122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5"/>
        <v>123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5"/>
        <v>124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5"/>
        <v>125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5"/>
        <v>126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ref="B135:B177" si="6">B134+1</f>
        <v>127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6"/>
        <v>128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si="6"/>
        <v>129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6"/>
        <v>130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6"/>
        <v>131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6"/>
        <v>132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6"/>
        <v>133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6"/>
        <v>134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6"/>
        <v>135</v>
      </c>
      <c r="C143" s="5" t="s">
        <v>296</v>
      </c>
      <c r="D143" t="s">
        <v>297</v>
      </c>
      <c r="E143" s="3">
        <v>15.65</v>
      </c>
      <c r="F143" s="6">
        <f>E143*[44]Main!$L$3</f>
        <v>1253.1559559500001</v>
      </c>
      <c r="G143" s="6">
        <f>+[44]Main!$L$5-[44]Main!$L$6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136</v>
      </c>
      <c r="C144" s="5" t="s">
        <v>307</v>
      </c>
      <c r="D144" t="s">
        <v>308</v>
      </c>
      <c r="E144" s="3">
        <v>11</v>
      </c>
      <c r="F144" s="6">
        <f>+E144*[45]Main!$L$3</f>
        <v>798.23003700000004</v>
      </c>
      <c r="G144" s="6">
        <f>+[45]Main!$L$5-[45]Main!$L$6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137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+[46]Main!$J$5-[46]Main!$J$6</f>
        <v>601.58999999999992</v>
      </c>
      <c r="H145" s="6">
        <f>+F145-G145</f>
        <v>295.5923366400001</v>
      </c>
      <c r="I145" s="6">
        <f>+[46]Main!$J$3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138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6"/>
        <v>139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6"/>
        <v>140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6"/>
        <v>141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6"/>
        <v>142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6"/>
        <v>143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6"/>
        <v>144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6"/>
        <v>145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6"/>
        <v>146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6"/>
        <v>147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+[47]Main!$N$5-[47]Main!$N$6</f>
        <v>-7.4640000000000004</v>
      </c>
      <c r="H155" s="6">
        <f>+F155-G155</f>
        <v>37.871559149999996</v>
      </c>
      <c r="I155" s="6">
        <f>+[47]Main!$N$3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6"/>
        <v>148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6"/>
        <v>149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6"/>
        <v>150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6"/>
        <v>151</v>
      </c>
      <c r="C159" s="5" t="s">
        <v>239</v>
      </c>
      <c r="D159" s="1" t="s">
        <v>240</v>
      </c>
      <c r="E159" s="3">
        <v>7.06</v>
      </c>
      <c r="F159" s="6">
        <f>E159*[48]Main!$J$3</f>
        <v>725.62786605999997</v>
      </c>
      <c r="G159" s="6">
        <f>[48]Main!$J$5-[48]Main!$J$6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6"/>
        <v>152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+[49]Main!$K$5-[49]Main!$K$6</f>
        <v>-37.984000000000002</v>
      </c>
      <c r="H160" s="8">
        <f t="shared" ref="H160" si="7">+F160-G160</f>
        <v>524.41625439999996</v>
      </c>
      <c r="I160" s="6">
        <f>+[49]Main!$K$3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6"/>
        <v>153</v>
      </c>
      <c r="C161" s="5" t="s">
        <v>241</v>
      </c>
      <c r="D161" s="1" t="s">
        <v>242</v>
      </c>
      <c r="E161" s="3">
        <v>14.68</v>
      </c>
      <c r="F161" s="6">
        <f>E161*[50]Main!$L$3</f>
        <v>587.26396075999992</v>
      </c>
      <c r="G161" s="6">
        <f>[50]Main!$L$5-[50]Main!$L$6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6"/>
        <v>154</v>
      </c>
      <c r="C162" s="5" t="s">
        <v>243</v>
      </c>
      <c r="D162" s="1" t="s">
        <v>244</v>
      </c>
      <c r="E162" s="3">
        <v>4.8600000000000003</v>
      </c>
      <c r="F162" s="6">
        <f>E162*[51]Main!$J$3</f>
        <v>312.71415336000001</v>
      </c>
      <c r="G162" s="8">
        <f>+[51]Main!$J$5-[51]Main!$J$6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6"/>
        <v>155</v>
      </c>
      <c r="C163" s="5" t="s">
        <v>245</v>
      </c>
      <c r="D163" s="1" t="s">
        <v>246</v>
      </c>
      <c r="E163" s="3">
        <v>7.57</v>
      </c>
      <c r="F163" s="6">
        <f>E163*[52]Main!$M$3</f>
        <v>338.45983246000003</v>
      </c>
      <c r="G163" s="6">
        <f>[52]Main!$M$5-[52]Main!$M$6</f>
        <v>120.43700000000001</v>
      </c>
      <c r="H163" s="8">
        <f t="shared" ref="H163:H168" si="8">+F163-G163</f>
        <v>218.02283246000002</v>
      </c>
      <c r="J163" s="3" t="s">
        <v>16</v>
      </c>
    </row>
    <row r="164" spans="2:10" x14ac:dyDescent="0.2">
      <c r="B164" s="1">
        <f t="shared" si="6"/>
        <v>156</v>
      </c>
      <c r="C164" s="5" t="s">
        <v>247</v>
      </c>
      <c r="D164" s="1" t="s">
        <v>248</v>
      </c>
      <c r="E164" s="7">
        <v>0.7</v>
      </c>
      <c r="F164" s="6">
        <f>E164*[53]Main!$M$3</f>
        <v>128.9392503</v>
      </c>
      <c r="G164" s="6">
        <f>[53]Main!$M$5-[53]Main!$M$6</f>
        <v>-59.50200000000001</v>
      </c>
      <c r="H164" s="8">
        <f t="shared" si="8"/>
        <v>188.44125030000001</v>
      </c>
      <c r="J164" s="3" t="s">
        <v>16</v>
      </c>
    </row>
    <row r="165" spans="2:10" x14ac:dyDescent="0.2">
      <c r="B165" s="1">
        <f t="shared" si="6"/>
        <v>157</v>
      </c>
      <c r="C165" s="5" t="s">
        <v>249</v>
      </c>
      <c r="D165" s="1" t="s">
        <v>250</v>
      </c>
      <c r="E165" s="3">
        <v>1.98</v>
      </c>
      <c r="F165" s="6">
        <f>E165*[54]Main!$N$3</f>
        <v>39.757463459999997</v>
      </c>
      <c r="G165" s="6">
        <f>[54]Main!$N$5-[54]Main!$N$6</f>
        <v>15.942</v>
      </c>
      <c r="H165" s="8">
        <f t="shared" si="8"/>
        <v>23.815463459999997</v>
      </c>
      <c r="J165" s="3" t="s">
        <v>16</v>
      </c>
    </row>
    <row r="166" spans="2:10" x14ac:dyDescent="0.2">
      <c r="B166" s="1">
        <f t="shared" si="6"/>
        <v>158</v>
      </c>
      <c r="C166" s="5" t="s">
        <v>251</v>
      </c>
      <c r="D166" s="1" t="s">
        <v>252</v>
      </c>
      <c r="E166" s="3">
        <v>0.62</v>
      </c>
      <c r="F166" s="6">
        <f>E166*[55]Main!$L$3</f>
        <v>30.1881658</v>
      </c>
      <c r="G166" s="6">
        <f>[55]Main!$L$5-[55]Main!$L$6</f>
        <v>13.262999999999998</v>
      </c>
      <c r="H166" s="8">
        <f t="shared" si="8"/>
        <v>16.925165800000002</v>
      </c>
      <c r="J166" s="3" t="s">
        <v>16</v>
      </c>
    </row>
    <row r="167" spans="2:10" x14ac:dyDescent="0.2">
      <c r="B167" s="1">
        <f t="shared" si="6"/>
        <v>159</v>
      </c>
      <c r="C167" s="5" t="s">
        <v>253</v>
      </c>
      <c r="D167" s="1" t="s">
        <v>254</v>
      </c>
      <c r="E167" s="3">
        <v>6.12</v>
      </c>
      <c r="F167" s="6">
        <f>E167*[56]Main!$M$3</f>
        <v>125.46108324000001</v>
      </c>
      <c r="G167" s="6">
        <f>[56]Main!$M$5-[56]Main!$M$6</f>
        <v>131.17699999999999</v>
      </c>
      <c r="H167" s="8">
        <f t="shared" si="8"/>
        <v>-5.7159167599999847</v>
      </c>
      <c r="J167" s="3" t="s">
        <v>16</v>
      </c>
    </row>
    <row r="168" spans="2:10" x14ac:dyDescent="0.2">
      <c r="B168" s="1">
        <f t="shared" si="6"/>
        <v>160</v>
      </c>
      <c r="C168" s="5" t="s">
        <v>255</v>
      </c>
      <c r="D168" s="1" t="s">
        <v>256</v>
      </c>
      <c r="E168" s="3">
        <v>0.98</v>
      </c>
      <c r="F168" s="6">
        <f>E168*[57]Main!$M$3</f>
        <v>20.935517539999999</v>
      </c>
      <c r="G168" s="6">
        <f>[57]Main!$M$5-[57]Main!$M$6</f>
        <v>55.28</v>
      </c>
      <c r="H168" s="8">
        <f t="shared" si="8"/>
        <v>-34.344482460000002</v>
      </c>
      <c r="J168" s="3" t="s">
        <v>16</v>
      </c>
    </row>
    <row r="169" spans="2:10" x14ac:dyDescent="0.2">
      <c r="B169" s="1">
        <f t="shared" si="6"/>
        <v>161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6"/>
        <v>162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6"/>
        <v>163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6"/>
        <v>164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6"/>
        <v>165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6"/>
        <v>166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6"/>
        <v>167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6"/>
        <v>168</v>
      </c>
      <c r="C176" s="1" t="s">
        <v>408</v>
      </c>
      <c r="D176" s="1" t="s">
        <v>409</v>
      </c>
    </row>
    <row r="177" spans="2:5" x14ac:dyDescent="0.2">
      <c r="B177" s="1">
        <f t="shared" si="6"/>
        <v>169</v>
      </c>
      <c r="C177" t="s">
        <v>438</v>
      </c>
      <c r="D177" t="s">
        <v>439</v>
      </c>
      <c r="E177" s="3">
        <v>20.32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8" r:id="rId18" xr:uid="{6EF35D30-7113-4CE8-9077-C5BE97F74D36}"/>
    <hyperlink ref="C27" r:id="rId19" xr:uid="{1F769FA7-6B90-4B6B-9BCC-7D6679675B06}"/>
    <hyperlink ref="C50" r:id="rId20" xr:uid="{10922C8B-4C13-4E76-B998-3ADD8CC60E47}"/>
    <hyperlink ref="C25" r:id="rId21" xr:uid="{61277D68-67DC-475B-9B61-B7E2F3017110}"/>
    <hyperlink ref="C162" r:id="rId22" xr:uid="{14A63DAF-63A6-4B91-A2AF-AE28EA251457}"/>
    <hyperlink ref="C165" r:id="rId23" xr:uid="{4ACA7C7F-E42A-4687-A776-AB8065DB40FF}"/>
    <hyperlink ref="C161" r:id="rId24" xr:uid="{B3421391-7EC0-4253-8F62-5ED45A5BFA02}"/>
    <hyperlink ref="C166" r:id="rId25" xr:uid="{F6A45FC7-B73C-4143-9CAB-B3ADA19B5FD7}"/>
    <hyperlink ref="C163" r:id="rId26" xr:uid="{BBD267CB-7407-4913-9D05-6A6AA380019F}"/>
    <hyperlink ref="C168" r:id="rId27" xr:uid="{85368858-6D0F-4ABE-975C-AE5530342445}"/>
    <hyperlink ref="C159" r:id="rId28" xr:uid="{8B5BC1F5-14D4-45A0-B224-31FAF227EAF3}"/>
    <hyperlink ref="C167" r:id="rId29" xr:uid="{D5FB3BFE-F0A8-4C09-90A1-9F506EF0ADE4}"/>
    <hyperlink ref="C164" r:id="rId30" xr:uid="{11598046-2AED-42E7-ACA5-251A20A59427}"/>
    <hyperlink ref="C56" r:id="rId31" xr:uid="{A1C90F9B-FBBF-4C72-9A11-3798F692A0D2}"/>
    <hyperlink ref="C57" r:id="rId32" xr:uid="{F7B6503D-1F84-47C4-B87E-BDA7159D1B9F}"/>
    <hyperlink ref="C52" r:id="rId33" xr:uid="{D0EE43E7-C3F5-4256-99AE-DDCA9EC11DCF}"/>
    <hyperlink ref="C35" r:id="rId34" xr:uid="{1C25970A-A568-4869-A34A-5C6C7551D812}"/>
    <hyperlink ref="C143" r:id="rId35" xr:uid="{C3A06396-38CD-486E-9F4F-233A79292B4F}"/>
    <hyperlink ref="C108" r:id="rId36" xr:uid="{B83625D8-44D2-4842-9139-F29C8D5F2D8E}"/>
    <hyperlink ref="C144" r:id="rId37" xr:uid="{5FF32E6A-C6C7-4793-8271-BD230B9C7641}"/>
    <hyperlink ref="C58" r:id="rId38" xr:uid="{E5739E03-9FE4-4D05-90C8-36ABF7D078CB}"/>
    <hyperlink ref="C59" r:id="rId39" xr:uid="{25285F59-771C-40DB-8B78-E1E454C61406}"/>
    <hyperlink ref="C155" r:id="rId40" xr:uid="{C000061C-001D-4088-90A4-B672D181D3C5}"/>
    <hyperlink ref="C26" r:id="rId41" xr:uid="{98C5B53F-658C-427A-AF31-B4D604AF2D15}"/>
    <hyperlink ref="C30" r:id="rId42" xr:uid="{6A1F812B-EA91-4B3C-B4DC-88F792A7D0DE}"/>
    <hyperlink ref="C36" r:id="rId43" xr:uid="{6930A656-C59A-465F-8634-B30B4FEF47BC}"/>
    <hyperlink ref="C111" r:id="rId44" xr:uid="{559FAD8A-D620-4B93-BE14-CC22630BD57E}"/>
    <hyperlink ref="C11" r:id="rId45" xr:uid="{467EEBCD-6BD7-4E71-B2C9-FCF3DB57F059}"/>
    <hyperlink ref="C160" r:id="rId46" xr:uid="{6A576FDB-A573-4A00-8381-4BECF13B35A1}"/>
    <hyperlink ref="C21" r:id="rId47" xr:uid="{994E2867-C411-41E7-8332-43A0B3B0CC2B}"/>
    <hyperlink ref="C110" r:id="rId48" xr:uid="{51C9506E-5D60-43F8-BADA-7F72A25DAFF6}"/>
    <hyperlink ref="C109" r:id="rId49" xr:uid="{9E4325F2-98CF-4735-96D0-66A9DC5A8E86}"/>
    <hyperlink ref="C145" r:id="rId50" xr:uid="{6D062383-838D-42C7-BFCD-E5C9DC258548}"/>
    <hyperlink ref="C33" r:id="rId51" xr:uid="{3F36D809-73FC-441C-88D2-EEB42A40734A}"/>
    <hyperlink ref="C23" r:id="rId52" xr:uid="{5D73AAA9-EBCA-4613-83CF-E75D37F58B6D}"/>
    <hyperlink ref="C37" r:id="rId53" xr:uid="{C216ACFE-A1E7-4490-95CC-33302FDEACB6}"/>
    <hyperlink ref="C32" r:id="rId54" xr:uid="{203E18C7-425E-49E1-9AA5-204AFBE41E2D}"/>
    <hyperlink ref="C29" r:id="rId55" xr:uid="{5670E9A9-D014-4D7B-962A-54CBDC766969}"/>
    <hyperlink ref="C49" r:id="rId56" xr:uid="{04E7711A-AB14-45D0-B73B-7EA804EC5564}"/>
    <hyperlink ref="C38" r:id="rId57" xr:uid="{547F117B-55D8-401A-AD75-411778B2F717}"/>
    <hyperlink ref="C34" r:id="rId58" xr:uid="{76CA7CFE-7B9B-4C27-8561-3A158A30ED77}"/>
    <hyperlink ref="C13" r:id="rId59" xr:uid="{B0ABAFBD-FFC1-42E3-AFB4-259F4DD19FEC}"/>
    <hyperlink ref="C47" r:id="rId60" xr:uid="{F5D5A68A-4783-46B8-B717-79A0E802B6C4}"/>
    <hyperlink ref="C46" r:id="rId61" xr:uid="{DD930D2F-20A9-46C3-8AA4-5E62A88271DB}"/>
    <hyperlink ref="C31" r:id="rId62" xr:uid="{E248BEED-DD02-463E-BFAC-D02D5521E787}"/>
    <hyperlink ref="C39" r:id="rId63" xr:uid="{01444C35-CEE7-41B7-B694-AE47417B7019}"/>
    <hyperlink ref="C15" r:id="rId64" xr:uid="{57B03CDA-0325-4BAB-BDE9-EF73BAB7F2FB}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Main!B38+1</f>
        <v>31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Main!B39+1</f>
        <v>32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Main!B41+1</f>
        <v>34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35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36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Main!B43+1</f>
        <v>36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37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Main!B72+1</f>
        <v>65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2" sqref="B22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2022-11-17T18:58:27Z</dcterms:modified>
</cp:coreProperties>
</file>