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55A4EE9-A241-488C-851E-6BC6DB8F84BB}" xr6:coauthVersionLast="47" xr6:coauthVersionMax="47" xr10:uidLastSave="{00000000-0000-0000-0000-000000000000}"/>
  <bookViews>
    <workbookView xWindow="19290" yWindow="1620" windowWidth="28200" windowHeight="1827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1" i="1" l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G145" i="1"/>
  <c r="I145" i="1"/>
  <c r="F145" i="1" s="1"/>
  <c r="F87" i="1" a="1"/>
  <c r="F87" i="1" s="1"/>
  <c r="H145" i="1" l="1"/>
  <c r="I46" i="1"/>
  <c r="G46" i="1"/>
  <c r="G49" i="1" l="1"/>
  <c r="I49" i="1"/>
  <c r="F49" i="1" s="1"/>
  <c r="H49" i="1" l="1"/>
  <c r="I6" i="1"/>
  <c r="F6" i="1" s="1"/>
  <c r="G6" i="1"/>
  <c r="H6" i="1" l="1"/>
  <c r="I45" i="1" l="1"/>
  <c r="F45" i="1" s="1"/>
  <c r="G52" i="1"/>
  <c r="I52" i="1"/>
  <c r="F52" i="1" s="1"/>
  <c r="G53" i="1"/>
  <c r="I53" i="1"/>
  <c r="F53" i="1" s="1"/>
  <c r="G40" i="1"/>
  <c r="H40" i="1" s="1"/>
  <c r="I40" i="1"/>
  <c r="I39" i="1"/>
  <c r="F39" i="1" s="1" a="1"/>
  <c r="F39" i="1" s="1"/>
  <c r="H39" i="1" s="1"/>
  <c r="F142" i="1"/>
  <c r="H52" i="1" l="1"/>
  <c r="H53" i="1"/>
  <c r="G61" i="1"/>
  <c r="I61" i="1"/>
  <c r="F61" i="1" s="1"/>
  <c r="P41" i="1"/>
  <c r="O41" i="1"/>
  <c r="N41" i="1"/>
  <c r="L41" i="1"/>
  <c r="M41" i="1" s="1"/>
  <c r="H61" i="1" l="1"/>
  <c r="I50" i="1"/>
  <c r="F50" i="1" s="1"/>
  <c r="P47" i="1" l="1"/>
  <c r="O47" i="1"/>
  <c r="N47" i="1"/>
  <c r="L47" i="1"/>
  <c r="M47" i="1" s="1"/>
  <c r="G47" i="1"/>
  <c r="I47" i="1"/>
  <c r="F47" i="1" s="1"/>
  <c r="H47" i="1" l="1"/>
  <c r="G44" i="1" l="1"/>
  <c r="I44" i="1"/>
  <c r="F44" i="1" s="1"/>
  <c r="I48" i="1"/>
  <c r="F48" i="1" s="1"/>
  <c r="G48" i="1"/>
  <c r="H44" i="1" l="1"/>
  <c r="G36" i="1"/>
  <c r="I36" i="1"/>
  <c r="F36" i="1" s="1"/>
  <c r="H36" i="1" l="1"/>
  <c r="G15" i="1" l="1"/>
  <c r="I15" i="1"/>
  <c r="F15" i="1" s="1"/>
  <c r="H15" i="1" l="1"/>
  <c r="G42" i="1"/>
  <c r="I42" i="1"/>
  <c r="F42" i="1" s="1"/>
  <c r="H42" i="1" l="1"/>
  <c r="G31" i="1"/>
  <c r="I31" i="1"/>
  <c r="F31" i="1" s="1"/>
  <c r="H31" i="1" l="1"/>
  <c r="B5" i="1"/>
  <c r="B6" i="1" s="1"/>
  <c r="B7" i="1" s="1"/>
  <c r="B8" i="1" s="1"/>
  <c r="B9" i="1" s="1"/>
  <c r="B10" i="1" s="1"/>
  <c r="B11" i="1" s="1"/>
  <c r="G9" i="1"/>
  <c r="I9" i="1"/>
  <c r="F9" i="1" s="1"/>
  <c r="H9" i="1" l="1"/>
  <c r="F46" i="1"/>
  <c r="H46" i="1" s="1"/>
  <c r="H51" i="1" l="1"/>
  <c r="I43" i="1"/>
  <c r="F43" i="1" s="1"/>
  <c r="G43" i="1"/>
  <c r="G29" i="1"/>
  <c r="I29" i="1"/>
  <c r="F29" i="1" s="1"/>
  <c r="G13" i="1"/>
  <c r="I13" i="1"/>
  <c r="F13" i="1" s="1"/>
  <c r="G12" i="1"/>
  <c r="I12" i="1"/>
  <c r="F12" i="1" s="1"/>
  <c r="H43" i="1" l="1"/>
  <c r="H13" i="1"/>
  <c r="H12" i="1"/>
  <c r="G33" i="1"/>
  <c r="I33" i="1"/>
  <c r="F33" i="1" s="1"/>
  <c r="H33" i="1" l="1"/>
  <c r="G41" i="1"/>
  <c r="I41" i="1"/>
  <c r="F41" i="1" s="1"/>
  <c r="H41" i="1" l="1"/>
  <c r="H29" i="1"/>
  <c r="G32" i="1"/>
  <c r="I32" i="1"/>
  <c r="F32" i="1" s="1" a="1"/>
  <c r="F32" i="1" s="1"/>
  <c r="G38" i="1"/>
  <c r="I38" i="1"/>
  <c r="F38" i="1" s="1" a="1"/>
  <c r="F38" i="1" s="1"/>
  <c r="G23" i="1"/>
  <c r="I23" i="1"/>
  <c r="F23" i="1" s="1"/>
  <c r="H38" i="1" l="1"/>
  <c r="H32" i="1"/>
  <c r="H23" i="1"/>
  <c r="G34" i="1"/>
  <c r="I34" i="1"/>
  <c r="F34" i="1" s="1"/>
  <c r="H34" i="1" l="1"/>
  <c r="G35" i="1"/>
  <c r="I35" i="1" l="1"/>
  <c r="G147" i="1" l="1"/>
  <c r="I147" i="1"/>
  <c r="F147" i="1" s="1"/>
  <c r="I111" i="1"/>
  <c r="F111" i="1" s="1"/>
  <c r="G111" i="1"/>
  <c r="G112" i="1"/>
  <c r="I112" i="1"/>
  <c r="F112" i="1" s="1"/>
  <c r="H147" i="1" l="1"/>
  <c r="H112" i="1"/>
  <c r="H111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58" i="1" l="1"/>
  <c r="I158" i="1"/>
  <c r="F158" i="1" s="1"/>
  <c r="G113" i="1"/>
  <c r="I113" i="1"/>
  <c r="F113" i="1" s="1"/>
  <c r="B12" i="1" l="1"/>
  <c r="H113" i="1"/>
  <c r="H158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G22" i="1"/>
  <c r="F22" i="1"/>
  <c r="B45" i="1" l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I18" i="1"/>
  <c r="I17" i="1" l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3" i="1"/>
  <c r="I153" i="1"/>
  <c r="F153" i="1" s="1"/>
  <c r="G60" i="1"/>
  <c r="I60" i="1"/>
  <c r="F60" i="1" s="1"/>
  <c r="H60" i="1" l="1"/>
  <c r="H153" i="1"/>
  <c r="I19" i="1"/>
  <c r="F19" i="1" s="1"/>
  <c r="G7" i="1" l="1"/>
  <c r="I7" i="1"/>
  <c r="F7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8" i="1" l="1"/>
  <c r="I8" i="1" l="1"/>
  <c r="F8" i="1" s="1"/>
  <c r="I4" i="1" l="1"/>
  <c r="G59" i="1" l="1"/>
  <c r="I59" i="1"/>
  <c r="F59" i="1" s="1"/>
  <c r="H59" i="1" l="1"/>
  <c r="G146" i="1"/>
  <c r="F146" i="1"/>
  <c r="H146" i="1" l="1"/>
  <c r="H48" i="1" l="1"/>
  <c r="G110" i="1"/>
  <c r="F110" i="1"/>
  <c r="G144" i="1"/>
  <c r="F144" i="1"/>
  <c r="F28" i="1"/>
  <c r="G28" i="1"/>
  <c r="H110" i="1" l="1"/>
  <c r="H144" i="1"/>
  <c r="H28" i="1"/>
  <c r="G45" i="1"/>
  <c r="H45" i="1" s="1"/>
  <c r="G160" i="1"/>
  <c r="F160" i="1"/>
  <c r="H35" i="1" l="1"/>
  <c r="H160" i="1"/>
  <c r="F58" i="1"/>
  <c r="G58" i="1"/>
  <c r="G19" i="1"/>
  <c r="H58" i="1" l="1"/>
  <c r="H19" i="1"/>
  <c r="F4" i="1"/>
  <c r="G50" i="1" l="1"/>
  <c r="H50" i="1" l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59" i="1"/>
  <c r="F159" i="1"/>
  <c r="G157" i="1"/>
  <c r="F157" i="1"/>
  <c r="G24" i="1"/>
  <c r="G18" i="1"/>
  <c r="F18" i="1"/>
  <c r="G17" i="1"/>
  <c r="H10" i="1"/>
  <c r="G4" i="1"/>
  <c r="H4" i="1" s="1"/>
  <c r="H24" i="1" l="1"/>
  <c r="H165" i="1"/>
  <c r="H21" i="1"/>
  <c r="H14" i="1"/>
  <c r="H7" i="1"/>
  <c r="H164" i="1"/>
  <c r="H166" i="1"/>
  <c r="H18" i="1"/>
  <c r="H161" i="1"/>
  <c r="H20" i="1"/>
  <c r="H162" i="1"/>
  <c r="H17" i="1"/>
  <c r="H22" i="1"/>
  <c r="H157" i="1"/>
  <c r="H159" i="1"/>
  <c r="H8" i="1"/>
  <c r="H16" i="1"/>
  <c r="H163" i="1"/>
  <c r="H5" i="1" l="1"/>
  <c r="V5" i="1" l="1"/>
  <c r="S5" i="1"/>
  <c r="R5" i="1"/>
  <c r="Q5" i="1"/>
  <c r="U5" i="1"/>
  <c r="T5" i="1"/>
  <c r="B3" i="5"/>
  <c r="B4" i="5" s="1"/>
  <c r="B5" i="5" s="1"/>
  <c r="B73" i="1"/>
  <c r="B6" i="5"/>
  <c r="B7" i="5" s="1"/>
  <c r="B1" i="5" l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" i="5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2" i="5"/>
  <c r="B166" i="1" l="1"/>
  <c r="B167" i="1" s="1"/>
  <c r="B168" i="1" s="1"/>
  <c r="B169" i="1" s="1"/>
  <c r="B170" i="1" s="1"/>
  <c r="B171" i="1" s="1"/>
  <c r="B172" i="1" s="1"/>
  <c r="B173" i="1" s="1"/>
  <c r="B1" i="1"/>
  <c r="B174" i="1" l="1"/>
  <c r="B175" i="1" s="1"/>
  <c r="B176" i="1"/>
  <c r="B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<sst xmlns="http://schemas.openxmlformats.org/spreadsheetml/2006/main" count="598" uniqueCount="455">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</sst>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calcChain" Target="calcChain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sheetMetadata" Target="metadata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hyperlink" Target="ZNTL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7"/>
  <sheetViews>
    <sheetView tabSelected="1" zoomScale="175" zoomScaleNormal="175" workbookViewId="0">
      <pane xSplit="3" ySplit="3" topLeftCell="D88" activePane="bottomRight" state="frozen"/>
      <selection pane="topRight" activeCell="C1" sqref="C1"/>
      <selection pane="bottomLeft" activeCell="A4" sqref="A4"/>
      <selection pane="bottomRight" activeCell="F105" sqref="F105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RANDBETWEEN(1,B158)</f>
        <v>12</v>
      </c>
    </row>
    <row r="2" spans="1:29" x14ac:dyDescent="0.2">
      <c r="K2" s="9">
        <f>MIN(K4:K53)</f>
        <v>44866</v>
      </c>
      <c r="Q2" s="24" t="s">
        <v>320</v>
      </c>
      <c r="R2" s="24"/>
      <c r="S2" s="24"/>
      <c r="T2" s="24"/>
      <c r="U2" s="24"/>
      <c r="V2" s="24"/>
      <c r="W2" s="24" t="s">
        <v>319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308</v>
      </c>
      <c r="J3" s="3" t="s">
        <v>13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433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 t="shared" ref="B5:B10" si="1"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309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($H$5/$I$5)/W5</f>
        <v>41.351777692833693</v>
      </c>
      <c r="R5" s="12">
        <f t="shared" si="2"/>
        <v>36.937245211146916</v>
      </c>
      <c r="S5" s="12">
        <f t="shared" si="2"/>
        <v>23.533202100384401</v>
      </c>
      <c r="T5" s="12">
        <f t="shared" si="2"/>
        <v>21.953441750739355</v>
      </c>
      <c r="U5" s="12">
        <f t="shared" si="2"/>
        <v>20.380512710425442</v>
      </c>
      <c r="V5" s="12">
        <f t="shared" si="2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343</v>
      </c>
      <c r="B6" s="1">
        <f t="shared" si="1"/>
        <v>3</v>
      </c>
      <c r="C6" s="5" t="s">
        <v>17</v>
      </c>
      <c r="D6" s="1" t="s">
        <v>18</v>
      </c>
      <c r="E6" s="7">
        <v>147.61000000000001</v>
      </c>
      <c r="F6" s="6">
        <f>+E6*I6</f>
        <v>261045.40778588003</v>
      </c>
      <c r="G6" s="6">
        <f>+[3]Main!$K$5-[3]Main!$K$6</f>
        <v>-57492</v>
      </c>
      <c r="H6" s="6">
        <f>F6-G6</f>
        <v>318537.40778588003</v>
      </c>
      <c r="I6" s="6">
        <f>+[3]Main!$K$3</f>
        <v>1768.4805080000001</v>
      </c>
      <c r="J6" s="3" t="s">
        <v>433</v>
      </c>
      <c r="K6" s="9">
        <v>44929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 t="shared" si="1"/>
        <v>4</v>
      </c>
      <c r="C7" s="5" t="s">
        <v>28</v>
      </c>
      <c r="D7" s="1" t="s">
        <v>29</v>
      </c>
      <c r="E7" s="7">
        <v>110.2</v>
      </c>
      <c r="F7" s="6">
        <f>+E7*I7</f>
        <v>280128.40000000002</v>
      </c>
      <c r="G7" s="6">
        <f>+[4]Main!$J$5-[4]Main!$J$6</f>
        <v>-21297</v>
      </c>
      <c r="H7" s="6">
        <f>F7-G7</f>
        <v>301425.40000000002</v>
      </c>
      <c r="I7" s="6">
        <f>+[4]Main!$J$3</f>
        <v>2542</v>
      </c>
      <c r="J7" s="3" t="s">
        <v>433</v>
      </c>
      <c r="K7" s="9">
        <v>44937</v>
      </c>
    </row>
    <row r="8" spans="1:29" x14ac:dyDescent="0.2">
      <c r="A8" s="1" t="s">
        <v>343</v>
      </c>
      <c r="B8" s="1">
        <f t="shared" si="1"/>
        <v>5</v>
      </c>
      <c r="C8" s="5" t="s">
        <v>21</v>
      </c>
      <c r="D8" s="1" t="s">
        <v>22</v>
      </c>
      <c r="E8" s="21">
        <v>331.7</v>
      </c>
      <c r="F8" s="6">
        <f>+I8*E8</f>
        <v>265493.67509999999</v>
      </c>
      <c r="G8" s="6">
        <f>+[5]Main!$J$5-[5]Main!$J$6</f>
        <v>-18167</v>
      </c>
      <c r="H8" s="6">
        <f t="shared" si="0"/>
        <v>283660.67509999999</v>
      </c>
      <c r="I8" s="6">
        <f>+[5]Main!$J$3</f>
        <v>800.40300000000002</v>
      </c>
      <c r="J8" s="3" t="s">
        <v>23</v>
      </c>
      <c r="K8" s="9">
        <v>44866</v>
      </c>
      <c r="L8" s="9"/>
      <c r="M8" s="9"/>
      <c r="N8" s="9"/>
      <c r="O8" s="9"/>
      <c r="P8" s="9"/>
      <c r="AC8" s="1">
        <v>1896</v>
      </c>
    </row>
    <row r="9" spans="1:29" x14ac:dyDescent="0.2">
      <c r="A9" s="1" t="s">
        <v>343</v>
      </c>
      <c r="B9" s="1">
        <f t="shared" si="1"/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309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343</v>
      </c>
      <c r="B10" s="1">
        <f t="shared" si="1"/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433</v>
      </c>
      <c r="K10" s="9">
        <v>44869</v>
      </c>
    </row>
    <row r="11" spans="1:29" x14ac:dyDescent="0.2">
      <c r="A11" t="s">
        <v>343</v>
      </c>
      <c r="B11" s="1">
        <f>+B10</f>
        <v>7</v>
      </c>
      <c r="C11" s="5" t="s">
        <v>26</v>
      </c>
      <c r="D11" t="s">
        <v>326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433</v>
      </c>
      <c r="K11" s="9">
        <v>44869</v>
      </c>
    </row>
    <row r="12" spans="1:29" x14ac:dyDescent="0.2">
      <c r="A12" s="1" t="s">
        <v>343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309</v>
      </c>
      <c r="K12" s="9">
        <v>44929</v>
      </c>
    </row>
    <row r="13" spans="1:29" x14ac:dyDescent="0.2">
      <c r="A13" s="1" t="s">
        <v>343</v>
      </c>
      <c r="B13" s="1">
        <f>+B12</f>
        <v>8</v>
      </c>
      <c r="C13" s="5" t="s">
        <v>38</v>
      </c>
      <c r="D13" s="1" t="s">
        <v>431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309</v>
      </c>
      <c r="K13" s="9">
        <v>44929</v>
      </c>
    </row>
    <row r="14" spans="1:29" x14ac:dyDescent="0.2">
      <c r="A14" t="s">
        <v>343</v>
      </c>
      <c r="B14" s="1">
        <f>+B13+1</f>
        <v>9</v>
      </c>
      <c r="C14" s="5" t="s">
        <v>30</v>
      </c>
      <c r="D14" s="1" t="s">
        <v>31</v>
      </c>
      <c r="E14" s="3">
        <v>90.72</v>
      </c>
      <c r="F14" s="6">
        <f>+E14*I14</f>
        <v>198022.58070336</v>
      </c>
      <c r="G14" s="6">
        <f>+[9]Main!$K$5-[9]Main!$K$6</f>
        <v>-9519</v>
      </c>
      <c r="H14" s="6">
        <f t="shared" si="0"/>
        <v>207541.58070336</v>
      </c>
      <c r="I14" s="6">
        <f>+[9]Main!$K$3</f>
        <v>2182.7885879999999</v>
      </c>
      <c r="J14" s="3" t="s">
        <v>309</v>
      </c>
      <c r="K14" s="9">
        <v>44870</v>
      </c>
    </row>
    <row r="15" spans="1:29" x14ac:dyDescent="0.2">
      <c r="A15" t="s">
        <v>343</v>
      </c>
      <c r="B15" s="1">
        <f>+B14</f>
        <v>9</v>
      </c>
      <c r="C15" s="5" t="s">
        <v>30</v>
      </c>
      <c r="D15" t="s">
        <v>436</v>
      </c>
      <c r="E15" s="21">
        <v>83.59</v>
      </c>
      <c r="F15" s="6">
        <f>+E15*I15/CHF</f>
        <v>198325.32399013042</v>
      </c>
      <c r="G15" s="6">
        <f>+[9]Main!$K$5-[9]Main!$K$6</f>
        <v>-9519</v>
      </c>
      <c r="H15" s="6">
        <f t="shared" si="0"/>
        <v>207844.32399013042</v>
      </c>
      <c r="I15" s="6">
        <f>+[9]Main!$K$3</f>
        <v>2182.7885879999999</v>
      </c>
      <c r="J15" s="3" t="s">
        <v>309</v>
      </c>
      <c r="K15" s="9">
        <v>44870</v>
      </c>
    </row>
    <row r="16" spans="1:29" x14ac:dyDescent="0.2">
      <c r="A16" t="s">
        <v>343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309</v>
      </c>
      <c r="K16" s="9">
        <v>44879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309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309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309</v>
      </c>
      <c r="K19" s="9">
        <v>44867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309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309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309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433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309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309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309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309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433</v>
      </c>
      <c r="K28" s="9">
        <v>44917</v>
      </c>
    </row>
    <row r="29" spans="1:11" x14ac:dyDescent="0.2">
      <c r="A29" s="1" t="s">
        <v>343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309</v>
      </c>
      <c r="K29" s="9">
        <v>44918</v>
      </c>
    </row>
    <row r="30" spans="1:11" x14ac:dyDescent="0.2">
      <c r="A30" t="s">
        <v>343</v>
      </c>
      <c r="B30" s="1">
        <f>+B29+1</f>
        <v>22</v>
      </c>
      <c r="C30" s="14" t="s">
        <v>54</v>
      </c>
      <c r="D30" s="1" t="s">
        <v>55</v>
      </c>
      <c r="E30" s="7">
        <v>184.94</v>
      </c>
      <c r="F30" s="6">
        <f>+E30*I30</f>
        <v>71050.335936860007</v>
      </c>
      <c r="G30" s="6">
        <f>+[22]Main!$L$5-[22]Main!$L$6</f>
        <v>17003</v>
      </c>
      <c r="H30" s="6">
        <f>F30-G30</f>
        <v>54047.335936860007</v>
      </c>
      <c r="I30" s="6">
        <f>+[22]Main!$L$3</f>
        <v>384.18046900000002</v>
      </c>
      <c r="J30" s="3" t="s">
        <v>433</v>
      </c>
      <c r="K30" s="9">
        <v>44937</v>
      </c>
    </row>
    <row r="31" spans="1:11" x14ac:dyDescent="0.2">
      <c r="A31" t="s">
        <v>343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433</v>
      </c>
      <c r="K31" s="9">
        <v>44867</v>
      </c>
    </row>
    <row r="32" spans="1:11" x14ac:dyDescent="0.2">
      <c r="A32" s="1" t="s">
        <v>343</v>
      </c>
      <c r="B32" s="1">
        <f t="shared" ref="B32:B72" si="3">B31+1</f>
        <v>24</v>
      </c>
      <c r="C32" s="5" t="s">
        <v>264</v>
      </c>
      <c r="D32" t="s">
        <v>265</v>
      </c>
      <c r="E32" s="20">
        <v>822000</v>
      </c>
      <c r="F32" s="6" cm="1">
        <f t="array" ref="F32">+E32*I32/KRW</f>
        <v>40826.956036287513</v>
      </c>
      <c r="G32" s="6">
        <f>([24]Main!$M$5-[24]Main!$M$6)/KRW*1000</f>
        <v>712.77041172365671</v>
      </c>
      <c r="H32" s="6">
        <f>+F32-G32</f>
        <v>40114.185624563856</v>
      </c>
      <c r="I32" s="6">
        <f>+[24]Main!$M$3</f>
        <v>71.174000000000007</v>
      </c>
      <c r="J32" s="3" t="s">
        <v>433</v>
      </c>
      <c r="K32" s="9">
        <v>44921</v>
      </c>
    </row>
    <row r="33" spans="1:29" x14ac:dyDescent="0.2">
      <c r="A33" t="s">
        <v>343</v>
      </c>
      <c r="B33" s="1">
        <f t="shared" si="3"/>
        <v>25</v>
      </c>
      <c r="C33" s="5" t="s">
        <v>270</v>
      </c>
      <c r="D33" t="s">
        <v>271</v>
      </c>
      <c r="E33" s="7">
        <v>279</v>
      </c>
      <c r="F33" s="6">
        <f>+E33*I33</f>
        <v>40455</v>
      </c>
      <c r="G33" s="6">
        <f>+[25]Main!$J$5-[25]Main!$J$6</f>
        <v>1105</v>
      </c>
      <c r="H33" s="6">
        <f>+F33-G33</f>
        <v>39350</v>
      </c>
      <c r="I33" s="6">
        <f>+[25]Main!$J$3</f>
        <v>145</v>
      </c>
      <c r="J33" s="3" t="s">
        <v>433</v>
      </c>
      <c r="K33" s="9">
        <v>44922</v>
      </c>
    </row>
    <row r="34" spans="1:29" x14ac:dyDescent="0.2">
      <c r="A34" t="s">
        <v>343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+E34*I34/JPY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6">
        <f>+[26]Main!$J$3</f>
        <v>1644.7253820000001</v>
      </c>
      <c r="J34" s="3" t="s">
        <v>309</v>
      </c>
      <c r="K34" s="9">
        <v>44889</v>
      </c>
    </row>
    <row r="35" spans="1:29" x14ac:dyDescent="0.2">
      <c r="A35" s="1" t="s">
        <v>343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433</v>
      </c>
      <c r="K35" s="9">
        <v>44887</v>
      </c>
    </row>
    <row r="36" spans="1:29" x14ac:dyDescent="0.2">
      <c r="A36" s="1" t="s">
        <v>343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433</v>
      </c>
      <c r="K36" s="9">
        <v>44889</v>
      </c>
    </row>
    <row r="37" spans="1:29" x14ac:dyDescent="0.2">
      <c r="A37" s="1" t="s">
        <v>343</v>
      </c>
      <c r="B37" s="1">
        <f t="shared" si="3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309</v>
      </c>
      <c r="K37" s="9">
        <v>44877</v>
      </c>
    </row>
    <row r="38" spans="1:29" x14ac:dyDescent="0.2">
      <c r="A38" s="1" t="s">
        <v>343</v>
      </c>
      <c r="B38" s="1">
        <f t="shared" si="3"/>
        <v>30</v>
      </c>
      <c r="C38" s="5" t="s">
        <v>266</v>
      </c>
      <c r="D38" s="1" t="s">
        <v>267</v>
      </c>
      <c r="E38" s="19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309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3"/>
        <v>31</v>
      </c>
      <c r="C39" s="5" t="s">
        <v>272</v>
      </c>
      <c r="D39" t="s">
        <v>273</v>
      </c>
      <c r="E39" s="18">
        <v>1000</v>
      </c>
      <c r="F39" s="6" cm="1">
        <f t="array" ref="F39">+E39*I39/INR</f>
        <v>29061.175045427015</v>
      </c>
      <c r="H39" s="6">
        <f>F39-G39</f>
        <v>29061.175045427015</v>
      </c>
      <c r="I39" s="6">
        <f>+[31]Main!$J$3</f>
        <v>2399</v>
      </c>
      <c r="J39" s="3" t="s">
        <v>433</v>
      </c>
      <c r="K39" s="9">
        <v>44925</v>
      </c>
    </row>
    <row r="40" spans="1:29" x14ac:dyDescent="0.2"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6">
        <f>+[32]Main!$L$3</f>
        <v>226.621465</v>
      </c>
      <c r="J40" s="3" t="s">
        <v>433</v>
      </c>
      <c r="K40" s="9">
        <v>44925</v>
      </c>
    </row>
    <row r="41" spans="1:29" x14ac:dyDescent="0.2">
      <c r="A41" s="1" t="s">
        <v>343</v>
      </c>
      <c r="B41" s="1">
        <f t="shared" si="3"/>
        <v>33</v>
      </c>
      <c r="C41" s="5" t="s">
        <v>72</v>
      </c>
      <c r="D41" s="1" t="s">
        <v>73</v>
      </c>
      <c r="E41" s="7">
        <v>133.4</v>
      </c>
      <c r="F41" s="6">
        <f>+E41*I41</f>
        <v>24767.697793399999</v>
      </c>
      <c r="G41" s="6">
        <f>+[33]Main!$K$5-[33]Main!$K$6</f>
        <v>1763.7020000000002</v>
      </c>
      <c r="H41" s="6">
        <f>+F41-G41</f>
        <v>23003.995793399998</v>
      </c>
      <c r="I41" s="6">
        <f>+[33]Main!$K$3</f>
        <v>185.66490099999999</v>
      </c>
      <c r="J41" s="3" t="s">
        <v>433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3"/>
        <v>34</v>
      </c>
      <c r="C42" s="5" t="s">
        <v>82</v>
      </c>
      <c r="D42" s="1" t="s">
        <v>83</v>
      </c>
      <c r="E42" s="17">
        <v>1978</v>
      </c>
      <c r="F42" s="6">
        <f>+E42*I42/JPY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6">
        <f>+[34]Main!$K$3</f>
        <v>1822.6130000000001</v>
      </c>
      <c r="J42" s="3" t="s">
        <v>433</v>
      </c>
      <c r="K42" s="9">
        <v>44870</v>
      </c>
    </row>
    <row r="43" spans="1:29" x14ac:dyDescent="0.2">
      <c r="B43" s="1">
        <f t="shared" si="3"/>
        <v>35</v>
      </c>
      <c r="C43" s="5" t="s">
        <v>58</v>
      </c>
      <c r="D43" s="1" t="s">
        <v>59</v>
      </c>
      <c r="E43" s="7">
        <v>233</v>
      </c>
      <c r="F43" s="6">
        <f t="shared" ref="F43:F50" si="4">+E43*I43</f>
        <v>28656.902999999998</v>
      </c>
      <c r="G43" s="6">
        <f>+[35]Main!$L$5-[35]Main!$L$6</f>
        <v>66.870000000000346</v>
      </c>
      <c r="H43" s="6">
        <f>F43-G43</f>
        <v>28590.032999999999</v>
      </c>
      <c r="I43" s="6">
        <f>+[35]Main!$L$3</f>
        <v>122.991</v>
      </c>
      <c r="J43" s="3" t="s">
        <v>433</v>
      </c>
      <c r="K43" s="9">
        <v>44930</v>
      </c>
    </row>
    <row r="44" spans="1:29" x14ac:dyDescent="0.2">
      <c r="B44" s="1">
        <f t="shared" si="3"/>
        <v>36</v>
      </c>
      <c r="C44" s="5" t="s">
        <v>64</v>
      </c>
      <c r="D44" s="1" t="s">
        <v>65</v>
      </c>
      <c r="E44" s="7">
        <v>394</v>
      </c>
      <c r="F44" s="6">
        <f t="shared" si="4"/>
        <v>21750.24007</v>
      </c>
      <c r="G44" s="6">
        <f>+[36]Main!$K$5-[36]Main!$K$6</f>
        <v>2385.5</v>
      </c>
      <c r="H44" s="6">
        <f>F44-G44</f>
        <v>19364.74007</v>
      </c>
      <c r="I44" s="6">
        <f>+[36]Main!$K$3</f>
        <v>55.203654999999998</v>
      </c>
      <c r="J44" s="3" t="s">
        <v>433</v>
      </c>
      <c r="K44" s="9">
        <v>44900</v>
      </c>
    </row>
    <row r="45" spans="1:29" x14ac:dyDescent="0.2">
      <c r="B45" s="1">
        <f t="shared" si="3"/>
        <v>37</v>
      </c>
      <c r="C45" s="5" t="s">
        <v>80</v>
      </c>
      <c r="D45" s="1" t="s">
        <v>81</v>
      </c>
      <c r="E45" s="7">
        <v>219.94</v>
      </c>
      <c r="F45" s="6">
        <f t="shared" si="4"/>
        <v>22833.83547609231</v>
      </c>
      <c r="G45" s="6">
        <f>[37]Main!$L$5-[37]Main!$L$6</f>
        <v>4419.8549999999996</v>
      </c>
      <c r="H45" s="6">
        <f>F45-G45</f>
        <v>18413.980476092311</v>
      </c>
      <c r="I45" s="6">
        <f>+[37]Main!$L$3</f>
        <v>103.8184753846154</v>
      </c>
      <c r="J45" s="3" t="s">
        <v>433</v>
      </c>
      <c r="K45" s="9">
        <v>44926</v>
      </c>
    </row>
    <row r="46" spans="1:29" x14ac:dyDescent="0.2">
      <c r="B46" s="1">
        <f t="shared" si="3"/>
        <v>38</v>
      </c>
      <c r="C46" s="5" t="s">
        <v>70</v>
      </c>
      <c r="D46" s="1" t="s">
        <v>71</v>
      </c>
      <c r="E46" s="7">
        <v>109</v>
      </c>
      <c r="F46" s="6">
        <f t="shared" si="4"/>
        <v>20257.531735</v>
      </c>
      <c r="G46" s="6">
        <f>+[38]Main!$L$5-[38]Main!$L$6</f>
        <v>564</v>
      </c>
      <c r="H46" s="6">
        <f>F46-G46</f>
        <v>19693.531735</v>
      </c>
      <c r="I46" s="6">
        <f>+[38]Main!$L$3</f>
        <v>185.84891500000001</v>
      </c>
      <c r="J46" s="3" t="s">
        <v>433</v>
      </c>
      <c r="K46" s="9">
        <v>44937</v>
      </c>
    </row>
    <row r="47" spans="1:29" x14ac:dyDescent="0.2">
      <c r="B47" s="1">
        <f t="shared" si="3"/>
        <v>39</v>
      </c>
      <c r="C47" s="5" t="s">
        <v>94</v>
      </c>
      <c r="D47" s="1" t="s">
        <v>95</v>
      </c>
      <c r="E47" s="7">
        <v>156</v>
      </c>
      <c r="F47" s="6">
        <f t="shared" si="4"/>
        <v>9794.4599999999991</v>
      </c>
      <c r="G47" s="6">
        <f>+[39]Main!$K$5-[39]Main!$K$6</f>
        <v>-4827.4560000000001</v>
      </c>
      <c r="H47" s="6">
        <f>+F47-G47</f>
        <v>14621.915999999999</v>
      </c>
      <c r="I47" s="6">
        <f>+[39]Main!$K$3</f>
        <v>62.784999999999997</v>
      </c>
      <c r="J47" s="3" t="s">
        <v>433</v>
      </c>
      <c r="K47" s="9">
        <v>44914</v>
      </c>
      <c r="L47" s="7">
        <f>+[39]Model!$AL$29</f>
        <v>157.64588492556646</v>
      </c>
      <c r="M47" s="10">
        <f>+L47/E47-1</f>
        <v>1.0550544394656747E-2</v>
      </c>
      <c r="N47" s="10">
        <f>+[39]Model!$AL$26</f>
        <v>0.02</v>
      </c>
      <c r="O47" s="10">
        <f>+[39]Model!$AL$25</f>
        <v>-0.05</v>
      </c>
      <c r="P47" s="10">
        <f>+[39]Model!$AL$27</f>
        <v>0.08</v>
      </c>
    </row>
    <row r="48" spans="1:29" x14ac:dyDescent="0.2">
      <c r="B48" s="1">
        <f t="shared" si="3"/>
        <v>40</v>
      </c>
      <c r="C48" s="5" t="s">
        <v>50</v>
      </c>
      <c r="D48" s="1" t="s">
        <v>51</v>
      </c>
      <c r="E48" s="7">
        <v>77.83</v>
      </c>
      <c r="F48" s="6">
        <f t="shared" si="4"/>
        <v>17315.265674440001</v>
      </c>
      <c r="G48" s="6">
        <f>+[40]Main!$K$5-[40]Main!$K$6</f>
        <v>3126.2459999999996</v>
      </c>
      <c r="H48" s="6">
        <f t="shared" ref="H48:H53" si="5">F48-G48</f>
        <v>14189.019674440002</v>
      </c>
      <c r="I48" s="6">
        <f>+[40]Main!$K$3</f>
        <v>222.47546800000001</v>
      </c>
      <c r="J48" s="3" t="s">
        <v>433</v>
      </c>
      <c r="K48" s="9">
        <v>44893</v>
      </c>
    </row>
    <row r="49" spans="1:11" x14ac:dyDescent="0.2">
      <c r="B49" s="1">
        <f t="shared" si="3"/>
        <v>41</v>
      </c>
      <c r="C49" s="5" t="s">
        <v>68</v>
      </c>
      <c r="D49" s="1" t="s">
        <v>69</v>
      </c>
      <c r="E49" s="17">
        <v>4360</v>
      </c>
      <c r="F49" s="6">
        <f>+E49*I49/JPY</f>
        <v>16471.21531676067</v>
      </c>
      <c r="G49" s="6">
        <f>([41]Main!$L$5-[41]Main!$L$6)/JPY</f>
        <v>5560.3648770976943</v>
      </c>
      <c r="H49" s="6">
        <f t="shared" si="5"/>
        <v>10910.850439662976</v>
      </c>
      <c r="I49" s="6">
        <f>+[41]Main!$L$3</f>
        <v>542.53009899999995</v>
      </c>
      <c r="J49" s="3" t="s">
        <v>433</v>
      </c>
      <c r="K49" s="9">
        <v>44930</v>
      </c>
    </row>
    <row r="50" spans="1:11" x14ac:dyDescent="0.2">
      <c r="B50" s="1">
        <f t="shared" si="3"/>
        <v>42</v>
      </c>
      <c r="C50" s="5" t="s">
        <v>90</v>
      </c>
      <c r="D50" s="1" t="s">
        <v>91</v>
      </c>
      <c r="E50" s="7">
        <v>273.75</v>
      </c>
      <c r="F50" s="6">
        <f t="shared" si="4"/>
        <v>13057.875</v>
      </c>
      <c r="G50" s="6">
        <f>[42]Main!$K$5-[42]Main!$K$6</f>
        <v>3027</v>
      </c>
      <c r="H50" s="6">
        <f t="shared" si="5"/>
        <v>10030.875</v>
      </c>
      <c r="I50" s="6">
        <f>+[42]Main!$K$3</f>
        <v>47.7</v>
      </c>
      <c r="J50" s="3" t="s">
        <v>433</v>
      </c>
      <c r="K50" s="9">
        <v>44917</v>
      </c>
    </row>
    <row r="51" spans="1:11" x14ac:dyDescent="0.2">
      <c r="B51" s="1">
        <f t="shared" si="3"/>
        <v>43</v>
      </c>
      <c r="C51" s="5" t="s">
        <v>92</v>
      </c>
      <c r="D51" s="1" t="s">
        <v>93</v>
      </c>
      <c r="E51" s="3">
        <v>109.54</v>
      </c>
      <c r="F51" s="6">
        <v>10476.331222340001</v>
      </c>
      <c r="G51" s="6">
        <v>968.3</v>
      </c>
      <c r="H51" s="6">
        <f t="shared" si="5"/>
        <v>9508.0312223400015</v>
      </c>
      <c r="I51" s="6">
        <v>95.639320999999995</v>
      </c>
      <c r="J51" s="3" t="s">
        <v>309</v>
      </c>
      <c r="K51" s="9">
        <v>44929</v>
      </c>
    </row>
    <row r="52" spans="1:11" x14ac:dyDescent="0.2">
      <c r="A52" t="s">
        <v>343</v>
      </c>
      <c r="B52" s="1">
        <f t="shared" si="3"/>
        <v>44</v>
      </c>
      <c r="C52" s="5" t="s">
        <v>422</v>
      </c>
      <c r="D52" t="s">
        <v>423</v>
      </c>
      <c r="E52" s="19">
        <v>14.84</v>
      </c>
      <c r="F52" s="6">
        <f>+E52*I52/HKD</f>
        <v>11195.882170547771</v>
      </c>
      <c r="G52" s="6">
        <f>([43]Main!$J$5-[43]Main!$J$6)/HKD</f>
        <v>2154.8816560509554</v>
      </c>
      <c r="H52" s="6">
        <f t="shared" si="5"/>
        <v>9041.0005144968163</v>
      </c>
      <c r="I52" s="6">
        <f>+[43]Main!$J$3</f>
        <v>5922.3500700000004</v>
      </c>
      <c r="J52" s="3" t="s">
        <v>309</v>
      </c>
      <c r="K52" s="9">
        <v>44926</v>
      </c>
    </row>
    <row r="53" spans="1:11" x14ac:dyDescent="0.2">
      <c r="A53" t="s">
        <v>343</v>
      </c>
      <c r="B53" s="1">
        <f t="shared" si="3"/>
        <v>45</v>
      </c>
      <c r="C53" s="5" t="s">
        <v>420</v>
      </c>
      <c r="D53" t="s">
        <v>421</v>
      </c>
      <c r="E53" s="19">
        <v>4.57</v>
      </c>
      <c r="F53" s="6">
        <f>+E53*I53/HKD</f>
        <v>10862.525383277709</v>
      </c>
      <c r="G53" s="6">
        <f>([44]Main!$K$5-[44]Main!$K$6)/HKD</f>
        <v>3753.9449681528663</v>
      </c>
      <c r="H53" s="6">
        <f t="shared" si="5"/>
        <v>7108.5804151248431</v>
      </c>
      <c r="I53" s="6">
        <f>+[44]Main!$K$3</f>
        <v>18658.823689000001</v>
      </c>
      <c r="J53" s="3" t="s">
        <v>309</v>
      </c>
      <c r="K53" s="9">
        <v>44926</v>
      </c>
    </row>
    <row r="54" spans="1:11" x14ac:dyDescent="0.2">
      <c r="B54" s="1">
        <f t="shared" si="3"/>
        <v>46</v>
      </c>
      <c r="C54" t="s">
        <v>363</v>
      </c>
      <c r="D54" t="s">
        <v>364</v>
      </c>
      <c r="E54" s="20">
        <v>160500</v>
      </c>
      <c r="K54" s="9"/>
    </row>
    <row r="55" spans="1:11" x14ac:dyDescent="0.2">
      <c r="A55" t="s">
        <v>343</v>
      </c>
      <c r="B55" s="1">
        <f t="shared" si="3"/>
        <v>47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3"/>
        <v>48</v>
      </c>
      <c r="C56" s="1" t="s">
        <v>86</v>
      </c>
      <c r="D56" s="1" t="s">
        <v>87</v>
      </c>
      <c r="E56" s="15">
        <v>11.57</v>
      </c>
    </row>
    <row r="57" spans="1:11" x14ac:dyDescent="0.2">
      <c r="A57" s="1" t="s">
        <v>343</v>
      </c>
      <c r="B57" s="1">
        <f t="shared" si="3"/>
        <v>49</v>
      </c>
      <c r="C57" t="s">
        <v>281</v>
      </c>
      <c r="D57" t="s">
        <v>282</v>
      </c>
      <c r="E57" s="17">
        <v>8704</v>
      </c>
    </row>
    <row r="58" spans="1:11" x14ac:dyDescent="0.2">
      <c r="B58" s="1">
        <f t="shared" si="3"/>
        <v>50</v>
      </c>
      <c r="C58" s="5" t="s">
        <v>136</v>
      </c>
      <c r="D58" s="1" t="s">
        <v>137</v>
      </c>
      <c r="E58" s="7">
        <v>57</v>
      </c>
      <c r="F58" s="6">
        <f>+E58*[45]Main!$L$3</f>
        <v>6071.7436259999995</v>
      </c>
      <c r="G58" s="6">
        <f>+[45]Main!$L$5-[45]Main!$L$6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3"/>
        <v>51</v>
      </c>
      <c r="C59" s="5" t="s">
        <v>304</v>
      </c>
      <c r="D59" t="s">
        <v>305</v>
      </c>
      <c r="E59" s="22">
        <v>1721.48</v>
      </c>
      <c r="F59" s="6">
        <f>+E59*I59/100*GBP</f>
        <v>4492.3742080000002</v>
      </c>
      <c r="G59" s="6">
        <f>+[46]Main!$K$5-[46]Main!$K$6</f>
        <v>-337</v>
      </c>
      <c r="H59" s="6">
        <f>+F59-G59</f>
        <v>4829.3742080000002</v>
      </c>
      <c r="I59" s="6">
        <f>+[46]Main!$K$3</f>
        <v>233</v>
      </c>
      <c r="J59" s="3" t="s">
        <v>23</v>
      </c>
    </row>
    <row r="60" spans="1:11" x14ac:dyDescent="0.2">
      <c r="B60" s="1">
        <f t="shared" si="3"/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+[47]Main!$L$5-[47]Main!$L$6</f>
        <v>465.44</v>
      </c>
      <c r="H60" s="6">
        <f>+F60-G60</f>
        <v>4138.607328250001</v>
      </c>
      <c r="I60" s="6">
        <f>+[47]Main!$L$3</f>
        <v>164.25427500000001</v>
      </c>
      <c r="J60" s="3" t="s">
        <v>309</v>
      </c>
      <c r="K60" s="9">
        <v>44782</v>
      </c>
    </row>
    <row r="61" spans="1:11" x14ac:dyDescent="0.2">
      <c r="B61" s="1">
        <f t="shared" si="3"/>
        <v>53</v>
      </c>
      <c r="C61" s="5" t="s">
        <v>446</v>
      </c>
      <c r="D61" t="s">
        <v>447</v>
      </c>
      <c r="E61" s="7">
        <v>73.790000000000006</v>
      </c>
      <c r="F61" s="6">
        <f>+E61*I61</f>
        <v>3204.4164939800003</v>
      </c>
      <c r="G61" s="6">
        <f>+[48]Main!$L$5-[48]Main!$L$6</f>
        <v>133.33705900000001</v>
      </c>
      <c r="H61" s="6">
        <f>+F61-G61</f>
        <v>3071.0794349800003</v>
      </c>
      <c r="I61" s="6">
        <f>+[48]Main!$L$3</f>
        <v>43.426161999999998</v>
      </c>
      <c r="J61" s="3" t="s">
        <v>433</v>
      </c>
      <c r="K61" s="9">
        <v>44920</v>
      </c>
    </row>
    <row r="62" spans="1:11" x14ac:dyDescent="0.2">
      <c r="B62" s="1">
        <f t="shared" si="3"/>
        <v>54</v>
      </c>
      <c r="C62" s="1" t="s">
        <v>375</v>
      </c>
      <c r="D62" t="s">
        <v>376</v>
      </c>
      <c r="E62" s="15">
        <v>38.75</v>
      </c>
    </row>
    <row r="63" spans="1:11" x14ac:dyDescent="0.2">
      <c r="B63" s="1">
        <f t="shared" si="3"/>
        <v>55</v>
      </c>
      <c r="C63" s="1" t="s">
        <v>392</v>
      </c>
      <c r="D63" t="s">
        <v>393</v>
      </c>
    </row>
    <row r="64" spans="1:11" x14ac:dyDescent="0.2">
      <c r="B64" s="1">
        <f t="shared" si="3"/>
        <v>56</v>
      </c>
      <c r="C64" s="1" t="s">
        <v>392</v>
      </c>
      <c r="D64" t="s">
        <v>394</v>
      </c>
    </row>
    <row r="65" spans="2:5" x14ac:dyDescent="0.2">
      <c r="B65" s="1">
        <f t="shared" si="3"/>
        <v>57</v>
      </c>
      <c r="C65" t="s">
        <v>278</v>
      </c>
      <c r="D65" t="s">
        <v>278</v>
      </c>
      <c r="E65" s="15">
        <v>73.56</v>
      </c>
    </row>
    <row r="66" spans="2:5" x14ac:dyDescent="0.2">
      <c r="B66" s="1">
        <f t="shared" si="3"/>
        <v>58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3"/>
        <v>59</v>
      </c>
      <c r="C67" t="s">
        <v>379</v>
      </c>
      <c r="D67" t="s">
        <v>380</v>
      </c>
    </row>
    <row r="68" spans="2:5" x14ac:dyDescent="0.2">
      <c r="B68" s="1">
        <f t="shared" si="3"/>
        <v>60</v>
      </c>
      <c r="C68" t="s">
        <v>381</v>
      </c>
      <c r="D68" t="s">
        <v>382</v>
      </c>
    </row>
    <row r="69" spans="2:5" x14ac:dyDescent="0.2">
      <c r="B69" s="1">
        <f t="shared" si="3"/>
        <v>61</v>
      </c>
      <c r="C69" t="s">
        <v>383</v>
      </c>
      <c r="D69" t="s">
        <v>384</v>
      </c>
    </row>
    <row r="70" spans="2:5" x14ac:dyDescent="0.2">
      <c r="B70" s="1">
        <f t="shared" si="3"/>
        <v>62</v>
      </c>
      <c r="C70" t="s">
        <v>377</v>
      </c>
      <c r="D70" t="s">
        <v>378</v>
      </c>
    </row>
    <row r="71" spans="2:5" x14ac:dyDescent="0.2">
      <c r="B71" s="1">
        <f t="shared" si="3"/>
        <v>63</v>
      </c>
      <c r="C71" t="s">
        <v>283</v>
      </c>
      <c r="D71" t="s">
        <v>284</v>
      </c>
    </row>
    <row r="72" spans="2:5" x14ac:dyDescent="0.2">
      <c r="B72" s="1">
        <f t="shared" si="3"/>
        <v>64</v>
      </c>
      <c r="C72" t="s">
        <v>365</v>
      </c>
      <c r="D72" t="s">
        <v>366</v>
      </c>
    </row>
    <row r="73" spans="2:5" x14ac:dyDescent="0.2">
      <c r="B73" s="1">
        <f t="shared" ref="B73:B91" si="6">B72+1</f>
        <v>65</v>
      </c>
      <c r="C73" t="s">
        <v>369</v>
      </c>
      <c r="D73" t="s">
        <v>370</v>
      </c>
    </row>
    <row r="74" spans="2:5" x14ac:dyDescent="0.2">
      <c r="B74" s="1">
        <f t="shared" si="6"/>
        <v>66</v>
      </c>
      <c r="C74" t="s">
        <v>367</v>
      </c>
      <c r="D74" t="s">
        <v>368</v>
      </c>
    </row>
    <row r="75" spans="2:5" x14ac:dyDescent="0.2">
      <c r="B75" s="1">
        <f t="shared" si="6"/>
        <v>67</v>
      </c>
      <c r="C75" t="s">
        <v>279</v>
      </c>
      <c r="D75" t="s">
        <v>280</v>
      </c>
    </row>
    <row r="76" spans="2:5" x14ac:dyDescent="0.2">
      <c r="B76" s="1">
        <f t="shared" si="6"/>
        <v>68</v>
      </c>
      <c r="C76" t="s">
        <v>276</v>
      </c>
      <c r="D76" t="s">
        <v>277</v>
      </c>
    </row>
    <row r="77" spans="2:5" x14ac:dyDescent="0.2">
      <c r="B77" s="1">
        <f t="shared" si="6"/>
        <v>69</v>
      </c>
      <c r="C77" t="s">
        <v>373</v>
      </c>
      <c r="D77" t="s">
        <v>374</v>
      </c>
    </row>
    <row r="78" spans="2:5" x14ac:dyDescent="0.2">
      <c r="B78" s="1">
        <f t="shared" si="6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6"/>
        <v>71</v>
      </c>
      <c r="C79" t="s">
        <v>388</v>
      </c>
      <c r="D79" t="s">
        <v>389</v>
      </c>
      <c r="E79" s="7">
        <v>43.5</v>
      </c>
    </row>
    <row r="80" spans="2:5" x14ac:dyDescent="0.2">
      <c r="B80" s="1">
        <f t="shared" si="6"/>
        <v>72</v>
      </c>
      <c r="C80" s="1" t="s">
        <v>100</v>
      </c>
      <c r="D80" s="1" t="s">
        <v>101</v>
      </c>
      <c r="E80" s="3">
        <v>44.14</v>
      </c>
    </row>
    <row r="81" spans="2:6" x14ac:dyDescent="0.2">
      <c r="B81" s="1">
        <f t="shared" si="6"/>
        <v>73</v>
      </c>
      <c r="C81" s="1" t="s">
        <v>102</v>
      </c>
      <c r="D81" s="1" t="s">
        <v>103</v>
      </c>
      <c r="E81" s="3">
        <v>35.26</v>
      </c>
    </row>
    <row r="82" spans="2:6" x14ac:dyDescent="0.2">
      <c r="B82" s="1">
        <f t="shared" si="6"/>
        <v>74</v>
      </c>
      <c r="C82" s="1" t="s">
        <v>106</v>
      </c>
      <c r="D82" s="1" t="s">
        <v>107</v>
      </c>
      <c r="E82" s="3">
        <v>24.78</v>
      </c>
    </row>
    <row r="83" spans="2:6" x14ac:dyDescent="0.2">
      <c r="B83" s="1">
        <f t="shared" si="6"/>
        <v>75</v>
      </c>
      <c r="C83" s="1" t="s">
        <v>108</v>
      </c>
      <c r="D83" s="1" t="s">
        <v>109</v>
      </c>
      <c r="E83" s="3">
        <v>4.72</v>
      </c>
    </row>
    <row r="84" spans="2:6" x14ac:dyDescent="0.2">
      <c r="B84" s="1">
        <f t="shared" si="6"/>
        <v>76</v>
      </c>
      <c r="C84" s="1" t="s">
        <v>110</v>
      </c>
      <c r="D84" s="1" t="s">
        <v>111</v>
      </c>
      <c r="E84" s="3">
        <v>24.53</v>
      </c>
    </row>
    <row r="85" spans="2:6" x14ac:dyDescent="0.2">
      <c r="B85" s="1">
        <f t="shared" si="6"/>
        <v>77</v>
      </c>
      <c r="C85" s="1" t="s">
        <v>112</v>
      </c>
      <c r="D85" s="1" t="s">
        <v>113</v>
      </c>
      <c r="E85" s="3">
        <v>23.02</v>
      </c>
    </row>
    <row r="86" spans="2:6" x14ac:dyDescent="0.2">
      <c r="B86" s="1">
        <f t="shared" si="6"/>
        <v>78</v>
      </c>
      <c r="C86" s="1" t="s">
        <v>114</v>
      </c>
      <c r="D86" s="1" t="s">
        <v>115</v>
      </c>
      <c r="E86" s="3">
        <v>29.12</v>
      </c>
    </row>
    <row r="87" spans="2:6" x14ac:dyDescent="0.2">
      <c r="B87" s="1">
        <f t="shared" si="6"/>
        <v>79</v>
      </c>
      <c r="C87" t="s">
        <v>452</v>
      </c>
      <c r="D87" s="23" t="s">
        <v>453</v>
      </c>
      <c r="E87" s="3">
        <v>27.98</v>
      </c>
      <c r="F87" s="6" cm="1">
        <f t="array" ref="F87">40290/CNY</f>
        <v>5951.2555391432797</v>
      </c>
    </row>
    <row r="88" spans="2:6" x14ac:dyDescent="0.2">
      <c r="B88" s="1">
        <f t="shared" si="6"/>
        <v>80</v>
      </c>
      <c r="C88" s="1" t="s">
        <v>116</v>
      </c>
      <c r="D88" s="1" t="s">
        <v>117</v>
      </c>
      <c r="E88" s="3">
        <v>33.17</v>
      </c>
    </row>
    <row r="89" spans="2:6" x14ac:dyDescent="0.2">
      <c r="B89" s="1">
        <f t="shared" si="6"/>
        <v>81</v>
      </c>
      <c r="C89" s="1" t="s">
        <v>118</v>
      </c>
      <c r="D89" s="1" t="s">
        <v>119</v>
      </c>
      <c r="E89" s="3">
        <v>53.21</v>
      </c>
    </row>
    <row r="90" spans="2:6" x14ac:dyDescent="0.2">
      <c r="B90" s="1">
        <f t="shared" si="6"/>
        <v>82</v>
      </c>
      <c r="C90" s="1" t="s">
        <v>120</v>
      </c>
      <c r="D90" s="1" t="s">
        <v>121</v>
      </c>
      <c r="E90" s="3">
        <v>46.23</v>
      </c>
    </row>
    <row r="91" spans="2:6" x14ac:dyDescent="0.2">
      <c r="B91" s="1">
        <f t="shared" si="6"/>
        <v>83</v>
      </c>
      <c r="C91" s="1" t="s">
        <v>122</v>
      </c>
      <c r="D91" s="1" t="s">
        <v>123</v>
      </c>
      <c r="E91" s="7">
        <v>70</v>
      </c>
    </row>
    <row r="92" spans="2:6" x14ac:dyDescent="0.2">
      <c r="B92" s="1">
        <f t="shared" ref="B92:B101" si="7">B91+1</f>
        <v>84</v>
      </c>
      <c r="C92" s="1" t="s">
        <v>124</v>
      </c>
      <c r="D92" s="1" t="s">
        <v>125</v>
      </c>
      <c r="E92" s="3">
        <v>18.559999999999999</v>
      </c>
    </row>
    <row r="93" spans="2:6" x14ac:dyDescent="0.2">
      <c r="B93" s="1">
        <f t="shared" si="7"/>
        <v>85</v>
      </c>
      <c r="C93" s="1" t="s">
        <v>126</v>
      </c>
      <c r="D93" s="1" t="s">
        <v>127</v>
      </c>
      <c r="E93" s="3">
        <v>15.75</v>
      </c>
    </row>
    <row r="94" spans="2:6" x14ac:dyDescent="0.2">
      <c r="B94" s="1">
        <f t="shared" si="7"/>
        <v>86</v>
      </c>
      <c r="C94" s="1" t="s">
        <v>128</v>
      </c>
      <c r="D94" s="1" t="s">
        <v>129</v>
      </c>
      <c r="E94" s="3">
        <v>19.510000000000002</v>
      </c>
    </row>
    <row r="95" spans="2:6" x14ac:dyDescent="0.2">
      <c r="B95" s="1">
        <f t="shared" si="7"/>
        <v>87</v>
      </c>
      <c r="C95" s="1" t="s">
        <v>130</v>
      </c>
      <c r="D95" s="1" t="s">
        <v>131</v>
      </c>
      <c r="E95" s="3">
        <v>66.97</v>
      </c>
    </row>
    <row r="96" spans="2:6" x14ac:dyDescent="0.2">
      <c r="B96" s="1">
        <f t="shared" si="7"/>
        <v>88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7"/>
        <v>89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7"/>
        <v>90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7"/>
        <v>91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7"/>
        <v>92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7"/>
        <v>93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 t="shared" ref="B102:B165" si="8">B101+1</f>
        <v>94</v>
      </c>
      <c r="C102" t="s">
        <v>315</v>
      </c>
      <c r="D102" t="s">
        <v>316</v>
      </c>
      <c r="E102" s="3">
        <v>4.26</v>
      </c>
      <c r="AC102" s="1">
        <v>2011</v>
      </c>
    </row>
    <row r="103" spans="2:29" x14ac:dyDescent="0.2">
      <c r="B103" s="1">
        <f t="shared" si="8"/>
        <v>95</v>
      </c>
      <c r="C103" s="1" t="s">
        <v>148</v>
      </c>
      <c r="D103" s="1" t="s">
        <v>149</v>
      </c>
      <c r="E103" s="3">
        <v>42.98</v>
      </c>
    </row>
    <row r="104" spans="2:29" x14ac:dyDescent="0.2">
      <c r="B104" s="1">
        <f t="shared" si="8"/>
        <v>96</v>
      </c>
      <c r="C104" s="1" t="s">
        <v>150</v>
      </c>
      <c r="D104" s="1" t="s">
        <v>151</v>
      </c>
      <c r="E104" s="3">
        <v>23.92</v>
      </c>
    </row>
    <row r="105" spans="2:29" x14ac:dyDescent="0.2">
      <c r="B105" s="1">
        <f t="shared" si="8"/>
        <v>97</v>
      </c>
      <c r="C105" s="1" t="s">
        <v>152</v>
      </c>
      <c r="D105" s="1" t="s">
        <v>153</v>
      </c>
      <c r="E105" s="3">
        <v>53.29</v>
      </c>
    </row>
    <row r="106" spans="2:29" x14ac:dyDescent="0.2">
      <c r="B106" s="1">
        <f t="shared" si="8"/>
        <v>98</v>
      </c>
      <c r="C106" s="1" t="s">
        <v>168</v>
      </c>
      <c r="D106" s="1" t="s">
        <v>169</v>
      </c>
      <c r="E106" s="7">
        <v>11.53</v>
      </c>
      <c r="F106" s="6">
        <v>3240</v>
      </c>
    </row>
    <row r="107" spans="2:29" x14ac:dyDescent="0.2">
      <c r="B107" s="1">
        <f t="shared" si="8"/>
        <v>99</v>
      </c>
      <c r="C107" s="1" t="s">
        <v>170</v>
      </c>
      <c r="D107" s="1" t="s">
        <v>171</v>
      </c>
      <c r="E107" s="3">
        <v>55.33</v>
      </c>
      <c r="F107" s="6">
        <v>3280</v>
      </c>
    </row>
    <row r="108" spans="2:29" x14ac:dyDescent="0.2">
      <c r="B108" s="1">
        <f t="shared" si="8"/>
        <v>100</v>
      </c>
      <c r="C108" s="1" t="s">
        <v>156</v>
      </c>
      <c r="D108" s="1" t="s">
        <v>157</v>
      </c>
      <c r="E108" s="3">
        <v>41.92</v>
      </c>
      <c r="F108" s="6">
        <v>2510</v>
      </c>
    </row>
    <row r="109" spans="2:29" x14ac:dyDescent="0.2">
      <c r="B109" s="1">
        <f t="shared" si="8"/>
        <v>101</v>
      </c>
      <c r="C109" s="1" t="s">
        <v>158</v>
      </c>
      <c r="D109" s="1" t="s">
        <v>159</v>
      </c>
      <c r="E109" s="3">
        <v>29.49</v>
      </c>
      <c r="F109" s="6">
        <v>2880</v>
      </c>
    </row>
    <row r="110" spans="2:29" x14ac:dyDescent="0.2">
      <c r="B110" s="1">
        <f t="shared" si="8"/>
        <v>102</v>
      </c>
      <c r="C110" s="5" t="s">
        <v>160</v>
      </c>
      <c r="D110" s="1" t="s">
        <v>161</v>
      </c>
      <c r="E110" s="3">
        <v>9.18</v>
      </c>
      <c r="F110" s="6">
        <f>+E110*[49]Main!$N$3</f>
        <v>2859.4049160599998</v>
      </c>
      <c r="G110" s="6">
        <f>+[49]Main!$N$5-[49]Main!$N$6</f>
        <v>869.93499999999995</v>
      </c>
      <c r="H110" s="6">
        <f>+F110-G110</f>
        <v>1989.4699160599998</v>
      </c>
      <c r="J110" s="3" t="s">
        <v>16</v>
      </c>
    </row>
    <row r="111" spans="2:29" x14ac:dyDescent="0.2">
      <c r="B111" s="1">
        <f t="shared" si="8"/>
        <v>103</v>
      </c>
      <c r="C111" s="5" t="s">
        <v>162</v>
      </c>
      <c r="D111" s="1" t="s">
        <v>163</v>
      </c>
      <c r="E111" s="7">
        <v>46.19</v>
      </c>
      <c r="F111" s="6">
        <f>+E111*I111</f>
        <v>3249.6786968599999</v>
      </c>
      <c r="G111" s="6">
        <f>+[50]Main!$K$5-[50]Main!$K$6</f>
        <v>1178.8610000000001</v>
      </c>
      <c r="H111" s="6">
        <f>+F111-G111</f>
        <v>2070.8176968600001</v>
      </c>
      <c r="I111" s="6">
        <f>+[50]Main!$K$3</f>
        <v>70.354594000000006</v>
      </c>
      <c r="J111" s="3" t="s">
        <v>309</v>
      </c>
      <c r="K111" s="9">
        <v>44827</v>
      </c>
    </row>
    <row r="112" spans="2:29" x14ac:dyDescent="0.2">
      <c r="B112" s="1">
        <f t="shared" si="8"/>
        <v>104</v>
      </c>
      <c r="C112" s="5" t="s">
        <v>386</v>
      </c>
      <c r="D112" t="s">
        <v>387</v>
      </c>
      <c r="E112" s="3">
        <v>24.73</v>
      </c>
      <c r="F112" s="6">
        <f>+E112*I112</f>
        <v>1436.0261408599999</v>
      </c>
      <c r="G112" s="6">
        <f>+[51]Main!$J$5-[51]Main!$J$6</f>
        <v>566.44900000000007</v>
      </c>
      <c r="H112" s="6">
        <f>+F112-G112</f>
        <v>869.57714085999987</v>
      </c>
      <c r="I112" s="6">
        <f>+[51]Main!$J$3</f>
        <v>58.068182</v>
      </c>
      <c r="J112" s="3" t="s">
        <v>309</v>
      </c>
      <c r="K112" s="9">
        <v>44824</v>
      </c>
    </row>
    <row r="113" spans="2:11" x14ac:dyDescent="0.2">
      <c r="B113" s="1">
        <f t="shared" si="8"/>
        <v>105</v>
      </c>
      <c r="C113" s="5" t="s">
        <v>359</v>
      </c>
      <c r="D113" t="s">
        <v>360</v>
      </c>
      <c r="E113" s="3">
        <v>3.42</v>
      </c>
      <c r="F113" s="6">
        <f>+E113*I113</f>
        <v>2379.9056977800001</v>
      </c>
      <c r="G113" s="6">
        <f>+[52]Main!$K$5-[52]Main!$K$6</f>
        <v>1840.732</v>
      </c>
      <c r="H113" s="6">
        <f>+F113-G113</f>
        <v>539.17369778000011</v>
      </c>
      <c r="I113" s="6">
        <f>+[52]Main!$K$3</f>
        <v>695.87885900000003</v>
      </c>
      <c r="J113" s="3" t="s">
        <v>309</v>
      </c>
      <c r="K113" s="9">
        <v>44816</v>
      </c>
    </row>
    <row r="114" spans="2:11" x14ac:dyDescent="0.2">
      <c r="B114" s="1">
        <f t="shared" si="8"/>
        <v>106</v>
      </c>
      <c r="C114" s="1" t="s">
        <v>166</v>
      </c>
      <c r="D114" s="1" t="s">
        <v>167</v>
      </c>
      <c r="E114" s="3">
        <v>6.2</v>
      </c>
      <c r="F114" s="6">
        <v>2230</v>
      </c>
    </row>
    <row r="115" spans="2:11" x14ac:dyDescent="0.2">
      <c r="B115" s="1">
        <f t="shared" si="8"/>
        <v>107</v>
      </c>
      <c r="C115" s="1" t="s">
        <v>178</v>
      </c>
      <c r="D115" s="1" t="s">
        <v>179</v>
      </c>
      <c r="E115" s="7">
        <v>20.010000000000002</v>
      </c>
      <c r="F115" s="6">
        <v>2150</v>
      </c>
    </row>
    <row r="116" spans="2:11" x14ac:dyDescent="0.2">
      <c r="B116" s="1">
        <f t="shared" si="8"/>
        <v>108</v>
      </c>
      <c r="C116" s="1" t="s">
        <v>180</v>
      </c>
      <c r="D116" s="1" t="s">
        <v>181</v>
      </c>
      <c r="E116" s="3">
        <v>19.010000000000002</v>
      </c>
      <c r="F116" s="6">
        <v>2580</v>
      </c>
    </row>
    <row r="117" spans="2:11" x14ac:dyDescent="0.2">
      <c r="B117" s="1">
        <f t="shared" si="8"/>
        <v>109</v>
      </c>
      <c r="C117" t="s">
        <v>352</v>
      </c>
      <c r="D117" t="s">
        <v>353</v>
      </c>
      <c r="E117" s="7">
        <v>14.86</v>
      </c>
      <c r="F117" s="6">
        <v>2880</v>
      </c>
    </row>
    <row r="118" spans="2:11" x14ac:dyDescent="0.2">
      <c r="B118" s="1">
        <f t="shared" si="8"/>
        <v>110</v>
      </c>
      <c r="C118" s="1" t="s">
        <v>209</v>
      </c>
      <c r="D118" s="1" t="s">
        <v>210</v>
      </c>
      <c r="E118" s="7">
        <v>57.1</v>
      </c>
      <c r="F118" s="6">
        <v>2590</v>
      </c>
    </row>
    <row r="119" spans="2:11" x14ac:dyDescent="0.2">
      <c r="B119" s="1">
        <f t="shared" si="8"/>
        <v>111</v>
      </c>
      <c r="C119" s="1" t="s">
        <v>184</v>
      </c>
      <c r="D119" s="1" t="s">
        <v>185</v>
      </c>
      <c r="E119" s="3">
        <v>48.73</v>
      </c>
      <c r="F119" s="6">
        <v>2540</v>
      </c>
    </row>
    <row r="120" spans="2:11" x14ac:dyDescent="0.2">
      <c r="B120" s="1">
        <f t="shared" si="8"/>
        <v>112</v>
      </c>
      <c r="C120" s="1" t="s">
        <v>197</v>
      </c>
      <c r="D120" s="1" t="s">
        <v>198</v>
      </c>
      <c r="E120" s="3">
        <v>37.96</v>
      </c>
      <c r="F120" s="6">
        <v>2360</v>
      </c>
    </row>
    <row r="121" spans="2:11" x14ac:dyDescent="0.2">
      <c r="B121" s="1">
        <f t="shared" si="8"/>
        <v>113</v>
      </c>
      <c r="C121" s="1" t="s">
        <v>186</v>
      </c>
      <c r="D121" s="1" t="s">
        <v>187</v>
      </c>
      <c r="E121" s="3">
        <v>37.96</v>
      </c>
      <c r="F121" s="6">
        <v>2250</v>
      </c>
    </row>
    <row r="122" spans="2:11" x14ac:dyDescent="0.2">
      <c r="B122" s="1">
        <f t="shared" si="8"/>
        <v>114</v>
      </c>
      <c r="C122" s="1" t="s">
        <v>300</v>
      </c>
      <c r="D122" s="1" t="s">
        <v>190</v>
      </c>
      <c r="E122" s="3">
        <v>10.85</v>
      </c>
      <c r="F122" s="6">
        <v>2020</v>
      </c>
    </row>
    <row r="123" spans="2:11" x14ac:dyDescent="0.2">
      <c r="B123" s="1">
        <f>B122+1</f>
        <v>115</v>
      </c>
      <c r="C123" s="1" t="s">
        <v>219</v>
      </c>
      <c r="D123" s="1" t="s">
        <v>220</v>
      </c>
      <c r="E123" s="3">
        <v>3.17</v>
      </c>
      <c r="F123" s="6">
        <v>2010</v>
      </c>
    </row>
    <row r="124" spans="2:11" x14ac:dyDescent="0.2">
      <c r="B124" s="1">
        <f t="shared" si="8"/>
        <v>116</v>
      </c>
      <c r="C124" s="1" t="s">
        <v>217</v>
      </c>
      <c r="D124" s="1" t="s">
        <v>218</v>
      </c>
      <c r="E124" s="3">
        <v>36.86</v>
      </c>
      <c r="F124" s="6">
        <v>1990</v>
      </c>
    </row>
    <row r="125" spans="2:11" x14ac:dyDescent="0.2">
      <c r="B125" s="1">
        <f t="shared" si="8"/>
        <v>117</v>
      </c>
      <c r="C125" s="1" t="s">
        <v>205</v>
      </c>
      <c r="D125" s="1" t="s">
        <v>206</v>
      </c>
      <c r="E125" s="7">
        <v>76.78</v>
      </c>
      <c r="F125" s="6">
        <v>1970</v>
      </c>
    </row>
    <row r="126" spans="2:11" x14ac:dyDescent="0.2">
      <c r="B126" s="1">
        <f t="shared" si="8"/>
        <v>118</v>
      </c>
      <c r="C126" s="1" t="s">
        <v>223</v>
      </c>
      <c r="D126" s="1" t="s">
        <v>224</v>
      </c>
      <c r="E126" s="3">
        <v>18.309999999999999</v>
      </c>
      <c r="F126" s="6">
        <v>1930</v>
      </c>
    </row>
    <row r="127" spans="2:11" x14ac:dyDescent="0.2">
      <c r="B127" s="1">
        <f t="shared" si="8"/>
        <v>119</v>
      </c>
      <c r="C127" s="1" t="s">
        <v>193</v>
      </c>
      <c r="D127" s="1" t="s">
        <v>194</v>
      </c>
      <c r="E127" s="7">
        <v>10.1</v>
      </c>
      <c r="F127" s="6">
        <v>1880</v>
      </c>
    </row>
    <row r="128" spans="2:11" x14ac:dyDescent="0.2">
      <c r="B128" s="1">
        <f t="shared" si="8"/>
        <v>120</v>
      </c>
      <c r="C128" s="1" t="s">
        <v>174</v>
      </c>
      <c r="D128" s="1" t="s">
        <v>175</v>
      </c>
      <c r="E128" s="3">
        <v>38.67</v>
      </c>
      <c r="F128" s="6">
        <v>1770</v>
      </c>
    </row>
    <row r="129" spans="2:10" x14ac:dyDescent="0.2">
      <c r="B129" s="1">
        <f t="shared" si="8"/>
        <v>121</v>
      </c>
      <c r="C129" s="1" t="s">
        <v>188</v>
      </c>
      <c r="D129" s="1" t="s">
        <v>189</v>
      </c>
      <c r="E129" s="3">
        <v>41.59</v>
      </c>
      <c r="F129" s="6">
        <v>1730</v>
      </c>
    </row>
    <row r="130" spans="2:10" x14ac:dyDescent="0.2">
      <c r="B130" s="1">
        <f t="shared" si="8"/>
        <v>122</v>
      </c>
      <c r="C130" s="1" t="s">
        <v>182</v>
      </c>
      <c r="D130" s="1" t="s">
        <v>183</v>
      </c>
      <c r="E130" s="3">
        <v>22.22</v>
      </c>
      <c r="F130" s="6">
        <v>1720</v>
      </c>
    </row>
    <row r="131" spans="2:10" x14ac:dyDescent="0.2">
      <c r="B131" s="1">
        <f t="shared" si="8"/>
        <v>123</v>
      </c>
      <c r="C131" s="1" t="s">
        <v>211</v>
      </c>
      <c r="D131" s="1" t="s">
        <v>212</v>
      </c>
      <c r="E131" s="3">
        <v>28.37</v>
      </c>
      <c r="F131" s="6">
        <v>1370</v>
      </c>
    </row>
    <row r="132" spans="2:10" x14ac:dyDescent="0.2">
      <c r="B132" s="1">
        <f>B131+1</f>
        <v>124</v>
      </c>
      <c r="C132" s="1" t="s">
        <v>213</v>
      </c>
      <c r="D132" s="1" t="s">
        <v>214</v>
      </c>
      <c r="E132" s="7">
        <v>7.13</v>
      </c>
      <c r="F132" s="6">
        <v>1350</v>
      </c>
    </row>
    <row r="133" spans="2:10" x14ac:dyDescent="0.2">
      <c r="B133" s="1">
        <f t="shared" si="8"/>
        <v>125</v>
      </c>
      <c r="C133" s="1" t="s">
        <v>164</v>
      </c>
      <c r="D133" s="1" t="s">
        <v>165</v>
      </c>
      <c r="E133" s="7">
        <v>5.75</v>
      </c>
      <c r="F133" s="6">
        <v>1100</v>
      </c>
    </row>
    <row r="134" spans="2:10" x14ac:dyDescent="0.2">
      <c r="B134" s="1">
        <f t="shared" si="8"/>
        <v>126</v>
      </c>
      <c r="C134" s="1" t="s">
        <v>172</v>
      </c>
      <c r="D134" s="1" t="s">
        <v>173</v>
      </c>
      <c r="E134" s="3">
        <v>2.15</v>
      </c>
      <c r="F134" s="6">
        <v>1050</v>
      </c>
    </row>
    <row r="135" spans="2:10" x14ac:dyDescent="0.2">
      <c r="B135" s="1">
        <f t="shared" si="8"/>
        <v>127</v>
      </c>
      <c r="C135" s="1" t="s">
        <v>176</v>
      </c>
      <c r="D135" s="1" t="s">
        <v>177</v>
      </c>
      <c r="E135" s="7">
        <v>21.6</v>
      </c>
      <c r="F135" s="6">
        <v>991</v>
      </c>
    </row>
    <row r="136" spans="2:10" x14ac:dyDescent="0.2">
      <c r="B136" s="1">
        <f t="shared" si="8"/>
        <v>128</v>
      </c>
      <c r="C136" s="1" t="s">
        <v>221</v>
      </c>
      <c r="D136" s="1" t="s">
        <v>222</v>
      </c>
      <c r="E136" s="3">
        <v>9.7799999999999994</v>
      </c>
      <c r="F136" s="6">
        <v>903</v>
      </c>
    </row>
    <row r="137" spans="2:10" x14ac:dyDescent="0.2">
      <c r="B137" s="1">
        <f t="shared" si="8"/>
        <v>129</v>
      </c>
      <c r="C137" s="1" t="s">
        <v>88</v>
      </c>
      <c r="D137" s="1" t="s">
        <v>89</v>
      </c>
      <c r="E137" s="3">
        <v>12.61</v>
      </c>
      <c r="F137" s="6">
        <v>860</v>
      </c>
    </row>
    <row r="138" spans="2:10" x14ac:dyDescent="0.2">
      <c r="B138" s="1">
        <f t="shared" si="8"/>
        <v>130</v>
      </c>
      <c r="C138" s="1" t="s">
        <v>203</v>
      </c>
      <c r="D138" s="1" t="s">
        <v>204</v>
      </c>
      <c r="E138" s="3">
        <v>2.42</v>
      </c>
      <c r="F138" s="6">
        <v>823</v>
      </c>
    </row>
    <row r="139" spans="2:10" x14ac:dyDescent="0.2">
      <c r="B139" s="1">
        <f t="shared" si="8"/>
        <v>131</v>
      </c>
      <c r="C139" s="1" t="s">
        <v>201</v>
      </c>
      <c r="D139" s="1" t="s">
        <v>202</v>
      </c>
      <c r="E139" s="7">
        <v>5.7</v>
      </c>
      <c r="F139" s="6">
        <v>821</v>
      </c>
    </row>
    <row r="140" spans="2:10" x14ac:dyDescent="0.2">
      <c r="B140" s="1">
        <f t="shared" si="8"/>
        <v>132</v>
      </c>
      <c r="C140" t="s">
        <v>312</v>
      </c>
      <c r="D140" t="s">
        <v>313</v>
      </c>
      <c r="E140" s="3">
        <v>3.23</v>
      </c>
      <c r="F140" s="6">
        <v>630</v>
      </c>
    </row>
    <row r="141" spans="2:10" x14ac:dyDescent="0.2">
      <c r="B141" s="1">
        <f t="shared" si="8"/>
        <v>133</v>
      </c>
      <c r="C141" s="1" t="s">
        <v>207</v>
      </c>
      <c r="D141" s="1" t="s">
        <v>208</v>
      </c>
      <c r="E141" s="3">
        <v>4.16</v>
      </c>
      <c r="F141" s="6">
        <v>590</v>
      </c>
    </row>
    <row r="142" spans="2:10" x14ac:dyDescent="0.2">
      <c r="B142" s="1">
        <f t="shared" si="8"/>
        <v>134</v>
      </c>
      <c r="C142" t="s">
        <v>298</v>
      </c>
      <c r="D142" t="s">
        <v>299</v>
      </c>
      <c r="E142" s="3">
        <v>8.4499999999999993</v>
      </c>
      <c r="F142" s="6">
        <f>4406/HKD</f>
        <v>561.27388535031855</v>
      </c>
    </row>
    <row r="143" spans="2:10" x14ac:dyDescent="0.2">
      <c r="B143" s="1">
        <f t="shared" si="8"/>
        <v>135</v>
      </c>
      <c r="C143" s="1" t="s">
        <v>215</v>
      </c>
      <c r="D143" s="1" t="s">
        <v>216</v>
      </c>
      <c r="E143" s="3">
        <v>10.98</v>
      </c>
      <c r="F143" s="6">
        <v>548</v>
      </c>
    </row>
    <row r="144" spans="2:10" x14ac:dyDescent="0.2">
      <c r="B144" s="1">
        <f t="shared" si="8"/>
        <v>136</v>
      </c>
      <c r="C144" s="5" t="s">
        <v>295</v>
      </c>
      <c r="D144" t="s">
        <v>296</v>
      </c>
      <c r="E144" s="3">
        <v>15.65</v>
      </c>
      <c r="F144" s="6">
        <f>E144*[53]Main!$L$3</f>
        <v>1253.1559559500001</v>
      </c>
      <c r="G144" s="6">
        <f>+[53]Main!$L$5-[53]Main!$L$6</f>
        <v>112.015</v>
      </c>
      <c r="H144" s="6">
        <f>+F144-G144</f>
        <v>1141.14095595</v>
      </c>
      <c r="J144" s="3" t="s">
        <v>16</v>
      </c>
    </row>
    <row r="145" spans="2:29" x14ac:dyDescent="0.2">
      <c r="B145" s="1">
        <f t="shared" si="8"/>
        <v>137</v>
      </c>
      <c r="C145" s="5" t="s">
        <v>231</v>
      </c>
      <c r="D145" s="1" t="s">
        <v>232</v>
      </c>
      <c r="E145" s="3">
        <v>23.75</v>
      </c>
      <c r="F145" s="6">
        <f>+E145*I145</f>
        <v>1355.4004112499999</v>
      </c>
      <c r="G145" s="6">
        <f>+[67]Main!$K$5-[67]Main!$K$6</f>
        <v>449.76100000000002</v>
      </c>
      <c r="H145" s="6">
        <f>+F145-G145</f>
        <v>905.63941124999997</v>
      </c>
      <c r="I145" s="6">
        <f>+[67]Main!$K$3</f>
        <v>57.069490999999999</v>
      </c>
      <c r="J145" s="3" t="s">
        <v>433</v>
      </c>
      <c r="K145" s="9">
        <v>44947</v>
      </c>
      <c r="AC145" s="1">
        <v>2015</v>
      </c>
    </row>
    <row r="146" spans="2:29" x14ac:dyDescent="0.2">
      <c r="B146" s="1">
        <f t="shared" si="8"/>
        <v>138</v>
      </c>
      <c r="C146" s="5" t="s">
        <v>306</v>
      </c>
      <c r="D146" t="s">
        <v>307</v>
      </c>
      <c r="E146" s="3">
        <v>11</v>
      </c>
      <c r="F146" s="6">
        <f>+E146*[54]Main!$L$3</f>
        <v>798.23003700000004</v>
      </c>
      <c r="G146" s="6">
        <f>+[54]Main!$L$5-[54]Main!$L$6</f>
        <v>153.25991400000001</v>
      </c>
      <c r="H146" s="6">
        <f>+F146-G146</f>
        <v>644.97012300000006</v>
      </c>
      <c r="J146" s="3" t="s">
        <v>16</v>
      </c>
      <c r="K146" s="9">
        <v>44771</v>
      </c>
      <c r="L146" s="9"/>
      <c r="M146" s="9"/>
      <c r="N146" s="9"/>
      <c r="O146" s="9"/>
      <c r="P146" s="9"/>
    </row>
    <row r="147" spans="2:29" x14ac:dyDescent="0.2">
      <c r="B147" s="1">
        <f t="shared" si="8"/>
        <v>139</v>
      </c>
      <c r="C147" s="5" t="s">
        <v>199</v>
      </c>
      <c r="D147" s="1" t="s">
        <v>200</v>
      </c>
      <c r="E147" s="3">
        <v>7.36</v>
      </c>
      <c r="F147" s="6">
        <f>+E147*I147</f>
        <v>897.18233664000002</v>
      </c>
      <c r="G147" s="6">
        <f>+[55]Main!$J$5-[55]Main!$J$6</f>
        <v>601.58999999999992</v>
      </c>
      <c r="H147" s="6">
        <f>+F147-G147</f>
        <v>295.5923366400001</v>
      </c>
      <c r="I147" s="6">
        <f>+[55]Main!$J$3</f>
        <v>121.89977399999999</v>
      </c>
      <c r="J147" s="3" t="s">
        <v>16</v>
      </c>
      <c r="K147" s="9">
        <v>44827</v>
      </c>
    </row>
    <row r="148" spans="2:29" x14ac:dyDescent="0.2">
      <c r="B148" s="1">
        <f t="shared" si="8"/>
        <v>140</v>
      </c>
      <c r="C148" t="s">
        <v>310</v>
      </c>
      <c r="D148" t="s">
        <v>311</v>
      </c>
      <c r="E148" s="3">
        <v>12.42</v>
      </c>
      <c r="F148" s="6">
        <v>516</v>
      </c>
    </row>
    <row r="149" spans="2:29" x14ac:dyDescent="0.2">
      <c r="B149" s="1">
        <f t="shared" si="8"/>
        <v>141</v>
      </c>
      <c r="C149" t="s">
        <v>317</v>
      </c>
      <c r="D149" t="s">
        <v>318</v>
      </c>
      <c r="E149" s="3">
        <v>3.26</v>
      </c>
      <c r="F149" s="6">
        <v>272</v>
      </c>
    </row>
    <row r="150" spans="2:29" x14ac:dyDescent="0.2">
      <c r="B150" s="1">
        <f t="shared" si="8"/>
        <v>142</v>
      </c>
      <c r="C150" s="1" t="s">
        <v>225</v>
      </c>
      <c r="D150" s="1" t="s">
        <v>226</v>
      </c>
      <c r="E150" s="3">
        <v>6.34</v>
      </c>
    </row>
    <row r="151" spans="2:29" x14ac:dyDescent="0.2">
      <c r="B151" s="1">
        <f t="shared" si="8"/>
        <v>143</v>
      </c>
      <c r="C151" s="1" t="s">
        <v>227</v>
      </c>
      <c r="D151" s="1" t="s">
        <v>228</v>
      </c>
      <c r="E151" s="7">
        <v>31.39</v>
      </c>
    </row>
    <row r="152" spans="2:29" x14ac:dyDescent="0.2">
      <c r="B152" s="1">
        <f t="shared" si="8"/>
        <v>144</v>
      </c>
      <c r="C152" s="1" t="s">
        <v>229</v>
      </c>
      <c r="D152" s="1" t="s">
        <v>230</v>
      </c>
      <c r="E152" s="7">
        <v>20.97</v>
      </c>
    </row>
    <row r="153" spans="2:29" x14ac:dyDescent="0.2">
      <c r="B153" s="1">
        <f t="shared" si="8"/>
        <v>145</v>
      </c>
      <c r="C153" s="5" t="s">
        <v>330</v>
      </c>
      <c r="D153" t="s">
        <v>331</v>
      </c>
      <c r="E153" s="3">
        <v>3.23</v>
      </c>
      <c r="F153" s="6">
        <f>+E153*I153</f>
        <v>30.407559149999997</v>
      </c>
      <c r="G153" s="6">
        <f>+[56]Main!$N$5-[56]Main!$N$6</f>
        <v>-7.4640000000000004</v>
      </c>
      <c r="H153" s="6">
        <f>+F153-G153</f>
        <v>37.871559149999996</v>
      </c>
      <c r="I153" s="6">
        <f>+[56]Main!$N$3</f>
        <v>9.4141049999999993</v>
      </c>
      <c r="J153" s="3" t="s">
        <v>309</v>
      </c>
      <c r="K153" s="9">
        <v>44780</v>
      </c>
    </row>
    <row r="154" spans="2:29" x14ac:dyDescent="0.2">
      <c r="B154" s="1">
        <f t="shared" si="8"/>
        <v>146</v>
      </c>
      <c r="C154" s="1" t="s">
        <v>233</v>
      </c>
      <c r="D154" s="1" t="s">
        <v>234</v>
      </c>
      <c r="E154" s="3">
        <v>10.31</v>
      </c>
    </row>
    <row r="155" spans="2:29" x14ac:dyDescent="0.2">
      <c r="B155" s="1">
        <f t="shared" si="8"/>
        <v>147</v>
      </c>
      <c r="C155" s="1" t="s">
        <v>235</v>
      </c>
      <c r="D155" s="1" t="s">
        <v>236</v>
      </c>
      <c r="E155" s="7">
        <v>1.3</v>
      </c>
    </row>
    <row r="156" spans="2:29" x14ac:dyDescent="0.2">
      <c r="B156" s="1">
        <f t="shared" si="8"/>
        <v>148</v>
      </c>
      <c r="C156" s="1" t="s">
        <v>237</v>
      </c>
      <c r="D156" s="1" t="s">
        <v>238</v>
      </c>
      <c r="E156" s="3">
        <v>3.35</v>
      </c>
    </row>
    <row r="157" spans="2:29" x14ac:dyDescent="0.2">
      <c r="B157" s="1">
        <f t="shared" si="8"/>
        <v>149</v>
      </c>
      <c r="C157" s="5" t="s">
        <v>239</v>
      </c>
      <c r="D157" s="1" t="s">
        <v>240</v>
      </c>
      <c r="E157" s="3">
        <v>7.06</v>
      </c>
      <c r="F157" s="6">
        <f>E157*[57]Main!$J$3</f>
        <v>725.62786605999997</v>
      </c>
      <c r="G157" s="6">
        <f>[57]Main!$J$5-[57]Main!$J$6</f>
        <v>197.79600000000002</v>
      </c>
      <c r="H157" s="8">
        <f>+F157-G157</f>
        <v>527.83186605999992</v>
      </c>
      <c r="J157" s="3" t="s">
        <v>16</v>
      </c>
    </row>
    <row r="158" spans="2:29" x14ac:dyDescent="0.2">
      <c r="B158" s="1">
        <f t="shared" si="8"/>
        <v>150</v>
      </c>
      <c r="C158" s="5" t="s">
        <v>361</v>
      </c>
      <c r="D158" s="1" t="s">
        <v>362</v>
      </c>
      <c r="E158" s="7">
        <v>0.6</v>
      </c>
      <c r="F158" s="6">
        <f>+E158*I158</f>
        <v>486.43225439999998</v>
      </c>
      <c r="G158" s="6">
        <f>+[58]Main!$K$5-[58]Main!$K$6</f>
        <v>-37.984000000000002</v>
      </c>
      <c r="H158" s="8">
        <f t="shared" ref="H158" si="9">+F158-G158</f>
        <v>524.41625439999996</v>
      </c>
      <c r="I158" s="6">
        <f>+[58]Main!$K$3</f>
        <v>810.72042399999998</v>
      </c>
      <c r="J158" s="3" t="s">
        <v>309</v>
      </c>
      <c r="K158" s="9">
        <v>44816</v>
      </c>
      <c r="AC158" s="1">
        <v>2002</v>
      </c>
    </row>
    <row r="159" spans="2:29" x14ac:dyDescent="0.2">
      <c r="B159" s="1">
        <f t="shared" si="8"/>
        <v>151</v>
      </c>
      <c r="C159" s="5" t="s">
        <v>241</v>
      </c>
      <c r="D159" s="1" t="s">
        <v>242</v>
      </c>
      <c r="E159" s="3">
        <v>14.68</v>
      </c>
      <c r="F159" s="6">
        <f>E159*[59]Main!$L$3</f>
        <v>587.26396075999992</v>
      </c>
      <c r="G159" s="6">
        <f>[59]Main!$L$5-[59]Main!$L$6</f>
        <v>277.88299999999998</v>
      </c>
      <c r="H159" s="8">
        <f>+F159-G159</f>
        <v>309.38096075999994</v>
      </c>
      <c r="J159" s="3" t="s">
        <v>16</v>
      </c>
    </row>
    <row r="160" spans="2:29" x14ac:dyDescent="0.2">
      <c r="B160" s="1">
        <f t="shared" si="8"/>
        <v>152</v>
      </c>
      <c r="C160" s="5" t="s">
        <v>243</v>
      </c>
      <c r="D160" s="1" t="s">
        <v>244</v>
      </c>
      <c r="E160" s="3">
        <v>4.8600000000000003</v>
      </c>
      <c r="F160" s="6">
        <f>E160*[60]Main!$J$3</f>
        <v>312.71415336000001</v>
      </c>
      <c r="G160" s="8">
        <f>+[60]Main!$J$5-[60]Main!$J$6</f>
        <v>92.317999999999998</v>
      </c>
      <c r="H160" s="8">
        <f>+F160-G160</f>
        <v>220.39615336000003</v>
      </c>
      <c r="J160" s="3" t="s">
        <v>16</v>
      </c>
    </row>
    <row r="161" spans="2:10" x14ac:dyDescent="0.2">
      <c r="B161" s="1">
        <f t="shared" si="8"/>
        <v>153</v>
      </c>
      <c r="C161" s="5" t="s">
        <v>245</v>
      </c>
      <c r="D161" s="1" t="s">
        <v>246</v>
      </c>
      <c r="E161" s="3">
        <v>7.57</v>
      </c>
      <c r="F161" s="6">
        <f>E161*[61]Main!$M$3</f>
        <v>338.45983246000003</v>
      </c>
      <c r="G161" s="6">
        <f>[61]Main!$M$5-[61]Main!$M$6</f>
        <v>120.43700000000001</v>
      </c>
      <c r="H161" s="8">
        <f t="shared" ref="H161:H166" si="10">+F161-G161</f>
        <v>218.02283246000002</v>
      </c>
      <c r="J161" s="3" t="s">
        <v>16</v>
      </c>
    </row>
    <row r="162" spans="2:10" x14ac:dyDescent="0.2">
      <c r="B162" s="1">
        <f t="shared" si="8"/>
        <v>154</v>
      </c>
      <c r="C162" s="5" t="s">
        <v>247</v>
      </c>
      <c r="D162" s="1" t="s">
        <v>248</v>
      </c>
      <c r="E162" s="7">
        <v>0.7</v>
      </c>
      <c r="F162" s="6">
        <f>E162*[62]Main!$M$3</f>
        <v>128.9392503</v>
      </c>
      <c r="G162" s="6">
        <f>[62]Main!$M$5-[62]Main!$M$6</f>
        <v>-59.50200000000001</v>
      </c>
      <c r="H162" s="8">
        <f t="shared" si="10"/>
        <v>188.44125030000001</v>
      </c>
      <c r="J162" s="3" t="s">
        <v>16</v>
      </c>
    </row>
    <row r="163" spans="2:10" x14ac:dyDescent="0.2">
      <c r="B163" s="1">
        <f t="shared" si="8"/>
        <v>155</v>
      </c>
      <c r="C163" s="5" t="s">
        <v>249</v>
      </c>
      <c r="D163" s="1" t="s">
        <v>250</v>
      </c>
      <c r="E163" s="3">
        <v>1.98</v>
      </c>
      <c r="F163" s="6">
        <f>E163*[63]Main!$N$3</f>
        <v>39.757463459999997</v>
      </c>
      <c r="G163" s="6">
        <f>[63]Main!$N$5-[63]Main!$N$6</f>
        <v>15.942</v>
      </c>
      <c r="H163" s="8">
        <f t="shared" si="10"/>
        <v>23.815463459999997</v>
      </c>
      <c r="J163" s="3" t="s">
        <v>16</v>
      </c>
    </row>
    <row r="164" spans="2:10" x14ac:dyDescent="0.2">
      <c r="B164" s="1">
        <f t="shared" si="8"/>
        <v>156</v>
      </c>
      <c r="C164" s="5" t="s">
        <v>251</v>
      </c>
      <c r="D164" s="1" t="s">
        <v>252</v>
      </c>
      <c r="E164" s="3">
        <v>0.62</v>
      </c>
      <c r="F164" s="6">
        <f>E164*[64]Main!$L$3</f>
        <v>30.1881658</v>
      </c>
      <c r="G164" s="6">
        <f>[64]Main!$L$5-[64]Main!$L$6</f>
        <v>13.262999999999998</v>
      </c>
      <c r="H164" s="8">
        <f t="shared" si="10"/>
        <v>16.925165800000002</v>
      </c>
      <c r="J164" s="3" t="s">
        <v>16</v>
      </c>
    </row>
    <row r="165" spans="2:10" x14ac:dyDescent="0.2">
      <c r="B165" s="1">
        <f t="shared" si="8"/>
        <v>157</v>
      </c>
      <c r="C165" s="5" t="s">
        <v>253</v>
      </c>
      <c r="D165" s="1" t="s">
        <v>254</v>
      </c>
      <c r="E165" s="3">
        <v>6.12</v>
      </c>
      <c r="F165" s="6">
        <f>E165*[65]Main!$M$3</f>
        <v>125.46108324000001</v>
      </c>
      <c r="G165" s="6">
        <f>[65]Main!$M$5-[65]Main!$M$6</f>
        <v>131.17699999999999</v>
      </c>
      <c r="H165" s="8">
        <f t="shared" si="10"/>
        <v>-5.7159167599999847</v>
      </c>
      <c r="J165" s="3" t="s">
        <v>16</v>
      </c>
    </row>
    <row r="166" spans="2:10" x14ac:dyDescent="0.2">
      <c r="B166" s="1">
        <f t="shared" ref="B166:B177" si="11">B165+1</f>
        <v>158</v>
      </c>
      <c r="C166" s="5" t="s">
        <v>255</v>
      </c>
      <c r="D166" s="1" t="s">
        <v>256</v>
      </c>
      <c r="E166" s="3">
        <v>0.98</v>
      </c>
      <c r="F166" s="6">
        <f>E166*[66]Main!$M$3</f>
        <v>20.935517539999999</v>
      </c>
      <c r="G166" s="6">
        <f>[66]Main!$M$5-[66]Main!$M$6</f>
        <v>55.28</v>
      </c>
      <c r="H166" s="8">
        <f t="shared" si="10"/>
        <v>-34.344482460000002</v>
      </c>
      <c r="J166" s="3" t="s">
        <v>16</v>
      </c>
    </row>
    <row r="167" spans="2:10" x14ac:dyDescent="0.2">
      <c r="B167" s="1">
        <f t="shared" si="11"/>
        <v>159</v>
      </c>
      <c r="C167" s="1" t="s">
        <v>257</v>
      </c>
      <c r="D167" s="1" t="s">
        <v>258</v>
      </c>
      <c r="E167" s="3">
        <v>0.61</v>
      </c>
    </row>
    <row r="168" spans="2:10" x14ac:dyDescent="0.2">
      <c r="B168" s="1">
        <f t="shared" si="11"/>
        <v>160</v>
      </c>
      <c r="C168" s="1" t="s">
        <v>259</v>
      </c>
      <c r="D168" s="1" t="s">
        <v>260</v>
      </c>
      <c r="E168" s="3">
        <v>5.55</v>
      </c>
    </row>
    <row r="169" spans="2:10" x14ac:dyDescent="0.2">
      <c r="B169" s="1">
        <f t="shared" si="11"/>
        <v>161</v>
      </c>
      <c r="C169" s="1" t="s">
        <v>357</v>
      </c>
      <c r="D169" t="s">
        <v>358</v>
      </c>
      <c r="E169" s="7">
        <v>4.2</v>
      </c>
    </row>
    <row r="170" spans="2:10" x14ac:dyDescent="0.2">
      <c r="B170" s="1">
        <f t="shared" si="11"/>
        <v>162</v>
      </c>
      <c r="C170" s="1" t="s">
        <v>341</v>
      </c>
      <c r="D170" t="s">
        <v>342</v>
      </c>
      <c r="E170" s="7">
        <v>4</v>
      </c>
    </row>
    <row r="171" spans="2:10" x14ac:dyDescent="0.2">
      <c r="B171" s="1">
        <f t="shared" si="11"/>
        <v>163</v>
      </c>
      <c r="C171" t="s">
        <v>345</v>
      </c>
      <c r="D171" t="s">
        <v>346</v>
      </c>
      <c r="E171" s="3">
        <v>20.18</v>
      </c>
    </row>
    <row r="172" spans="2:10" x14ac:dyDescent="0.2">
      <c r="B172" s="1">
        <f t="shared" si="11"/>
        <v>164</v>
      </c>
      <c r="C172" s="1" t="s">
        <v>390</v>
      </c>
      <c r="D172" s="1" t="s">
        <v>391</v>
      </c>
      <c r="E172" s="3">
        <v>25.85</v>
      </c>
    </row>
    <row r="173" spans="2:10" x14ac:dyDescent="0.2">
      <c r="B173" s="1">
        <f t="shared" si="11"/>
        <v>165</v>
      </c>
      <c r="C173" t="s">
        <v>396</v>
      </c>
      <c r="D173" t="s">
        <v>397</v>
      </c>
      <c r="E173" s="3">
        <v>9.26</v>
      </c>
      <c r="F173" s="3">
        <v>204</v>
      </c>
    </row>
    <row r="174" spans="2:10" x14ac:dyDescent="0.2">
      <c r="B174" s="1">
        <f t="shared" si="11"/>
        <v>166</v>
      </c>
      <c r="C174" t="s">
        <v>443</v>
      </c>
      <c r="D174" t="s">
        <v>442</v>
      </c>
    </row>
    <row r="175" spans="2:10" x14ac:dyDescent="0.2">
      <c r="B175" s="1">
        <f t="shared" si="11"/>
        <v>167</v>
      </c>
      <c r="C175" t="s">
        <v>444</v>
      </c>
      <c r="D175" t="s">
        <v>445</v>
      </c>
    </row>
    <row r="176" spans="2:10" x14ac:dyDescent="0.2">
      <c r="B176" s="1">
        <f>B173+1</f>
        <v>166</v>
      </c>
      <c r="C176" s="1" t="s">
        <v>407</v>
      </c>
      <c r="D176" s="1" t="s">
        <v>408</v>
      </c>
    </row>
    <row r="177" spans="2:5" x14ac:dyDescent="0.2">
      <c r="B177" s="1">
        <f t="shared" si="11"/>
        <v>167</v>
      </c>
      <c r="C177" t="s">
        <v>437</v>
      </c>
      <c r="D177" t="s">
        <v>438</v>
      </c>
      <c r="E177" s="3">
        <v>20.32</v>
      </c>
    </row>
  </sheetData>
  <sortState xmlns:xlrd2="http://schemas.microsoft.com/office/spreadsheetml/2017/richdata2" ref="A117:AC143">
    <sortCondition descending="1" ref="F117:F143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9" r:id="rId3" xr:uid="{087C38CF-D4BE-425F-8F38-C4129E6AE209}"/>
    <hyperlink ref="C17" r:id="rId4" xr:uid="{60368EA6-8CB5-4BF4-AD11-2511F2B2CC10}"/>
    <hyperlink ref="C8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5" r:id="rId20" xr:uid="{10922C8B-4C13-4E76-B998-3ADD8CC60E47}"/>
    <hyperlink ref="C25" r:id="rId21" xr:uid="{61277D68-67DC-475B-9B61-B7E2F3017110}"/>
    <hyperlink ref="C160" r:id="rId22" xr:uid="{14A63DAF-63A6-4B91-A2AF-AE28EA251457}"/>
    <hyperlink ref="C163" r:id="rId23" xr:uid="{4ACA7C7F-E42A-4687-A776-AB8065DB40FF}"/>
    <hyperlink ref="C159" r:id="rId24" xr:uid="{B3421391-7EC0-4253-8F62-5ED45A5BFA02}"/>
    <hyperlink ref="C164" r:id="rId25" xr:uid="{F6A45FC7-B73C-4143-9CAB-B3ADA19B5FD7}"/>
    <hyperlink ref="C161" r:id="rId26" xr:uid="{BBD267CB-7407-4913-9D05-6A6AA380019F}"/>
    <hyperlink ref="C166" r:id="rId27" xr:uid="{85368858-6D0F-4ABE-975C-AE5530342445}"/>
    <hyperlink ref="C157" r:id="rId28" xr:uid="{8B5BC1F5-14D4-45A0-B224-31FAF227EAF3}"/>
    <hyperlink ref="C165" r:id="rId29" xr:uid="{D5FB3BFE-F0A8-4C09-90A1-9F506EF0ADE4}"/>
    <hyperlink ref="C162" r:id="rId30" xr:uid="{11598046-2AED-42E7-ACA5-251A20A59427}"/>
    <hyperlink ref="C50" r:id="rId31" xr:uid="{A1C90F9B-FBBF-4C72-9A11-3798F692A0D2}"/>
    <hyperlink ref="C58" r:id="rId32" xr:uid="{F7B6503D-1F84-47C4-B87E-BDA7159D1B9F}"/>
    <hyperlink ref="C45" r:id="rId33" xr:uid="{D0EE43E7-C3F5-4256-99AE-DDCA9EC11DCF}"/>
    <hyperlink ref="C35" r:id="rId34" xr:uid="{1C25970A-A568-4869-A34A-5C6C7551D812}"/>
    <hyperlink ref="C144" r:id="rId35" xr:uid="{C3A06396-38CD-486E-9F4F-233A79292B4F}"/>
    <hyperlink ref="C110" r:id="rId36" xr:uid="{B83625D8-44D2-4842-9139-F29C8D5F2D8E}"/>
    <hyperlink ref="C146" r:id="rId37" xr:uid="{5FF32E6A-C6C7-4793-8271-BD230B9C7641}"/>
    <hyperlink ref="C59" r:id="rId38" xr:uid="{E5739E03-9FE4-4D05-90C8-36ABF7D078CB}"/>
    <hyperlink ref="C60" r:id="rId39" xr:uid="{25285F59-771C-40DB-8B78-E1E454C61406}"/>
    <hyperlink ref="C153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3" r:id="rId44" xr:uid="{559FAD8A-D620-4B93-BE14-CC22630BD57E}"/>
    <hyperlink ref="C11" r:id="rId45" xr:uid="{467EEBCD-6BD7-4E71-B2C9-FCF3DB57F059}"/>
    <hyperlink ref="C158" r:id="rId46" xr:uid="{6A576FDB-A573-4A00-8381-4BECF13B35A1}"/>
    <hyperlink ref="C21" r:id="rId47" xr:uid="{994E2867-C411-41E7-8332-43A0B3B0CC2B}"/>
    <hyperlink ref="C112" r:id="rId48" xr:uid="{51C9506E-5D60-43F8-BADA-7F72A25DAFF6}"/>
    <hyperlink ref="C111" r:id="rId49" xr:uid="{9E4325F2-98CF-4735-96D0-66A9DC5A8E86}"/>
    <hyperlink ref="C147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51" r:id="rId56" xr:uid="{04E7711A-AB14-45D0-B73B-7EA804EC5564}"/>
    <hyperlink ref="C41" r:id="rId57" xr:uid="{547F117B-55D8-401A-AD75-411778B2F717}"/>
    <hyperlink ref="C33" r:id="rId58" xr:uid="{76CA7CFE-7B9B-4C27-8561-3A158A30ED77}"/>
    <hyperlink ref="C13" r:id="rId59" xr:uid="{B0ABAFBD-FFC1-42E3-AFB4-259F4DD19FEC}"/>
    <hyperlink ref="C46" r:id="rId60" xr:uid="{F5D5A68A-4783-46B8-B717-79A0E802B6C4}"/>
    <hyperlink ref="C43" r:id="rId61" xr:uid="{DD930D2F-20A9-46C3-8AA4-5E62A88271DB}"/>
    <hyperlink ref="C31" r:id="rId62" xr:uid="{E248BEED-DD02-463E-BFAC-D02D5521E787}"/>
    <hyperlink ref="C42" r:id="rId63" xr:uid="{01444C35-CEE7-41B7-B694-AE47417B7019}"/>
    <hyperlink ref="C15" r:id="rId64" xr:uid="{57B03CDA-0325-4BAB-BDE9-EF73BAB7F2FB}"/>
    <hyperlink ref="C36" r:id="rId65" xr:uid="{BC97A7B7-8716-48D0-BA90-60A75E6A24CE}"/>
    <hyperlink ref="C44" r:id="rId66" xr:uid="{AD16E898-B1E4-4F25-8E21-E2BC1C6FE9AD}"/>
    <hyperlink ref="C47" r:id="rId67" xr:uid="{E9207892-DA1F-48D2-B2C3-EFA59FCA8A47}"/>
    <hyperlink ref="C61" r:id="rId68" xr:uid="{DE2D1DDB-B5B7-4055-B885-0CD9E7670070}"/>
    <hyperlink ref="C39" r:id="rId69" xr:uid="{9DD12163-063E-4F73-89A5-34D8E8AC0534}"/>
    <hyperlink ref="C40" r:id="rId70" xr:uid="{30732F31-0D9B-4774-8215-75872BFC9B96}"/>
    <hyperlink ref="C53" r:id="rId71" xr:uid="{1D3A6A47-22C9-4CC1-94BD-20DE3BB08016}"/>
    <hyperlink ref="C52" r:id="rId72" xr:uid="{27FB3DB4-8430-405F-9558-F31A0B69ED5F}"/>
    <hyperlink ref="C49" r:id="rId73" xr:uid="{144D13FD-59BD-499B-A0B4-B06985623C68}"/>
    <hyperlink ref="C145" r:id="rId74" xr:uid="{E48CD1EB-CFA1-47B1-BD8B-09F09CDD4FA4}"/>
  </hyperlinks>
  <pageMargins left="0.7" right="0.7" top="0.75" bottom="0.75" header="0.3" footer="0.3"/>
  <pageSetup paperSize="9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Main!B52+1</f>
        <v>45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46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0</v>
      </c>
    </row>
    <row r="4" spans="1:9" x14ac:dyDescent="0.2">
      <c r="B4" t="s">
        <v>287</v>
      </c>
    </row>
    <row r="5" spans="1:9" x14ac:dyDescent="0.2">
      <c r="B5" t="s">
        <v>288</v>
      </c>
    </row>
    <row r="6" spans="1:9" x14ac:dyDescent="0.2">
      <c r="B6" t="s">
        <v>289</v>
      </c>
      <c r="C6">
        <v>2019</v>
      </c>
      <c r="D6" t="s">
        <v>290</v>
      </c>
    </row>
    <row r="7" spans="1:9" x14ac:dyDescent="0.2">
      <c r="B7" t="s">
        <v>292</v>
      </c>
    </row>
    <row r="8" spans="1:9" x14ac:dyDescent="0.2">
      <c r="B8" t="s">
        <v>294</v>
      </c>
    </row>
    <row r="9" spans="1:9" x14ac:dyDescent="0.2">
      <c r="B9" t="s">
        <v>297</v>
      </c>
    </row>
    <row r="10" spans="1:9" x14ac:dyDescent="0.2">
      <c r="B10" t="s">
        <v>332</v>
      </c>
      <c r="C10">
        <v>2019</v>
      </c>
      <c r="D10" t="s">
        <v>340</v>
      </c>
      <c r="E10" t="s">
        <v>334</v>
      </c>
      <c r="F10" t="s">
        <v>338</v>
      </c>
      <c r="G10" t="s">
        <v>337</v>
      </c>
      <c r="H10" s="13">
        <v>44599</v>
      </c>
    </row>
    <row r="11" spans="1:9" x14ac:dyDescent="0.2">
      <c r="B11" t="s">
        <v>347</v>
      </c>
      <c r="E11" t="s">
        <v>334</v>
      </c>
      <c r="F11" t="s">
        <v>348</v>
      </c>
    </row>
    <row r="12" spans="1:9" x14ac:dyDescent="0.2">
      <c r="B12" t="s">
        <v>349</v>
      </c>
    </row>
    <row r="13" spans="1:9" x14ac:dyDescent="0.2">
      <c r="B13" t="s">
        <v>350</v>
      </c>
      <c r="I13" t="s">
        <v>351</v>
      </c>
    </row>
    <row r="14" spans="1:9" x14ac:dyDescent="0.2">
      <c r="B14" t="s">
        <v>395</v>
      </c>
    </row>
    <row r="15" spans="1:9" x14ac:dyDescent="0.2">
      <c r="B15" t="s">
        <v>398</v>
      </c>
      <c r="C15" t="s">
        <v>399</v>
      </c>
      <c r="E15" t="s">
        <v>334</v>
      </c>
      <c r="F15" t="s">
        <v>400</v>
      </c>
      <c r="H15" s="13">
        <v>43466</v>
      </c>
      <c r="I15" t="s">
        <v>401</v>
      </c>
    </row>
    <row r="16" spans="1:9" x14ac:dyDescent="0.2">
      <c r="B16" t="s">
        <v>402</v>
      </c>
    </row>
    <row r="17" spans="2:9" x14ac:dyDescent="0.2">
      <c r="B17" t="s">
        <v>403</v>
      </c>
      <c r="E17" t="s">
        <v>404</v>
      </c>
      <c r="F17" t="s">
        <v>405</v>
      </c>
      <c r="I17" t="s">
        <v>406</v>
      </c>
    </row>
    <row r="18" spans="2:9" x14ac:dyDescent="0.2">
      <c r="B18" t="s">
        <v>410</v>
      </c>
      <c r="E18" t="s">
        <v>404</v>
      </c>
      <c r="F18" t="s">
        <v>411</v>
      </c>
    </row>
    <row r="19" spans="2:9" x14ac:dyDescent="0.2">
      <c r="B19" t="s">
        <v>428</v>
      </c>
    </row>
    <row r="20" spans="2:9" x14ac:dyDescent="0.2">
      <c r="B20" t="s">
        <v>432</v>
      </c>
    </row>
    <row r="21" spans="2:9" x14ac:dyDescent="0.2">
      <c r="B21" t="s">
        <v>434</v>
      </c>
    </row>
    <row r="22" spans="2:9" x14ac:dyDescent="0.2">
      <c r="B22" t="s">
        <v>439</v>
      </c>
      <c r="I22" t="s">
        <v>440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2023-01-22T20:42:27Z</dcterms:modified>
</cp:coreProperties>
</file>