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6BE16B0-7E8D-429A-8D74-B11C835768E9}" xr6:coauthVersionLast="47" xr6:coauthVersionMax="47" xr10:uidLastSave="{00000000-0000-0000-0000-000000000000}"/>
  <bookViews>
    <workbookView xWindow="9315" yWindow="1440" windowWidth="38700" windowHeight="15345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64" i="99" l="1"/>
  <c r="FC160" i="99"/>
  <c r="FC159" i="99"/>
  <c r="FC144" i="99"/>
  <c r="FC156" i="99"/>
  <c r="FC152" i="99"/>
  <c r="FC147" i="99"/>
  <c r="FC145" i="99"/>
  <c r="FC154" i="99" s="1"/>
  <c r="FB78" i="99"/>
  <c r="FC72" i="99"/>
  <c r="FC70" i="99"/>
  <c r="FB74" i="99"/>
  <c r="FC56" i="99"/>
  <c r="FC55" i="99"/>
  <c r="FC54" i="99"/>
  <c r="FC53" i="99"/>
  <c r="FC52" i="99"/>
  <c r="FC51" i="99"/>
  <c r="FC50" i="99"/>
  <c r="FC49" i="99"/>
  <c r="FC27" i="99"/>
  <c r="FC24" i="99"/>
  <c r="FC23" i="99"/>
  <c r="FC18" i="99"/>
  <c r="FC16" i="99"/>
  <c r="FC15" i="99"/>
  <c r="FC14" i="99"/>
  <c r="FC13" i="99"/>
  <c r="FC12" i="99"/>
  <c r="FC11" i="99"/>
  <c r="FC10" i="99"/>
  <c r="FC9" i="99"/>
  <c r="FC6" i="99"/>
  <c r="DY24" i="99"/>
  <c r="DY20" i="99"/>
  <c r="FC20" i="99" s="1"/>
  <c r="DY27" i="99"/>
  <c r="DY23" i="99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DY16" i="99"/>
  <c r="DY15" i="99"/>
  <c r="DY14" i="99"/>
  <c r="DY13" i="99"/>
  <c r="DY12" i="99"/>
  <c r="DY11" i="99"/>
  <c r="DY10" i="99"/>
  <c r="DY9" i="99"/>
  <c r="DZ3" i="99"/>
  <c r="FB28" i="99"/>
  <c r="FB17" i="99"/>
  <c r="FB26" i="99"/>
  <c r="FB19" i="99"/>
  <c r="FB30" i="99"/>
  <c r="FB25" i="99"/>
  <c r="FB24" i="99"/>
  <c r="FB21" i="99"/>
  <c r="FB15" i="99"/>
  <c r="FB62" i="99" s="1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B94" i="99" l="1"/>
  <c r="FC62" i="99"/>
  <c r="FC65" i="99" s="1"/>
  <c r="FC71" i="99" s="1"/>
  <c r="FC74" i="99" s="1"/>
  <c r="FC76" i="99" s="1"/>
  <c r="FC78" i="99" s="1"/>
  <c r="DY3" i="99"/>
  <c r="DU3" i="99"/>
  <c r="FA100" i="99"/>
  <c r="EZ72" i="99"/>
  <c r="EZ70" i="99"/>
  <c r="FA72" i="99"/>
  <c r="FA70" i="99"/>
  <c r="EZ61" i="99"/>
  <c r="FA61" i="99"/>
  <c r="FA20" i="99"/>
  <c r="EZ20" i="99"/>
  <c r="DR3" i="99"/>
  <c r="FC94" i="99" l="1"/>
  <c r="EZ3" i="99"/>
  <c r="FA3" i="99"/>
  <c r="FA62" i="99"/>
  <c r="FA87" i="99" s="1"/>
  <c r="EZ62" i="99"/>
  <c r="EZ65" i="99" s="1"/>
  <c r="EZ84" i="99" s="1"/>
  <c r="FA85" i="99"/>
  <c r="EN20" i="99"/>
  <c r="EO20" i="99"/>
  <c r="ER20" i="99"/>
  <c r="ES20" i="99"/>
  <c r="FA86" i="99" l="1"/>
  <c r="FA65" i="99"/>
  <c r="FA94" i="99"/>
  <c r="FA71" i="99"/>
  <c r="FA84" i="99"/>
  <c r="ES58" i="99"/>
  <c r="ER58" i="99"/>
  <c r="ES11" i="99"/>
  <c r="ET11" i="99" s="1"/>
  <c r="EU11" i="99" s="1"/>
  <c r="EV11" i="99" s="1"/>
  <c r="EW11" i="99" s="1"/>
  <c r="EX11" i="99" s="1"/>
  <c r="ER11" i="99"/>
  <c r="ES57" i="99"/>
  <c r="ET57" i="99" s="1"/>
  <c r="EU57" i="99" s="1"/>
  <c r="EV57" i="99" s="1"/>
  <c r="EW57" i="99" s="1"/>
  <c r="EX57" i="99" s="1"/>
  <c r="ER57" i="99"/>
  <c r="ES56" i="99"/>
  <c r="ER56" i="99"/>
  <c r="ES55" i="99"/>
  <c r="ER55" i="99"/>
  <c r="ES54" i="99"/>
  <c r="ER54" i="99"/>
  <c r="ES53" i="99"/>
  <c r="ER53" i="99"/>
  <c r="ES52" i="99"/>
  <c r="ER52" i="99"/>
  <c r="ES51" i="99"/>
  <c r="ER51" i="99"/>
  <c r="ES50" i="99"/>
  <c r="ER50" i="99"/>
  <c r="ES49" i="99"/>
  <c r="ER49" i="99"/>
  <c r="ES48" i="99"/>
  <c r="ET48" i="99" s="1"/>
  <c r="EU48" i="99" s="1"/>
  <c r="EV48" i="99" s="1"/>
  <c r="EW48" i="99" s="1"/>
  <c r="EX48" i="99" s="1"/>
  <c r="ER48" i="99"/>
  <c r="ES47" i="99"/>
  <c r="ER47" i="99"/>
  <c r="ES25" i="99"/>
  <c r="ER25" i="99"/>
  <c r="ES27" i="99"/>
  <c r="ER27" i="99"/>
  <c r="ES45" i="99"/>
  <c r="ER45" i="99"/>
  <c r="ES44" i="99"/>
  <c r="ET44" i="99" s="1"/>
  <c r="EU44" i="99" s="1"/>
  <c r="EV44" i="99" s="1"/>
  <c r="EW44" i="99" s="1"/>
  <c r="EX44" i="99" s="1"/>
  <c r="EY44" i="99" s="1"/>
  <c r="ER44" i="99"/>
  <c r="ES15" i="99"/>
  <c r="ER15" i="99"/>
  <c r="ES28" i="99"/>
  <c r="ER28" i="99"/>
  <c r="ES43" i="99"/>
  <c r="ER43" i="99"/>
  <c r="ES14" i="99"/>
  <c r="ER14" i="99"/>
  <c r="ES41" i="99"/>
  <c r="ER41" i="99"/>
  <c r="ES40" i="99"/>
  <c r="ER40" i="99"/>
  <c r="ES39" i="99"/>
  <c r="ER39" i="99"/>
  <c r="ES38" i="99"/>
  <c r="ER38" i="99"/>
  <c r="ES24" i="99"/>
  <c r="ER24" i="99"/>
  <c r="ES18" i="99"/>
  <c r="ER18" i="99"/>
  <c r="ER22" i="99"/>
  <c r="EQ56" i="99"/>
  <c r="EQ55" i="99"/>
  <c r="EQ54" i="99"/>
  <c r="EQ53" i="99"/>
  <c r="EQ52" i="99"/>
  <c r="EQ51" i="99"/>
  <c r="EQ50" i="99"/>
  <c r="EQ49" i="99"/>
  <c r="ES22" i="99"/>
  <c r="EO22" i="99"/>
  <c r="EN22" i="99"/>
  <c r="EK22" i="99"/>
  <c r="EJ22" i="99"/>
  <c r="FA88" i="99" l="1"/>
  <c r="FA74" i="99"/>
  <c r="EP84" i="99"/>
  <c r="EQ72" i="99"/>
  <c r="EQ70" i="99"/>
  <c r="EQ8" i="99"/>
  <c r="EQ7" i="99"/>
  <c r="EQ6" i="99"/>
  <c r="EQ5" i="99"/>
  <c r="EQ4" i="99"/>
  <c r="EQ47" i="99"/>
  <c r="ET47" i="99" s="1"/>
  <c r="EU47" i="99" s="1"/>
  <c r="EV47" i="99" s="1"/>
  <c r="EW47" i="99" s="1"/>
  <c r="EX47" i="99" s="1"/>
  <c r="EY47" i="99" s="1"/>
  <c r="EQ46" i="99"/>
  <c r="CC61" i="99"/>
  <c r="CC62" i="99" s="1"/>
  <c r="CB61" i="99"/>
  <c r="CB62" i="99" s="1"/>
  <c r="BZ61" i="99"/>
  <c r="V14" i="99"/>
  <c r="V47" i="99"/>
  <c r="V46" i="99"/>
  <c r="BY61" i="99"/>
  <c r="BY62" i="99" s="1"/>
  <c r="V6" i="99"/>
  <c r="V25" i="99"/>
  <c r="V27" i="99"/>
  <c r="V45" i="99"/>
  <c r="V44" i="99"/>
  <c r="V15" i="99"/>
  <c r="V28" i="99"/>
  <c r="V43" i="99"/>
  <c r="V42" i="99"/>
  <c r="V41" i="99"/>
  <c r="V40" i="99"/>
  <c r="V39" i="99"/>
  <c r="V38" i="99"/>
  <c r="V24" i="99"/>
  <c r="V18" i="99"/>
  <c r="X18" i="99" s="1"/>
  <c r="V20" i="99"/>
  <c r="X20" i="99" s="1"/>
  <c r="V22" i="99"/>
  <c r="X22" i="99" s="1"/>
  <c r="CA41" i="99"/>
  <c r="EQ41" i="99" s="1"/>
  <c r="FA90" i="99" l="1"/>
  <c r="FA89" i="99"/>
  <c r="FA76" i="99"/>
  <c r="FA78" i="99" s="1"/>
  <c r="FA91" i="99" s="1"/>
  <c r="BZ62" i="99"/>
  <c r="BY117" i="99"/>
  <c r="BZ117" i="99"/>
  <c r="CC117" i="99"/>
  <c r="BY118" i="99"/>
  <c r="BZ118" i="99"/>
  <c r="CC118" i="99"/>
  <c r="CA48" i="99"/>
  <c r="CA14" i="99"/>
  <c r="EQ14" i="99" s="1"/>
  <c r="U47" i="99"/>
  <c r="CA25" i="99"/>
  <c r="CA27" i="99"/>
  <c r="CA45" i="99"/>
  <c r="CA44" i="99"/>
  <c r="EQ44" i="99" s="1"/>
  <c r="CA15" i="99"/>
  <c r="CA43" i="99"/>
  <c r="CA42" i="99"/>
  <c r="U41" i="99"/>
  <c r="CA40" i="99"/>
  <c r="CA39" i="99"/>
  <c r="CA38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ET20" i="99"/>
  <c r="EU20" i="99" s="1"/>
  <c r="EV20" i="99" s="1"/>
  <c r="EW20" i="99" s="1"/>
  <c r="EX20" i="99" s="1"/>
  <c r="EY20" i="99" s="1"/>
  <c r="U38" i="99"/>
  <c r="EQ38" i="99"/>
  <c r="U45" i="99"/>
  <c r="EQ45" i="99"/>
  <c r="U14" i="99"/>
  <c r="U18" i="99"/>
  <c r="W18" i="99" s="1"/>
  <c r="EQ18" i="99"/>
  <c r="ET18" i="99" s="1"/>
  <c r="EU18" i="99" s="1"/>
  <c r="EV18" i="99" s="1"/>
  <c r="EW18" i="99" s="1"/>
  <c r="EX18" i="99" s="1"/>
  <c r="EY18" i="99" s="1"/>
  <c r="U43" i="99"/>
  <c r="EQ43" i="99"/>
  <c r="U24" i="99"/>
  <c r="EQ24" i="99"/>
  <c r="U40" i="99"/>
  <c r="EQ40" i="99"/>
  <c r="U15" i="99"/>
  <c r="EQ15" i="99"/>
  <c r="U25" i="99"/>
  <c r="EQ25" i="99"/>
  <c r="U44" i="99"/>
  <c r="U42" i="99"/>
  <c r="EQ42" i="99"/>
  <c r="U39" i="99"/>
  <c r="EQ39" i="99"/>
  <c r="U27" i="99"/>
  <c r="EQ27" i="99"/>
  <c r="U48" i="99"/>
  <c r="V48" i="99" s="1"/>
  <c r="V62" i="99" s="1"/>
  <c r="EQ48" i="99"/>
  <c r="U22" i="99"/>
  <c r="W22" i="99" s="1"/>
  <c r="CA61" i="99"/>
  <c r="EQ61" i="99" s="1"/>
  <c r="U28" i="99"/>
  <c r="EQ28" i="99"/>
  <c r="U46" i="99"/>
  <c r="ET61" i="99" l="1"/>
  <c r="EU61" i="99" s="1"/>
  <c r="EV61" i="99" s="1"/>
  <c r="EW61" i="99" s="1"/>
  <c r="EX61" i="99" s="1"/>
  <c r="EY61" i="99" s="1"/>
  <c r="CA62" i="99"/>
  <c r="U62" i="99"/>
  <c r="CA3" i="99"/>
  <c r="EQ3" i="99" s="1"/>
  <c r="EQ62" i="99" s="1"/>
  <c r="EQ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38" i="99"/>
  <c r="Q39" i="99"/>
  <c r="Q40" i="99"/>
  <c r="Q41" i="99"/>
  <c r="Q42" i="99"/>
  <c r="Q43" i="99"/>
  <c r="Q49" i="99"/>
  <c r="Q15" i="99"/>
  <c r="Q44" i="99"/>
  <c r="Q45" i="99"/>
  <c r="Q27" i="99"/>
  <c r="Q58" i="99"/>
  <c r="Q25" i="99"/>
  <c r="Q46" i="99"/>
  <c r="Q47" i="99"/>
  <c r="Q8" i="99"/>
  <c r="Q62" i="99" s="1"/>
  <c r="Q87" i="99" s="1"/>
  <c r="BT28" i="99"/>
  <c r="EO28" i="99" s="1"/>
  <c r="BT38" i="99"/>
  <c r="EO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22" i="99"/>
  <c r="BW20" i="99"/>
  <c r="BW18" i="99"/>
  <c r="BW24" i="99"/>
  <c r="BX24" i="99" s="1"/>
  <c r="T24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5" i="99"/>
  <c r="BW44" i="99"/>
  <c r="BX44" i="99" s="1"/>
  <c r="T44" i="99" s="1"/>
  <c r="BW45" i="99"/>
  <c r="BX45" i="99" s="1"/>
  <c r="EP45" i="99" s="1"/>
  <c r="ET45" i="99" s="1"/>
  <c r="EU45" i="99" s="1"/>
  <c r="EV45" i="99" s="1"/>
  <c r="EW45" i="99" s="1"/>
  <c r="EX45" i="99" s="1"/>
  <c r="EY45" i="99" s="1"/>
  <c r="BW27" i="99"/>
  <c r="BX27" i="99" s="1"/>
  <c r="BW58" i="99"/>
  <c r="BW25" i="99"/>
  <c r="BX25" i="99" s="1"/>
  <c r="BW46" i="99"/>
  <c r="BX46" i="99" s="1"/>
  <c r="BW14" i="99"/>
  <c r="EP14" i="99" s="1"/>
  <c r="EG3" i="99"/>
  <c r="EH3" i="99"/>
  <c r="EI3" i="99"/>
  <c r="EJ18" i="99"/>
  <c r="EJ24" i="99"/>
  <c r="EJ28" i="99"/>
  <c r="EJ38" i="99"/>
  <c r="EJ39" i="99"/>
  <c r="EJ40" i="99"/>
  <c r="EJ41" i="99"/>
  <c r="EJ42" i="99"/>
  <c r="EJ43" i="99"/>
  <c r="EJ49" i="99"/>
  <c r="EJ15" i="99"/>
  <c r="EJ44" i="99"/>
  <c r="EJ45" i="99"/>
  <c r="EJ27" i="99"/>
  <c r="EJ58" i="99"/>
  <c r="EJ25" i="99"/>
  <c r="EJ46" i="99"/>
  <c r="EJ50" i="99"/>
  <c r="EJ51" i="99"/>
  <c r="EJ52" i="99"/>
  <c r="EJ53" i="99"/>
  <c r="EJ54" i="99"/>
  <c r="EJ55" i="99"/>
  <c r="EJ56" i="99"/>
  <c r="EJ60" i="99"/>
  <c r="EK18" i="99"/>
  <c r="EK24" i="99"/>
  <c r="EK28" i="99"/>
  <c r="EK38" i="99"/>
  <c r="EK39" i="99"/>
  <c r="EK40" i="99"/>
  <c r="EK41" i="99"/>
  <c r="EK42" i="99"/>
  <c r="EK43" i="99"/>
  <c r="EK49" i="99"/>
  <c r="EK15" i="99"/>
  <c r="EK44" i="99"/>
  <c r="EK45" i="99"/>
  <c r="EK27" i="99"/>
  <c r="EK58" i="99"/>
  <c r="EK25" i="99"/>
  <c r="EK46" i="99"/>
  <c r="EK50" i="99"/>
  <c r="EK51" i="99"/>
  <c r="EK52" i="99"/>
  <c r="EK53" i="99"/>
  <c r="EK54" i="99"/>
  <c r="EK55" i="99"/>
  <c r="EK56" i="99"/>
  <c r="EK60" i="99"/>
  <c r="L22" i="99"/>
  <c r="EL22" i="99" s="1"/>
  <c r="L20" i="99"/>
  <c r="EL20" i="99" s="1"/>
  <c r="L18" i="99"/>
  <c r="EL18" i="99" s="1"/>
  <c r="L24" i="99"/>
  <c r="EL24" i="99" s="1"/>
  <c r="L28" i="99"/>
  <c r="EL28" i="99" s="1"/>
  <c r="L38" i="99"/>
  <c r="EL38" i="99" s="1"/>
  <c r="L39" i="99"/>
  <c r="EL39" i="99" s="1"/>
  <c r="L40" i="99"/>
  <c r="EL40" i="99" s="1"/>
  <c r="L41" i="99"/>
  <c r="EL41" i="99" s="1"/>
  <c r="L42" i="99"/>
  <c r="EL42" i="99" s="1"/>
  <c r="L43" i="99"/>
  <c r="EL43" i="99" s="1"/>
  <c r="L49" i="99"/>
  <c r="EL49" i="99" s="1"/>
  <c r="L15" i="99"/>
  <c r="EL15" i="99" s="1"/>
  <c r="L44" i="99"/>
  <c r="EL44" i="99" s="1"/>
  <c r="L45" i="99"/>
  <c r="EL45" i="99" s="1"/>
  <c r="L27" i="99"/>
  <c r="EL27" i="99" s="1"/>
  <c r="L58" i="99"/>
  <c r="EL58" i="99" s="1"/>
  <c r="L25" i="99"/>
  <c r="EL25" i="99" s="1"/>
  <c r="L46" i="99"/>
  <c r="EL46" i="99" s="1"/>
  <c r="L50" i="99"/>
  <c r="EL50" i="99" s="1"/>
  <c r="EL60" i="99"/>
  <c r="N22" i="99"/>
  <c r="EM22" i="99" s="1"/>
  <c r="N20" i="99"/>
  <c r="EM20" i="99" s="1"/>
  <c r="N18" i="99"/>
  <c r="EM18" i="99" s="1"/>
  <c r="N24" i="99"/>
  <c r="EM24" i="99" s="1"/>
  <c r="N28" i="99"/>
  <c r="EM28" i="99" s="1"/>
  <c r="N38" i="99"/>
  <c r="EM38" i="99" s="1"/>
  <c r="N39" i="99"/>
  <c r="EM39" i="99" s="1"/>
  <c r="N40" i="99"/>
  <c r="EM40" i="99" s="1"/>
  <c r="N41" i="99"/>
  <c r="EM41" i="99" s="1"/>
  <c r="N42" i="99"/>
  <c r="EM42" i="99" s="1"/>
  <c r="N43" i="99"/>
  <c r="EM43" i="99" s="1"/>
  <c r="N49" i="99"/>
  <c r="EM49" i="99" s="1"/>
  <c r="N15" i="99"/>
  <c r="EM15" i="99" s="1"/>
  <c r="N44" i="99"/>
  <c r="EM44" i="99" s="1"/>
  <c r="N45" i="99"/>
  <c r="EM45" i="99" s="1"/>
  <c r="N27" i="99"/>
  <c r="EM27" i="99" s="1"/>
  <c r="N58" i="99"/>
  <c r="EM58" i="99" s="1"/>
  <c r="N25" i="99"/>
  <c r="EM25" i="99" s="1"/>
  <c r="N46" i="99"/>
  <c r="EM46" i="99" s="1"/>
  <c r="EM47" i="99"/>
  <c r="N50" i="99"/>
  <c r="EM50" i="99" s="1"/>
  <c r="EN18" i="99"/>
  <c r="EN24" i="99"/>
  <c r="EN28" i="99"/>
  <c r="EN38" i="99"/>
  <c r="EN39" i="99"/>
  <c r="EN40" i="99"/>
  <c r="EN41" i="99"/>
  <c r="EN42" i="99"/>
  <c r="EN43" i="99"/>
  <c r="EN49" i="99"/>
  <c r="EN15" i="99"/>
  <c r="EN44" i="99"/>
  <c r="EN45" i="99"/>
  <c r="EN27" i="99"/>
  <c r="EN58" i="99"/>
  <c r="EN25" i="99"/>
  <c r="EN46" i="99"/>
  <c r="EN47" i="99"/>
  <c r="EO18" i="99"/>
  <c r="EO24" i="99"/>
  <c r="EO42" i="99"/>
  <c r="EO49" i="99"/>
  <c r="EO15" i="99"/>
  <c r="EO44" i="99"/>
  <c r="EO45" i="99"/>
  <c r="EO27" i="99"/>
  <c r="EO58" i="99"/>
  <c r="EO25" i="99"/>
  <c r="EO46" i="99"/>
  <c r="EO47" i="99"/>
  <c r="BV61" i="99"/>
  <c r="ET43" i="99"/>
  <c r="EU43" i="99" s="1"/>
  <c r="EV43" i="99" s="1"/>
  <c r="EW43" i="99" s="1"/>
  <c r="EX43" i="99" s="1"/>
  <c r="EY43" i="99" s="1"/>
  <c r="ET14" i="99"/>
  <c r="EU14" i="99" s="1"/>
  <c r="EV14" i="99" s="1"/>
  <c r="EW14" i="99" s="1"/>
  <c r="EX14" i="99" s="1"/>
  <c r="EY14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0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5" i="99"/>
  <c r="P15" i="99"/>
  <c r="R15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5" i="99"/>
  <c r="P25" i="99"/>
  <c r="R25" i="99"/>
  <c r="J46" i="99"/>
  <c r="P46" i="99"/>
  <c r="R46" i="99"/>
  <c r="P47" i="99"/>
  <c r="R47" i="99"/>
  <c r="T47" i="99"/>
  <c r="J50" i="99"/>
  <c r="T14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K63" i="99" s="1"/>
  <c r="L63" i="99"/>
  <c r="EL63" i="99" s="1"/>
  <c r="M63" i="99"/>
  <c r="N63" i="99" s="1"/>
  <c r="EM63" i="99" s="1"/>
  <c r="P63" i="99"/>
  <c r="EN63" i="99" s="1"/>
  <c r="R63" i="99"/>
  <c r="EO63" i="99" s="1"/>
  <c r="T63" i="99"/>
  <c r="J64" i="99"/>
  <c r="EK64" i="99" s="1"/>
  <c r="L64" i="99"/>
  <c r="EL64" i="99" s="1"/>
  <c r="N64" i="99"/>
  <c r="EM64" i="99" s="1"/>
  <c r="P64" i="99"/>
  <c r="EN64" i="99" s="1"/>
  <c r="R64" i="99"/>
  <c r="EO64" i="99" s="1"/>
  <c r="T64" i="99"/>
  <c r="EP64" i="99" s="1"/>
  <c r="J66" i="99"/>
  <c r="L66" i="99"/>
  <c r="EL66" i="99" s="1"/>
  <c r="N66" i="99"/>
  <c r="EM66" i="99" s="1"/>
  <c r="P66" i="99"/>
  <c r="EN66" i="99" s="1"/>
  <c r="R66" i="99"/>
  <c r="EO66" i="99" s="1"/>
  <c r="T66" i="99"/>
  <c r="EP66" i="99" s="1"/>
  <c r="ER66" i="99" s="1"/>
  <c r="J67" i="99"/>
  <c r="L67" i="99"/>
  <c r="EL67" i="99" s="1"/>
  <c r="EL103" i="99" s="1"/>
  <c r="N67" i="99"/>
  <c r="EM67" i="99" s="1"/>
  <c r="P67" i="99"/>
  <c r="R67" i="99"/>
  <c r="EO67" i="99" s="1"/>
  <c r="T67" i="99"/>
  <c r="J68" i="99"/>
  <c r="EK68" i="99" s="1"/>
  <c r="EK104" i="99" s="1"/>
  <c r="L68" i="99"/>
  <c r="EL68" i="99" s="1"/>
  <c r="N68" i="99"/>
  <c r="P68" i="99"/>
  <c r="EN68" i="99" s="1"/>
  <c r="R68" i="99"/>
  <c r="EO68" i="99" s="1"/>
  <c r="T68" i="99"/>
  <c r="EP68" i="99" s="1"/>
  <c r="M69" i="99"/>
  <c r="N69" i="99" s="1"/>
  <c r="O70" i="99"/>
  <c r="Q70" i="99"/>
  <c r="S70" i="99"/>
  <c r="J72" i="99"/>
  <c r="L72" i="99"/>
  <c r="EL72" i="99" s="1"/>
  <c r="N72" i="99"/>
  <c r="EM72" i="99" s="1"/>
  <c r="P72" i="99"/>
  <c r="R72" i="99"/>
  <c r="EO72" i="99" s="1"/>
  <c r="T72" i="99"/>
  <c r="EP72" i="99" s="1"/>
  <c r="EP82" i="99"/>
  <c r="T73" i="99"/>
  <c r="EP73" i="99" s="1"/>
  <c r="T75" i="99"/>
  <c r="EP75" i="99" s="1"/>
  <c r="T77" i="99"/>
  <c r="EP77" i="99" s="1"/>
  <c r="J73" i="99"/>
  <c r="L73" i="99"/>
  <c r="EL73" i="99" s="1"/>
  <c r="N73" i="99"/>
  <c r="EM73" i="99" s="1"/>
  <c r="P73" i="99"/>
  <c r="R73" i="99"/>
  <c r="EO73" i="99" s="1"/>
  <c r="J75" i="99"/>
  <c r="L75" i="99"/>
  <c r="EL75" i="99" s="1"/>
  <c r="N75" i="99"/>
  <c r="EM75" i="99" s="1"/>
  <c r="R75" i="99"/>
  <c r="EO75" i="99" s="1"/>
  <c r="J77" i="99"/>
  <c r="L77" i="99"/>
  <c r="EL77" i="99" s="1"/>
  <c r="N77" i="99"/>
  <c r="EM77" i="99" s="1"/>
  <c r="P77" i="99"/>
  <c r="R77" i="99"/>
  <c r="EO77" i="99" s="1"/>
  <c r="P80" i="99"/>
  <c r="Q80" i="99" s="1"/>
  <c r="R80" i="99" s="1"/>
  <c r="S80" i="99" s="1"/>
  <c r="T80" i="99" s="1"/>
  <c r="EL80" i="99"/>
  <c r="EM80" i="99" s="1"/>
  <c r="EN80" i="99" s="1"/>
  <c r="EO80" i="99" s="1"/>
  <c r="EP80" i="99" s="1"/>
  <c r="EQ80" i="99" s="1"/>
  <c r="ER80" i="99" s="1"/>
  <c r="ES80" i="99" s="1"/>
  <c r="ET80" i="99" s="1"/>
  <c r="EN82" i="99"/>
  <c r="EO82" i="99"/>
  <c r="EH84" i="99"/>
  <c r="EI84" i="99"/>
  <c r="EJ84" i="99"/>
  <c r="EK102" i="99"/>
  <c r="EK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N140" i="99"/>
  <c r="EO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1" i="99"/>
  <c r="EQ84" i="99"/>
  <c r="AB44" i="115"/>
  <c r="Y44" i="115"/>
  <c r="ET22" i="99"/>
  <c r="ER63" i="99"/>
  <c r="ES63" i="99" s="1"/>
  <c r="ET63" i="99" s="1"/>
  <c r="EU63" i="99" s="1"/>
  <c r="EV63" i="99" s="1"/>
  <c r="EW63" i="99" s="1"/>
  <c r="EX63" i="99" s="1"/>
  <c r="EY63" i="99" s="1"/>
  <c r="EP63" i="99"/>
  <c r="BW119" i="99"/>
  <c r="BR62" i="99"/>
  <c r="BV94" i="99" s="1"/>
  <c r="Q86" i="99"/>
  <c r="BW118" i="99"/>
  <c r="CA118" i="99"/>
  <c r="BX20" i="99"/>
  <c r="EP20" i="99" s="1"/>
  <c r="BW117" i="99"/>
  <c r="CA117" i="99"/>
  <c r="BT120" i="99"/>
  <c r="CA119" i="99"/>
  <c r="EQ100" i="99"/>
  <c r="EO41" i="99"/>
  <c r="EM103" i="99"/>
  <c r="R28" i="99"/>
  <c r="BM62" i="99"/>
  <c r="EY100" i="99"/>
  <c r="K85" i="99"/>
  <c r="BL62" i="99"/>
  <c r="EN100" i="99"/>
  <c r="BT123" i="99"/>
  <c r="EX100" i="99"/>
  <c r="EL104" i="99"/>
  <c r="K87" i="99"/>
  <c r="K94" i="99"/>
  <c r="EU100" i="99"/>
  <c r="ET100" i="99"/>
  <c r="K86" i="99"/>
  <c r="R70" i="99"/>
  <c r="BP62" i="99"/>
  <c r="EO39" i="99"/>
  <c r="EP44" i="99"/>
  <c r="EW100" i="99"/>
  <c r="ES100" i="99"/>
  <c r="EV100" i="99"/>
  <c r="ER100" i="99"/>
  <c r="EP25" i="99"/>
  <c r="ET25" i="99" s="1"/>
  <c r="EU25" i="99" s="1"/>
  <c r="EV25" i="99" s="1"/>
  <c r="EW25" i="99" s="1"/>
  <c r="EX25" i="99" s="1"/>
  <c r="T25" i="99"/>
  <c r="EP42" i="99"/>
  <c r="T42" i="99"/>
  <c r="EO8" i="99"/>
  <c r="R8" i="99"/>
  <c r="EM100" i="99"/>
  <c r="BT125" i="99"/>
  <c r="BT122" i="99"/>
  <c r="O87" i="99"/>
  <c r="O86" i="99"/>
  <c r="BQ62" i="99"/>
  <c r="R38" i="99"/>
  <c r="EM8" i="99"/>
  <c r="EK6" i="99"/>
  <c r="EO5" i="99"/>
  <c r="EO43" i="99"/>
  <c r="BW61" i="99"/>
  <c r="BW3" i="99" s="1"/>
  <c r="M62" i="99"/>
  <c r="M61" i="99"/>
  <c r="BY3" i="99"/>
  <c r="BX18" i="99"/>
  <c r="BT121" i="99"/>
  <c r="Q94" i="99"/>
  <c r="EJ6" i="99"/>
  <c r="EP38" i="99"/>
  <c r="ET38" i="99" s="1"/>
  <c r="EU38" i="99" s="1"/>
  <c r="EV38" i="99" s="1"/>
  <c r="EW38" i="99" s="1"/>
  <c r="EX38" i="99" s="1"/>
  <c r="EY38" i="99" s="1"/>
  <c r="EP24" i="99"/>
  <c r="BS61" i="99"/>
  <c r="BS3" i="99" s="1"/>
  <c r="O84" i="99"/>
  <c r="O71" i="99"/>
  <c r="O74" i="99" s="1"/>
  <c r="O76" i="99" s="1"/>
  <c r="O78" i="99" s="1"/>
  <c r="O79" i="99" s="1"/>
  <c r="EP43" i="99"/>
  <c r="T43" i="99"/>
  <c r="EP39" i="99"/>
  <c r="ET39" i="99" s="1"/>
  <c r="EU39" i="99" s="1"/>
  <c r="EV39" i="99" s="1"/>
  <c r="EW39" i="99" s="1"/>
  <c r="EX39" i="99" s="1"/>
  <c r="EY39" i="99" s="1"/>
  <c r="T39" i="99"/>
  <c r="EL102" i="99"/>
  <c r="EM102" i="99"/>
  <c r="EM69" i="99"/>
  <c r="N70" i="99"/>
  <c r="BU3" i="99"/>
  <c r="BU62" i="99"/>
  <c r="T27" i="99"/>
  <c r="EP27" i="99"/>
  <c r="ET27" i="99" s="1"/>
  <c r="EU27" i="99" s="1"/>
  <c r="EV27" i="99" s="1"/>
  <c r="EW27" i="99" s="1"/>
  <c r="EX27" i="99" s="1"/>
  <c r="EY27" i="99" s="1"/>
  <c r="T40" i="99"/>
  <c r="EP40" i="99"/>
  <c r="ET40" i="99" s="1"/>
  <c r="EU40" i="99" s="1"/>
  <c r="EV40" i="99" s="1"/>
  <c r="EW40" i="99" s="1"/>
  <c r="EX40" i="99" s="1"/>
  <c r="EY40" i="99" s="1"/>
  <c r="EO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L69" i="99"/>
  <c r="EL70" i="99" s="1"/>
  <c r="EP67" i="99"/>
  <c r="EP70" i="99" s="1"/>
  <c r="Q65" i="99"/>
  <c r="EP49" i="99"/>
  <c r="D11" i="128"/>
  <c r="T70" i="99"/>
  <c r="K71" i="99"/>
  <c r="L62" i="99"/>
  <c r="EM68" i="99"/>
  <c r="EN67" i="99"/>
  <c r="EN70" i="99" s="1"/>
  <c r="P70" i="99"/>
  <c r="ES66" i="99"/>
  <c r="P61" i="99"/>
  <c r="EL8" i="99"/>
  <c r="L61" i="99"/>
  <c r="EL61" i="99" s="1"/>
  <c r="J61" i="99"/>
  <c r="J62" i="99"/>
  <c r="EN4" i="99"/>
  <c r="P62" i="99"/>
  <c r="BT61" i="99"/>
  <c r="BT3" i="99" s="1"/>
  <c r="R4" i="99"/>
  <c r="EO4" i="99"/>
  <c r="EO40" i="99"/>
  <c r="R40" i="99"/>
  <c r="EM3" i="99"/>
  <c r="N61" i="99"/>
  <c r="EL3" i="99"/>
  <c r="EP46" i="99"/>
  <c r="T46" i="99"/>
  <c r="BR3" i="99"/>
  <c r="BN3" i="99"/>
  <c r="EN61" i="99"/>
  <c r="EN62" i="99" s="1"/>
  <c r="N62" i="99"/>
  <c r="EO6" i="99"/>
  <c r="EL4" i="99"/>
  <c r="Q60" i="99"/>
  <c r="Q3" i="99" s="1"/>
  <c r="G9" i="128"/>
  <c r="EJ3" i="99"/>
  <c r="BX58" i="99"/>
  <c r="T58" i="99" s="1"/>
  <c r="BX15" i="99"/>
  <c r="T15" i="99" s="1"/>
  <c r="BX41" i="99"/>
  <c r="T41" i="99" s="1"/>
  <c r="BX28" i="99"/>
  <c r="T28" i="99" s="1"/>
  <c r="BX22" i="99"/>
  <c r="T22" i="99" s="1"/>
  <c r="EN3" i="99"/>
  <c r="EK3" i="99"/>
  <c r="E8" i="128"/>
  <c r="EP22" i="99" l="1"/>
  <c r="BR94" i="99"/>
  <c r="EU22" i="99"/>
  <c r="EO61" i="99"/>
  <c r="EO62" i="99" s="1"/>
  <c r="EP18" i="99"/>
  <c r="BX118" i="99"/>
  <c r="CB118" i="99"/>
  <c r="BX117" i="99"/>
  <c r="CB117" i="99"/>
  <c r="T20" i="99"/>
  <c r="BP94" i="99"/>
  <c r="O88" i="99"/>
  <c r="BQ94" i="99"/>
  <c r="BS62" i="99"/>
  <c r="BS94" i="99" s="1"/>
  <c r="EM61" i="99"/>
  <c r="T18" i="99"/>
  <c r="BW62" i="99"/>
  <c r="S3" i="99"/>
  <c r="T3" i="99" s="1"/>
  <c r="EP58" i="99"/>
  <c r="O90" i="99"/>
  <c r="EP41" i="99"/>
  <c r="ET41" i="99" s="1"/>
  <c r="EU41" i="99" s="1"/>
  <c r="EV41" i="99" s="1"/>
  <c r="EW41" i="99" s="1"/>
  <c r="EX41" i="99" s="1"/>
  <c r="M65" i="99"/>
  <c r="M86" i="99"/>
  <c r="M87" i="99"/>
  <c r="M85" i="99"/>
  <c r="M94" i="99"/>
  <c r="O94" i="99"/>
  <c r="ER67" i="99"/>
  <c r="ES67" i="99" s="1"/>
  <c r="ET67" i="99" s="1"/>
  <c r="BU94" i="99"/>
  <c r="S61" i="99"/>
  <c r="S62" i="99" s="1"/>
  <c r="BY94" i="99"/>
  <c r="EP28" i="99"/>
  <c r="ET28" i="99" s="1"/>
  <c r="EU28" i="99" s="1"/>
  <c r="EV28" i="99" s="1"/>
  <c r="EW28" i="99" s="1"/>
  <c r="EX28" i="99" s="1"/>
  <c r="EY28" i="99" s="1"/>
  <c r="EP15" i="99"/>
  <c r="ET15" i="99" s="1"/>
  <c r="EU15" i="99" s="1"/>
  <c r="EV15" i="99" s="1"/>
  <c r="EW15" i="99" s="1"/>
  <c r="EX15" i="99" s="1"/>
  <c r="EY15" i="99" s="1"/>
  <c r="BT62" i="99"/>
  <c r="BT94" i="99" s="1"/>
  <c r="R60" i="99"/>
  <c r="Q71" i="99"/>
  <c r="Q84" i="99"/>
  <c r="R3" i="99"/>
  <c r="R62" i="99" s="1"/>
  <c r="R86" i="99" s="1"/>
  <c r="EM104" i="99"/>
  <c r="EM70" i="99"/>
  <c r="J65" i="99"/>
  <c r="J71" i="99" s="1"/>
  <c r="J74" i="99" s="1"/>
  <c r="J76" i="99" s="1"/>
  <c r="J78" i="99" s="1"/>
  <c r="J79" i="99" s="1"/>
  <c r="J85" i="99"/>
  <c r="EK62" i="99"/>
  <c r="ET66" i="99"/>
  <c r="EN86" i="99"/>
  <c r="K74" i="99"/>
  <c r="K88" i="99"/>
  <c r="EN65" i="99"/>
  <c r="EN85" i="99"/>
  <c r="EN87" i="99"/>
  <c r="BX61" i="99"/>
  <c r="BX62" i="99" s="1"/>
  <c r="BX119" i="99"/>
  <c r="CB119" i="99"/>
  <c r="EO100" i="99"/>
  <c r="EP100" i="99"/>
  <c r="E11" i="128"/>
  <c r="F8" i="128"/>
  <c r="H9" i="128"/>
  <c r="G14" i="128"/>
  <c r="EM62" i="99"/>
  <c r="EN94" i="99" s="1"/>
  <c r="N65" i="99"/>
  <c r="N85" i="99"/>
  <c r="N86" i="99"/>
  <c r="N94" i="99"/>
  <c r="P65" i="99"/>
  <c r="P87" i="99"/>
  <c r="P85" i="99"/>
  <c r="P94" i="99"/>
  <c r="P86" i="99"/>
  <c r="N87" i="99"/>
  <c r="EL62" i="99"/>
  <c r="L65" i="99"/>
  <c r="L87" i="99"/>
  <c r="L85" i="99"/>
  <c r="L86" i="99"/>
  <c r="L94" i="99"/>
  <c r="ER3" i="99" l="1"/>
  <c r="ET24" i="99"/>
  <c r="ES3" i="99"/>
  <c r="EV22" i="99"/>
  <c r="EP61" i="99"/>
  <c r="EP62" i="99" s="1"/>
  <c r="EP65" i="99" s="1"/>
  <c r="ER62" i="99"/>
  <c r="BW94" i="99"/>
  <c r="EO3" i="99"/>
  <c r="ER70" i="99"/>
  <c r="BX94" i="99"/>
  <c r="R87" i="99"/>
  <c r="ES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K65" i="99"/>
  <c r="EK94" i="99"/>
  <c r="EL65" i="99"/>
  <c r="EL94" i="99"/>
  <c r="EM65" i="99"/>
  <c r="EM94" i="99"/>
  <c r="G8" i="128"/>
  <c r="F11" i="128"/>
  <c r="EO85" i="99"/>
  <c r="EO94" i="99"/>
  <c r="EO87" i="99"/>
  <c r="EO86" i="99"/>
  <c r="EU66" i="99"/>
  <c r="ET70" i="99"/>
  <c r="EN71" i="99"/>
  <c r="EN84" i="99"/>
  <c r="EU67" i="99"/>
  <c r="L71" i="99"/>
  <c r="L84" i="99"/>
  <c r="P71" i="99"/>
  <c r="P84" i="99"/>
  <c r="H14" i="128"/>
  <c r="I9" i="128"/>
  <c r="EW22" i="99" l="1"/>
  <c r="EU24" i="99"/>
  <c r="ET3" i="99"/>
  <c r="EO65" i="99"/>
  <c r="EO71" i="99" s="1"/>
  <c r="EO88" i="99" s="1"/>
  <c r="R71" i="99"/>
  <c r="R88" i="99" s="1"/>
  <c r="M74" i="99"/>
  <c r="M88" i="99"/>
  <c r="S84" i="99"/>
  <c r="S71" i="99"/>
  <c r="Q76" i="99"/>
  <c r="Q78" i="99" s="1"/>
  <c r="Q79" i="99" s="1"/>
  <c r="Q90" i="99"/>
  <c r="EV67" i="99"/>
  <c r="T65" i="99"/>
  <c r="T87" i="99"/>
  <c r="T85" i="99"/>
  <c r="T94" i="99"/>
  <c r="T86" i="99"/>
  <c r="P74" i="99"/>
  <c r="P88" i="99"/>
  <c r="H8" i="128"/>
  <c r="G11" i="128"/>
  <c r="EL84" i="99"/>
  <c r="EL71" i="99"/>
  <c r="EV66" i="99"/>
  <c r="EU70" i="99"/>
  <c r="N74" i="99"/>
  <c r="N88" i="99"/>
  <c r="I14" i="128"/>
  <c r="J9" i="128"/>
  <c r="L74" i="99"/>
  <c r="L88" i="99"/>
  <c r="EN74" i="99"/>
  <c r="EN88" i="99"/>
  <c r="EP3" i="99"/>
  <c r="EM84" i="99"/>
  <c r="EM71" i="99"/>
  <c r="EN105" i="99" s="1"/>
  <c r="EK71" i="99"/>
  <c r="EK84" i="99"/>
  <c r="EO105" i="99" l="1"/>
  <c r="EV24" i="99"/>
  <c r="EU3" i="99"/>
  <c r="EX22" i="99"/>
  <c r="EO74" i="99"/>
  <c r="EO76" i="99" s="1"/>
  <c r="EO78" i="99" s="1"/>
  <c r="R74" i="99"/>
  <c r="R90" i="99" s="1"/>
  <c r="S88" i="99"/>
  <c r="S74" i="99"/>
  <c r="M76" i="99"/>
  <c r="M78" i="99" s="1"/>
  <c r="M79" i="99" s="1"/>
  <c r="M90" i="99"/>
  <c r="EP71" i="99"/>
  <c r="EP105" i="99" s="1"/>
  <c r="EP86" i="99"/>
  <c r="EP85" i="99"/>
  <c r="EP87" i="99"/>
  <c r="EP94" i="99"/>
  <c r="EL74" i="99"/>
  <c r="EL76" i="99" s="1"/>
  <c r="EL78" i="99" s="1"/>
  <c r="EL79" i="99" s="1"/>
  <c r="EL88" i="99"/>
  <c r="EN89" i="99"/>
  <c r="EN90" i="99"/>
  <c r="EN76" i="99"/>
  <c r="EN78" i="99" s="1"/>
  <c r="EW66" i="99"/>
  <c r="EV70" i="99"/>
  <c r="EQ87" i="99"/>
  <c r="EQ85" i="99"/>
  <c r="EQ94" i="99"/>
  <c r="EQ86" i="99"/>
  <c r="T71" i="99"/>
  <c r="T84" i="99"/>
  <c r="P76" i="99"/>
  <c r="P78" i="99" s="1"/>
  <c r="P79" i="99" s="1"/>
  <c r="P90" i="99"/>
  <c r="EM88" i="99"/>
  <c r="EM74" i="99"/>
  <c r="EM76" i="99" s="1"/>
  <c r="EM78" i="99" s="1"/>
  <c r="EM79" i="99" s="1"/>
  <c r="J14" i="128"/>
  <c r="K9" i="128"/>
  <c r="EK74" i="99"/>
  <c r="EK76" i="99" s="1"/>
  <c r="EK78" i="99" s="1"/>
  <c r="EK105" i="99"/>
  <c r="L76" i="99"/>
  <c r="L78" i="99" s="1"/>
  <c r="L79" i="99" s="1"/>
  <c r="L90" i="99"/>
  <c r="N76" i="99"/>
  <c r="N78" i="99" s="1"/>
  <c r="N79" i="99" s="1"/>
  <c r="N90" i="99"/>
  <c r="H11" i="128"/>
  <c r="I8" i="128"/>
  <c r="EW67" i="99"/>
  <c r="EO89" i="99" l="1"/>
  <c r="R89" i="99"/>
  <c r="R76" i="99"/>
  <c r="R78" i="99" s="1"/>
  <c r="R82" i="99" s="1"/>
  <c r="EY22" i="99"/>
  <c r="EW24" i="99"/>
  <c r="EV3" i="99"/>
  <c r="EO90" i="99"/>
  <c r="S90" i="99"/>
  <c r="S89" i="99"/>
  <c r="S76" i="99"/>
  <c r="S78" i="99" s="1"/>
  <c r="S79" i="99" s="1"/>
  <c r="EX67" i="99"/>
  <c r="T74" i="99"/>
  <c r="T88" i="99"/>
  <c r="EW70" i="99"/>
  <c r="EX66" i="99"/>
  <c r="EN79" i="99"/>
  <c r="EN112" i="99" s="1"/>
  <c r="EN137" i="99"/>
  <c r="EN91" i="99"/>
  <c r="EO79" i="99"/>
  <c r="EO137" i="99"/>
  <c r="EO91" i="99"/>
  <c r="I11" i="128"/>
  <c r="J8" i="128"/>
  <c r="L9" i="128"/>
  <c r="K14" i="128"/>
  <c r="ER65" i="99"/>
  <c r="ER71" i="99" s="1"/>
  <c r="ER87" i="99"/>
  <c r="ER94" i="99"/>
  <c r="ER85" i="99"/>
  <c r="ER86" i="99"/>
  <c r="EQ88" i="99"/>
  <c r="EP74" i="99"/>
  <c r="EP88" i="99"/>
  <c r="R79" i="99" l="1"/>
  <c r="EX24" i="99"/>
  <c r="EW3" i="99"/>
  <c r="EP76" i="99"/>
  <c r="EP78" i="99" s="1"/>
  <c r="EP89" i="99"/>
  <c r="EP90" i="99"/>
  <c r="ER64" i="99"/>
  <c r="EY66" i="99"/>
  <c r="EX70" i="99"/>
  <c r="T76" i="99"/>
  <c r="T78" i="99" s="1"/>
  <c r="T79" i="99" s="1"/>
  <c r="T89" i="99"/>
  <c r="T90" i="99"/>
  <c r="K8" i="128"/>
  <c r="J11" i="128"/>
  <c r="EO112" i="99"/>
  <c r="ER88" i="99"/>
  <c r="L14" i="128"/>
  <c r="M9" i="128"/>
  <c r="ES65" i="99"/>
  <c r="ES71" i="99" s="1"/>
  <c r="ES87" i="99"/>
  <c r="ES94" i="99"/>
  <c r="ES85" i="99"/>
  <c r="ES86" i="99"/>
  <c r="EY67" i="99"/>
  <c r="EY24" i="99" l="1"/>
  <c r="EX3" i="99"/>
  <c r="ES64" i="99"/>
  <c r="M14" i="128"/>
  <c r="N9" i="128"/>
  <c r="EP79" i="99"/>
  <c r="EP112" i="99" s="1"/>
  <c r="EP91" i="99"/>
  <c r="EQ82" i="99"/>
  <c r="L8" i="128"/>
  <c r="K11" i="128"/>
  <c r="EY70" i="99"/>
  <c r="ES88" i="99"/>
  <c r="ET94" i="99"/>
  <c r="ET87" i="99"/>
  <c r="ET65" i="99"/>
  <c r="ET71" i="99" s="1"/>
  <c r="ET85" i="99"/>
  <c r="ET86" i="99"/>
  <c r="EY3" i="99" l="1"/>
  <c r="ET64" i="99"/>
  <c r="L11" i="128"/>
  <c r="M8" i="128"/>
  <c r="N14" i="128"/>
  <c r="O9" i="128"/>
  <c r="ET88" i="99"/>
  <c r="EU65" i="99"/>
  <c r="EU71" i="99" s="1"/>
  <c r="EU87" i="99"/>
  <c r="EU94" i="99"/>
  <c r="EU86" i="99"/>
  <c r="EU85" i="99"/>
  <c r="EQ74" i="99"/>
  <c r="EQ90" i="99" l="1"/>
  <c r="EQ89" i="99"/>
  <c r="EU64" i="99"/>
  <c r="M11" i="128"/>
  <c r="N8" i="128"/>
  <c r="EV65" i="99"/>
  <c r="EV71" i="99" s="1"/>
  <c r="EV94" i="99"/>
  <c r="EV87" i="99"/>
  <c r="EV86" i="99"/>
  <c r="EV85" i="99"/>
  <c r="P9" i="128"/>
  <c r="O14" i="128"/>
  <c r="EU88" i="99"/>
  <c r="EQ76" i="99" l="1"/>
  <c r="EQ78" i="99" s="1"/>
  <c r="ER82" i="99" s="1"/>
  <c r="EV64" i="99"/>
  <c r="O8" i="128"/>
  <c r="N11" i="128"/>
  <c r="EV88" i="99"/>
  <c r="EW65" i="99"/>
  <c r="EW71" i="99" s="1"/>
  <c r="EW87" i="99"/>
  <c r="EW94" i="99"/>
  <c r="EW85" i="99"/>
  <c r="EW86" i="99"/>
  <c r="P14" i="128"/>
  <c r="Q9" i="128"/>
  <c r="EQ91" i="99" l="1"/>
  <c r="EQ79" i="99"/>
  <c r="EW88" i="99"/>
  <c r="Q14" i="128"/>
  <c r="R9" i="128"/>
  <c r="EW64" i="99"/>
  <c r="ER72" i="99"/>
  <c r="ER74" i="99" s="1"/>
  <c r="P8" i="128"/>
  <c r="O11" i="128"/>
  <c r="EX65" i="99"/>
  <c r="EX71" i="99" s="1"/>
  <c r="EX87" i="99"/>
  <c r="EX94" i="99"/>
  <c r="EX86" i="99"/>
  <c r="EX85" i="99"/>
  <c r="R14" i="128" l="1"/>
  <c r="S9" i="128"/>
  <c r="P11" i="128"/>
  <c r="Q8" i="128"/>
  <c r="EY65" i="99"/>
  <c r="EY71" i="99" s="1"/>
  <c r="EY87" i="99"/>
  <c r="EY94" i="99"/>
  <c r="EY85" i="99"/>
  <c r="EY86" i="99"/>
  <c r="EX88" i="99"/>
  <c r="EX64" i="99"/>
  <c r="ER89" i="99"/>
  <c r="ER75" i="99"/>
  <c r="ER90" i="99" s="1"/>
  <c r="EY64" i="99" l="1"/>
  <c r="ER76" i="99"/>
  <c r="ER78" i="99" s="1"/>
  <c r="ER79" i="99" s="1"/>
  <c r="Q11" i="128"/>
  <c r="R8" i="128"/>
  <c r="T9" i="128"/>
  <c r="S14" i="128"/>
  <c r="EZ71" i="99"/>
  <c r="EZ87" i="99"/>
  <c r="EZ94" i="99"/>
  <c r="EZ85" i="99"/>
  <c r="EZ86" i="99"/>
  <c r="EY88" i="99"/>
  <c r="ES82" i="99" l="1"/>
  <c r="ES72" i="99" s="1"/>
  <c r="ES74" i="99" s="1"/>
  <c r="ER91" i="99"/>
  <c r="T14" i="128"/>
  <c r="U9" i="128"/>
  <c r="S8" i="128"/>
  <c r="R11" i="128"/>
  <c r="EZ88" i="99"/>
  <c r="U14" i="128" l="1"/>
  <c r="V9" i="128"/>
  <c r="T8" i="128"/>
  <c r="S11" i="128"/>
  <c r="ES75" i="99"/>
  <c r="ES90" i="99" s="1"/>
  <c r="ES89" i="99"/>
  <c r="ES76" i="99" l="1"/>
  <c r="ES78" i="99" s="1"/>
  <c r="T11" i="128"/>
  <c r="U8" i="128"/>
  <c r="V14" i="128"/>
  <c r="W9" i="128"/>
  <c r="ET82" i="99" l="1"/>
  <c r="ET72" i="99" s="1"/>
  <c r="ET74" i="99" s="1"/>
  <c r="ES91" i="99"/>
  <c r="ES79" i="99"/>
  <c r="X9" i="128"/>
  <c r="W14" i="128"/>
  <c r="U11" i="128"/>
  <c r="V8" i="128"/>
  <c r="X14" i="128" l="1"/>
  <c r="Y9" i="128"/>
  <c r="W8" i="128"/>
  <c r="V11" i="128"/>
  <c r="ET75" i="99"/>
  <c r="ET90" i="99" s="1"/>
  <c r="ET89" i="99"/>
  <c r="ET76" i="99" l="1"/>
  <c r="ET78" i="99" s="1"/>
  <c r="X8" i="128"/>
  <c r="W11" i="128"/>
  <c r="Y14" i="128"/>
  <c r="Z9" i="128"/>
  <c r="Z14" i="128" s="1"/>
  <c r="EU82" i="99" l="1"/>
  <c r="EU72" i="99" s="1"/>
  <c r="EU74" i="99" s="1"/>
  <c r="ET91" i="99"/>
  <c r="ET79" i="99"/>
  <c r="X11" i="128"/>
  <c r="Y8" i="128"/>
  <c r="Y11" i="128" l="1"/>
  <c r="Z8" i="128"/>
  <c r="Z11" i="128" s="1"/>
  <c r="EU75" i="99"/>
  <c r="EU90" i="99" s="1"/>
  <c r="EU89" i="99"/>
  <c r="EU76" i="99" l="1"/>
  <c r="EU78" i="99" s="1"/>
  <c r="EU91" i="99" l="1"/>
  <c r="EV82" i="99"/>
  <c r="EV72" i="99" s="1"/>
  <c r="EV74" i="99" s="1"/>
  <c r="EV89" i="99" l="1"/>
  <c r="EV75" i="99"/>
  <c r="EV90" i="99" s="1"/>
  <c r="EV76" i="99" l="1"/>
  <c r="EV78" i="99" s="1"/>
  <c r="EV91" i="99" l="1"/>
  <c r="EW82" i="99"/>
  <c r="EW72" i="99" l="1"/>
  <c r="EW74" i="99" s="1"/>
  <c r="EW75" i="99" l="1"/>
  <c r="EW90" i="99" s="1"/>
  <c r="EW89" i="99"/>
  <c r="EW76" i="99" l="1"/>
  <c r="EW78" i="99" s="1"/>
  <c r="EW91" i="99" s="1"/>
  <c r="EX82" i="99" l="1"/>
  <c r="EX72" i="99" s="1"/>
  <c r="EX74" i="99" s="1"/>
  <c r="EX75" i="99" l="1"/>
  <c r="EX90" i="99" s="1"/>
  <c r="EX89" i="99"/>
  <c r="EX76" i="99" l="1"/>
  <c r="EX78" i="99" s="1"/>
  <c r="EX91" i="99" s="1"/>
  <c r="EY82" i="99" l="1"/>
  <c r="EY72" i="99" s="1"/>
  <c r="EY74" i="99" s="1"/>
  <c r="EY75" i="99" l="1"/>
  <c r="EY90" i="99" s="1"/>
  <c r="EY89" i="99"/>
  <c r="EY76" i="99" l="1"/>
  <c r="EY78" i="99" s="1"/>
  <c r="EY91" i="99" s="1"/>
  <c r="EZ74" i="99" l="1"/>
  <c r="EZ89" i="99" l="1"/>
  <c r="EZ90" i="99"/>
  <c r="EZ76" i="99"/>
  <c r="EZ78" i="99" s="1"/>
  <c r="EZ91" i="99" s="1"/>
  <c r="FD78" i="99" l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HX78" i="99" s="1"/>
  <c r="HY78" i="99" s="1"/>
  <c r="FJ87" i="99" l="1"/>
  <c r="FJ88" i="99" s="1"/>
  <c r="FJ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<sst xmlns="http://schemas.openxmlformats.org/spreadsheetml/2006/main" count="1420" uniqueCount="950">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</sst>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171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156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R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39" t="s">
        <v>55</v>
      </c>
    </row>
    <row r="2" spans="1:3" x14ac:dyDescent="0.2">
      <c r="B2" s="1" t="s">
        <v>307</v>
      </c>
      <c r="C2" s="2" t="s">
        <v>453</v>
      </c>
    </row>
    <row r="3" spans="1:3" x14ac:dyDescent="0.2">
      <c r="B3" s="1" t="s">
        <v>309</v>
      </c>
      <c r="C3" s="2" t="s">
        <v>454</v>
      </c>
    </row>
    <row r="4" spans="1:3" x14ac:dyDescent="0.2">
      <c r="B4" s="1" t="s">
        <v>332</v>
      </c>
      <c r="C4" s="2" t="s">
        <v>456</v>
      </c>
    </row>
    <row r="5" spans="1:3" x14ac:dyDescent="0.2">
      <c r="B5" s="2" t="s">
        <v>444</v>
      </c>
      <c r="C5" s="2" t="s">
        <v>455</v>
      </c>
    </row>
    <row r="6" spans="1:3" x14ac:dyDescent="0.2">
      <c r="B6" s="2" t="s">
        <v>447</v>
      </c>
      <c r="C6" s="2" t="s">
        <v>506</v>
      </c>
    </row>
    <row r="7" spans="1:3" x14ac:dyDescent="0.2">
      <c r="B7" s="2" t="s">
        <v>449</v>
      </c>
      <c r="C7" s="2" t="s">
        <v>450</v>
      </c>
    </row>
    <row r="8" spans="1:3" x14ac:dyDescent="0.2">
      <c r="B8" s="2" t="s">
        <v>411</v>
      </c>
      <c r="C8" s="2" t="s">
        <v>412</v>
      </c>
    </row>
    <row r="9" spans="1:3" x14ac:dyDescent="0.2">
      <c r="B9" s="2" t="s">
        <v>445</v>
      </c>
      <c r="C9" s="2" t="s">
        <v>446</v>
      </c>
    </row>
    <row r="10" spans="1:3" x14ac:dyDescent="0.2">
      <c r="B10" s="2" t="s">
        <v>417</v>
      </c>
      <c r="C10" s="2" t="s">
        <v>420</v>
      </c>
    </row>
    <row r="11" spans="1:3" x14ac:dyDescent="0.2">
      <c r="B11" s="2" t="s">
        <v>418</v>
      </c>
      <c r="C11" s="2" t="s">
        <v>419</v>
      </c>
    </row>
    <row r="12" spans="1:3" x14ac:dyDescent="0.2">
      <c r="B12" s="2" t="s">
        <v>421</v>
      </c>
      <c r="C12" s="2" t="s">
        <v>422</v>
      </c>
    </row>
    <row r="13" spans="1:3" x14ac:dyDescent="0.2">
      <c r="B13" s="2" t="s">
        <v>451</v>
      </c>
      <c r="C13" s="2" t="s">
        <v>452</v>
      </c>
    </row>
    <row r="19" spans="2:3" x14ac:dyDescent="0.2">
      <c r="B19" s="2" t="s">
        <v>406</v>
      </c>
    </row>
    <row r="20" spans="2:3" x14ac:dyDescent="0.2">
      <c r="B20" s="2" t="s">
        <v>463</v>
      </c>
    </row>
    <row r="22" spans="2:3" x14ac:dyDescent="0.2">
      <c r="B22" s="40" t="s">
        <v>824</v>
      </c>
    </row>
    <row r="23" spans="2:3" x14ac:dyDescent="0.2">
      <c r="B23" s="1" t="s">
        <v>308</v>
      </c>
      <c r="C23" s="2" t="s">
        <v>825</v>
      </c>
    </row>
    <row r="24" spans="2:3" x14ac:dyDescent="0.2">
      <c r="B24" s="1" t="s">
        <v>310</v>
      </c>
      <c r="C24" s="2" t="s">
        <v>826</v>
      </c>
    </row>
    <row r="25" spans="2:3" x14ac:dyDescent="0.2">
      <c r="B25" s="2" t="s">
        <v>448</v>
      </c>
      <c r="C25" s="2" t="s">
        <v>827</v>
      </c>
    </row>
    <row r="26" spans="2:3" x14ac:dyDescent="0.2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 x14ac:dyDescent="0.2"/>
  <cols>
    <col min="1" max="1" width="5" bestFit="1" customWidth="1"/>
    <col min="2" max="2" width="22.5703125" customWidth="1"/>
    <col min="3" max="26" width="8.7109375" customWidth="1"/>
  </cols>
  <sheetData>
    <row r="1" spans="1:26" x14ac:dyDescent="0.2">
      <c r="A1" s="39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543</v>
      </c>
    </row>
    <row r="5" spans="1:26" x14ac:dyDescent="0.2">
      <c r="B5" s="2" t="s">
        <v>544</v>
      </c>
    </row>
    <row r="8" spans="1:26" x14ac:dyDescent="0.2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x14ac:dyDescent="0.2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801</v>
      </c>
    </row>
    <row r="3" spans="1:3" x14ac:dyDescent="0.2">
      <c r="B3" s="2" t="s">
        <v>815</v>
      </c>
      <c r="C3" s="2" t="s">
        <v>852</v>
      </c>
    </row>
    <row r="4" spans="1:3" x14ac:dyDescent="0.2">
      <c r="B4" s="2" t="s">
        <v>44</v>
      </c>
      <c r="C4" s="2" t="s">
        <v>858</v>
      </c>
    </row>
    <row r="5" spans="1:3" x14ac:dyDescent="0.2">
      <c r="B5" s="2" t="s">
        <v>818</v>
      </c>
      <c r="C5" s="2" t="s">
        <v>850</v>
      </c>
    </row>
    <row r="6" spans="1:3" x14ac:dyDescent="0.2">
      <c r="B6" s="2" t="s">
        <v>65</v>
      </c>
      <c r="C6" s="2" t="s">
        <v>848</v>
      </c>
    </row>
    <row r="7" spans="1:3" x14ac:dyDescent="0.2">
      <c r="B7" s="2" t="s">
        <v>53</v>
      </c>
    </row>
    <row r="8" spans="1:3" x14ac:dyDescent="0.2">
      <c r="C8" s="40" t="s">
        <v>854</v>
      </c>
    </row>
    <row r="9" spans="1:3" x14ac:dyDescent="0.2">
      <c r="C9" s="2" t="s">
        <v>853</v>
      </c>
    </row>
    <row r="10" spans="1:3" x14ac:dyDescent="0.2">
      <c r="C10" s="2" t="s">
        <v>855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286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442</v>
      </c>
    </row>
    <row r="17" spans="2:4" x14ac:dyDescent="0.2">
      <c r="C17" s="3" t="s">
        <v>443</v>
      </c>
    </row>
    <row r="18" spans="2:4" x14ac:dyDescent="0.2">
      <c r="C18" s="15"/>
    </row>
    <row r="19" spans="2:4" x14ac:dyDescent="0.2">
      <c r="C19" s="16" t="s">
        <v>436</v>
      </c>
    </row>
    <row r="21" spans="2:4" x14ac:dyDescent="0.2">
      <c r="B21" s="3" t="s">
        <v>397</v>
      </c>
    </row>
    <row r="22" spans="2:4" x14ac:dyDescent="0.2">
      <c r="C22" s="55">
        <v>39387</v>
      </c>
      <c r="D22" s="5">
        <v>109</v>
      </c>
    </row>
    <row r="23" spans="2:4" x14ac:dyDescent="0.2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510</v>
      </c>
    </row>
    <row r="4" spans="1:3" x14ac:dyDescent="0.2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311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501</v>
      </c>
    </row>
    <row r="17" spans="3:3" x14ac:dyDescent="0.2">
      <c r="C17" s="4" t="s">
        <v>242</v>
      </c>
    </row>
    <row r="18" spans="3:3" x14ac:dyDescent="0.2">
      <c r="C18" s="3" t="s">
        <v>500</v>
      </c>
    </row>
    <row r="19" spans="3:3" x14ac:dyDescent="0.2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 x14ac:dyDescent="0.2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 x14ac:dyDescent="0.2">
      <c r="A1" s="56" t="s">
        <v>55</v>
      </c>
    </row>
    <row r="2" spans="1:4" x14ac:dyDescent="0.2">
      <c r="B2" s="58" t="s">
        <v>49</v>
      </c>
      <c r="C2" s="58" t="s">
        <v>29</v>
      </c>
    </row>
    <row r="3" spans="1:4" x14ac:dyDescent="0.2">
      <c r="B3" s="58" t="s">
        <v>397</v>
      </c>
    </row>
    <row r="4" spans="1:4" x14ac:dyDescent="0.2">
      <c r="C4" s="59">
        <v>39387</v>
      </c>
      <c r="D4" s="57">
        <v>69</v>
      </c>
    </row>
    <row r="5" spans="1:4" x14ac:dyDescent="0.2">
      <c r="C5" s="59">
        <v>39356</v>
      </c>
      <c r="D5" s="57">
        <v>74</v>
      </c>
    </row>
    <row r="6" spans="1:4" x14ac:dyDescent="0.2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690</v>
      </c>
    </row>
    <row r="9" spans="1:3" x14ac:dyDescent="0.2">
      <c r="C9" s="3" t="s">
        <v>691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 x14ac:dyDescent="0.2"/>
  <cols>
    <col min="1" max="1" width="5" style="76" bestFit="1" customWidth="1"/>
    <col min="2" max="2" width="14" style="76" bestFit="1" customWidth="1"/>
    <col min="3" max="16384" width="9.140625" style="76"/>
  </cols>
  <sheetData>
    <row r="1" spans="1:3" x14ac:dyDescent="0.2">
      <c r="A1" s="78" t="s">
        <v>55</v>
      </c>
    </row>
    <row r="2" spans="1:3" x14ac:dyDescent="0.2">
      <c r="B2" s="76" t="s">
        <v>49</v>
      </c>
      <c r="C2" s="76" t="s">
        <v>498</v>
      </c>
    </row>
    <row r="3" spans="1:3" x14ac:dyDescent="0.2">
      <c r="B3" s="76" t="s">
        <v>51</v>
      </c>
      <c r="C3" s="76" t="s">
        <v>497</v>
      </c>
    </row>
    <row r="4" spans="1:3" x14ac:dyDescent="0.2">
      <c r="B4" s="76" t="s">
        <v>44</v>
      </c>
      <c r="C4" s="76" t="s">
        <v>352</v>
      </c>
    </row>
    <row r="5" spans="1:3" x14ac:dyDescent="0.2">
      <c r="B5" s="76" t="s">
        <v>66</v>
      </c>
      <c r="C5" s="76" t="s">
        <v>496</v>
      </c>
    </row>
    <row r="6" spans="1:3" x14ac:dyDescent="0.2">
      <c r="B6" s="76" t="s">
        <v>65</v>
      </c>
      <c r="C6" s="76" t="s">
        <v>495</v>
      </c>
    </row>
    <row r="7" spans="1:3" x14ac:dyDescent="0.2">
      <c r="C7" s="76" t="s">
        <v>494</v>
      </c>
    </row>
    <row r="8" spans="1:3" x14ac:dyDescent="0.2">
      <c r="C8" s="76" t="s">
        <v>493</v>
      </c>
    </row>
    <row r="9" spans="1:3" x14ac:dyDescent="0.2">
      <c r="C9" s="76" t="s">
        <v>492</v>
      </c>
    </row>
    <row r="10" spans="1:3" x14ac:dyDescent="0.2">
      <c r="B10" s="76" t="s">
        <v>491</v>
      </c>
    </row>
    <row r="11" spans="1:3" x14ac:dyDescent="0.2">
      <c r="C11" s="77" t="s">
        <v>490</v>
      </c>
    </row>
    <row r="12" spans="1:3" x14ac:dyDescent="0.2">
      <c r="C12" s="77"/>
    </row>
    <row r="13" spans="1:3" x14ac:dyDescent="0.2">
      <c r="C13" s="77" t="s">
        <v>499</v>
      </c>
    </row>
    <row r="14" spans="1:3" x14ac:dyDescent="0.2">
      <c r="C14" s="77"/>
    </row>
    <row r="15" spans="1:3" x14ac:dyDescent="0.2">
      <c r="C15" s="77" t="s">
        <v>489</v>
      </c>
    </row>
    <row r="17" spans="3:3" x14ac:dyDescent="0.2">
      <c r="C17" s="77" t="s">
        <v>488</v>
      </c>
    </row>
    <row r="18" spans="3:3" x14ac:dyDescent="0.2">
      <c r="C18" s="76" t="s">
        <v>594</v>
      </c>
    </row>
    <row r="20" spans="3:3" x14ac:dyDescent="0.2">
      <c r="C20" s="77" t="s">
        <v>487</v>
      </c>
    </row>
    <row r="21" spans="3:3" x14ac:dyDescent="0.2">
      <c r="C21" s="76" t="s">
        <v>594</v>
      </c>
    </row>
    <row r="23" spans="3:3" x14ac:dyDescent="0.2">
      <c r="C23" s="77" t="s">
        <v>486</v>
      </c>
    </row>
    <row r="25" spans="3:3" x14ac:dyDescent="0.2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 x14ac:dyDescent="0.2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5" t="s">
        <v>55</v>
      </c>
    </row>
    <row r="2" spans="1:19" x14ac:dyDescent="0.2">
      <c r="B2" s="40" t="s">
        <v>611</v>
      </c>
    </row>
    <row r="3" spans="1:19" x14ac:dyDescent="0.2">
      <c r="E3" s="2" t="s">
        <v>635</v>
      </c>
      <c r="F3" s="2" t="s">
        <v>636</v>
      </c>
    </row>
    <row r="4" spans="1:19" x14ac:dyDescent="0.2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39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397</v>
      </c>
      <c r="C3" s="5"/>
      <c r="D3" s="5"/>
    </row>
    <row r="4" spans="1:4" x14ac:dyDescent="0.2">
      <c r="B4" s="5"/>
      <c r="C4" s="55">
        <v>39387</v>
      </c>
      <c r="D4" s="5">
        <v>37</v>
      </c>
    </row>
    <row r="5" spans="1:4" x14ac:dyDescent="0.2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 x14ac:dyDescent="0.2"/>
  <cols>
    <col min="1" max="1" width="5" bestFit="1" customWidth="1"/>
  </cols>
  <sheetData>
    <row r="1" spans="1:6" x14ac:dyDescent="0.2">
      <c r="A1" s="39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0" t="s">
        <v>55</v>
      </c>
    </row>
    <row r="2" spans="1:3" x14ac:dyDescent="0.2">
      <c r="B2" s="5" t="s">
        <v>49</v>
      </c>
      <c r="C2" s="3" t="s">
        <v>528</v>
      </c>
    </row>
    <row r="3" spans="1:3" x14ac:dyDescent="0.2">
      <c r="B3" s="5" t="s">
        <v>51</v>
      </c>
      <c r="C3" s="5" t="s">
        <v>527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521</v>
      </c>
    </row>
    <row r="15" spans="1:3" x14ac:dyDescent="0.2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1" t="s">
        <v>49</v>
      </c>
      <c r="C2" s="1" t="s">
        <v>293</v>
      </c>
    </row>
    <row r="3" spans="1:3" x14ac:dyDescent="0.2">
      <c r="B3" s="1" t="s">
        <v>51</v>
      </c>
      <c r="C3" s="1" t="s">
        <v>294</v>
      </c>
    </row>
    <row r="4" spans="1:3" x14ac:dyDescent="0.2">
      <c r="B4" s="1" t="s">
        <v>44</v>
      </c>
      <c r="C4" s="1" t="s">
        <v>295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507</v>
      </c>
    </row>
    <row r="10" spans="1:3" x14ac:dyDescent="0.2">
      <c r="C10" s="3" t="s">
        <v>508</v>
      </c>
    </row>
    <row r="11" spans="1:3" x14ac:dyDescent="0.2">
      <c r="C11" s="3" t="s">
        <v>509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RowHeight="12.75" x14ac:dyDescent="0.2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8" x14ac:dyDescent="0.2">
      <c r="A1" s="39" t="s">
        <v>55</v>
      </c>
    </row>
    <row r="2" spans="1:8" x14ac:dyDescent="0.2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 x14ac:dyDescent="0.2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 x14ac:dyDescent="0.2">
      <c r="B4" s="2" t="s">
        <v>113</v>
      </c>
      <c r="C4" s="2" t="s">
        <v>822</v>
      </c>
      <c r="D4" s="2" t="s">
        <v>206</v>
      </c>
      <c r="E4" s="101">
        <v>36959</v>
      </c>
    </row>
    <row r="6" spans="1:8" x14ac:dyDescent="0.2">
      <c r="B6" s="3" t="s">
        <v>705</v>
      </c>
    </row>
    <row r="7" spans="1:8" x14ac:dyDescent="0.2">
      <c r="B7" s="3" t="s">
        <v>732</v>
      </c>
    </row>
    <row r="8" spans="1:8" x14ac:dyDescent="0.2">
      <c r="B8" s="3" t="s">
        <v>751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746</v>
      </c>
    </row>
    <row r="13" spans="1:8" x14ac:dyDescent="0.2">
      <c r="B13" s="3" t="s">
        <v>745</v>
      </c>
    </row>
    <row r="14" spans="1:8" x14ac:dyDescent="0.2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">
      <c r="B26" s="53" t="s">
        <v>881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880</v>
      </c>
      <c r="H26" s="35" t="s">
        <v>253</v>
      </c>
    </row>
    <row r="27" spans="2:8" x14ac:dyDescent="0.2">
      <c r="B27" s="53" t="s">
        <v>882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">
      <c r="B29" s="53" t="s">
        <v>346</v>
      </c>
      <c r="C29" s="10" t="s">
        <v>283</v>
      </c>
      <c r="D29" s="10" t="s">
        <v>80</v>
      </c>
      <c r="E29" s="41" t="s">
        <v>883</v>
      </c>
      <c r="F29" s="10" t="s">
        <v>347</v>
      </c>
      <c r="G29" s="36" t="s">
        <v>161</v>
      </c>
    </row>
    <row r="30" spans="2:8" x14ac:dyDescent="0.2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 x14ac:dyDescent="0.2">
      <c r="B35" s="53" t="s">
        <v>894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tabSelected="1" zoomScale="115" zoomScaleNormal="115" workbookViewId="0">
      <selection activeCell="L3" sqref="L3"/>
    </sheetView>
  </sheetViews>
  <sheetFormatPr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 x14ac:dyDescent="0.2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878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 x14ac:dyDescent="0.2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878</v>
      </c>
    </row>
    <row r="6" spans="1:13" x14ac:dyDescent="0.2">
      <c r="B6" s="53" t="s">
        <v>794</v>
      </c>
      <c r="C6" s="10" t="s">
        <v>821</v>
      </c>
      <c r="F6" s="10"/>
      <c r="G6" s="35"/>
      <c r="I6" s="3" t="s">
        <v>577</v>
      </c>
      <c r="J6" s="21">
        <v>29209</v>
      </c>
      <c r="K6" s="54" t="s">
        <v>878</v>
      </c>
      <c r="L6" s="3"/>
      <c r="M6" s="3"/>
    </row>
    <row r="7" spans="1:13" x14ac:dyDescent="0.2">
      <c r="B7" s="38" t="s">
        <v>811</v>
      </c>
      <c r="C7" s="10" t="s">
        <v>812</v>
      </c>
      <c r="D7" s="119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241211.03400000001</v>
      </c>
      <c r="L7" s="3"/>
      <c r="M7" s="3"/>
    </row>
    <row r="8" spans="1:13" x14ac:dyDescent="0.2">
      <c r="B8" s="38" t="s">
        <v>704</v>
      </c>
      <c r="C8" s="10" t="s">
        <v>405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">
      <c r="B16" s="38" t="s">
        <v>847</v>
      </c>
      <c r="C16" s="10" t="s">
        <v>851</v>
      </c>
      <c r="E16" s="41" t="s">
        <v>848</v>
      </c>
      <c r="F16" s="10" t="s">
        <v>850</v>
      </c>
      <c r="G16" s="83" t="s">
        <v>849</v>
      </c>
    </row>
    <row r="17" spans="2:11" x14ac:dyDescent="0.2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">
      <c r="B19" s="53" t="s">
        <v>910</v>
      </c>
      <c r="C19" s="10" t="s">
        <v>86</v>
      </c>
      <c r="D19" s="123">
        <v>43397</v>
      </c>
      <c r="E19" s="41">
        <v>1</v>
      </c>
      <c r="F19" s="10"/>
      <c r="G19" s="35"/>
    </row>
    <row r="20" spans="2:11" x14ac:dyDescent="0.2">
      <c r="B20" s="53" t="s">
        <v>908</v>
      </c>
      <c r="C20" s="10" t="s">
        <v>909</v>
      </c>
      <c r="D20" s="123">
        <v>44057</v>
      </c>
      <c r="E20" s="41">
        <v>1</v>
      </c>
      <c r="F20" s="10" t="s">
        <v>83</v>
      </c>
      <c r="G20" s="35" t="s">
        <v>161</v>
      </c>
    </row>
    <row r="21" spans="2:11" x14ac:dyDescent="0.2">
      <c r="B21" s="53" t="s">
        <v>904</v>
      </c>
      <c r="C21" s="10" t="s">
        <v>905</v>
      </c>
      <c r="D21" s="123">
        <v>44917</v>
      </c>
      <c r="E21" s="41">
        <v>1</v>
      </c>
      <c r="F21" s="10" t="s">
        <v>885</v>
      </c>
      <c r="G21" s="35" t="s">
        <v>892</v>
      </c>
    </row>
    <row r="22" spans="2:11" x14ac:dyDescent="0.2">
      <c r="B22" s="53" t="s">
        <v>906</v>
      </c>
      <c r="C22" s="10" t="s">
        <v>313</v>
      </c>
      <c r="D22" s="123">
        <v>44589</v>
      </c>
      <c r="E22" s="41"/>
      <c r="F22" s="10" t="s">
        <v>907</v>
      </c>
      <c r="G22" s="35"/>
    </row>
    <row r="23" spans="2:11" x14ac:dyDescent="0.2">
      <c r="B23" s="38" t="s">
        <v>266</v>
      </c>
      <c r="C23" s="11" t="s">
        <v>239</v>
      </c>
      <c r="D23" s="11">
        <v>1998</v>
      </c>
      <c r="E23" s="14">
        <v>1</v>
      </c>
      <c r="F23" s="10" t="s">
        <v>400</v>
      </c>
      <c r="G23" s="83" t="s">
        <v>512</v>
      </c>
      <c r="K23" s="21"/>
    </row>
    <row r="24" spans="2:11" x14ac:dyDescent="0.2">
      <c r="B24" s="53" t="s">
        <v>729</v>
      </c>
      <c r="C24" s="10" t="s">
        <v>324</v>
      </c>
      <c r="D24" s="10"/>
      <c r="E24" s="37" t="s">
        <v>321</v>
      </c>
      <c r="F24" s="33" t="s">
        <v>325</v>
      </c>
      <c r="G24" s="35" t="s">
        <v>253</v>
      </c>
      <c r="I24" s="3" t="s">
        <v>679</v>
      </c>
    </row>
    <row r="25" spans="2:11" x14ac:dyDescent="0.2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846</v>
      </c>
    </row>
    <row r="26" spans="2:11" x14ac:dyDescent="0.2">
      <c r="B26" s="6"/>
      <c r="C26" s="9"/>
      <c r="D26" s="9" t="s">
        <v>46</v>
      </c>
      <c r="E26" s="9"/>
      <c r="F26" s="9"/>
      <c r="G26" s="12"/>
      <c r="I26" s="3" t="s">
        <v>856</v>
      </c>
    </row>
    <row r="27" spans="2:11" x14ac:dyDescent="0.2">
      <c r="B27" s="120" t="s">
        <v>899</v>
      </c>
      <c r="C27" s="10" t="s">
        <v>879</v>
      </c>
      <c r="D27" s="10" t="s">
        <v>114</v>
      </c>
      <c r="E27" s="41" t="s">
        <v>900</v>
      </c>
      <c r="G27" s="36"/>
    </row>
    <row r="28" spans="2:11" x14ac:dyDescent="0.2">
      <c r="B28" s="53" t="s">
        <v>884</v>
      </c>
      <c r="C28" s="10" t="s">
        <v>851</v>
      </c>
      <c r="D28" s="10" t="s">
        <v>114</v>
      </c>
      <c r="F28" s="10" t="s">
        <v>885</v>
      </c>
      <c r="G28" s="121" t="s">
        <v>892</v>
      </c>
    </row>
    <row r="29" spans="2:11" x14ac:dyDescent="0.2">
      <c r="B29" s="53" t="s">
        <v>898</v>
      </c>
      <c r="F29" s="10" t="s">
        <v>886</v>
      </c>
      <c r="G29" s="121" t="s">
        <v>161</v>
      </c>
    </row>
    <row r="30" spans="2:11" x14ac:dyDescent="0.2">
      <c r="B30" s="53" t="s">
        <v>901</v>
      </c>
      <c r="C30" s="10" t="s">
        <v>123</v>
      </c>
      <c r="D30" s="10" t="s">
        <v>114</v>
      </c>
      <c r="F30" s="10" t="s">
        <v>902</v>
      </c>
      <c r="G30" s="121"/>
    </row>
    <row r="31" spans="2:11" x14ac:dyDescent="0.2">
      <c r="B31" s="53" t="s">
        <v>911</v>
      </c>
      <c r="C31" s="10"/>
      <c r="D31" s="10" t="s">
        <v>114</v>
      </c>
      <c r="F31" s="10" t="s">
        <v>912</v>
      </c>
      <c r="G31" s="121"/>
    </row>
    <row r="32" spans="2:11" x14ac:dyDescent="0.2">
      <c r="B32" s="53" t="s">
        <v>887</v>
      </c>
      <c r="C32" s="10" t="s">
        <v>889</v>
      </c>
      <c r="F32" s="10" t="s">
        <v>888</v>
      </c>
      <c r="G32" s="121" t="s">
        <v>529</v>
      </c>
    </row>
    <row r="33" spans="2:7" x14ac:dyDescent="0.2">
      <c r="B33" s="53" t="s">
        <v>890</v>
      </c>
      <c r="C33" s="10" t="s">
        <v>893</v>
      </c>
      <c r="F33" s="10" t="s">
        <v>891</v>
      </c>
      <c r="G33" s="121" t="s">
        <v>892</v>
      </c>
    </row>
    <row r="34" spans="2:7" x14ac:dyDescent="0.2">
      <c r="B34" s="53" t="s">
        <v>896</v>
      </c>
      <c r="C34" s="10"/>
      <c r="F34" s="10" t="s">
        <v>897</v>
      </c>
      <c r="G34" s="121" t="s">
        <v>892</v>
      </c>
    </row>
    <row r="35" spans="2:7" x14ac:dyDescent="0.2">
      <c r="B35" s="53" t="s">
        <v>903</v>
      </c>
      <c r="C35" s="10" t="s">
        <v>359</v>
      </c>
      <c r="D35" s="10" t="s">
        <v>114</v>
      </c>
      <c r="E35" s="41" t="s">
        <v>360</v>
      </c>
      <c r="F35" s="10" t="s">
        <v>361</v>
      </c>
      <c r="G35" s="35" t="s">
        <v>161</v>
      </c>
    </row>
    <row r="36" spans="2:7" x14ac:dyDescent="0.2">
      <c r="B36" s="53" t="s">
        <v>734</v>
      </c>
      <c r="C36" s="10" t="s">
        <v>359</v>
      </c>
      <c r="D36" s="10"/>
      <c r="E36" s="41"/>
      <c r="F36" s="10" t="s">
        <v>361</v>
      </c>
      <c r="G36" s="35" t="s">
        <v>161</v>
      </c>
    </row>
    <row r="37" spans="2:7" x14ac:dyDescent="0.2">
      <c r="B37" s="53" t="s">
        <v>738</v>
      </c>
      <c r="C37" s="10" t="s">
        <v>735</v>
      </c>
      <c r="D37" s="10" t="s">
        <v>110</v>
      </c>
      <c r="E37" s="41">
        <v>1</v>
      </c>
      <c r="F37" s="10" t="s">
        <v>736</v>
      </c>
      <c r="G37" s="35" t="s">
        <v>253</v>
      </c>
    </row>
    <row r="38" spans="2:7" x14ac:dyDescent="0.2">
      <c r="B38" s="53" t="s">
        <v>741</v>
      </c>
      <c r="C38" s="10" t="s">
        <v>359</v>
      </c>
      <c r="D38" s="10" t="s">
        <v>110</v>
      </c>
      <c r="E38" s="41">
        <v>1</v>
      </c>
      <c r="F38" s="10" t="s">
        <v>742</v>
      </c>
      <c r="G38" s="35"/>
    </row>
    <row r="39" spans="2:7" x14ac:dyDescent="0.2">
      <c r="B39" s="53" t="s">
        <v>737</v>
      </c>
      <c r="C39" s="10" t="s">
        <v>359</v>
      </c>
      <c r="D39" s="10" t="s">
        <v>110</v>
      </c>
      <c r="E39" s="41" t="s">
        <v>739</v>
      </c>
      <c r="F39" s="10" t="s">
        <v>740</v>
      </c>
      <c r="G39" s="35" t="s">
        <v>253</v>
      </c>
    </row>
    <row r="40" spans="2:7" x14ac:dyDescent="0.2">
      <c r="B40" s="53" t="s">
        <v>743</v>
      </c>
      <c r="C40" s="10" t="s">
        <v>268</v>
      </c>
      <c r="D40" s="10" t="s">
        <v>110</v>
      </c>
      <c r="E40" s="41">
        <v>1</v>
      </c>
      <c r="F40" s="10" t="s">
        <v>744</v>
      </c>
      <c r="G40" s="35"/>
    </row>
    <row r="41" spans="2:7" x14ac:dyDescent="0.2">
      <c r="B41" s="53" t="s">
        <v>709</v>
      </c>
      <c r="C41" s="10" t="s">
        <v>359</v>
      </c>
      <c r="D41" s="10" t="s">
        <v>110</v>
      </c>
      <c r="E41" s="41">
        <v>1</v>
      </c>
      <c r="F41" s="10" t="s">
        <v>710</v>
      </c>
      <c r="G41" s="35" t="s">
        <v>253</v>
      </c>
    </row>
    <row r="42" spans="2:7" s="17" customFormat="1" x14ac:dyDescent="0.2">
      <c r="B42" s="53" t="s">
        <v>706</v>
      </c>
      <c r="C42" s="10" t="s">
        <v>707</v>
      </c>
      <c r="D42" s="10" t="s">
        <v>110</v>
      </c>
      <c r="E42" s="41">
        <v>1</v>
      </c>
      <c r="F42" s="10" t="s">
        <v>708</v>
      </c>
      <c r="G42" s="35" t="s">
        <v>253</v>
      </c>
    </row>
    <row r="43" spans="2:7" s="17" customFormat="1" x14ac:dyDescent="0.2">
      <c r="B43" s="8" t="s">
        <v>278</v>
      </c>
      <c r="C43" s="11" t="s">
        <v>115</v>
      </c>
      <c r="D43" s="11" t="s">
        <v>110</v>
      </c>
      <c r="E43" s="14">
        <v>1</v>
      </c>
      <c r="F43" s="10" t="s">
        <v>383</v>
      </c>
      <c r="G43" s="35" t="s">
        <v>253</v>
      </c>
    </row>
    <row r="44" spans="2:7" x14ac:dyDescent="0.2">
      <c r="B44" s="53" t="s">
        <v>692</v>
      </c>
      <c r="C44" s="10" t="s">
        <v>115</v>
      </c>
      <c r="D44" s="10" t="s">
        <v>110</v>
      </c>
      <c r="E44" s="41">
        <v>1</v>
      </c>
      <c r="F44" s="10" t="s">
        <v>474</v>
      </c>
      <c r="G44" s="35" t="s">
        <v>161</v>
      </c>
    </row>
    <row r="45" spans="2:7" x14ac:dyDescent="0.2">
      <c r="B45" s="53" t="s">
        <v>279</v>
      </c>
      <c r="C45" s="10" t="s">
        <v>115</v>
      </c>
      <c r="D45" s="10" t="s">
        <v>110</v>
      </c>
      <c r="E45" s="41">
        <v>1</v>
      </c>
      <c r="F45" s="10" t="s">
        <v>606</v>
      </c>
      <c r="G45" s="35"/>
    </row>
    <row r="46" spans="2:7" x14ac:dyDescent="0.2">
      <c r="B46" s="53" t="s">
        <v>370</v>
      </c>
      <c r="C46" s="10" t="s">
        <v>115</v>
      </c>
      <c r="D46" s="10" t="s">
        <v>110</v>
      </c>
      <c r="E46" s="41">
        <v>1</v>
      </c>
      <c r="F46" s="10" t="s">
        <v>473</v>
      </c>
      <c r="G46" s="35" t="s">
        <v>253</v>
      </c>
    </row>
    <row r="47" spans="2:7" x14ac:dyDescent="0.2">
      <c r="B47" s="53" t="s">
        <v>384</v>
      </c>
      <c r="C47" s="10" t="s">
        <v>115</v>
      </c>
      <c r="D47" s="10" t="s">
        <v>110</v>
      </c>
      <c r="E47" s="41">
        <v>1</v>
      </c>
      <c r="F47" s="10" t="s">
        <v>385</v>
      </c>
      <c r="G47" s="35" t="s">
        <v>161</v>
      </c>
    </row>
    <row r="48" spans="2:7" x14ac:dyDescent="0.2">
      <c r="B48" s="53" t="s">
        <v>670</v>
      </c>
      <c r="C48" s="10" t="s">
        <v>115</v>
      </c>
      <c r="D48" s="10" t="s">
        <v>110</v>
      </c>
      <c r="E48" s="41">
        <v>1</v>
      </c>
      <c r="F48" s="10" t="s">
        <v>386</v>
      </c>
      <c r="G48" s="35" t="s">
        <v>253</v>
      </c>
    </row>
    <row r="49" spans="2:7" x14ac:dyDescent="0.2">
      <c r="B49" s="53" t="s">
        <v>371</v>
      </c>
      <c r="C49" s="10" t="s">
        <v>115</v>
      </c>
      <c r="D49" s="10" t="s">
        <v>110</v>
      </c>
      <c r="E49" s="41">
        <v>1</v>
      </c>
      <c r="G49" s="35" t="s">
        <v>253</v>
      </c>
    </row>
    <row r="50" spans="2:7" x14ac:dyDescent="0.2">
      <c r="B50" s="53" t="s">
        <v>368</v>
      </c>
      <c r="C50" s="11" t="s">
        <v>115</v>
      </c>
      <c r="D50" s="11" t="s">
        <v>110</v>
      </c>
      <c r="E50" s="14">
        <v>1</v>
      </c>
      <c r="F50" s="10" t="s">
        <v>369</v>
      </c>
      <c r="G50" s="35" t="s">
        <v>253</v>
      </c>
    </row>
    <row r="51" spans="2:7" x14ac:dyDescent="0.2">
      <c r="B51" s="53" t="s">
        <v>920</v>
      </c>
      <c r="C51" s="10" t="s">
        <v>921</v>
      </c>
      <c r="D51" s="10" t="s">
        <v>110</v>
      </c>
      <c r="E51" s="14">
        <v>1</v>
      </c>
      <c r="F51" s="10" t="s">
        <v>922</v>
      </c>
      <c r="G51" s="35"/>
    </row>
    <row r="52" spans="2:7" x14ac:dyDescent="0.2">
      <c r="B52" s="53" t="s">
        <v>923</v>
      </c>
      <c r="C52" s="10" t="s">
        <v>921</v>
      </c>
      <c r="D52" s="10" t="s">
        <v>110</v>
      </c>
      <c r="E52" s="14">
        <v>1</v>
      </c>
      <c r="F52" s="10" t="s">
        <v>924</v>
      </c>
      <c r="G52" s="35"/>
    </row>
    <row r="53" spans="2:7" x14ac:dyDescent="0.2">
      <c r="B53" s="53" t="s">
        <v>607</v>
      </c>
      <c r="C53" s="10" t="s">
        <v>115</v>
      </c>
      <c r="D53" s="10" t="s">
        <v>110</v>
      </c>
      <c r="E53" s="14">
        <v>1</v>
      </c>
      <c r="F53" s="10"/>
      <c r="G53" s="35" t="s">
        <v>253</v>
      </c>
    </row>
    <row r="54" spans="2:7" x14ac:dyDescent="0.2">
      <c r="B54" s="53" t="s">
        <v>574</v>
      </c>
      <c r="C54" s="10" t="s">
        <v>115</v>
      </c>
      <c r="D54" s="10" t="s">
        <v>110</v>
      </c>
      <c r="E54" s="41" t="s">
        <v>575</v>
      </c>
      <c r="F54" s="10"/>
      <c r="G54" s="35" t="s">
        <v>253</v>
      </c>
    </row>
    <row r="55" spans="2:7" x14ac:dyDescent="0.2">
      <c r="B55" s="53" t="s">
        <v>671</v>
      </c>
      <c r="C55" s="10" t="s">
        <v>605</v>
      </c>
      <c r="D55" s="10" t="s">
        <v>110</v>
      </c>
      <c r="E55" s="41">
        <v>1</v>
      </c>
      <c r="F55" s="10" t="s">
        <v>386</v>
      </c>
      <c r="G55" s="35" t="s">
        <v>253</v>
      </c>
    </row>
    <row r="56" spans="2:7" x14ac:dyDescent="0.2">
      <c r="B56" s="53" t="s">
        <v>375</v>
      </c>
      <c r="C56" s="10" t="s">
        <v>115</v>
      </c>
      <c r="D56" s="10" t="s">
        <v>110</v>
      </c>
      <c r="E56" s="41">
        <v>1</v>
      </c>
      <c r="F56" s="10" t="s">
        <v>472</v>
      </c>
      <c r="G56" s="35" t="s">
        <v>253</v>
      </c>
    </row>
    <row r="57" spans="2:7" x14ac:dyDescent="0.2">
      <c r="B57" s="53" t="s">
        <v>365</v>
      </c>
      <c r="C57" s="10" t="s">
        <v>366</v>
      </c>
      <c r="D57" s="10" t="s">
        <v>110</v>
      </c>
      <c r="E57" s="14">
        <v>1</v>
      </c>
      <c r="F57" s="10" t="s">
        <v>367</v>
      </c>
      <c r="G57" s="35" t="s">
        <v>211</v>
      </c>
    </row>
    <row r="58" spans="2:7" x14ac:dyDescent="0.2">
      <c r="B58" s="53" t="s">
        <v>590</v>
      </c>
      <c r="C58" s="10" t="s">
        <v>115</v>
      </c>
      <c r="D58" s="10" t="s">
        <v>110</v>
      </c>
      <c r="E58" s="14">
        <v>1</v>
      </c>
      <c r="F58" s="10" t="s">
        <v>591</v>
      </c>
      <c r="G58" s="35" t="s">
        <v>253</v>
      </c>
    </row>
    <row r="59" spans="2:7" x14ac:dyDescent="0.2">
      <c r="B59" s="96" t="s">
        <v>733</v>
      </c>
      <c r="C59" s="122" t="s">
        <v>349</v>
      </c>
      <c r="D59" s="122" t="s">
        <v>110</v>
      </c>
      <c r="E59" s="97">
        <v>1</v>
      </c>
      <c r="F59" s="122" t="s">
        <v>350</v>
      </c>
      <c r="G59" s="98" t="s">
        <v>161</v>
      </c>
    </row>
    <row r="60" spans="2:7" s="17" customFormat="1" x14ac:dyDescent="0.2">
      <c r="B60" s="53" t="s">
        <v>576</v>
      </c>
      <c r="C60" s="10" t="s">
        <v>465</v>
      </c>
      <c r="D60" s="10" t="s">
        <v>80</v>
      </c>
      <c r="E60" s="14">
        <v>1</v>
      </c>
      <c r="F60" s="10" t="s">
        <v>466</v>
      </c>
      <c r="G60" s="35" t="s">
        <v>161</v>
      </c>
    </row>
    <row r="61" spans="2:7" x14ac:dyDescent="0.2">
      <c r="B61" s="53" t="s">
        <v>351</v>
      </c>
      <c r="C61" s="10" t="s">
        <v>352</v>
      </c>
      <c r="D61" s="10" t="s">
        <v>110</v>
      </c>
      <c r="E61" s="14">
        <v>1</v>
      </c>
      <c r="F61" s="10" t="s">
        <v>353</v>
      </c>
      <c r="G61" s="35" t="s">
        <v>161</v>
      </c>
    </row>
    <row r="62" spans="2:7" x14ac:dyDescent="0.2">
      <c r="B62" s="53" t="s">
        <v>372</v>
      </c>
      <c r="C62" s="10" t="s">
        <v>115</v>
      </c>
      <c r="D62" s="10" t="s">
        <v>110</v>
      </c>
      <c r="E62" s="41" t="s">
        <v>373</v>
      </c>
      <c r="F62" s="10" t="s">
        <v>374</v>
      </c>
      <c r="G62" s="35" t="s">
        <v>161</v>
      </c>
    </row>
    <row r="63" spans="2:7" x14ac:dyDescent="0.2">
      <c r="B63" s="53" t="s">
        <v>584</v>
      </c>
      <c r="C63" s="10" t="s">
        <v>413</v>
      </c>
      <c r="D63" s="10" t="s">
        <v>110</v>
      </c>
      <c r="E63" s="41" t="s">
        <v>414</v>
      </c>
      <c r="F63" s="10" t="s">
        <v>583</v>
      </c>
      <c r="G63" s="35" t="s">
        <v>253</v>
      </c>
    </row>
    <row r="64" spans="2:7" x14ac:dyDescent="0.2">
      <c r="B64" s="53"/>
      <c r="C64" s="10" t="s">
        <v>388</v>
      </c>
      <c r="D64" s="10" t="s">
        <v>110</v>
      </c>
      <c r="E64" s="41">
        <v>1</v>
      </c>
      <c r="F64" s="10" t="s">
        <v>390</v>
      </c>
      <c r="G64" s="35" t="s">
        <v>253</v>
      </c>
    </row>
    <row r="65" spans="2:7" x14ac:dyDescent="0.2">
      <c r="B65" s="53"/>
      <c r="C65" s="10" t="s">
        <v>389</v>
      </c>
      <c r="D65" s="10" t="s">
        <v>110</v>
      </c>
      <c r="E65" s="41">
        <v>1</v>
      </c>
      <c r="F65" s="10" t="s">
        <v>391</v>
      </c>
      <c r="G65" s="35" t="s">
        <v>161</v>
      </c>
    </row>
    <row r="66" spans="2:7" x14ac:dyDescent="0.2">
      <c r="B66" s="61" t="s">
        <v>343</v>
      </c>
      <c r="C66" s="62" t="s">
        <v>283</v>
      </c>
      <c r="D66" s="62" t="s">
        <v>80</v>
      </c>
      <c r="E66" s="22">
        <v>1</v>
      </c>
      <c r="F66" s="62" t="s">
        <v>344</v>
      </c>
      <c r="G66" s="63" t="s">
        <v>161</v>
      </c>
    </row>
    <row r="68" spans="2:7" x14ac:dyDescent="0.2">
      <c r="B68" s="3"/>
      <c r="F68" s="18" t="s">
        <v>103</v>
      </c>
    </row>
    <row r="69" spans="2:7" x14ac:dyDescent="0.2">
      <c r="B69" s="3"/>
      <c r="F69" s="18" t="s">
        <v>120</v>
      </c>
    </row>
    <row r="70" spans="2:7" x14ac:dyDescent="0.2">
      <c r="B70" s="3"/>
      <c r="F70" s="18" t="s">
        <v>243</v>
      </c>
    </row>
    <row r="71" spans="2:7" x14ac:dyDescent="0.2">
      <c r="F71" s="18" t="s">
        <v>241</v>
      </c>
    </row>
    <row r="72" spans="2:7" x14ac:dyDescent="0.2">
      <c r="F72" s="18" t="s">
        <v>333</v>
      </c>
    </row>
    <row r="73" spans="2:7" x14ac:dyDescent="0.2">
      <c r="F73" s="18" t="s">
        <v>331</v>
      </c>
    </row>
    <row r="74" spans="2:7" x14ac:dyDescent="0.2">
      <c r="F74" s="18" t="s">
        <v>330</v>
      </c>
    </row>
    <row r="75" spans="2:7" x14ac:dyDescent="0.2">
      <c r="F75" s="18" t="s">
        <v>306</v>
      </c>
    </row>
    <row r="76" spans="2:7" x14ac:dyDescent="0.2">
      <c r="F76" s="18" t="s">
        <v>329</v>
      </c>
    </row>
    <row r="77" spans="2:7" x14ac:dyDescent="0.2">
      <c r="F77" s="18" t="s">
        <v>326</v>
      </c>
    </row>
    <row r="78" spans="2:7" x14ac:dyDescent="0.2">
      <c r="F78" s="18" t="s">
        <v>458</v>
      </c>
    </row>
    <row r="79" spans="2:7" x14ac:dyDescent="0.2">
      <c r="F79" s="18" t="s">
        <v>398</v>
      </c>
    </row>
    <row r="80" spans="2:7" x14ac:dyDescent="0.2">
      <c r="F80" s="18" t="s">
        <v>505</v>
      </c>
    </row>
    <row r="81" spans="6:6" x14ac:dyDescent="0.2">
      <c r="F81" s="18" t="s">
        <v>515</v>
      </c>
    </row>
    <row r="82" spans="6:6" x14ac:dyDescent="0.2">
      <c r="F82" s="18" t="s">
        <v>503</v>
      </c>
    </row>
    <row r="83" spans="6:6" x14ac:dyDescent="0.2">
      <c r="F83" s="18" t="s">
        <v>431</v>
      </c>
    </row>
    <row r="84" spans="6:6" x14ac:dyDescent="0.2">
      <c r="F84" s="18" t="s">
        <v>595</v>
      </c>
    </row>
    <row r="85" spans="6:6" x14ac:dyDescent="0.2">
      <c r="F85" s="18" t="s">
        <v>693</v>
      </c>
    </row>
    <row r="86" spans="6:6" x14ac:dyDescent="0.2">
      <c r="F86" s="18" t="s">
        <v>475</v>
      </c>
    </row>
    <row r="87" spans="6:6" x14ac:dyDescent="0.2">
      <c r="F87" s="18" t="s">
        <v>711</v>
      </c>
    </row>
    <row r="89" spans="6:6" x14ac:dyDescent="0.2">
      <c r="F89" s="118" t="s">
        <v>834</v>
      </c>
    </row>
    <row r="90" spans="6:6" x14ac:dyDescent="0.2">
      <c r="F90" s="118" t="s">
        <v>835</v>
      </c>
    </row>
    <row r="91" spans="6:6" x14ac:dyDescent="0.2">
      <c r="F91" s="118"/>
    </row>
    <row r="92" spans="6:6" x14ac:dyDescent="0.2">
      <c r="F92" s="3" t="s">
        <v>857</v>
      </c>
    </row>
    <row r="93" spans="6:6" x14ac:dyDescent="0.2">
      <c r="F93" s="118" t="s">
        <v>842</v>
      </c>
    </row>
    <row r="94" spans="6:6" x14ac:dyDescent="0.2">
      <c r="F94" s="3" t="s">
        <v>948</v>
      </c>
    </row>
    <row r="95" spans="6:6" x14ac:dyDescent="0.2">
      <c r="F95" s="3" t="s">
        <v>949</v>
      </c>
    </row>
    <row r="96" spans="6:6" x14ac:dyDescent="0.2">
      <c r="F96" s="118" t="s">
        <v>925</v>
      </c>
    </row>
    <row r="97" spans="6:6" x14ac:dyDescent="0.2">
      <c r="F97" s="118" t="s">
        <v>926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64"/>
  <sheetViews>
    <sheetView zoomScale="115" zoomScaleNormal="115" zoomScaleSheetLayoutView="100" workbookViewId="0">
      <pane xSplit="2" ySplit="2" topLeftCell="EO114" activePane="bottomRight" state="frozen"/>
      <selection activeCell="AT9" sqref="AT9"/>
      <selection pane="topRight" activeCell="AT9" sqref="AT9"/>
      <selection pane="bottomLeft" activeCell="AT9" sqref="AT9"/>
      <selection pane="bottomRight" activeCell="FC123" sqref="FC123"/>
    </sheetView>
  </sheetViews>
  <sheetFormatPr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35" width="7.140625" style="93" customWidth="1"/>
    <col min="136" max="136" width="1.7109375" style="5" customWidth="1"/>
    <col min="137" max="137" width="9.140625" style="23" customWidth="1"/>
    <col min="138" max="142" width="8.28515625" style="23" bestFit="1" customWidth="1"/>
    <col min="143" max="156" width="8" style="23" customWidth="1"/>
    <col min="157" max="157" width="7.85546875" style="44" customWidth="1" collapsed="1"/>
    <col min="158" max="158" width="7.85546875" style="15" customWidth="1" collapsed="1"/>
    <col min="159" max="160" width="7.85546875" style="44" customWidth="1" collapsed="1"/>
    <col min="161" max="163" width="9.140625" style="15" collapsed="1"/>
    <col min="164" max="16384" width="9.140625" style="15"/>
  </cols>
  <sheetData>
    <row r="1" spans="1:167" x14ac:dyDescent="0.2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x14ac:dyDescent="0.2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859</v>
      </c>
      <c r="AD2" s="68" t="s">
        <v>860</v>
      </c>
      <c r="AE2" s="68" t="s">
        <v>861</v>
      </c>
      <c r="AF2" s="68" t="s">
        <v>862</v>
      </c>
      <c r="AG2" s="68" t="s">
        <v>863</v>
      </c>
      <c r="AH2" s="68" t="s">
        <v>864</v>
      </c>
      <c r="AI2" s="68" t="s">
        <v>865</v>
      </c>
      <c r="AJ2" s="68" t="s">
        <v>866</v>
      </c>
      <c r="AK2" s="68" t="s">
        <v>867</v>
      </c>
      <c r="AL2" s="68" t="s">
        <v>868</v>
      </c>
      <c r="AM2" s="68" t="s">
        <v>869</v>
      </c>
      <c r="AN2" s="68" t="s">
        <v>870</v>
      </c>
      <c r="AO2" s="68" t="s">
        <v>871</v>
      </c>
      <c r="AP2" s="68" t="s">
        <v>872</v>
      </c>
      <c r="AQ2" s="68" t="s">
        <v>873</v>
      </c>
      <c r="AR2" s="68" t="s">
        <v>874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875</v>
      </c>
      <c r="DW2" s="52" t="s">
        <v>876</v>
      </c>
      <c r="DX2" s="52" t="s">
        <v>877</v>
      </c>
      <c r="DY2" s="52" t="s">
        <v>878</v>
      </c>
      <c r="DZ2" s="52" t="s">
        <v>927</v>
      </c>
      <c r="EA2" s="52" t="s">
        <v>928</v>
      </c>
      <c r="EB2" s="52" t="s">
        <v>929</v>
      </c>
      <c r="EC2" s="52" t="s">
        <v>930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x14ac:dyDescent="0.2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SUM(Q22:Q60)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SUM(AX22:AX60)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SUM(BL22:BL61)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SUM(BV22:BV60)</f>
        <v>5341</v>
      </c>
      <c r="BW3" s="66">
        <f t="shared" ref="BW3:CC3" si="14">SUM(BW22:BW61)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SUM(DN9:DN60)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9879</v>
      </c>
      <c r="DZ3" s="66">
        <f t="shared" si="15"/>
        <v>10921</v>
      </c>
      <c r="EA3" s="66"/>
      <c r="EB3" s="66"/>
      <c r="EC3" s="66"/>
      <c r="ED3" s="66"/>
      <c r="EE3" s="66"/>
      <c r="EF3" s="5"/>
      <c r="EG3" s="66">
        <f t="shared" ref="EG3:EN3" si="16">SUM(EG22:EG60)</f>
        <v>14673</v>
      </c>
      <c r="EH3" s="66">
        <f t="shared" si="16"/>
        <v>14294</v>
      </c>
      <c r="EI3" s="66">
        <f t="shared" si="16"/>
        <v>15796</v>
      </c>
      <c r="EJ3" s="66">
        <f t="shared" si="16"/>
        <v>16647.796737766625</v>
      </c>
      <c r="EK3" s="66">
        <f t="shared" si="16"/>
        <v>20584</v>
      </c>
      <c r="EL3" s="66">
        <f t="shared" si="16"/>
        <v>22785.404389333649</v>
      </c>
      <c r="EM3" s="66">
        <f t="shared" si="16"/>
        <v>20074</v>
      </c>
      <c r="EN3" s="66">
        <f t="shared" si="16"/>
        <v>19186</v>
      </c>
      <c r="EO3" s="66">
        <f>SUM(EO22:EO61)</f>
        <v>39540</v>
      </c>
      <c r="EP3" s="66">
        <f>SUM(EP22:EP61)</f>
        <v>36911</v>
      </c>
      <c r="EQ3" s="68">
        <f t="shared" ref="EQ3:EQ8" si="17">SUM(BZ3:CC3)</f>
        <v>32794</v>
      </c>
      <c r="ER3" s="66">
        <f t="shared" ref="ER3:EY3" si="18">SUM(ER22:ER61)</f>
        <v>17131</v>
      </c>
      <c r="ES3" s="66">
        <f t="shared" si="18"/>
        <v>17584</v>
      </c>
      <c r="ET3" s="66">
        <f t="shared" si="18"/>
        <v>16271.419999999998</v>
      </c>
      <c r="EU3" s="66">
        <f t="shared" si="18"/>
        <v>15649.399199999998</v>
      </c>
      <c r="EV3" s="66">
        <f t="shared" si="18"/>
        <v>15438.866182000002</v>
      </c>
      <c r="EW3" s="66">
        <f t="shared" si="18"/>
        <v>15093.13838527</v>
      </c>
      <c r="EX3" s="66">
        <f t="shared" si="18"/>
        <v>14957.861871643699</v>
      </c>
      <c r="EY3" s="66">
        <f t="shared" si="18"/>
        <v>11226.904922314505</v>
      </c>
      <c r="EZ3" s="66">
        <f>SUM(EZ9:EZ61)</f>
        <v>44532</v>
      </c>
      <c r="FA3" s="66">
        <f>SUM(FA9:FA61)</f>
        <v>45041</v>
      </c>
      <c r="FB3" s="16"/>
      <c r="FC3" s="46"/>
      <c r="FD3" s="46"/>
    </row>
    <row r="4" spans="1:167" s="26" customFormat="1" x14ac:dyDescent="0.2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9">SUM(BR4:BU4)</f>
        <v>14805</v>
      </c>
      <c r="EP4" s="27">
        <f t="shared" ref="EP4:EP46" si="20">SUM(BV4:BY4)</f>
        <v>14071</v>
      </c>
      <c r="EQ4" s="27">
        <f t="shared" si="17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46"/>
      <c r="FD4" s="46"/>
    </row>
    <row r="5" spans="1:167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45" si="22">SUM(M5:N5)</f>
        <v>3399</v>
      </c>
      <c r="EN5" s="27">
        <f>SUM(O5:P5)</f>
        <v>3336</v>
      </c>
      <c r="EO5" s="27">
        <f t="shared" si="19"/>
        <v>4765</v>
      </c>
      <c r="EP5" s="27">
        <f t="shared" si="20"/>
        <v>4319</v>
      </c>
      <c r="EQ5" s="27">
        <f t="shared" si="17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46"/>
      <c r="FD5" s="46"/>
    </row>
    <row r="6" spans="1:167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3673</v>
      </c>
      <c r="DZ6" s="24">
        <v>3478</v>
      </c>
      <c r="EA6" s="24"/>
      <c r="EB6" s="24"/>
      <c r="EC6" s="24"/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9"/>
        <v>10055</v>
      </c>
      <c r="EP6" s="27">
        <f t="shared" si="20"/>
        <v>10415</v>
      </c>
      <c r="EQ6" s="27">
        <f t="shared" si="17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14104</v>
      </c>
      <c r="FD6" s="46"/>
    </row>
    <row r="7" spans="1:167" s="26" customFormat="1" x14ac:dyDescent="0.2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9"/>
        <v>2238</v>
      </c>
      <c r="EP7" s="27">
        <f t="shared" si="20"/>
        <v>9201</v>
      </c>
      <c r="EQ7" s="27">
        <f t="shared" si="17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46"/>
      <c r="FD7" s="46"/>
    </row>
    <row r="8" spans="1:167" s="26" customFormat="1" x14ac:dyDescent="0.2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1" si="23">SUM(K8:L8)</f>
        <v>20666</v>
      </c>
      <c r="EM8" s="27">
        <f t="shared" si="22"/>
        <v>22970</v>
      </c>
      <c r="EN8" s="27">
        <f>SUM(O8:P8)</f>
        <v>22164</v>
      </c>
      <c r="EO8" s="27">
        <f t="shared" si="19"/>
        <v>17188</v>
      </c>
      <c r="EP8" s="27">
        <f t="shared" si="20"/>
        <v>9467</v>
      </c>
      <c r="EQ8" s="27">
        <f t="shared" si="17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46"/>
      <c r="FD8" s="46"/>
    </row>
    <row r="9" spans="1:167" s="116" customFormat="1" x14ac:dyDescent="0.2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/>
      <c r="EB9" s="54"/>
      <c r="EC9" s="54"/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56" si="24">SUM(DV9:DY9)</f>
        <v>6381</v>
      </c>
      <c r="FD9" s="117"/>
    </row>
    <row r="10" spans="1:167" s="26" customFormat="1" x14ac:dyDescent="0.2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/>
      <c r="EB10" s="66"/>
      <c r="EC10" s="66"/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24"/>
        <v>4147</v>
      </c>
      <c r="FD10" s="46"/>
    </row>
    <row r="11" spans="1:167" s="26" customFormat="1" x14ac:dyDescent="0.2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/>
      <c r="EB11" s="66"/>
      <c r="EC11" s="66"/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>
        <f>+ES11*1.5</f>
        <v>489</v>
      </c>
      <c r="EU11" s="25">
        <f>+ET11*1.2</f>
        <v>586.79999999999995</v>
      </c>
      <c r="EV11" s="25">
        <f>+EU11*1.1</f>
        <v>645.48</v>
      </c>
      <c r="EW11" s="25">
        <f t="shared" ref="EW11:EX11" si="25">+EV11*1.1</f>
        <v>710.02800000000013</v>
      </c>
      <c r="EX11" s="25">
        <f t="shared" si="25"/>
        <v>781.03080000000023</v>
      </c>
      <c r="EY11" s="25"/>
      <c r="EZ11" s="25">
        <v>3883</v>
      </c>
      <c r="FA11" s="54">
        <v>3955</v>
      </c>
      <c r="FB11" s="20">
        <f t="shared" ref="FB11:FB30" si="26">SUM(DR11:DU11)</f>
        <v>4087</v>
      </c>
      <c r="FC11" s="54">
        <f t="shared" si="24"/>
        <v>3768</v>
      </c>
      <c r="FD11" s="46"/>
    </row>
    <row r="12" spans="1:167" s="26" customFormat="1" x14ac:dyDescent="0.2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/>
      <c r="EB12" s="66"/>
      <c r="EC12" s="66"/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6"/>
        <v>3717</v>
      </c>
      <c r="FC12" s="54">
        <f t="shared" si="24"/>
        <v>3766</v>
      </c>
      <c r="FD12" s="46"/>
    </row>
    <row r="13" spans="1:167" s="26" customFormat="1" x14ac:dyDescent="0.2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/>
      <c r="EB13" s="66"/>
      <c r="EC13" s="66"/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24"/>
        <v>2357</v>
      </c>
      <c r="FD13" s="46"/>
    </row>
    <row r="14" spans="1:167" s="26" customFormat="1" x14ac:dyDescent="0.2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/>
      <c r="EB14" s="66"/>
      <c r="EC14" s="66"/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>
        <f t="shared" ref="ET14:EY14" si="29">ES14*1.1</f>
        <v>1140.7</v>
      </c>
      <c r="EU14" s="25">
        <f t="shared" si="29"/>
        <v>1254.7700000000002</v>
      </c>
      <c r="EV14" s="25">
        <f t="shared" si="29"/>
        <v>1380.2470000000003</v>
      </c>
      <c r="EW14" s="25">
        <f t="shared" si="29"/>
        <v>1518.2717000000005</v>
      </c>
      <c r="EX14" s="25">
        <f t="shared" si="29"/>
        <v>1670.0988700000007</v>
      </c>
      <c r="EY14" s="25">
        <f t="shared" si="29"/>
        <v>1837.1087570000009</v>
      </c>
      <c r="EZ14" s="68">
        <v>2858</v>
      </c>
      <c r="FA14" s="54">
        <v>3562</v>
      </c>
      <c r="FB14" s="20">
        <f t="shared" si="26"/>
        <v>2701</v>
      </c>
      <c r="FC14" s="54">
        <f t="shared" si="24"/>
        <v>2630</v>
      </c>
      <c r="FD14" s="46"/>
    </row>
    <row r="15" spans="1:167" s="26" customFormat="1" x14ac:dyDescent="0.2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/>
      <c r="EB15" s="66"/>
      <c r="EC15" s="66"/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>
        <f t="shared" ref="ET15:EY15" si="30">ES15*1.01</f>
        <v>797.9</v>
      </c>
      <c r="EU15" s="25">
        <f t="shared" si="30"/>
        <v>805.87900000000002</v>
      </c>
      <c r="EV15" s="25">
        <f t="shared" si="30"/>
        <v>813.93779000000006</v>
      </c>
      <c r="EW15" s="25">
        <f t="shared" si="30"/>
        <v>822.07716790000006</v>
      </c>
      <c r="EX15" s="25">
        <f t="shared" si="30"/>
        <v>830.29793957900006</v>
      </c>
      <c r="EY15" s="25">
        <f t="shared" si="30"/>
        <v>838.60091897479003</v>
      </c>
      <c r="EZ15" s="25">
        <v>1904</v>
      </c>
      <c r="FA15" s="25">
        <v>1942</v>
      </c>
      <c r="FB15" s="20">
        <f t="shared" ref="FB15:FB21" si="31">SUM(DR15:DU15)</f>
        <v>2208</v>
      </c>
      <c r="FC15" s="54">
        <f t="shared" si="24"/>
        <v>2176</v>
      </c>
      <c r="FD15" s="46"/>
    </row>
    <row r="16" spans="1:167" s="26" customFormat="1" x14ac:dyDescent="0.2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/>
      <c r="EB16" s="66"/>
      <c r="EC16" s="66"/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31"/>
        <v>2080</v>
      </c>
      <c r="FC16" s="54">
        <f t="shared" si="24"/>
        <v>1966</v>
      </c>
      <c r="FD16" s="46"/>
    </row>
    <row r="17" spans="2:160" s="26" customFormat="1" x14ac:dyDescent="0.2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/>
      <c r="EB17" s="66"/>
      <c r="EC17" s="66"/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31"/>
        <v>740</v>
      </c>
      <c r="FC17" s="54">
        <f t="shared" si="24"/>
        <v>1120</v>
      </c>
      <c r="FD17" s="46"/>
    </row>
    <row r="18" spans="2:160" s="26" customFormat="1" x14ac:dyDescent="0.2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/>
      <c r="EB18" s="66"/>
      <c r="EC18" s="66"/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>
        <f>ES18*1.01</f>
        <v>6139.79</v>
      </c>
      <c r="EU18" s="25">
        <f>ET18*1.01</f>
        <v>6201.1878999999999</v>
      </c>
      <c r="EV18" s="25">
        <f>EU18*1.01</f>
        <v>6263.1997789999996</v>
      </c>
      <c r="EW18" s="25">
        <f>EV18*0.9</f>
        <v>5636.8798010999999</v>
      </c>
      <c r="EX18" s="25">
        <f>EW18*0.9</f>
        <v>5073.1918209900005</v>
      </c>
      <c r="EY18" s="25">
        <f>+EX18*0.9</f>
        <v>4565.8726388910009</v>
      </c>
      <c r="EZ18" s="25">
        <v>3732</v>
      </c>
      <c r="FA18" s="25">
        <v>2694</v>
      </c>
      <c r="FB18" s="20">
        <f t="shared" si="31"/>
        <v>2142</v>
      </c>
      <c r="FC18" s="54">
        <f t="shared" si="24"/>
        <v>1626</v>
      </c>
      <c r="FD18" s="46"/>
    </row>
    <row r="19" spans="2:160" s="26" customFormat="1" x14ac:dyDescent="0.2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/>
      <c r="EB19" s="66"/>
      <c r="EC19" s="66"/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31"/>
        <v>1119</v>
      </c>
      <c r="FC19" s="54">
        <f t="shared" si="24"/>
        <v>1419</v>
      </c>
      <c r="FD19" s="46"/>
    </row>
    <row r="20" spans="2:160" s="26" customFormat="1" x14ac:dyDescent="0.2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/>
      <c r="EB20" s="66"/>
      <c r="EC20" s="66"/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>
        <f t="shared" ref="ET20:EV20" si="32">ES20*1.01</f>
        <v>7020.51</v>
      </c>
      <c r="EU20" s="25">
        <f t="shared" si="32"/>
        <v>7090.7151000000003</v>
      </c>
      <c r="EV20" s="25">
        <f t="shared" si="32"/>
        <v>7161.6222510000007</v>
      </c>
      <c r="EW20" s="25">
        <f>EV20*0.99</f>
        <v>7090.006028490001</v>
      </c>
      <c r="EX20" s="25">
        <f>EW20*0.99</f>
        <v>7019.1059682051009</v>
      </c>
      <c r="EY20" s="25">
        <f>+EX20*0.99</f>
        <v>6948.9149085230501</v>
      </c>
      <c r="EZ20" s="25">
        <f>3206+1017</f>
        <v>4223</v>
      </c>
      <c r="FA20" s="25">
        <f>1999+566</f>
        <v>2565</v>
      </c>
      <c r="FB20" s="20">
        <f t="shared" si="31"/>
        <v>2075</v>
      </c>
      <c r="FC20" s="54">
        <f t="shared" si="24"/>
        <v>1630</v>
      </c>
      <c r="FD20" s="46"/>
    </row>
    <row r="21" spans="2:160" s="26" customFormat="1" x14ac:dyDescent="0.2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/>
      <c r="EB21" s="66"/>
      <c r="EC21" s="66"/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31"/>
        <v>1513</v>
      </c>
      <c r="FC21" s="54">
        <f t="shared" si="24"/>
        <v>1502</v>
      </c>
      <c r="FD21" s="46"/>
    </row>
    <row r="22" spans="2:160" s="26" customFormat="1" x14ac:dyDescent="0.2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/>
      <c r="EB22" s="66"/>
      <c r="EC22" s="66"/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23"/>
        <v>2962</v>
      </c>
      <c r="EM22" s="25">
        <f>SUM(M22:N22)</f>
        <v>4106</v>
      </c>
      <c r="EN22" s="25">
        <f t="shared" ref="EN22:EN41" si="33">SUM(BN22:BQ22)</f>
        <v>5207</v>
      </c>
      <c r="EO22" s="25">
        <f t="shared" si="19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>
        <f t="shared" ref="ET22:EX22" si="34">ES22*1.01</f>
        <v>6316.54</v>
      </c>
      <c r="EU22" s="25">
        <f t="shared" si="34"/>
        <v>6379.7053999999998</v>
      </c>
      <c r="EV22" s="25">
        <f t="shared" si="34"/>
        <v>6443.5024539999995</v>
      </c>
      <c r="EW22" s="25">
        <f t="shared" si="34"/>
        <v>6507.9374785399996</v>
      </c>
      <c r="EX22" s="25">
        <f t="shared" si="34"/>
        <v>6573.0168533254</v>
      </c>
      <c r="EY22" s="25">
        <f>+EX22*0.99</f>
        <v>6507.2866847921459</v>
      </c>
      <c r="EZ22" s="25">
        <v>4992</v>
      </c>
      <c r="FA22" s="25">
        <v>3056</v>
      </c>
      <c r="FB22" s="20">
        <f t="shared" si="26"/>
        <v>2122</v>
      </c>
      <c r="FC22" s="54">
        <f t="shared" si="24"/>
        <v>1573</v>
      </c>
      <c r="FD22" s="46"/>
    </row>
    <row r="23" spans="2:160" s="26" customFormat="1" x14ac:dyDescent="0.2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/>
      <c r="EC23" s="66"/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6"/>
        <v>1679</v>
      </c>
      <c r="FC23" s="54">
        <f t="shared" si="24"/>
        <v>525</v>
      </c>
      <c r="FD23" s="46"/>
    </row>
    <row r="24" spans="2:160" s="26" customFormat="1" x14ac:dyDescent="0.2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47" si="35">+BY24+BX24</f>
        <v>761</v>
      </c>
      <c r="U24" s="25">
        <f t="shared" ref="U24:U48" si="36">SUM(BZ24:CA24)</f>
        <v>769</v>
      </c>
      <c r="V24" s="25">
        <f t="shared" ref="V24:V47" si="37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/>
      <c r="EC24" s="66"/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23"/>
        <v>478</v>
      </c>
      <c r="EM24" s="25">
        <f>SUM(M24:N24)</f>
        <v>991</v>
      </c>
      <c r="EN24" s="25">
        <f t="shared" si="33"/>
        <v>960</v>
      </c>
      <c r="EO24" s="25">
        <f>SUM(BR24:BU24)</f>
        <v>1198</v>
      </c>
      <c r="EP24" s="25">
        <f t="shared" si="20"/>
        <v>1458</v>
      </c>
      <c r="EQ24" s="25">
        <f t="shared" ref="EQ24:EQ48" si="38">SUM(BZ24:CC24)</f>
        <v>1523</v>
      </c>
      <c r="ER24" s="25">
        <f t="shared" ref="ER24:ER58" si="39">SUM(CD24:CG24)</f>
        <v>1481</v>
      </c>
      <c r="ES24" s="25">
        <f t="shared" ref="ES24:ES58" si="40">SUM(CH24:CK24)</f>
        <v>1689</v>
      </c>
      <c r="ET24" s="25">
        <f t="shared" ref="ET24:EY24" si="41">ES24*1.01</f>
        <v>1705.89</v>
      </c>
      <c r="EU24" s="25">
        <f t="shared" si="41"/>
        <v>1722.9489000000001</v>
      </c>
      <c r="EV24" s="25">
        <f t="shared" si="41"/>
        <v>1740.1783890000002</v>
      </c>
      <c r="EW24" s="25">
        <f t="shared" si="41"/>
        <v>1757.5801728900001</v>
      </c>
      <c r="EX24" s="25">
        <f t="shared" si="41"/>
        <v>1775.1559746189</v>
      </c>
      <c r="EY24" s="25">
        <f t="shared" si="41"/>
        <v>1792.9075343650891</v>
      </c>
      <c r="EZ24" s="25">
        <v>1444</v>
      </c>
      <c r="FA24" s="25">
        <v>1353</v>
      </c>
      <c r="FB24" s="20">
        <f t="shared" si="26"/>
        <v>1012</v>
      </c>
      <c r="FC24" s="54">
        <f t="shared" si="24"/>
        <v>460</v>
      </c>
      <c r="FD24" s="46"/>
    </row>
    <row r="25" spans="2:160" s="26" customFormat="1" x14ac:dyDescent="0.2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/>
      <c r="EB25" s="66"/>
      <c r="EC25" s="66"/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>
        <f>ES25*1.05</f>
        <v>717.15</v>
      </c>
      <c r="EU25" s="25">
        <f t="shared" ref="EU25:EX25" si="42">ET25*1.05</f>
        <v>753.00750000000005</v>
      </c>
      <c r="EV25" s="25">
        <f t="shared" si="42"/>
        <v>790.6578750000001</v>
      </c>
      <c r="EW25" s="25">
        <f t="shared" si="42"/>
        <v>830.19076875000019</v>
      </c>
      <c r="EX25" s="25">
        <f t="shared" si="42"/>
        <v>871.70030718750024</v>
      </c>
      <c r="EY25" s="25"/>
      <c r="EZ25" s="25">
        <v>1321</v>
      </c>
      <c r="FA25" s="25">
        <v>1312</v>
      </c>
      <c r="FB25" s="20">
        <f t="shared" si="26"/>
        <v>1177</v>
      </c>
      <c r="FC25" s="54">
        <f t="shared" si="24"/>
        <v>1173</v>
      </c>
      <c r="FD25" s="46"/>
    </row>
    <row r="26" spans="2:160" s="26" customFormat="1" x14ac:dyDescent="0.2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/>
      <c r="EB26" s="66"/>
      <c r="EC26" s="66"/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24"/>
        <v>811</v>
      </c>
      <c r="FD26" s="46"/>
    </row>
    <row r="27" spans="2:160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/>
      <c r="EB27" s="66"/>
      <c r="EC27" s="66"/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>
        <f>ES27*1.05</f>
        <v>600.6</v>
      </c>
      <c r="EU27" s="25">
        <f t="shared" ref="EU27:EX27" si="43">ET27*1.05</f>
        <v>630.63</v>
      </c>
      <c r="EV27" s="25">
        <f t="shared" si="43"/>
        <v>662.16150000000005</v>
      </c>
      <c r="EW27" s="25">
        <f t="shared" si="43"/>
        <v>695.26957500000003</v>
      </c>
      <c r="EX27" s="25">
        <f t="shared" si="43"/>
        <v>730.03305375000002</v>
      </c>
      <c r="EY27" s="25">
        <f>+EX27*0.9</f>
        <v>657.02974837500005</v>
      </c>
      <c r="EZ27" s="25">
        <v>642</v>
      </c>
      <c r="FA27" s="25">
        <v>566</v>
      </c>
      <c r="FB27" s="20">
        <f>SUM(DR27:DU27)</f>
        <v>543</v>
      </c>
      <c r="FC27" s="54">
        <f t="shared" si="24"/>
        <v>452</v>
      </c>
      <c r="FD27" s="46"/>
    </row>
    <row r="28" spans="2:160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/>
      <c r="DZ28" s="66">
        <v>94</v>
      </c>
      <c r="EA28" s="66"/>
      <c r="EB28" s="66"/>
      <c r="EC28" s="66"/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>
        <f t="shared" ref="ET28" si="44">ES28*0.6</f>
        <v>524.4</v>
      </c>
      <c r="EU28" s="25">
        <f t="shared" ref="EU28" si="45">ET28*0.6</f>
        <v>314.64</v>
      </c>
      <c r="EV28" s="25">
        <f t="shared" ref="EV28" si="46">EU28*0.6</f>
        <v>188.78399999999999</v>
      </c>
      <c r="EW28" s="25">
        <f t="shared" ref="EW28" si="47">EV28*0.6</f>
        <v>113.2704</v>
      </c>
      <c r="EX28" s="25">
        <f t="shared" ref="EX28" si="48">EW28*0.6</f>
        <v>67.962239999999994</v>
      </c>
      <c r="EY28" s="25">
        <f t="shared" ref="EY28" si="49">EX28*0.6</f>
        <v>40.777343999999992</v>
      </c>
      <c r="EZ28" s="25">
        <v>606</v>
      </c>
      <c r="FA28" s="25">
        <v>592</v>
      </c>
      <c r="FB28" s="20">
        <f>SUM(DR28:DU28)</f>
        <v>386</v>
      </c>
      <c r="FC28" s="54">
        <v>393</v>
      </c>
      <c r="FD28" s="46"/>
    </row>
    <row r="29" spans="2:160" s="26" customFormat="1" x14ac:dyDescent="0.2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/>
      <c r="EB29" s="66"/>
      <c r="EC29" s="66"/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24"/>
        <v>837</v>
      </c>
      <c r="FD29" s="46"/>
    </row>
    <row r="30" spans="2:160" s="26" customFormat="1" x14ac:dyDescent="0.2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6"/>
        <v>590</v>
      </c>
      <c r="FC30" s="54">
        <v>202</v>
      </c>
      <c r="FD30" s="46"/>
    </row>
    <row r="31" spans="2:160" s="26" customFormat="1" x14ac:dyDescent="0.2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x14ac:dyDescent="0.2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46"/>
    </row>
    <row r="33" spans="2:160" s="26" customFormat="1" x14ac:dyDescent="0.2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46"/>
    </row>
    <row r="34" spans="2:160" s="26" customFormat="1" x14ac:dyDescent="0.2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46"/>
    </row>
    <row r="35" spans="2:160" s="26" customFormat="1" x14ac:dyDescent="0.2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x14ac:dyDescent="0.2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/>
      <c r="FD36" s="46"/>
    </row>
    <row r="37" spans="2:160" s="26" customFormat="1" x14ac:dyDescent="0.2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46"/>
    </row>
    <row r="38" spans="2:160" s="26" customFormat="1" x14ac:dyDescent="0.2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ref="P38:P45" si="50">SUM(BP38:BQ38)</f>
        <v>882</v>
      </c>
      <c r="Q38" s="25">
        <f t="shared" ref="Q38:Q47" si="51">SUM(BR38:BS38)</f>
        <v>789</v>
      </c>
      <c r="R38" s="25">
        <f t="shared" ref="R38:R47" si="52">BT38+BU38</f>
        <v>771</v>
      </c>
      <c r="S38" s="25">
        <v>677</v>
      </c>
      <c r="T38" s="25">
        <f t="shared" si="35"/>
        <v>608</v>
      </c>
      <c r="U38" s="25">
        <f t="shared" si="36"/>
        <v>493</v>
      </c>
      <c r="V38" s="25">
        <f t="shared" si="37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>
        <v>489</v>
      </c>
      <c r="AY38" s="66">
        <v>531</v>
      </c>
      <c r="AZ38" s="66">
        <v>528</v>
      </c>
      <c r="BA38" s="66">
        <v>534</v>
      </c>
      <c r="BB38" s="66">
        <v>516</v>
      </c>
      <c r="BC38" s="66">
        <v>570</v>
      </c>
      <c r="BD38" s="66">
        <v>564</v>
      </c>
      <c r="BE38" s="66">
        <v>602</v>
      </c>
      <c r="BF38" s="66">
        <v>535</v>
      </c>
      <c r="BG38" s="66">
        <v>565</v>
      </c>
      <c r="BH38" s="66">
        <v>535</v>
      </c>
      <c r="BI38" s="66">
        <v>592</v>
      </c>
      <c r="BJ38" s="66">
        <v>522</v>
      </c>
      <c r="BK38" s="66">
        <v>544</v>
      </c>
      <c r="BL38" s="66">
        <v>518</v>
      </c>
      <c r="BM38" s="66">
        <v>510</v>
      </c>
      <c r="BN38" s="66">
        <v>442</v>
      </c>
      <c r="BO38" s="66">
        <v>450</v>
      </c>
      <c r="BP38" s="66">
        <v>427</v>
      </c>
      <c r="BQ38" s="66">
        <v>455</v>
      </c>
      <c r="BR38" s="66">
        <v>378</v>
      </c>
      <c r="BS38" s="66">
        <v>411</v>
      </c>
      <c r="BT38" s="66">
        <f>1180-BS38-BR38</f>
        <v>391</v>
      </c>
      <c r="BU38" s="66">
        <v>380</v>
      </c>
      <c r="BV38" s="66">
        <v>339</v>
      </c>
      <c r="BW38" s="66">
        <f t="shared" ref="BW38:BW46" si="53">+S38-BV38</f>
        <v>338</v>
      </c>
      <c r="BX38" s="66">
        <f>989-BW38-BV38</f>
        <v>312</v>
      </c>
      <c r="BY38" s="66">
        <v>296</v>
      </c>
      <c r="BZ38" s="66">
        <v>246</v>
      </c>
      <c r="CA38" s="66">
        <f>493-BZ38</f>
        <v>247</v>
      </c>
      <c r="CB38" s="66">
        <v>197</v>
      </c>
      <c r="CC38" s="66">
        <v>206</v>
      </c>
      <c r="CD38" s="66">
        <v>171</v>
      </c>
      <c r="CE38" s="66">
        <v>180</v>
      </c>
      <c r="CF38" s="66">
        <v>170</v>
      </c>
      <c r="CG38" s="66">
        <v>153</v>
      </c>
      <c r="CH38" s="66">
        <v>131</v>
      </c>
      <c r="CI38" s="66">
        <v>138</v>
      </c>
      <c r="CJ38" s="66">
        <v>131</v>
      </c>
      <c r="CK38" s="66">
        <v>120</v>
      </c>
      <c r="CL38" s="66">
        <v>112</v>
      </c>
      <c r="CM38" s="66">
        <v>119</v>
      </c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5"/>
      <c r="EG38" s="25">
        <v>746</v>
      </c>
      <c r="EH38" s="25">
        <v>1192</v>
      </c>
      <c r="EI38" s="25">
        <v>2051</v>
      </c>
      <c r="EJ38" s="25">
        <f t="shared" ref="EJ38:EJ46" si="54">SUM(AX38:BA38)</f>
        <v>2082</v>
      </c>
      <c r="EK38" s="25">
        <f t="shared" ref="EK38:EK46" si="55">SUM(BB38:BE38)</f>
        <v>2252</v>
      </c>
      <c r="EL38" s="25">
        <f t="shared" si="23"/>
        <v>2227</v>
      </c>
      <c r="EM38" s="25">
        <f t="shared" si="22"/>
        <v>2094</v>
      </c>
      <c r="EN38" s="25">
        <f t="shared" si="33"/>
        <v>1774</v>
      </c>
      <c r="EO38" s="25">
        <f t="shared" ref="EO38:EO47" si="56">SUM(BR38:BU38)</f>
        <v>1560</v>
      </c>
      <c r="EP38" s="25">
        <f t="shared" si="20"/>
        <v>1285</v>
      </c>
      <c r="EQ38" s="25">
        <f t="shared" si="38"/>
        <v>896</v>
      </c>
      <c r="ER38" s="25">
        <f t="shared" si="39"/>
        <v>674</v>
      </c>
      <c r="ES38" s="25">
        <f t="shared" si="40"/>
        <v>520</v>
      </c>
      <c r="ET38" s="25">
        <f t="shared" ref="ET38:EY38" si="57">ES38*0.99</f>
        <v>514.79999999999995</v>
      </c>
      <c r="EU38" s="25">
        <f t="shared" si="57"/>
        <v>509.65199999999993</v>
      </c>
      <c r="EV38" s="25">
        <f t="shared" si="57"/>
        <v>504.55547999999993</v>
      </c>
      <c r="EW38" s="25">
        <f t="shared" si="57"/>
        <v>499.50992519999994</v>
      </c>
      <c r="EX38" s="25">
        <f t="shared" si="57"/>
        <v>494.51482594799995</v>
      </c>
      <c r="EY38" s="25">
        <f t="shared" si="57"/>
        <v>489.56967768851996</v>
      </c>
      <c r="EZ38" s="25"/>
      <c r="FA38" s="46"/>
      <c r="FB38" s="16"/>
      <c r="FC38" s="54"/>
      <c r="FD38" s="46"/>
    </row>
    <row r="39" spans="2:160" s="26" customFormat="1" x14ac:dyDescent="0.2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51"/>
        <v>842</v>
      </c>
      <c r="R39" s="25">
        <f t="shared" si="52"/>
        <v>813</v>
      </c>
      <c r="S39" s="25">
        <v>869</v>
      </c>
      <c r="T39" s="25">
        <f t="shared" si="35"/>
        <v>776</v>
      </c>
      <c r="U39" s="25">
        <f t="shared" si="36"/>
        <v>695</v>
      </c>
      <c r="V39" s="25">
        <f t="shared" si="37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>
        <v>289</v>
      </c>
      <c r="AY39" s="66">
        <v>295</v>
      </c>
      <c r="AZ39" s="66">
        <v>296</v>
      </c>
      <c r="BA39" s="66">
        <v>299</v>
      </c>
      <c r="BB39" s="66">
        <v>325</v>
      </c>
      <c r="BC39" s="66">
        <v>355</v>
      </c>
      <c r="BD39" s="66">
        <v>350</v>
      </c>
      <c r="BE39" s="66">
        <v>373</v>
      </c>
      <c r="BF39" s="66">
        <v>350</v>
      </c>
      <c r="BG39" s="66">
        <v>374</v>
      </c>
      <c r="BH39" s="66">
        <v>350</v>
      </c>
      <c r="BI39" s="66">
        <v>393</v>
      </c>
      <c r="BJ39" s="66">
        <v>400</v>
      </c>
      <c r="BK39" s="66">
        <v>407</v>
      </c>
      <c r="BL39" s="66">
        <v>383</v>
      </c>
      <c r="BM39" s="66">
        <v>447</v>
      </c>
      <c r="BN39" s="66">
        <v>369</v>
      </c>
      <c r="BO39" s="66">
        <v>416</v>
      </c>
      <c r="BP39" s="66">
        <v>405</v>
      </c>
      <c r="BQ39" s="66">
        <v>445</v>
      </c>
      <c r="BR39" s="66">
        <v>393</v>
      </c>
      <c r="BS39" s="66">
        <v>449</v>
      </c>
      <c r="BT39" s="66">
        <f>1280-BS39-BR39</f>
        <v>438</v>
      </c>
      <c r="BU39" s="66">
        <v>375</v>
      </c>
      <c r="BV39" s="66">
        <v>441</v>
      </c>
      <c r="BW39" s="66">
        <f t="shared" si="53"/>
        <v>428</v>
      </c>
      <c r="BX39" s="66">
        <f>1253-BW39-BV39</f>
        <v>384</v>
      </c>
      <c r="BY39" s="66">
        <v>392</v>
      </c>
      <c r="BZ39" s="66">
        <v>346</v>
      </c>
      <c r="CA39" s="66">
        <f>695-BZ39</f>
        <v>349</v>
      </c>
      <c r="CB39" s="66">
        <v>356</v>
      </c>
      <c r="CC39" s="66">
        <v>387</v>
      </c>
      <c r="CD39" s="66">
        <v>444</v>
      </c>
      <c r="CE39" s="66">
        <v>459</v>
      </c>
      <c r="CF39" s="66">
        <v>374</v>
      </c>
      <c r="CG39" s="66">
        <v>372</v>
      </c>
      <c r="CH39" s="66">
        <v>375</v>
      </c>
      <c r="CI39" s="66">
        <v>349</v>
      </c>
      <c r="CJ39" s="66">
        <v>303</v>
      </c>
      <c r="CK39" s="66">
        <v>285</v>
      </c>
      <c r="CL39" s="66">
        <v>287</v>
      </c>
      <c r="CM39" s="66">
        <v>295</v>
      </c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5"/>
      <c r="EG39" s="25">
        <v>0</v>
      </c>
      <c r="EH39" s="25">
        <v>94</v>
      </c>
      <c r="EI39" s="25">
        <v>719</v>
      </c>
      <c r="EJ39" s="25">
        <f t="shared" si="54"/>
        <v>1179</v>
      </c>
      <c r="EK39" s="25">
        <f t="shared" si="55"/>
        <v>1403</v>
      </c>
      <c r="EL39" s="25">
        <f t="shared" si="23"/>
        <v>1467</v>
      </c>
      <c r="EM39" s="25">
        <f>SUM(M39:N39)</f>
        <v>1637</v>
      </c>
      <c r="EN39" s="25">
        <f t="shared" si="33"/>
        <v>1635</v>
      </c>
      <c r="EO39" s="25">
        <f t="shared" si="56"/>
        <v>1655</v>
      </c>
      <c r="EP39" s="25">
        <f t="shared" si="20"/>
        <v>1645</v>
      </c>
      <c r="EQ39" s="25">
        <f t="shared" si="38"/>
        <v>1438</v>
      </c>
      <c r="ER39" s="25">
        <f t="shared" si="39"/>
        <v>1649</v>
      </c>
      <c r="ES39" s="25">
        <f t="shared" si="40"/>
        <v>1312</v>
      </c>
      <c r="ET39" s="25">
        <f>ES39*0.8</f>
        <v>1049.6000000000001</v>
      </c>
      <c r="EU39" s="25">
        <f>ET39*0.8</f>
        <v>839.68000000000018</v>
      </c>
      <c r="EV39" s="25">
        <f t="shared" ref="EV39:EY39" si="58">EU39*0.8</f>
        <v>671.74400000000014</v>
      </c>
      <c r="EW39" s="25">
        <f t="shared" si="58"/>
        <v>537.39520000000016</v>
      </c>
      <c r="EX39" s="25">
        <f t="shared" si="58"/>
        <v>429.91616000000016</v>
      </c>
      <c r="EY39" s="25">
        <f t="shared" si="58"/>
        <v>343.93292800000017</v>
      </c>
      <c r="EZ39" s="25"/>
      <c r="FA39" s="46"/>
      <c r="FB39" s="16"/>
      <c r="FC39" s="54"/>
      <c r="FD39" s="46"/>
    </row>
    <row r="40" spans="2:160" s="26" customFormat="1" x14ac:dyDescent="0.2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50"/>
        <v>638</v>
      </c>
      <c r="Q40" s="25">
        <f t="shared" si="51"/>
        <v>626</v>
      </c>
      <c r="R40" s="25">
        <f t="shared" si="52"/>
        <v>634</v>
      </c>
      <c r="S40" s="25">
        <v>732</v>
      </c>
      <c r="T40" s="25">
        <f t="shared" si="35"/>
        <v>694</v>
      </c>
      <c r="U40" s="25">
        <f t="shared" si="36"/>
        <v>668</v>
      </c>
      <c r="V40" s="25">
        <f t="shared" si="37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>
        <v>115</v>
      </c>
      <c r="AY40" s="66">
        <v>128</v>
      </c>
      <c r="AZ40" s="66">
        <v>145</v>
      </c>
      <c r="BA40" s="66">
        <v>146</v>
      </c>
      <c r="BB40" s="66">
        <v>165</v>
      </c>
      <c r="BC40" s="66">
        <v>190</v>
      </c>
      <c r="BD40" s="66">
        <v>213</v>
      </c>
      <c r="BE40" s="66">
        <v>228</v>
      </c>
      <c r="BF40" s="66">
        <v>238</v>
      </c>
      <c r="BG40" s="66">
        <v>234</v>
      </c>
      <c r="BH40" s="66">
        <v>239</v>
      </c>
      <c r="BI40" s="66">
        <v>260</v>
      </c>
      <c r="BJ40" s="66">
        <v>267</v>
      </c>
      <c r="BK40" s="66">
        <v>282</v>
      </c>
      <c r="BL40" s="66">
        <v>290</v>
      </c>
      <c r="BM40" s="66">
        <v>312</v>
      </c>
      <c r="BN40" s="66">
        <v>281</v>
      </c>
      <c r="BO40" s="66">
        <v>292</v>
      </c>
      <c r="BP40" s="66">
        <v>307</v>
      </c>
      <c r="BQ40" s="66">
        <v>331</v>
      </c>
      <c r="BR40" s="66">
        <v>296</v>
      </c>
      <c r="BS40" s="66">
        <v>330</v>
      </c>
      <c r="BT40" s="66">
        <f>952-BS40-BR40</f>
        <v>326</v>
      </c>
      <c r="BU40" s="66">
        <v>308</v>
      </c>
      <c r="BV40" s="66">
        <v>352</v>
      </c>
      <c r="BW40" s="66">
        <f t="shared" si="53"/>
        <v>380</v>
      </c>
      <c r="BX40" s="66">
        <f>1093-BW40-BV40</f>
        <v>361</v>
      </c>
      <c r="BY40" s="66">
        <v>333</v>
      </c>
      <c r="BZ40" s="66">
        <v>342</v>
      </c>
      <c r="CA40" s="66">
        <f>668-BZ40</f>
        <v>326</v>
      </c>
      <c r="CB40" s="66">
        <v>333</v>
      </c>
      <c r="CC40" s="66">
        <v>353</v>
      </c>
      <c r="CD40" s="66">
        <v>382</v>
      </c>
      <c r="CE40" s="66">
        <v>381</v>
      </c>
      <c r="CF40" s="66">
        <v>386</v>
      </c>
      <c r="CG40" s="66">
        <v>374</v>
      </c>
      <c r="CH40" s="66">
        <v>383</v>
      </c>
      <c r="CI40" s="66">
        <v>388</v>
      </c>
      <c r="CJ40" s="66">
        <v>393</v>
      </c>
      <c r="CK40" s="66">
        <v>345</v>
      </c>
      <c r="CL40" s="66">
        <v>293</v>
      </c>
      <c r="CM40" s="66">
        <v>181</v>
      </c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5"/>
      <c r="EG40" s="25">
        <v>260</v>
      </c>
      <c r="EH40" s="25">
        <v>444</v>
      </c>
      <c r="EI40" s="25">
        <v>515</v>
      </c>
      <c r="EJ40" s="25">
        <f t="shared" si="54"/>
        <v>534</v>
      </c>
      <c r="EK40" s="25">
        <f t="shared" si="55"/>
        <v>796</v>
      </c>
      <c r="EL40" s="25">
        <f t="shared" si="23"/>
        <v>971</v>
      </c>
      <c r="EM40" s="25">
        <f t="shared" si="22"/>
        <v>1151</v>
      </c>
      <c r="EN40" s="25">
        <f t="shared" si="33"/>
        <v>1211</v>
      </c>
      <c r="EO40" s="25">
        <f t="shared" si="56"/>
        <v>1260</v>
      </c>
      <c r="EP40" s="25">
        <f t="shared" si="20"/>
        <v>1426</v>
      </c>
      <c r="EQ40" s="25">
        <f t="shared" si="38"/>
        <v>1354</v>
      </c>
      <c r="ER40" s="25">
        <f t="shared" si="39"/>
        <v>1523</v>
      </c>
      <c r="ES40" s="25">
        <f t="shared" si="40"/>
        <v>1509</v>
      </c>
      <c r="ET40" s="25">
        <f>ES40*0.5</f>
        <v>754.5</v>
      </c>
      <c r="EU40" s="25">
        <f t="shared" ref="EU40:EY40" si="59">ET40*0.5</f>
        <v>377.25</v>
      </c>
      <c r="EV40" s="25">
        <f t="shared" si="59"/>
        <v>188.625</v>
      </c>
      <c r="EW40" s="25">
        <f t="shared" si="59"/>
        <v>94.3125</v>
      </c>
      <c r="EX40" s="25">
        <f t="shared" si="59"/>
        <v>47.15625</v>
      </c>
      <c r="EY40" s="25">
        <f t="shared" si="59"/>
        <v>23.578125</v>
      </c>
      <c r="EZ40" s="25">
        <v>301</v>
      </c>
      <c r="FA40" s="25">
        <v>194</v>
      </c>
      <c r="FB40" s="16"/>
      <c r="FC40" s="54"/>
      <c r="FD40" s="46"/>
    </row>
    <row r="41" spans="2:160" s="26" customFormat="1" x14ac:dyDescent="0.2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50"/>
        <v>628</v>
      </c>
      <c r="Q41" s="25">
        <f t="shared" si="51"/>
        <v>643</v>
      </c>
      <c r="R41" s="25">
        <f t="shared" si="52"/>
        <v>661</v>
      </c>
      <c r="S41" s="25">
        <v>674</v>
      </c>
      <c r="T41" s="25">
        <f t="shared" si="35"/>
        <v>651</v>
      </c>
      <c r="U41" s="25">
        <f t="shared" si="36"/>
        <v>614</v>
      </c>
      <c r="V41" s="25">
        <f t="shared" si="37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93">
        <v>0</v>
      </c>
      <c r="AY41" s="66">
        <v>0</v>
      </c>
      <c r="AZ41" s="66">
        <v>0</v>
      </c>
      <c r="BA41" s="66">
        <v>17</v>
      </c>
      <c r="BB41" s="66">
        <v>57</v>
      </c>
      <c r="BC41" s="66">
        <v>88</v>
      </c>
      <c r="BD41" s="66">
        <v>101</v>
      </c>
      <c r="BE41" s="66">
        <v>141</v>
      </c>
      <c r="BF41" s="66">
        <v>172</v>
      </c>
      <c r="BG41" s="66">
        <v>195</v>
      </c>
      <c r="BH41" s="66">
        <v>211</v>
      </c>
      <c r="BI41" s="66">
        <v>235</v>
      </c>
      <c r="BJ41" s="66">
        <v>243</v>
      </c>
      <c r="BK41" s="66">
        <v>260</v>
      </c>
      <c r="BL41" s="66">
        <v>271</v>
      </c>
      <c r="BM41" s="66">
        <v>288</v>
      </c>
      <c r="BN41" s="66">
        <v>286</v>
      </c>
      <c r="BO41" s="66">
        <v>301</v>
      </c>
      <c r="BP41" s="66">
        <v>298</v>
      </c>
      <c r="BQ41" s="66">
        <v>330</v>
      </c>
      <c r="BR41" s="66">
        <v>320</v>
      </c>
      <c r="BS41" s="66">
        <v>323</v>
      </c>
      <c r="BT41" s="66">
        <f>962-BS41-BR41</f>
        <v>319</v>
      </c>
      <c r="BU41" s="66">
        <v>342</v>
      </c>
      <c r="BV41" s="66">
        <v>326</v>
      </c>
      <c r="BW41" s="66">
        <f t="shared" si="53"/>
        <v>348</v>
      </c>
      <c r="BX41" s="66">
        <f>1005-BW41-BV41</f>
        <v>331</v>
      </c>
      <c r="BY41" s="66">
        <v>320</v>
      </c>
      <c r="BZ41" s="66">
        <v>317</v>
      </c>
      <c r="CA41" s="66">
        <f>614-BZ41</f>
        <v>297</v>
      </c>
      <c r="CB41" s="66">
        <v>307</v>
      </c>
      <c r="CC41" s="66">
        <v>330</v>
      </c>
      <c r="CD41" s="66">
        <v>337</v>
      </c>
      <c r="CE41" s="66">
        <v>329</v>
      </c>
      <c r="CF41" s="66">
        <v>323</v>
      </c>
      <c r="CG41" s="66">
        <v>325</v>
      </c>
      <c r="CH41" s="66">
        <v>336</v>
      </c>
      <c r="CI41" s="66">
        <v>355</v>
      </c>
      <c r="CJ41" s="66">
        <v>327</v>
      </c>
      <c r="CK41" s="66">
        <v>321</v>
      </c>
      <c r="CL41" s="66">
        <v>304</v>
      </c>
      <c r="CM41" s="66">
        <v>347</v>
      </c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5"/>
      <c r="EG41" s="25">
        <v>0</v>
      </c>
      <c r="EH41" s="25">
        <v>0</v>
      </c>
      <c r="EI41" s="25">
        <v>0</v>
      </c>
      <c r="EJ41" s="25">
        <f t="shared" si="54"/>
        <v>17</v>
      </c>
      <c r="EK41" s="25">
        <f t="shared" si="55"/>
        <v>387</v>
      </c>
      <c r="EL41" s="25">
        <f t="shared" si="23"/>
        <v>813</v>
      </c>
      <c r="EM41" s="25">
        <f t="shared" si="22"/>
        <v>1062</v>
      </c>
      <c r="EN41" s="25">
        <f t="shared" si="33"/>
        <v>1215</v>
      </c>
      <c r="EO41" s="25">
        <f t="shared" si="56"/>
        <v>1304</v>
      </c>
      <c r="EP41" s="25">
        <f t="shared" si="20"/>
        <v>1325</v>
      </c>
      <c r="EQ41" s="25">
        <f t="shared" si="38"/>
        <v>1251</v>
      </c>
      <c r="ER41" s="25">
        <f t="shared" si="39"/>
        <v>1314</v>
      </c>
      <c r="ES41" s="25">
        <f t="shared" si="40"/>
        <v>1339</v>
      </c>
      <c r="ET41" s="25">
        <f t="shared" ref="ET41:EX41" si="60">ES41*1.01</f>
        <v>1352.39</v>
      </c>
      <c r="EU41" s="25">
        <f t="shared" si="60"/>
        <v>1365.9139</v>
      </c>
      <c r="EV41" s="25">
        <f t="shared" si="60"/>
        <v>1379.5730390000001</v>
      </c>
      <c r="EW41" s="25">
        <f t="shared" si="60"/>
        <v>1393.3687693900001</v>
      </c>
      <c r="EX41" s="25">
        <f t="shared" si="60"/>
        <v>1407.3024570839002</v>
      </c>
      <c r="EY41" s="25"/>
      <c r="EZ41" s="25"/>
      <c r="FA41" s="46"/>
      <c r="FB41" s="16"/>
      <c r="FC41" s="54"/>
      <c r="FD41" s="46"/>
    </row>
    <row r="42" spans="2:160" s="26" customFormat="1" x14ac:dyDescent="0.2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51"/>
        <v>525</v>
      </c>
      <c r="R42" s="25">
        <f t="shared" si="52"/>
        <v>533</v>
      </c>
      <c r="S42" s="25">
        <v>544</v>
      </c>
      <c r="T42" s="25">
        <f t="shared" si="35"/>
        <v>469</v>
      </c>
      <c r="U42" s="25">
        <f t="shared" si="36"/>
        <v>394</v>
      </c>
      <c r="V42" s="25">
        <f t="shared" si="37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21</v>
      </c>
      <c r="BD42" s="66">
        <v>14</v>
      </c>
      <c r="BE42" s="66">
        <v>51</v>
      </c>
      <c r="BF42" s="66">
        <v>75</v>
      </c>
      <c r="BG42" s="66">
        <v>92</v>
      </c>
      <c r="BH42" s="66">
        <v>142</v>
      </c>
      <c r="BI42" s="66">
        <v>179</v>
      </c>
      <c r="BJ42" s="66">
        <v>170</v>
      </c>
      <c r="BK42" s="66">
        <v>204</v>
      </c>
      <c r="BL42" s="66">
        <v>230</v>
      </c>
      <c r="BM42" s="66">
        <v>283</v>
      </c>
      <c r="BN42" s="66">
        <v>241</v>
      </c>
      <c r="BO42" s="66">
        <v>266</v>
      </c>
      <c r="BP42" s="66">
        <v>268</v>
      </c>
      <c r="BQ42" s="66">
        <v>333</v>
      </c>
      <c r="BR42" s="66">
        <v>249</v>
      </c>
      <c r="BS42" s="66">
        <v>276</v>
      </c>
      <c r="BT42" s="66">
        <v>255</v>
      </c>
      <c r="BU42" s="66">
        <v>278</v>
      </c>
      <c r="BV42" s="66">
        <v>277</v>
      </c>
      <c r="BW42" s="66">
        <f t="shared" si="53"/>
        <v>267</v>
      </c>
      <c r="BX42" s="66">
        <f>790-BW42-BV42</f>
        <v>246</v>
      </c>
      <c r="BY42" s="66">
        <v>223</v>
      </c>
      <c r="BZ42" s="66">
        <v>212</v>
      </c>
      <c r="CA42" s="66">
        <f>394-BZ42</f>
        <v>182</v>
      </c>
      <c r="CB42" s="66">
        <v>157</v>
      </c>
      <c r="CC42" s="66">
        <v>145</v>
      </c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5"/>
      <c r="EG42" s="25">
        <v>0</v>
      </c>
      <c r="EH42" s="25">
        <v>0</v>
      </c>
      <c r="EI42" s="25">
        <v>0</v>
      </c>
      <c r="EJ42" s="25">
        <f t="shared" si="54"/>
        <v>0</v>
      </c>
      <c r="EK42" s="25">
        <f t="shared" si="55"/>
        <v>86</v>
      </c>
      <c r="EL42" s="25">
        <f t="shared" ref="EL42:EL46" si="61">SUM(K42:L42)</f>
        <v>488</v>
      </c>
      <c r="EM42" s="25">
        <f>SUM(M42:N42)</f>
        <v>887</v>
      </c>
      <c r="EN42" s="25">
        <f t="shared" ref="EN42:EN47" si="62">SUM(BN42:BQ42)</f>
        <v>1108</v>
      </c>
      <c r="EO42" s="25">
        <f t="shared" si="56"/>
        <v>1058</v>
      </c>
      <c r="EP42" s="25">
        <f t="shared" si="20"/>
        <v>1013</v>
      </c>
      <c r="EQ42" s="25">
        <f t="shared" si="38"/>
        <v>696</v>
      </c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46"/>
    </row>
    <row r="43" spans="2:160" s="26" customFormat="1" x14ac:dyDescent="0.2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51"/>
        <v>1010</v>
      </c>
      <c r="R43" s="25">
        <f t="shared" si="52"/>
        <v>2190</v>
      </c>
      <c r="S43" s="25">
        <v>710</v>
      </c>
      <c r="T43" s="25">
        <f t="shared" si="35"/>
        <v>163</v>
      </c>
      <c r="U43" s="25">
        <f t="shared" si="36"/>
        <v>262</v>
      </c>
      <c r="V43" s="25">
        <f t="shared" si="37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108</v>
      </c>
      <c r="AY43" s="66">
        <v>19</v>
      </c>
      <c r="AZ43" s="66">
        <v>110</v>
      </c>
      <c r="BA43" s="66">
        <v>93</v>
      </c>
      <c r="BB43" s="66">
        <v>424</v>
      </c>
      <c r="BC43" s="66">
        <v>156</v>
      </c>
      <c r="BD43" s="66">
        <v>279</v>
      </c>
      <c r="BE43" s="66">
        <v>699</v>
      </c>
      <c r="BF43" s="66">
        <v>601</v>
      </c>
      <c r="BG43" s="66">
        <v>360</v>
      </c>
      <c r="BH43" s="66">
        <v>669</v>
      </c>
      <c r="BI43" s="66">
        <v>997</v>
      </c>
      <c r="BJ43" s="66">
        <v>865</v>
      </c>
      <c r="BK43" s="66">
        <v>451</v>
      </c>
      <c r="BL43" s="66">
        <v>257</v>
      </c>
      <c r="BM43" s="66">
        <v>512</v>
      </c>
      <c r="BN43" s="66">
        <v>278</v>
      </c>
      <c r="BO43" s="66">
        <v>49</v>
      </c>
      <c r="BP43" s="66">
        <v>101</v>
      </c>
      <c r="BQ43" s="66">
        <v>181</v>
      </c>
      <c r="BR43" s="66">
        <v>401</v>
      </c>
      <c r="BS43" s="66">
        <v>609</v>
      </c>
      <c r="BT43" s="66">
        <f>2004-BS43-BR43</f>
        <v>994</v>
      </c>
      <c r="BU43" s="66">
        <v>1196</v>
      </c>
      <c r="BV43" s="66">
        <v>517</v>
      </c>
      <c r="BW43" s="66">
        <f t="shared" si="53"/>
        <v>193</v>
      </c>
      <c r="BX43" s="66">
        <f>808-BW43-BV43</f>
        <v>98</v>
      </c>
      <c r="BY43" s="66">
        <v>65</v>
      </c>
      <c r="BZ43" s="66">
        <v>252</v>
      </c>
      <c r="CA43" s="66">
        <f>262-BZ43</f>
        <v>10</v>
      </c>
      <c r="CB43" s="66">
        <v>39</v>
      </c>
      <c r="CC43" s="66">
        <v>58</v>
      </c>
      <c r="CD43" s="66">
        <v>187</v>
      </c>
      <c r="CE43" s="66">
        <v>34</v>
      </c>
      <c r="CF43" s="66">
        <v>20</v>
      </c>
      <c r="CG43" s="66">
        <v>319</v>
      </c>
      <c r="CH43" s="66">
        <v>335</v>
      </c>
      <c r="CI43" s="66">
        <v>45</v>
      </c>
      <c r="CJ43" s="66">
        <v>34</v>
      </c>
      <c r="CK43" s="66">
        <v>221</v>
      </c>
      <c r="CL43" s="66">
        <v>344</v>
      </c>
      <c r="CM43" s="66">
        <v>28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5"/>
      <c r="EG43" s="25">
        <v>110</v>
      </c>
      <c r="EH43" s="25">
        <v>175</v>
      </c>
      <c r="EI43" s="25">
        <v>431</v>
      </c>
      <c r="EJ43" s="25">
        <f t="shared" si="54"/>
        <v>330</v>
      </c>
      <c r="EK43" s="25">
        <f t="shared" si="55"/>
        <v>1558</v>
      </c>
      <c r="EL43" s="25">
        <f t="shared" si="61"/>
        <v>2627</v>
      </c>
      <c r="EM43" s="25">
        <f>SUM(M43:N43)</f>
        <v>2085</v>
      </c>
      <c r="EN43" s="25">
        <f t="shared" si="62"/>
        <v>609</v>
      </c>
      <c r="EO43" s="25">
        <f t="shared" si="56"/>
        <v>3200</v>
      </c>
      <c r="EP43" s="25">
        <f t="shared" si="20"/>
        <v>873</v>
      </c>
      <c r="EQ43" s="25">
        <f t="shared" si="38"/>
        <v>359</v>
      </c>
      <c r="ER43" s="25">
        <f t="shared" si="39"/>
        <v>560</v>
      </c>
      <c r="ES43" s="25">
        <f t="shared" si="40"/>
        <v>635</v>
      </c>
      <c r="ET43" s="25">
        <f>ES43*1.03</f>
        <v>654.05000000000007</v>
      </c>
      <c r="EU43" s="25">
        <f>ET43*1.03</f>
        <v>673.67150000000004</v>
      </c>
      <c r="EV43" s="25">
        <f>EU43*1.03</f>
        <v>693.88164500000005</v>
      </c>
      <c r="EW43" s="25">
        <f>EV43*0.5</f>
        <v>346.94082250000002</v>
      </c>
      <c r="EX43" s="25">
        <f>EW43*0.5</f>
        <v>173.47041125000001</v>
      </c>
      <c r="EY43" s="25">
        <f>EX43*0.5</f>
        <v>86.735205625000006</v>
      </c>
      <c r="EZ43" s="25">
        <v>272</v>
      </c>
      <c r="FA43" s="25">
        <v>58</v>
      </c>
      <c r="FB43" s="16"/>
      <c r="FC43" s="54"/>
      <c r="FD43" s="46"/>
    </row>
    <row r="44" spans="2:160" s="26" customFormat="1" x14ac:dyDescent="0.2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50"/>
        <v>292</v>
      </c>
      <c r="Q44" s="25">
        <f t="shared" si="51"/>
        <v>274</v>
      </c>
      <c r="R44" s="25">
        <f t="shared" si="52"/>
        <v>290</v>
      </c>
      <c r="S44" s="25">
        <v>296</v>
      </c>
      <c r="T44" s="25">
        <f t="shared" si="35"/>
        <v>309</v>
      </c>
      <c r="U44" s="25">
        <f t="shared" si="36"/>
        <v>282</v>
      </c>
      <c r="V44" s="25">
        <f t="shared" si="37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86</v>
      </c>
      <c r="AY44" s="66">
        <v>79</v>
      </c>
      <c r="AZ44" s="66">
        <v>81</v>
      </c>
      <c r="BA44" s="66">
        <v>83</v>
      </c>
      <c r="BB44" s="66">
        <v>86</v>
      </c>
      <c r="BC44" s="66">
        <v>99</v>
      </c>
      <c r="BD44" s="66">
        <v>100</v>
      </c>
      <c r="BE44" s="66">
        <v>109</v>
      </c>
      <c r="BF44" s="66">
        <v>110</v>
      </c>
      <c r="BG44" s="66">
        <v>113</v>
      </c>
      <c r="BH44" s="66">
        <v>126</v>
      </c>
      <c r="BI44" s="66">
        <v>139</v>
      </c>
      <c r="BJ44" s="66">
        <v>124</v>
      </c>
      <c r="BK44" s="66">
        <v>137</v>
      </c>
      <c r="BL44" s="66">
        <v>137</v>
      </c>
      <c r="BM44" s="66">
        <v>144</v>
      </c>
      <c r="BN44" s="66">
        <v>128</v>
      </c>
      <c r="BO44" s="66">
        <v>136</v>
      </c>
      <c r="BP44" s="66">
        <v>143</v>
      </c>
      <c r="BQ44" s="66">
        <v>149</v>
      </c>
      <c r="BR44" s="66">
        <v>131</v>
      </c>
      <c r="BS44" s="66">
        <v>143</v>
      </c>
      <c r="BT44" s="66">
        <v>148</v>
      </c>
      <c r="BU44" s="66">
        <v>142</v>
      </c>
      <c r="BV44" s="66">
        <v>149</v>
      </c>
      <c r="BW44" s="66">
        <f t="shared" si="53"/>
        <v>147</v>
      </c>
      <c r="BX44" s="66">
        <f>453-BW44-BV44</f>
        <v>157</v>
      </c>
      <c r="BY44" s="66">
        <v>152</v>
      </c>
      <c r="BZ44" s="66">
        <v>145</v>
      </c>
      <c r="CA44" s="66">
        <f>282-BZ44</f>
        <v>137</v>
      </c>
      <c r="CB44" s="66">
        <v>143</v>
      </c>
      <c r="CC44" s="66">
        <v>144</v>
      </c>
      <c r="CD44" s="66">
        <v>153</v>
      </c>
      <c r="CE44" s="66">
        <v>154</v>
      </c>
      <c r="CF44" s="66">
        <v>171</v>
      </c>
      <c r="CG44" s="66">
        <v>160</v>
      </c>
      <c r="CH44" s="66">
        <v>166</v>
      </c>
      <c r="CI44" s="66">
        <v>167</v>
      </c>
      <c r="CJ44" s="66">
        <v>166</v>
      </c>
      <c r="CK44" s="66">
        <v>194</v>
      </c>
      <c r="CL44" s="66">
        <v>177</v>
      </c>
      <c r="CM44" s="66">
        <v>176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5"/>
      <c r="EG44" s="25">
        <v>292</v>
      </c>
      <c r="EH44" s="25">
        <v>296</v>
      </c>
      <c r="EI44" s="25">
        <v>281</v>
      </c>
      <c r="EJ44" s="25">
        <f t="shared" si="54"/>
        <v>329</v>
      </c>
      <c r="EK44" s="25">
        <f t="shared" si="55"/>
        <v>394</v>
      </c>
      <c r="EL44" s="25">
        <f t="shared" si="61"/>
        <v>488</v>
      </c>
      <c r="EM44" s="25">
        <f t="shared" si="22"/>
        <v>542</v>
      </c>
      <c r="EN44" s="25">
        <f t="shared" si="62"/>
        <v>556</v>
      </c>
      <c r="EO44" s="25">
        <f t="shared" si="56"/>
        <v>564</v>
      </c>
      <c r="EP44" s="25">
        <f t="shared" si="20"/>
        <v>605</v>
      </c>
      <c r="EQ44" s="25">
        <f t="shared" si="38"/>
        <v>569</v>
      </c>
      <c r="ER44" s="25">
        <f t="shared" si="39"/>
        <v>638</v>
      </c>
      <c r="ES44" s="25">
        <f t="shared" si="40"/>
        <v>693</v>
      </c>
      <c r="ET44" s="25">
        <f>+ES44*0.5</f>
        <v>346.5</v>
      </c>
      <c r="EU44" s="25">
        <f t="shared" ref="EU44:EY44" si="63">+ET44*0.5</f>
        <v>173.25</v>
      </c>
      <c r="EV44" s="25">
        <f t="shared" si="63"/>
        <v>86.625</v>
      </c>
      <c r="EW44" s="25">
        <f t="shared" si="63"/>
        <v>43.3125</v>
      </c>
      <c r="EX44" s="25">
        <f t="shared" si="63"/>
        <v>21.65625</v>
      </c>
      <c r="EY44" s="25">
        <f t="shared" si="63"/>
        <v>10.828125</v>
      </c>
      <c r="EZ44" s="25"/>
      <c r="FA44" s="46"/>
      <c r="FB44" s="16"/>
      <c r="FC44" s="54"/>
      <c r="FD44" s="46"/>
    </row>
    <row r="45" spans="2:160" s="26" customFormat="1" x14ac:dyDescent="0.2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50"/>
        <v>218</v>
      </c>
      <c r="Q45" s="25">
        <f t="shared" si="51"/>
        <v>211</v>
      </c>
      <c r="R45" s="25">
        <f t="shared" si="52"/>
        <v>189</v>
      </c>
      <c r="S45" s="25">
        <v>193</v>
      </c>
      <c r="T45" s="25">
        <f t="shared" si="35"/>
        <v>212</v>
      </c>
      <c r="U45" s="25">
        <f t="shared" si="36"/>
        <v>169</v>
      </c>
      <c r="V45" s="25">
        <f t="shared" si="37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109</v>
      </c>
      <c r="AY45" s="66">
        <v>116</v>
      </c>
      <c r="AZ45" s="66">
        <v>110</v>
      </c>
      <c r="BA45" s="66">
        <v>114</v>
      </c>
      <c r="BB45" s="66">
        <v>110</v>
      </c>
      <c r="BC45" s="66">
        <v>122</v>
      </c>
      <c r="BD45" s="66">
        <v>116</v>
      </c>
      <c r="BE45" s="66">
        <v>128</v>
      </c>
      <c r="BF45" s="66">
        <v>118</v>
      </c>
      <c r="BG45" s="66">
        <v>126</v>
      </c>
      <c r="BH45" s="66">
        <v>118</v>
      </c>
      <c r="BI45" s="66">
        <v>132</v>
      </c>
      <c r="BJ45" s="66">
        <v>117</v>
      </c>
      <c r="BK45" s="66">
        <v>122</v>
      </c>
      <c r="BL45" s="66">
        <v>118</v>
      </c>
      <c r="BM45" s="66">
        <v>113</v>
      </c>
      <c r="BN45" s="66">
        <v>97</v>
      </c>
      <c r="BO45" s="66">
        <v>98</v>
      </c>
      <c r="BP45" s="66">
        <v>106</v>
      </c>
      <c r="BQ45" s="66">
        <v>112</v>
      </c>
      <c r="BR45" s="66">
        <v>104</v>
      </c>
      <c r="BS45" s="66">
        <v>107</v>
      </c>
      <c r="BT45" s="66">
        <v>100</v>
      </c>
      <c r="BU45" s="66">
        <v>89</v>
      </c>
      <c r="BV45" s="66">
        <v>91</v>
      </c>
      <c r="BW45" s="66">
        <f t="shared" si="53"/>
        <v>102</v>
      </c>
      <c r="BX45" s="66">
        <f>310-BW45-BV45</f>
        <v>117</v>
      </c>
      <c r="BY45" s="66">
        <v>95</v>
      </c>
      <c r="BZ45" s="66">
        <v>87</v>
      </c>
      <c r="CA45" s="66">
        <f>169-BZ45</f>
        <v>82</v>
      </c>
      <c r="CB45" s="66">
        <v>73</v>
      </c>
      <c r="CC45" s="66">
        <v>75</v>
      </c>
      <c r="CD45" s="66">
        <v>77</v>
      </c>
      <c r="CE45" s="66">
        <v>77</v>
      </c>
      <c r="CF45" s="66">
        <v>77</v>
      </c>
      <c r="CG45" s="66">
        <v>73</v>
      </c>
      <c r="CH45" s="66">
        <v>73</v>
      </c>
      <c r="CI45" s="66">
        <v>71</v>
      </c>
      <c r="CJ45" s="66">
        <v>69</v>
      </c>
      <c r="CK45" s="66">
        <v>61</v>
      </c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5"/>
      <c r="EG45" s="25">
        <v>435</v>
      </c>
      <c r="EH45" s="25">
        <v>477</v>
      </c>
      <c r="EI45" s="25">
        <v>442</v>
      </c>
      <c r="EJ45" s="25">
        <f t="shared" si="54"/>
        <v>449</v>
      </c>
      <c r="EK45" s="25">
        <f t="shared" si="55"/>
        <v>476</v>
      </c>
      <c r="EL45" s="25">
        <f t="shared" si="61"/>
        <v>494</v>
      </c>
      <c r="EM45" s="25">
        <f t="shared" si="22"/>
        <v>470</v>
      </c>
      <c r="EN45" s="25">
        <f t="shared" si="62"/>
        <v>413</v>
      </c>
      <c r="EO45" s="25">
        <f t="shared" si="56"/>
        <v>400</v>
      </c>
      <c r="EP45" s="25">
        <f t="shared" si="20"/>
        <v>405</v>
      </c>
      <c r="EQ45" s="25">
        <f t="shared" si="38"/>
        <v>317</v>
      </c>
      <c r="ER45" s="25">
        <f t="shared" si="39"/>
        <v>304</v>
      </c>
      <c r="ES45" s="25">
        <f t="shared" si="40"/>
        <v>274</v>
      </c>
      <c r="ET45" s="25">
        <f t="shared" ref="ET45:ET47" si="64">ES45*1.05</f>
        <v>287.7</v>
      </c>
      <c r="EU45" s="25">
        <f t="shared" ref="EU45:EX45" si="65">ET45*1.05</f>
        <v>302.08499999999998</v>
      </c>
      <c r="EV45" s="25">
        <f t="shared" si="65"/>
        <v>317.18925000000002</v>
      </c>
      <c r="EW45" s="25">
        <f t="shared" si="65"/>
        <v>333.04871250000002</v>
      </c>
      <c r="EX45" s="25">
        <f t="shared" si="65"/>
        <v>349.70114812500003</v>
      </c>
      <c r="EY45" s="25">
        <f>+EX45*0.9</f>
        <v>314.73103331250002</v>
      </c>
      <c r="EZ45" s="25"/>
      <c r="FA45" s="46"/>
      <c r="FB45" s="16"/>
      <c r="FC45" s="54"/>
      <c r="FD45" s="46"/>
    </row>
    <row r="46" spans="2:160" s="26" customFormat="1" x14ac:dyDescent="0.2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51"/>
        <v>188</v>
      </c>
      <c r="R46" s="25">
        <f t="shared" si="52"/>
        <v>197</v>
      </c>
      <c r="S46" s="25">
        <v>167</v>
      </c>
      <c r="T46" s="25">
        <f t="shared" si="35"/>
        <v>164</v>
      </c>
      <c r="U46" s="25">
        <f t="shared" si="36"/>
        <v>135</v>
      </c>
      <c r="V46" s="25">
        <f t="shared" si="37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76</v>
      </c>
      <c r="AY46" s="66">
        <v>80</v>
      </c>
      <c r="AZ46" s="66">
        <v>81</v>
      </c>
      <c r="BA46" s="66">
        <v>88</v>
      </c>
      <c r="BB46" s="66">
        <v>80</v>
      </c>
      <c r="BC46" s="66">
        <v>89</v>
      </c>
      <c r="BD46" s="66">
        <v>97</v>
      </c>
      <c r="BE46" s="66">
        <v>98</v>
      </c>
      <c r="BF46" s="66">
        <v>93</v>
      </c>
      <c r="BG46" s="66">
        <v>95</v>
      </c>
      <c r="BH46" s="66">
        <v>91</v>
      </c>
      <c r="BI46" s="66">
        <v>100</v>
      </c>
      <c r="BJ46" s="66">
        <v>96</v>
      </c>
      <c r="BK46" s="66">
        <v>99</v>
      </c>
      <c r="BL46" s="66">
        <v>100</v>
      </c>
      <c r="BM46" s="66">
        <v>110</v>
      </c>
      <c r="BN46" s="66">
        <v>95</v>
      </c>
      <c r="BO46" s="66">
        <v>97</v>
      </c>
      <c r="BP46" s="66">
        <v>98</v>
      </c>
      <c r="BQ46" s="66">
        <v>114</v>
      </c>
      <c r="BR46" s="66">
        <v>90</v>
      </c>
      <c r="BS46" s="66">
        <v>98</v>
      </c>
      <c r="BT46" s="66">
        <v>101</v>
      </c>
      <c r="BU46" s="66">
        <v>96</v>
      </c>
      <c r="BV46" s="66">
        <v>81</v>
      </c>
      <c r="BW46" s="66">
        <f t="shared" si="53"/>
        <v>86</v>
      </c>
      <c r="BX46" s="66">
        <f>249-BW46-BV46</f>
        <v>82</v>
      </c>
      <c r="BY46" s="66">
        <v>82</v>
      </c>
      <c r="BZ46" s="66">
        <v>61</v>
      </c>
      <c r="CA46" s="66">
        <v>74</v>
      </c>
      <c r="CB46" s="66">
        <v>65</v>
      </c>
      <c r="CC46" s="66">
        <v>78</v>
      </c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5"/>
      <c r="EG46" s="25">
        <v>0</v>
      </c>
      <c r="EH46" s="25">
        <v>0</v>
      </c>
      <c r="EI46" s="25">
        <v>315</v>
      </c>
      <c r="EJ46" s="25">
        <f t="shared" si="54"/>
        <v>325</v>
      </c>
      <c r="EK46" s="25">
        <f t="shared" si="55"/>
        <v>364</v>
      </c>
      <c r="EL46" s="25">
        <f t="shared" si="61"/>
        <v>379</v>
      </c>
      <c r="EM46" s="25">
        <f>SUM(M46:N46)</f>
        <v>405</v>
      </c>
      <c r="EN46" s="25">
        <f t="shared" si="62"/>
        <v>404</v>
      </c>
      <c r="EO46" s="25">
        <f t="shared" si="56"/>
        <v>385</v>
      </c>
      <c r="EP46" s="25">
        <f t="shared" si="20"/>
        <v>331</v>
      </c>
      <c r="EQ46" s="25">
        <f t="shared" si="38"/>
        <v>278</v>
      </c>
      <c r="ER46" s="25"/>
      <c r="ES46" s="25"/>
      <c r="ET46" s="25"/>
      <c r="EU46" s="25"/>
      <c r="EV46" s="25"/>
      <c r="EW46" s="25"/>
      <c r="EX46" s="25"/>
      <c r="EY46" s="25"/>
      <c r="EZ46" s="25"/>
      <c r="FA46" s="46"/>
      <c r="FB46" s="16"/>
      <c r="FC46" s="54"/>
      <c r="FD46" s="46"/>
    </row>
    <row r="47" spans="2:160" s="26" customFormat="1" x14ac:dyDescent="0.2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51"/>
        <v>140</v>
      </c>
      <c r="R47" s="25">
        <f t="shared" si="52"/>
        <v>146</v>
      </c>
      <c r="S47" s="25">
        <v>0</v>
      </c>
      <c r="T47" s="25">
        <f t="shared" si="35"/>
        <v>77</v>
      </c>
      <c r="U47" s="25">
        <f t="shared" si="36"/>
        <v>150</v>
      </c>
      <c r="V47" s="25">
        <f t="shared" si="37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>
        <v>75</v>
      </c>
      <c r="BK47" s="66">
        <v>77</v>
      </c>
      <c r="BL47" s="66">
        <v>76</v>
      </c>
      <c r="BM47" s="66">
        <v>83</v>
      </c>
      <c r="BN47" s="66">
        <v>74</v>
      </c>
      <c r="BO47" s="66">
        <v>80</v>
      </c>
      <c r="BP47" s="66">
        <v>77</v>
      </c>
      <c r="BQ47" s="66">
        <v>80</v>
      </c>
      <c r="BR47" s="66">
        <v>68</v>
      </c>
      <c r="BS47" s="66">
        <v>72</v>
      </c>
      <c r="BT47" s="66">
        <v>71</v>
      </c>
      <c r="BU47" s="66">
        <v>75</v>
      </c>
      <c r="BV47" s="66"/>
      <c r="BW47" s="66"/>
      <c r="BX47" s="66"/>
      <c r="BY47" s="66">
        <v>77</v>
      </c>
      <c r="BZ47" s="66">
        <v>75</v>
      </c>
      <c r="CA47" s="66">
        <v>75</v>
      </c>
      <c r="CB47" s="66">
        <v>72</v>
      </c>
      <c r="CC47" s="66">
        <v>72</v>
      </c>
      <c r="CD47" s="66">
        <v>75</v>
      </c>
      <c r="CE47" s="66">
        <v>82</v>
      </c>
      <c r="CF47" s="66">
        <v>78</v>
      </c>
      <c r="CG47" s="66">
        <v>75</v>
      </c>
      <c r="CH47" s="66">
        <v>80</v>
      </c>
      <c r="CI47" s="66">
        <v>78</v>
      </c>
      <c r="CJ47" s="66">
        <v>77</v>
      </c>
      <c r="CK47" s="66">
        <v>78</v>
      </c>
      <c r="CL47" s="66">
        <v>59</v>
      </c>
      <c r="CM47" s="66">
        <v>76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5"/>
      <c r="EG47" s="25"/>
      <c r="EH47" s="25"/>
      <c r="EI47" s="25"/>
      <c r="EJ47" s="25"/>
      <c r="EK47" s="25"/>
      <c r="EL47" s="25"/>
      <c r="EM47" s="25">
        <f>SUM(BJ47:BM47)</f>
        <v>311</v>
      </c>
      <c r="EN47" s="25">
        <f t="shared" si="62"/>
        <v>311</v>
      </c>
      <c r="EO47" s="25">
        <f t="shared" si="56"/>
        <v>286</v>
      </c>
      <c r="EP47" s="25"/>
      <c r="EQ47" s="25">
        <f t="shared" si="38"/>
        <v>294</v>
      </c>
      <c r="ER47" s="25">
        <f t="shared" si="39"/>
        <v>310</v>
      </c>
      <c r="ES47" s="25">
        <f t="shared" si="40"/>
        <v>313</v>
      </c>
      <c r="ET47" s="25">
        <f t="shared" si="64"/>
        <v>328.65000000000003</v>
      </c>
      <c r="EU47" s="25">
        <f t="shared" ref="EU47:EX47" si="66">ET47*1.05</f>
        <v>345.08250000000004</v>
      </c>
      <c r="EV47" s="25">
        <f t="shared" si="66"/>
        <v>362.33662500000008</v>
      </c>
      <c r="EW47" s="25">
        <f t="shared" si="66"/>
        <v>380.4534562500001</v>
      </c>
      <c r="EX47" s="25">
        <f t="shared" si="66"/>
        <v>399.47612906250015</v>
      </c>
      <c r="EY47" s="25">
        <f>+EX47*0.9</f>
        <v>359.52851615625013</v>
      </c>
      <c r="EZ47" s="25">
        <v>361</v>
      </c>
      <c r="FA47" s="25">
        <v>394</v>
      </c>
      <c r="FB47" s="25">
        <v>379</v>
      </c>
      <c r="FC47" s="54">
        <v>355</v>
      </c>
      <c r="FD47" s="46"/>
    </row>
    <row r="48" spans="2:160" s="26" customFormat="1" x14ac:dyDescent="0.2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36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93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>
        <v>70</v>
      </c>
      <c r="BZ48" s="66">
        <v>70</v>
      </c>
      <c r="CA48" s="66">
        <f>138-BZ48</f>
        <v>68</v>
      </c>
      <c r="CB48" s="66">
        <v>99</v>
      </c>
      <c r="CC48" s="66">
        <v>107</v>
      </c>
      <c r="CD48" s="66">
        <v>90</v>
      </c>
      <c r="CE48" s="66">
        <v>87</v>
      </c>
      <c r="CF48" s="66">
        <v>96</v>
      </c>
      <c r="CG48" s="66">
        <v>111</v>
      </c>
      <c r="CH48" s="66">
        <v>94</v>
      </c>
      <c r="CI48" s="66">
        <v>106</v>
      </c>
      <c r="CJ48" s="66">
        <v>107</v>
      </c>
      <c r="CK48" s="66">
        <v>118</v>
      </c>
      <c r="CL48" s="66">
        <v>103</v>
      </c>
      <c r="CM48" s="66">
        <v>100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>
        <v>96</v>
      </c>
      <c r="EA48" s="66"/>
      <c r="EB48" s="66"/>
      <c r="EC48" s="66"/>
      <c r="ED48" s="66"/>
      <c r="EE48" s="66"/>
      <c r="EF48" s="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>
        <f t="shared" si="38"/>
        <v>344</v>
      </c>
      <c r="ER48" s="25">
        <f t="shared" si="39"/>
        <v>384</v>
      </c>
      <c r="ES48" s="25">
        <f t="shared" si="40"/>
        <v>425</v>
      </c>
      <c r="ET48" s="25">
        <f>+ES48*1.01</f>
        <v>429.25</v>
      </c>
      <c r="EU48" s="25">
        <f t="shared" ref="EU48:EX48" si="67">+ET48*1.01</f>
        <v>433.54250000000002</v>
      </c>
      <c r="EV48" s="25">
        <f t="shared" si="67"/>
        <v>437.877925</v>
      </c>
      <c r="EW48" s="25">
        <f t="shared" si="67"/>
        <v>442.25670424999998</v>
      </c>
      <c r="EX48" s="25">
        <f t="shared" si="67"/>
        <v>446.6792712925</v>
      </c>
      <c r="EY48" s="25"/>
      <c r="EZ48" s="25">
        <v>470</v>
      </c>
      <c r="FA48" s="25">
        <v>435</v>
      </c>
      <c r="FB48" s="3">
        <v>408</v>
      </c>
      <c r="FC48" s="54">
        <v>426</v>
      </c>
      <c r="FD48" s="46"/>
    </row>
    <row r="49" spans="2:169" s="26" customFormat="1" hidden="1" x14ac:dyDescent="0.2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146</v>
      </c>
      <c r="AY49" s="66">
        <v>165</v>
      </c>
      <c r="AZ49" s="66">
        <v>145</v>
      </c>
      <c r="BA49" s="66">
        <v>137</v>
      </c>
      <c r="BB49" s="66">
        <v>147</v>
      </c>
      <c r="BC49" s="66">
        <v>165</v>
      </c>
      <c r="BD49" s="66">
        <v>162</v>
      </c>
      <c r="BE49" s="66">
        <v>161</v>
      </c>
      <c r="BF49" s="66">
        <v>181</v>
      </c>
      <c r="BG49" s="66">
        <v>182</v>
      </c>
      <c r="BH49" s="66">
        <v>160</v>
      </c>
      <c r="BI49" s="66">
        <v>170</v>
      </c>
      <c r="BJ49" s="66">
        <v>163</v>
      </c>
      <c r="BK49" s="66">
        <v>176</v>
      </c>
      <c r="BL49" s="66">
        <v>151</v>
      </c>
      <c r="BM49" s="66">
        <v>142</v>
      </c>
      <c r="BN49" s="66">
        <v>136</v>
      </c>
      <c r="BO49" s="66">
        <v>128</v>
      </c>
      <c r="BP49" s="66">
        <v>126</v>
      </c>
      <c r="BQ49" s="66">
        <v>112</v>
      </c>
      <c r="BR49" s="66">
        <v>103</v>
      </c>
      <c r="BS49" s="66">
        <v>106</v>
      </c>
      <c r="BT49" s="66">
        <v>98</v>
      </c>
      <c r="BU49" s="66">
        <v>90</v>
      </c>
      <c r="BV49" s="66">
        <v>91</v>
      </c>
      <c r="BW49" s="66">
        <f>+S49-BV49</f>
        <v>92</v>
      </c>
      <c r="BX49" s="66">
        <f>259-BW49-BV49</f>
        <v>76</v>
      </c>
      <c r="BY49" s="66">
        <v>78</v>
      </c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5"/>
      <c r="EG49" s="25">
        <v>963</v>
      </c>
      <c r="EH49" s="25">
        <v>763</v>
      </c>
      <c r="EI49" s="25">
        <v>618</v>
      </c>
      <c r="EJ49" s="25">
        <f>SUM(AX49:BA49)</f>
        <v>593</v>
      </c>
      <c r="EK49" s="25">
        <f>SUM(BB49:BE49)</f>
        <v>635</v>
      </c>
      <c r="EL49" s="25">
        <f>SUM(K49:L49)</f>
        <v>693</v>
      </c>
      <c r="EM49" s="25">
        <f>SUM(M49:N49)</f>
        <v>632</v>
      </c>
      <c r="EN49" s="25">
        <f>SUM(BN49:BQ49)</f>
        <v>502</v>
      </c>
      <c r="EO49" s="25">
        <f>SUM(BR49:BU49)</f>
        <v>397</v>
      </c>
      <c r="EP49" s="25">
        <f>SUM(BV49:BY49)</f>
        <v>337</v>
      </c>
      <c r="EQ49" s="25">
        <f t="shared" ref="EQ49:EQ56" si="68">SUM(BZ49:CC49)</f>
        <v>0</v>
      </c>
      <c r="ER49" s="25">
        <f t="shared" si="39"/>
        <v>0</v>
      </c>
      <c r="ES49" s="25">
        <f t="shared" si="40"/>
        <v>0</v>
      </c>
      <c r="ET49" s="25"/>
      <c r="EU49" s="25"/>
      <c r="EV49" s="25"/>
      <c r="EW49" s="25"/>
      <c r="EX49" s="25"/>
      <c r="EY49" s="25"/>
      <c r="EZ49" s="25"/>
      <c r="FA49" s="46"/>
      <c r="FB49" s="16"/>
      <c r="FC49" s="54">
        <f t="shared" si="24"/>
        <v>0</v>
      </c>
      <c r="FD49" s="46"/>
    </row>
    <row r="50" spans="2:169" s="26" customFormat="1" hidden="1" x14ac:dyDescent="0.2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111</v>
      </c>
      <c r="AZ50" s="66">
        <v>114</v>
      </c>
      <c r="BA50" s="66">
        <v>123</v>
      </c>
      <c r="BB50" s="66">
        <v>105</v>
      </c>
      <c r="BC50" s="66">
        <v>130</v>
      </c>
      <c r="BD50" s="66">
        <v>130</v>
      </c>
      <c r="BE50" s="66">
        <v>135</v>
      </c>
      <c r="BF50" s="66">
        <v>130</v>
      </c>
      <c r="BG50" s="66">
        <v>124</v>
      </c>
      <c r="BH50" s="66">
        <v>127</v>
      </c>
      <c r="BI50" s="66">
        <v>117</v>
      </c>
      <c r="BJ50" s="66">
        <v>105</v>
      </c>
      <c r="BK50" s="66">
        <v>100</v>
      </c>
      <c r="BL50" s="66">
        <v>110</v>
      </c>
      <c r="BM50" s="66">
        <v>110</v>
      </c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5"/>
      <c r="EG50" s="25">
        <v>437</v>
      </c>
      <c r="EH50" s="25">
        <v>451</v>
      </c>
      <c r="EI50" s="25">
        <v>437</v>
      </c>
      <c r="EJ50" s="25">
        <f t="shared" ref="EJ50:EJ56" si="69">SUM(AX50:BA50)</f>
        <v>457</v>
      </c>
      <c r="EK50" s="25">
        <f t="shared" ref="EK50:EK56" si="70">SUM(BB50:BE50)</f>
        <v>500</v>
      </c>
      <c r="EL50" s="25">
        <f>SUM(K50:L50)</f>
        <v>498</v>
      </c>
      <c r="EM50" s="25">
        <f>SUM(M50:N50)</f>
        <v>425</v>
      </c>
      <c r="EN50" s="25"/>
      <c r="EO50" s="25"/>
      <c r="EQ50" s="25">
        <f t="shared" si="68"/>
        <v>0</v>
      </c>
      <c r="ER50" s="25">
        <f t="shared" si="39"/>
        <v>0</v>
      </c>
      <c r="ES50" s="25">
        <f t="shared" si="40"/>
        <v>0</v>
      </c>
      <c r="FA50" s="46"/>
      <c r="FB50" s="111"/>
      <c r="FC50" s="54">
        <f t="shared" si="24"/>
        <v>0</v>
      </c>
      <c r="FD50" s="25"/>
      <c r="FE50" s="25"/>
      <c r="FF50" s="25"/>
      <c r="FG50" s="25"/>
      <c r="FH50" s="25"/>
      <c r="FI50" s="25"/>
      <c r="FJ50" s="25"/>
      <c r="FK50" s="25"/>
      <c r="FL50" s="25"/>
      <c r="FM50" s="25"/>
    </row>
    <row r="51" spans="2:169" s="26" customFormat="1" hidden="1" x14ac:dyDescent="0.2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31</v>
      </c>
      <c r="AY51" s="66">
        <v>47</v>
      </c>
      <c r="AZ51" s="66">
        <v>43</v>
      </c>
      <c r="BA51" s="66">
        <v>47</v>
      </c>
      <c r="BB51" s="66">
        <v>50</v>
      </c>
      <c r="BC51" s="66">
        <v>66</v>
      </c>
      <c r="BD51" s="66">
        <v>62</v>
      </c>
      <c r="BE51" s="66">
        <v>81</v>
      </c>
      <c r="BF51" s="66">
        <v>72</v>
      </c>
      <c r="BG51" s="66">
        <v>71</v>
      </c>
      <c r="BH51" s="66">
        <v>78</v>
      </c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5"/>
      <c r="EG51" s="25">
        <v>0</v>
      </c>
      <c r="EH51" s="25">
        <v>0</v>
      </c>
      <c r="EI51" s="25">
        <v>49</v>
      </c>
      <c r="EJ51" s="25">
        <f t="shared" si="69"/>
        <v>168</v>
      </c>
      <c r="EK51" s="25">
        <f t="shared" si="70"/>
        <v>259</v>
      </c>
      <c r="EL51" s="25"/>
      <c r="EM51" s="25"/>
      <c r="EN51" s="25"/>
      <c r="EO51" s="25"/>
      <c r="EP51" s="25"/>
      <c r="EQ51" s="25">
        <f t="shared" si="68"/>
        <v>0</v>
      </c>
      <c r="ER51" s="25">
        <f t="shared" si="39"/>
        <v>0</v>
      </c>
      <c r="ES51" s="25">
        <f t="shared" si="40"/>
        <v>0</v>
      </c>
      <c r="ET51" s="25"/>
      <c r="EU51" s="25"/>
      <c r="EV51" s="25"/>
      <c r="EW51" s="25"/>
      <c r="EX51" s="25"/>
      <c r="EY51" s="25"/>
      <c r="EZ51" s="25"/>
      <c r="FA51" s="46"/>
      <c r="FB51" s="112"/>
      <c r="FC51" s="54">
        <f t="shared" si="24"/>
        <v>0</v>
      </c>
      <c r="FD51" s="99"/>
      <c r="FE51" s="99"/>
      <c r="FF51" s="99"/>
      <c r="FG51" s="99"/>
      <c r="FH51" s="99"/>
      <c r="FI51" s="99"/>
      <c r="FJ51" s="99"/>
      <c r="FK51" s="99"/>
      <c r="FL51" s="99"/>
      <c r="FM51" s="99"/>
    </row>
    <row r="52" spans="2:169" s="26" customFormat="1" hidden="1" x14ac:dyDescent="0.2">
      <c r="B52" s="3" t="s">
        <v>477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7.904642409033876</v>
      </c>
      <c r="AY52" s="66">
        <v>16.813048933500628</v>
      </c>
      <c r="AZ52" s="66">
        <v>23.282308657465496</v>
      </c>
      <c r="BA52" s="66">
        <v>22</v>
      </c>
      <c r="BB52" s="66">
        <v>28</v>
      </c>
      <c r="BC52" s="66">
        <v>31</v>
      </c>
      <c r="BD52" s="66">
        <v>28</v>
      </c>
      <c r="BE52" s="66">
        <v>30</v>
      </c>
      <c r="BF52" s="66">
        <v>31</v>
      </c>
      <c r="BG52" s="66">
        <v>31</v>
      </c>
      <c r="BH52" s="66">
        <v>32</v>
      </c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5"/>
      <c r="EG52" s="25">
        <v>0</v>
      </c>
      <c r="EH52" s="25">
        <v>0</v>
      </c>
      <c r="EI52" s="25">
        <v>3</v>
      </c>
      <c r="EJ52" s="25">
        <f t="shared" si="69"/>
        <v>70</v>
      </c>
      <c r="EK52" s="25">
        <f t="shared" si="70"/>
        <v>117</v>
      </c>
      <c r="EL52" s="25"/>
      <c r="EM52" s="25"/>
      <c r="EN52" s="25"/>
      <c r="EO52" s="25"/>
      <c r="EP52" s="25"/>
      <c r="EQ52" s="25">
        <f t="shared" si="68"/>
        <v>0</v>
      </c>
      <c r="ER52" s="25">
        <f t="shared" si="39"/>
        <v>0</v>
      </c>
      <c r="ES52" s="25">
        <f t="shared" si="40"/>
        <v>0</v>
      </c>
      <c r="ET52" s="25"/>
      <c r="EU52" s="25"/>
      <c r="EV52" s="25"/>
      <c r="EW52" s="25"/>
      <c r="EX52" s="25"/>
      <c r="EY52" s="25"/>
      <c r="EZ52" s="25"/>
      <c r="FA52" s="46"/>
      <c r="FB52" s="16"/>
      <c r="FC52" s="54">
        <f t="shared" si="24"/>
        <v>0</v>
      </c>
      <c r="FD52" s="46"/>
    </row>
    <row r="53" spans="2:169" s="26" customFormat="1" hidden="1" x14ac:dyDescent="0.2">
      <c r="B53" s="3" t="s">
        <v>476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66">
        <v>104</v>
      </c>
      <c r="AY53" s="66">
        <v>96</v>
      </c>
      <c r="AZ53" s="66">
        <v>86</v>
      </c>
      <c r="BA53" s="66">
        <v>75</v>
      </c>
      <c r="BB53" s="66">
        <v>83</v>
      </c>
      <c r="BC53" s="66">
        <v>84</v>
      </c>
      <c r="BD53" s="66">
        <v>79</v>
      </c>
      <c r="BE53" s="66">
        <v>80</v>
      </c>
      <c r="BF53" s="66">
        <v>81</v>
      </c>
      <c r="BG53" s="66">
        <v>78</v>
      </c>
      <c r="BH53" s="66">
        <v>75</v>
      </c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5"/>
      <c r="EG53" s="25">
        <v>289</v>
      </c>
      <c r="EH53" s="25">
        <v>329</v>
      </c>
      <c r="EI53" s="25">
        <v>392</v>
      </c>
      <c r="EJ53" s="25">
        <f t="shared" si="69"/>
        <v>361</v>
      </c>
      <c r="EK53" s="25">
        <f t="shared" si="70"/>
        <v>326</v>
      </c>
      <c r="EL53" s="25"/>
      <c r="EM53" s="25"/>
      <c r="EN53" s="25"/>
      <c r="EO53" s="25"/>
      <c r="EP53" s="25"/>
      <c r="EQ53" s="25">
        <f t="shared" si="68"/>
        <v>0</v>
      </c>
      <c r="ER53" s="25">
        <f t="shared" si="39"/>
        <v>0</v>
      </c>
      <c r="ES53" s="25">
        <f t="shared" si="40"/>
        <v>0</v>
      </c>
      <c r="ET53" s="25"/>
      <c r="EU53" s="25"/>
      <c r="EV53" s="25"/>
      <c r="EW53" s="25"/>
      <c r="EX53" s="25"/>
      <c r="EY53" s="25"/>
      <c r="EZ53" s="25"/>
      <c r="FA53" s="46"/>
      <c r="FB53" s="16"/>
      <c r="FC53" s="54">
        <f t="shared" si="24"/>
        <v>0</v>
      </c>
      <c r="FD53" s="46"/>
    </row>
    <row r="54" spans="2:169" s="26" customFormat="1" hidden="1" x14ac:dyDescent="0.2">
      <c r="B54" s="3" t="s">
        <v>478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0</v>
      </c>
      <c r="AY54" s="66">
        <v>17</v>
      </c>
      <c r="AZ54" s="66">
        <v>6</v>
      </c>
      <c r="BA54" s="66">
        <v>15</v>
      </c>
      <c r="BB54" s="66">
        <v>16</v>
      </c>
      <c r="BC54" s="66">
        <v>25</v>
      </c>
      <c r="BD54" s="66">
        <v>28</v>
      </c>
      <c r="BE54" s="66">
        <v>35</v>
      </c>
      <c r="BF54" s="66">
        <v>27</v>
      </c>
      <c r="BG54" s="66">
        <v>37</v>
      </c>
      <c r="BH54" s="66">
        <v>37</v>
      </c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5"/>
      <c r="EG54" s="25">
        <v>0</v>
      </c>
      <c r="EH54" s="25">
        <v>0</v>
      </c>
      <c r="EI54" s="25">
        <v>0</v>
      </c>
      <c r="EJ54" s="25">
        <f t="shared" si="69"/>
        <v>38</v>
      </c>
      <c r="EK54" s="25">
        <f t="shared" si="70"/>
        <v>104</v>
      </c>
      <c r="EL54" s="25"/>
      <c r="EM54" s="25"/>
      <c r="EN54" s="25"/>
      <c r="EO54" s="25"/>
      <c r="EP54" s="25"/>
      <c r="EQ54" s="25">
        <f t="shared" si="68"/>
        <v>0</v>
      </c>
      <c r="ER54" s="25">
        <f t="shared" si="39"/>
        <v>0</v>
      </c>
      <c r="ES54" s="25">
        <f t="shared" si="40"/>
        <v>0</v>
      </c>
      <c r="ET54" s="25"/>
      <c r="EU54" s="25"/>
      <c r="EV54" s="25"/>
      <c r="EW54" s="25"/>
      <c r="EX54" s="25"/>
      <c r="EY54" s="25"/>
      <c r="EZ54" s="25"/>
      <c r="FA54" s="46"/>
      <c r="FB54" s="16"/>
      <c r="FC54" s="54">
        <f t="shared" si="24"/>
        <v>0</v>
      </c>
      <c r="FD54" s="46"/>
    </row>
    <row r="55" spans="2:169" s="26" customFormat="1" hidden="1" x14ac:dyDescent="0.2">
      <c r="B55" s="3" t="s">
        <v>479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11</v>
      </c>
      <c r="AY55" s="66">
        <v>11</v>
      </c>
      <c r="AZ55" s="66">
        <v>11</v>
      </c>
      <c r="BA55" s="66">
        <v>12</v>
      </c>
      <c r="BB55" s="66">
        <v>11</v>
      </c>
      <c r="BC55" s="66">
        <v>15</v>
      </c>
      <c r="BD55" s="66">
        <v>15</v>
      </c>
      <c r="BE55" s="66">
        <v>16</v>
      </c>
      <c r="BF55" s="66">
        <v>13</v>
      </c>
      <c r="BG55" s="66">
        <v>16</v>
      </c>
      <c r="BH55" s="66">
        <v>17</v>
      </c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5"/>
      <c r="EG55" s="25">
        <v>0</v>
      </c>
      <c r="EH55" s="25">
        <v>0</v>
      </c>
      <c r="EI55" s="25">
        <v>0</v>
      </c>
      <c r="EJ55" s="25">
        <f t="shared" si="69"/>
        <v>45</v>
      </c>
      <c r="EK55" s="25">
        <f t="shared" si="70"/>
        <v>57</v>
      </c>
      <c r="EL55" s="25"/>
      <c r="EM55" s="25"/>
      <c r="EN55" s="25"/>
      <c r="EO55" s="25"/>
      <c r="EP55" s="25"/>
      <c r="EQ55" s="25">
        <f t="shared" si="68"/>
        <v>0</v>
      </c>
      <c r="ER55" s="25">
        <f t="shared" si="39"/>
        <v>0</v>
      </c>
      <c r="ES55" s="25">
        <f t="shared" si="40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24"/>
        <v>0</v>
      </c>
      <c r="FD55" s="46"/>
    </row>
    <row r="56" spans="2:169" s="26" customFormat="1" hidden="1" x14ac:dyDescent="0.2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102</v>
      </c>
      <c r="AY56" s="66">
        <v>95</v>
      </c>
      <c r="AZ56" s="66">
        <v>99</v>
      </c>
      <c r="BA56" s="66">
        <v>87</v>
      </c>
      <c r="BB56" s="66">
        <v>104</v>
      </c>
      <c r="BC56" s="66">
        <v>109</v>
      </c>
      <c r="BD56" s="66">
        <v>107</v>
      </c>
      <c r="BE56" s="66">
        <v>87</v>
      </c>
      <c r="BF56" s="66">
        <v>60</v>
      </c>
      <c r="BG56" s="66">
        <v>57</v>
      </c>
      <c r="BH56" s="66">
        <v>53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5"/>
      <c r="EG56" s="25">
        <v>0</v>
      </c>
      <c r="EH56" s="25">
        <v>0</v>
      </c>
      <c r="EI56" s="25">
        <v>223</v>
      </c>
      <c r="EJ56" s="25">
        <f t="shared" si="69"/>
        <v>383</v>
      </c>
      <c r="EK56" s="25">
        <f t="shared" si="70"/>
        <v>407</v>
      </c>
      <c r="EL56" s="25"/>
      <c r="EM56" s="25"/>
      <c r="EN56" s="25"/>
      <c r="EO56" s="25"/>
      <c r="EP56" s="25"/>
      <c r="EQ56" s="25">
        <f t="shared" si="68"/>
        <v>0</v>
      </c>
      <c r="ER56" s="25">
        <f t="shared" si="39"/>
        <v>0</v>
      </c>
      <c r="ES56" s="25">
        <f t="shared" si="40"/>
        <v>0</v>
      </c>
      <c r="ET56" s="25"/>
      <c r="EU56" s="25"/>
      <c r="EV56" s="25"/>
      <c r="EW56" s="25"/>
      <c r="EX56" s="25"/>
      <c r="EY56" s="25"/>
      <c r="EZ56" s="25"/>
      <c r="FA56" s="46"/>
      <c r="FB56" s="16"/>
      <c r="FC56" s="54">
        <f t="shared" si="24"/>
        <v>0</v>
      </c>
      <c r="FD56" s="46"/>
    </row>
    <row r="57" spans="2:169" s="26" customFormat="1" x14ac:dyDescent="0.2">
      <c r="B57" s="3" t="s">
        <v>720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>
        <v>32</v>
      </c>
      <c r="CE57" s="66">
        <v>60</v>
      </c>
      <c r="CF57" s="66">
        <v>65</v>
      </c>
      <c r="CG57" s="66">
        <v>77</v>
      </c>
      <c r="CH57" s="66">
        <v>84</v>
      </c>
      <c r="CI57" s="66">
        <v>87</v>
      </c>
      <c r="CJ57" s="66">
        <v>89</v>
      </c>
      <c r="CK57" s="66">
        <v>94</v>
      </c>
      <c r="CL57" s="66">
        <v>79</v>
      </c>
      <c r="CM57" s="66">
        <v>76</v>
      </c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>
        <f t="shared" si="39"/>
        <v>234</v>
      </c>
      <c r="ES57" s="25">
        <f t="shared" si="40"/>
        <v>354</v>
      </c>
      <c r="ET57" s="25">
        <f>+ES57*1.1</f>
        <v>389.40000000000003</v>
      </c>
      <c r="EU57" s="25">
        <f t="shared" ref="EU57:EX57" si="71">+ET57*1.1</f>
        <v>428.34000000000009</v>
      </c>
      <c r="EV57" s="25">
        <f t="shared" si="71"/>
        <v>471.17400000000015</v>
      </c>
      <c r="EW57" s="25">
        <f t="shared" si="71"/>
        <v>518.29140000000018</v>
      </c>
      <c r="EX57" s="25">
        <f t="shared" si="71"/>
        <v>570.12054000000023</v>
      </c>
      <c r="EY57" s="25"/>
      <c r="EZ57" s="25"/>
      <c r="FA57" s="46"/>
      <c r="FB57" s="16"/>
      <c r="FC57" s="54"/>
      <c r="FD57" s="46"/>
    </row>
    <row r="58" spans="2:169" s="26" customFormat="1" x14ac:dyDescent="0.2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369</v>
      </c>
      <c r="AY58" s="66">
        <v>305</v>
      </c>
      <c r="AZ58" s="66">
        <v>307</v>
      </c>
      <c r="BA58" s="66">
        <v>321</v>
      </c>
      <c r="BB58" s="66">
        <v>330</v>
      </c>
      <c r="BC58" s="66">
        <v>284</v>
      </c>
      <c r="BD58" s="66">
        <v>152</v>
      </c>
      <c r="BE58" s="66">
        <v>161</v>
      </c>
      <c r="BF58" s="66">
        <v>110</v>
      </c>
      <c r="BG58" s="66">
        <v>106</v>
      </c>
      <c r="BH58" s="66">
        <v>96</v>
      </c>
      <c r="BI58" s="66">
        <v>104</v>
      </c>
      <c r="BJ58" s="66">
        <v>100</v>
      </c>
      <c r="BK58" s="66">
        <v>104</v>
      </c>
      <c r="BL58" s="66">
        <v>95</v>
      </c>
      <c r="BM58" s="66">
        <v>100</v>
      </c>
      <c r="BN58" s="66">
        <v>91</v>
      </c>
      <c r="BO58" s="66">
        <v>85</v>
      </c>
      <c r="BP58" s="66">
        <v>76</v>
      </c>
      <c r="BQ58" s="66">
        <v>92</v>
      </c>
      <c r="BR58" s="66">
        <v>77</v>
      </c>
      <c r="BS58" s="66">
        <v>87</v>
      </c>
      <c r="BT58" s="66">
        <v>73</v>
      </c>
      <c r="BU58" s="66">
        <v>70</v>
      </c>
      <c r="BV58" s="66">
        <v>82</v>
      </c>
      <c r="BW58" s="66">
        <f>+S58-BV58</f>
        <v>83</v>
      </c>
      <c r="BX58" s="66">
        <f>242-BW58-BV58</f>
        <v>77</v>
      </c>
      <c r="BY58" s="66">
        <v>69</v>
      </c>
      <c r="BZ58" s="66"/>
      <c r="CA58" s="66"/>
      <c r="CB58" s="66"/>
      <c r="CC58" s="66"/>
      <c r="CD58" s="66">
        <v>73</v>
      </c>
      <c r="CE58" s="66">
        <v>60</v>
      </c>
      <c r="CF58" s="66">
        <v>65</v>
      </c>
      <c r="CG58" s="66">
        <v>68</v>
      </c>
      <c r="CH58" s="66">
        <v>68</v>
      </c>
      <c r="CI58" s="66">
        <v>70</v>
      </c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5"/>
      <c r="EG58" s="25">
        <v>1755</v>
      </c>
      <c r="EH58" s="25">
        <v>1548</v>
      </c>
      <c r="EI58" s="25">
        <v>1375</v>
      </c>
      <c r="EJ58" s="25">
        <f>SUM(AX58:BA58)</f>
        <v>1302</v>
      </c>
      <c r="EK58" s="25">
        <f>SUM(BB58:BE58)</f>
        <v>927</v>
      </c>
      <c r="EL58" s="25">
        <f>SUM(K58:L58)</f>
        <v>416</v>
      </c>
      <c r="EM58" s="25">
        <f>SUM(M58:N58)</f>
        <v>399</v>
      </c>
      <c r="EN58" s="25">
        <f>SUM(BN58:BQ58)</f>
        <v>344</v>
      </c>
      <c r="EO58" s="25">
        <f>SUM(BR58:BU58)</f>
        <v>307</v>
      </c>
      <c r="EP58" s="25">
        <f>SUM(BV58:BY58)</f>
        <v>311</v>
      </c>
      <c r="EQ58" s="25"/>
      <c r="ER58" s="25">
        <f t="shared" si="39"/>
        <v>266</v>
      </c>
      <c r="ES58" s="25">
        <f t="shared" si="40"/>
        <v>138</v>
      </c>
      <c r="ET58" s="25"/>
      <c r="EU58" s="25"/>
      <c r="EV58" s="25"/>
      <c r="EW58" s="25"/>
      <c r="EX58" s="25"/>
      <c r="EY58" s="25"/>
      <c r="EZ58" s="25">
        <v>252</v>
      </c>
      <c r="FA58" s="25">
        <v>244</v>
      </c>
      <c r="FB58" s="16"/>
      <c r="FC58" s="54"/>
      <c r="FD58" s="46"/>
    </row>
    <row r="59" spans="2:169" s="26" customFormat="1" x14ac:dyDescent="0.2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93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>
        <v>300</v>
      </c>
      <c r="EU59" s="25">
        <v>400</v>
      </c>
      <c r="EV59" s="25">
        <v>500</v>
      </c>
      <c r="EW59" s="25">
        <v>600</v>
      </c>
      <c r="EX59" s="25">
        <v>600</v>
      </c>
      <c r="EY59" s="25">
        <v>600</v>
      </c>
      <c r="EZ59" s="25"/>
      <c r="FA59" s="46"/>
      <c r="FB59" s="16"/>
      <c r="FC59" s="54"/>
      <c r="FD59" s="46"/>
    </row>
    <row r="60" spans="2:169" s="26" customFormat="1" x14ac:dyDescent="0.2">
      <c r="B60" s="3" t="s">
        <v>339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8">
        <f>Q8+Q4+Q5-SUM(Q22:Q47)</f>
        <v>8792</v>
      </c>
      <c r="R60" s="68">
        <f>R8+R4+R5-SUM(R22:R47)</f>
        <v>6342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93"/>
      <c r="AX60" s="66">
        <v>1354</v>
      </c>
      <c r="AY60" s="66">
        <v>1389</v>
      </c>
      <c r="AZ60" s="66">
        <v>1247</v>
      </c>
      <c r="BA60" s="66">
        <v>1287</v>
      </c>
      <c r="BB60" s="66">
        <v>1332</v>
      </c>
      <c r="BC60" s="66">
        <v>1387.7282626022334</v>
      </c>
      <c r="BD60" s="66">
        <v>1301.2717373977657</v>
      </c>
      <c r="BE60" s="66">
        <v>1442</v>
      </c>
      <c r="BF60" s="66">
        <v>1278</v>
      </c>
      <c r="BG60" s="66">
        <v>1338</v>
      </c>
      <c r="BH60" s="66">
        <v>1286.2578675886843</v>
      </c>
      <c r="BI60" s="66">
        <v>1242.1465217449652</v>
      </c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25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>
        <v>787</v>
      </c>
      <c r="DS60" s="66"/>
      <c r="DT60" s="66"/>
      <c r="DU60" s="66"/>
      <c r="DV60" s="66"/>
      <c r="DW60" s="66"/>
      <c r="DX60" s="66"/>
      <c r="DY60" s="66"/>
      <c r="DZ60" s="66">
        <v>779</v>
      </c>
      <c r="EA60" s="66"/>
      <c r="EB60" s="66"/>
      <c r="EC60" s="66"/>
      <c r="ED60" s="66"/>
      <c r="EE60" s="66"/>
      <c r="EF60" s="5"/>
      <c r="EG60" s="25">
        <v>7640</v>
      </c>
      <c r="EH60" s="25">
        <v>6710</v>
      </c>
      <c r="EI60" s="25">
        <v>6004</v>
      </c>
      <c r="EJ60" s="25">
        <f>SUM(AX60:BA60)</f>
        <v>5277</v>
      </c>
      <c r="EK60" s="25">
        <f>SUM(BB60:BE60)</f>
        <v>5462.9999999999991</v>
      </c>
      <c r="EL60" s="25">
        <f>SUM(BF60:BI60)</f>
        <v>5144.4043893336493</v>
      </c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v>2770</v>
      </c>
      <c r="FD60" s="46"/>
    </row>
    <row r="61" spans="2:169" s="26" customFormat="1" x14ac:dyDescent="0.2">
      <c r="B61" s="3" t="s">
        <v>18</v>
      </c>
      <c r="C61" s="23"/>
      <c r="D61" s="23"/>
      <c r="E61" s="23"/>
      <c r="F61" s="23"/>
      <c r="G61" s="23"/>
      <c r="H61" s="23"/>
      <c r="I61" s="27">
        <f t="shared" ref="I61:P61" si="72">I8+I4+I5-SUM(I22:I47)</f>
        <v>7606</v>
      </c>
      <c r="J61" s="27">
        <f t="shared" si="72"/>
        <v>7873</v>
      </c>
      <c r="K61" s="27">
        <f t="shared" si="72"/>
        <v>8448</v>
      </c>
      <c r="L61" s="27">
        <f t="shared" si="72"/>
        <v>8812</v>
      </c>
      <c r="M61" s="27">
        <f t="shared" si="72"/>
        <v>9113</v>
      </c>
      <c r="N61" s="27">
        <f t="shared" si="72"/>
        <v>9363</v>
      </c>
      <c r="O61" s="27">
        <f t="shared" si="72"/>
        <v>8582</v>
      </c>
      <c r="P61" s="27">
        <f t="shared" si="72"/>
        <v>9042</v>
      </c>
      <c r="Q61" s="46"/>
      <c r="R61" s="27"/>
      <c r="S61" s="27">
        <f>+BV61+BW61</f>
        <v>8893</v>
      </c>
      <c r="T61" s="27">
        <f>+BY61+BX61</f>
        <v>8280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25">
        <f t="shared" ref="BH61:BT61" si="73">BH4+BH5+BH8-SUM(BH22:BH47)</f>
        <v>4080.910722056241</v>
      </c>
      <c r="BI61" s="25">
        <f t="shared" si="73"/>
        <v>4365.2622756988276</v>
      </c>
      <c r="BJ61" s="25">
        <f t="shared" si="73"/>
        <v>4394</v>
      </c>
      <c r="BK61" s="25">
        <f t="shared" si="73"/>
        <v>4567</v>
      </c>
      <c r="BL61" s="25">
        <f t="shared" si="73"/>
        <v>4474</v>
      </c>
      <c r="BM61" s="25">
        <f t="shared" si="73"/>
        <v>4730</v>
      </c>
      <c r="BN61" s="25">
        <f t="shared" si="73"/>
        <v>4244</v>
      </c>
      <c r="BO61" s="25">
        <f t="shared" si="73"/>
        <v>4335</v>
      </c>
      <c r="BP61" s="25">
        <f t="shared" si="73"/>
        <v>4395</v>
      </c>
      <c r="BQ61" s="25">
        <f t="shared" si="73"/>
        <v>4647</v>
      </c>
      <c r="BR61" s="25">
        <f t="shared" si="73"/>
        <v>4259</v>
      </c>
      <c r="BS61" s="25">
        <f t="shared" si="73"/>
        <v>4533</v>
      </c>
      <c r="BT61" s="25">
        <f t="shared" si="73"/>
        <v>4303</v>
      </c>
      <c r="BU61" s="25">
        <f t="shared" ref="BU61:CC61" si="74">BU4+BU5+BU7+BU8-SUM(BU22:BU60)</f>
        <v>4117</v>
      </c>
      <c r="BV61" s="25">
        <f t="shared" si="74"/>
        <v>4386</v>
      </c>
      <c r="BW61" s="25">
        <f t="shared" si="74"/>
        <v>4507</v>
      </c>
      <c r="BX61" s="25">
        <f t="shared" si="74"/>
        <v>4237</v>
      </c>
      <c r="BY61" s="25">
        <f t="shared" si="74"/>
        <v>4043</v>
      </c>
      <c r="BZ61" s="25">
        <f t="shared" si="74"/>
        <v>4217</v>
      </c>
      <c r="CA61" s="25">
        <f t="shared" si="74"/>
        <v>4087</v>
      </c>
      <c r="CB61" s="25">
        <f t="shared" si="74"/>
        <v>3723</v>
      </c>
      <c r="CC61" s="25">
        <f t="shared" si="74"/>
        <v>4220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5"/>
      <c r="EG61" s="25"/>
      <c r="EH61" s="25"/>
      <c r="EI61" s="25"/>
      <c r="EJ61" s="25"/>
      <c r="EK61" s="25"/>
      <c r="EL61" s="25">
        <f>SUM(K61:L61)</f>
        <v>17260</v>
      </c>
      <c r="EM61" s="25">
        <f>SUM(M61:N61)</f>
        <v>18476</v>
      </c>
      <c r="EN61" s="25">
        <f>SUM(BN61:BQ61)</f>
        <v>17621</v>
      </c>
      <c r="EO61" s="25">
        <f>SUM(BR61:BU61)</f>
        <v>17212</v>
      </c>
      <c r="EP61" s="25">
        <f>SUM(BV61:BY61)</f>
        <v>17173</v>
      </c>
      <c r="EQ61" s="25">
        <f>SUM(BZ61:CC61)</f>
        <v>16247</v>
      </c>
      <c r="ER61" s="25"/>
      <c r="ES61" s="25"/>
      <c r="ET61" s="25">
        <f t="shared" ref="ET61:EY61" si="75">ES61*0.9</f>
        <v>0</v>
      </c>
      <c r="EU61" s="25">
        <f t="shared" si="75"/>
        <v>0</v>
      </c>
      <c r="EV61" s="25">
        <f t="shared" si="75"/>
        <v>0</v>
      </c>
      <c r="EW61" s="25">
        <f t="shared" si="75"/>
        <v>0</v>
      </c>
      <c r="EX61" s="25">
        <f t="shared" si="75"/>
        <v>0</v>
      </c>
      <c r="EY61" s="25">
        <f t="shared" si="75"/>
        <v>0</v>
      </c>
      <c r="EZ61" s="25">
        <f>464+93+195+337+1758</f>
        <v>2847</v>
      </c>
      <c r="FA61" s="25">
        <f>1576+2+294+224+106+382</f>
        <v>2584</v>
      </c>
      <c r="FB61" s="20"/>
      <c r="FC61" s="54"/>
      <c r="FD61" s="46"/>
      <c r="FF61" s="97"/>
    </row>
    <row r="62" spans="2:169" s="17" customFormat="1" x14ac:dyDescent="0.2">
      <c r="B62" s="17" t="s">
        <v>63</v>
      </c>
      <c r="C62" s="69">
        <v>12810</v>
      </c>
      <c r="D62" s="69">
        <v>14380</v>
      </c>
      <c r="E62" s="27">
        <v>14526</v>
      </c>
      <c r="F62" s="27">
        <v>14996</v>
      </c>
      <c r="G62" s="27"/>
      <c r="H62" s="27"/>
      <c r="I62" s="27">
        <f t="shared" ref="I62:Q62" si="76">+I4+I5+I6+I8</f>
        <v>16622</v>
      </c>
      <c r="J62" s="27">
        <f t="shared" si="76"/>
        <v>18889</v>
      </c>
      <c r="K62" s="27">
        <f t="shared" si="76"/>
        <v>19849</v>
      </c>
      <c r="L62" s="27">
        <f t="shared" si="76"/>
        <v>22192</v>
      </c>
      <c r="M62" s="27">
        <f t="shared" si="76"/>
        <v>22827</v>
      </c>
      <c r="N62" s="27">
        <f t="shared" si="76"/>
        <v>23306</v>
      </c>
      <c r="O62" s="27">
        <f t="shared" si="76"/>
        <v>22004</v>
      </c>
      <c r="P62" s="27">
        <f t="shared" si="76"/>
        <v>23613</v>
      </c>
      <c r="Q62" s="27">
        <f t="shared" si="76"/>
        <v>24006</v>
      </c>
      <c r="R62" s="27">
        <f>R6+R3</f>
        <v>25216</v>
      </c>
      <c r="S62" s="27">
        <f>SUM(S22:S61)+S6</f>
        <v>24636</v>
      </c>
      <c r="T62" s="27">
        <f>SUM(T22:T61)+T6</f>
        <v>22767</v>
      </c>
      <c r="U62" s="27">
        <f>SUM(U22:U61)+U6</f>
        <v>13367</v>
      </c>
      <c r="V62" s="27">
        <f>SUM(V22:V61)+V6</f>
        <v>12948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8"/>
      <c r="AX62" s="48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 t="shared" ref="BH62:BU62" si="77">SUM(BH22:BH61)+BH6</f>
        <v>12262.168589644925</v>
      </c>
      <c r="BI62" s="27">
        <f t="shared" si="77"/>
        <v>13158.408797443793</v>
      </c>
      <c r="BJ62" s="27">
        <f t="shared" si="77"/>
        <v>11726</v>
      </c>
      <c r="BK62" s="27">
        <f t="shared" si="77"/>
        <v>11849</v>
      </c>
      <c r="BL62" s="27">
        <f t="shared" si="77"/>
        <v>11476</v>
      </c>
      <c r="BM62" s="27">
        <f t="shared" si="77"/>
        <v>12538</v>
      </c>
      <c r="BN62" s="27">
        <f t="shared" si="77"/>
        <v>11082</v>
      </c>
      <c r="BO62" s="27">
        <f t="shared" si="77"/>
        <v>11362</v>
      </c>
      <c r="BP62" s="27">
        <f t="shared" si="77"/>
        <v>11503</v>
      </c>
      <c r="BQ62" s="27">
        <f t="shared" si="77"/>
        <v>12516</v>
      </c>
      <c r="BR62" s="27">
        <f t="shared" si="77"/>
        <v>11757</v>
      </c>
      <c r="BS62" s="27">
        <f t="shared" si="77"/>
        <v>12622</v>
      </c>
      <c r="BT62" s="27">
        <f t="shared" si="77"/>
        <v>12564</v>
      </c>
      <c r="BU62" s="27">
        <f t="shared" si="77"/>
        <v>12652</v>
      </c>
      <c r="BV62" s="27">
        <f>SUM(BV22:BV60)+BV6</f>
        <v>7859</v>
      </c>
      <c r="BW62" s="27">
        <f t="shared" ref="BW62:CC62" si="78">SUM(BW22:BW61)+BW6</f>
        <v>12391</v>
      </c>
      <c r="BX62" s="27">
        <f t="shared" si="78"/>
        <v>11491</v>
      </c>
      <c r="BY62" s="27">
        <f t="shared" si="78"/>
        <v>11346</v>
      </c>
      <c r="BZ62" s="27">
        <f t="shared" si="78"/>
        <v>11120</v>
      </c>
      <c r="CA62" s="27">
        <f t="shared" si="78"/>
        <v>10551</v>
      </c>
      <c r="CB62" s="27">
        <f t="shared" si="78"/>
        <v>9821</v>
      </c>
      <c r="CC62" s="27">
        <f t="shared" si="78"/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G62" s="27"/>
      <c r="EH62" s="27">
        <v>26066</v>
      </c>
      <c r="EI62" s="27">
        <v>27190</v>
      </c>
      <c r="EJ62" s="27">
        <v>29522</v>
      </c>
      <c r="EK62" s="27">
        <f>I62+J62</f>
        <v>35511</v>
      </c>
      <c r="EL62" s="27">
        <f>L62+K62</f>
        <v>42041</v>
      </c>
      <c r="EM62" s="27">
        <f>N62+M62</f>
        <v>46133</v>
      </c>
      <c r="EN62" s="27">
        <f>SUM(EN22:EN61,EN6)</f>
        <v>46463</v>
      </c>
      <c r="EO62" s="27">
        <f>SUM(EO22:EO61,EO6)</f>
        <v>49595</v>
      </c>
      <c r="EP62" s="27">
        <f>SUM(EP22:EP61)+EP6</f>
        <v>47326</v>
      </c>
      <c r="EQ62" s="27">
        <f>EQ3+EQ6</f>
        <v>42531</v>
      </c>
      <c r="ER62" s="27">
        <f>SUM(ER22:ER61)+ER6</f>
        <v>17131</v>
      </c>
      <c r="ES62" s="27">
        <v>46780</v>
      </c>
      <c r="ET62" s="27">
        <v>47462</v>
      </c>
      <c r="EU62" s="27">
        <v>47581</v>
      </c>
      <c r="EV62" s="27">
        <v>48149</v>
      </c>
      <c r="EW62" s="27">
        <v>45104</v>
      </c>
      <c r="EX62" s="27">
        <v>46273</v>
      </c>
      <c r="EY62" s="27">
        <v>51837</v>
      </c>
      <c r="EZ62" s="27">
        <f>SUM(EZ9:EZ61)+EZ6</f>
        <v>58323</v>
      </c>
      <c r="FA62" s="27">
        <f>SUM(FA9:FA61)+FA6</f>
        <v>62801</v>
      </c>
      <c r="FB62" s="27">
        <f>SUM(FB9:FB61)+FB6</f>
        <v>60279</v>
      </c>
      <c r="FC62" s="27">
        <f>SUM(FC9:FC61)+FC6</f>
        <v>59070</v>
      </c>
      <c r="FD62" s="48"/>
    </row>
    <row r="63" spans="2:169" x14ac:dyDescent="0.2">
      <c r="B63" s="15" t="s">
        <v>64</v>
      </c>
      <c r="C63" s="70"/>
      <c r="D63" s="70"/>
      <c r="E63" s="25">
        <v>790</v>
      </c>
      <c r="F63" s="25">
        <v>860</v>
      </c>
      <c r="G63" s="70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G63" s="25"/>
      <c r="EH63" s="25"/>
      <c r="EI63" s="25"/>
      <c r="EJ63" s="25">
        <v>1570</v>
      </c>
      <c r="EK63" s="25">
        <f>I63+J63</f>
        <v>1447</v>
      </c>
      <c r="EL63" s="25">
        <f>L63+K63</f>
        <v>1466</v>
      </c>
      <c r="EM63" s="25">
        <f>N63+M63</f>
        <v>1202</v>
      </c>
      <c r="EN63" s="25">
        <f>SUM(O63:P63)</f>
        <v>2287</v>
      </c>
      <c r="EO63" s="25">
        <f>SUM(Q63:R63)</f>
        <v>2100</v>
      </c>
      <c r="EP63" s="25">
        <f>T63+S63</f>
        <v>1694</v>
      </c>
      <c r="EQ63" s="25">
        <v>1582</v>
      </c>
      <c r="ER63" s="25">
        <f t="shared" ref="ER63:EY63" si="79">EQ63</f>
        <v>1582</v>
      </c>
      <c r="ES63" s="25">
        <f t="shared" si="79"/>
        <v>1582</v>
      </c>
      <c r="ET63" s="25">
        <f t="shared" si="79"/>
        <v>1582</v>
      </c>
      <c r="EU63" s="25">
        <f t="shared" si="79"/>
        <v>1582</v>
      </c>
      <c r="EV63" s="25">
        <f t="shared" si="79"/>
        <v>1582</v>
      </c>
      <c r="EW63" s="25">
        <f t="shared" si="79"/>
        <v>1582</v>
      </c>
      <c r="EX63" s="25">
        <f t="shared" si="79"/>
        <v>1582</v>
      </c>
      <c r="EY63" s="25">
        <f t="shared" si="79"/>
        <v>1582</v>
      </c>
      <c r="EZ63" s="25">
        <v>2020</v>
      </c>
      <c r="FA63" s="23">
        <v>3049</v>
      </c>
      <c r="FC63" s="23">
        <v>1725</v>
      </c>
    </row>
    <row r="64" spans="2:169" s="17" customFormat="1" x14ac:dyDescent="0.2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1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4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5"/>
      <c r="EG64" s="25"/>
      <c r="EH64" s="25">
        <v>5984</v>
      </c>
      <c r="EI64" s="25">
        <v>6097</v>
      </c>
      <c r="EJ64" s="25">
        <v>7718</v>
      </c>
      <c r="EK64" s="25">
        <f>I64+J64</f>
        <v>9304</v>
      </c>
      <c r="EL64" s="25">
        <f>L64+K64</f>
        <v>10616</v>
      </c>
      <c r="EM64" s="25">
        <f>N64+M64</f>
        <v>13743</v>
      </c>
      <c r="EN64" s="25">
        <f>SUM(O64:P64)</f>
        <v>13661</v>
      </c>
      <c r="EO64" s="25">
        <f>SUM(Q64:R64)</f>
        <v>14615</v>
      </c>
      <c r="EP64" s="25">
        <f>T64+S64</f>
        <v>13293</v>
      </c>
      <c r="EQ64" s="25">
        <v>11942</v>
      </c>
      <c r="ER64" s="25">
        <f t="shared" ref="ER64:EY64" si="80">ER62-ER65+ER63</f>
        <v>18713</v>
      </c>
      <c r="ES64" s="25">
        <f t="shared" si="80"/>
        <v>48362</v>
      </c>
      <c r="ET64" s="25">
        <f t="shared" si="80"/>
        <v>49044</v>
      </c>
      <c r="EU64" s="25">
        <f t="shared" si="80"/>
        <v>49163</v>
      </c>
      <c r="EV64" s="25">
        <f t="shared" si="80"/>
        <v>49731</v>
      </c>
      <c r="EW64" s="25">
        <f t="shared" si="80"/>
        <v>46686</v>
      </c>
      <c r="EX64" s="25">
        <f t="shared" si="80"/>
        <v>47855</v>
      </c>
      <c r="EY64" s="25">
        <f t="shared" si="80"/>
        <v>53419</v>
      </c>
      <c r="EZ64" s="25">
        <v>14567</v>
      </c>
      <c r="FA64" s="25">
        <v>18138</v>
      </c>
      <c r="FC64" s="25">
        <v>15251</v>
      </c>
      <c r="FD64" s="48"/>
    </row>
    <row r="65" spans="2:233" s="17" customFormat="1" x14ac:dyDescent="0.2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81">I62-I64+I63</f>
        <v>12984</v>
      </c>
      <c r="J65" s="25">
        <f t="shared" si="81"/>
        <v>14670</v>
      </c>
      <c r="K65" s="25">
        <f t="shared" si="81"/>
        <v>15642</v>
      </c>
      <c r="L65" s="25">
        <f t="shared" si="81"/>
        <v>17249</v>
      </c>
      <c r="M65" s="25">
        <f>M62-M64+M63</f>
        <v>17799</v>
      </c>
      <c r="N65" s="25">
        <f t="shared" si="81"/>
        <v>15793</v>
      </c>
      <c r="O65" s="25">
        <f t="shared" ref="O65:T65" si="82">O62-O64+O63</f>
        <v>16608</v>
      </c>
      <c r="P65" s="25">
        <f t="shared" si="82"/>
        <v>17635</v>
      </c>
      <c r="Q65" s="25">
        <f t="shared" si="82"/>
        <v>18022</v>
      </c>
      <c r="R65" s="25">
        <f t="shared" si="82"/>
        <v>18685</v>
      </c>
      <c r="S65" s="25">
        <f t="shared" si="82"/>
        <v>18644</v>
      </c>
      <c r="T65" s="25">
        <f t="shared" si="82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5"/>
      <c r="EG65" s="25"/>
      <c r="EH65" s="25">
        <v>20082</v>
      </c>
      <c r="EI65" s="25">
        <v>21093</v>
      </c>
      <c r="EJ65" s="25">
        <v>21804</v>
      </c>
      <c r="EK65" s="25">
        <f t="shared" ref="EK65:EL65" si="83">EK62+EK63-EK64</f>
        <v>27654</v>
      </c>
      <c r="EL65" s="25">
        <f t="shared" si="83"/>
        <v>32891</v>
      </c>
      <c r="EM65" s="25">
        <f>EM62+EM63-EM64</f>
        <v>33592</v>
      </c>
      <c r="EN65" s="25">
        <f>EN62+EN63-EN64</f>
        <v>35089</v>
      </c>
      <c r="EO65" s="25">
        <f>SUM(Q65:R65)</f>
        <v>36707</v>
      </c>
      <c r="EP65" s="25">
        <f>EP62+EP63-EP64</f>
        <v>35727</v>
      </c>
      <c r="EQ65" s="25">
        <f>EQ62+EQ63-EQ64</f>
        <v>32171</v>
      </c>
      <c r="ER65" s="25">
        <f t="shared" ref="ER65:EY65" si="84">ER62*ER84</f>
        <v>0</v>
      </c>
      <c r="ES65" s="25">
        <f t="shared" si="84"/>
        <v>0</v>
      </c>
      <c r="ET65" s="25">
        <f t="shared" si="84"/>
        <v>0</v>
      </c>
      <c r="EU65" s="25">
        <f t="shared" si="84"/>
        <v>0</v>
      </c>
      <c r="EV65" s="25">
        <f t="shared" si="84"/>
        <v>0</v>
      </c>
      <c r="EW65" s="25">
        <f t="shared" si="84"/>
        <v>0</v>
      </c>
      <c r="EX65" s="25">
        <f t="shared" si="84"/>
        <v>0</v>
      </c>
      <c r="EY65" s="25">
        <f t="shared" si="84"/>
        <v>0</v>
      </c>
      <c r="EZ65" s="25">
        <f>EZ62+EZ63-EZ64</f>
        <v>45776</v>
      </c>
      <c r="FA65" s="25">
        <f>FA62+FA63-FA64</f>
        <v>47712</v>
      </c>
      <c r="FC65" s="25">
        <f>FC62+FC63-FC64</f>
        <v>45544</v>
      </c>
      <c r="FD65" s="48"/>
    </row>
    <row r="66" spans="2:233" x14ac:dyDescent="0.2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1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G66" s="25"/>
      <c r="EH66" s="25">
        <v>7859</v>
      </c>
      <c r="EI66" s="25">
        <v>7817</v>
      </c>
      <c r="EJ66" s="25">
        <v>8338</v>
      </c>
      <c r="EK66" s="25">
        <v>9507</v>
      </c>
      <c r="EL66" s="25">
        <f>SUM(K66:L66)</f>
        <v>10856</v>
      </c>
      <c r="EM66" s="25">
        <f>N66+M66</f>
        <v>9327</v>
      </c>
      <c r="EN66" s="25">
        <f>SUM(O66:P66)</f>
        <v>9170</v>
      </c>
      <c r="EO66" s="25">
        <f t="shared" ref="EO66" si="85">SUM(Q66:R66)</f>
        <v>9475</v>
      </c>
      <c r="EP66" s="25">
        <f>T66+S66</f>
        <v>9488</v>
      </c>
      <c r="EQ66" s="25">
        <v>8049</v>
      </c>
      <c r="ER66" s="25">
        <f t="shared" ref="ER66:EY66" si="86">EQ66*0.99</f>
        <v>7968.51</v>
      </c>
      <c r="ES66" s="25">
        <f t="shared" si="86"/>
        <v>7888.8249000000005</v>
      </c>
      <c r="ET66" s="25">
        <f t="shared" si="86"/>
        <v>7809.9366510000009</v>
      </c>
      <c r="EU66" s="25">
        <f t="shared" si="86"/>
        <v>7731.8372844900005</v>
      </c>
      <c r="EV66" s="25">
        <f t="shared" si="86"/>
        <v>7654.5189116451002</v>
      </c>
      <c r="EW66" s="25">
        <f t="shared" si="86"/>
        <v>7577.973722528649</v>
      </c>
      <c r="EX66" s="25">
        <f t="shared" si="86"/>
        <v>7502.1939853033628</v>
      </c>
      <c r="EY66" s="25">
        <f t="shared" si="86"/>
        <v>7427.1720454503293</v>
      </c>
      <c r="EZ66" s="25">
        <v>9361</v>
      </c>
      <c r="FA66" s="25">
        <v>9444</v>
      </c>
      <c r="FC66" s="25"/>
    </row>
    <row r="67" spans="2:233" s="17" customFormat="1" x14ac:dyDescent="0.2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5"/>
      <c r="EG67" s="25"/>
      <c r="EH67" s="25">
        <v>1193</v>
      </c>
      <c r="EI67" s="25">
        <v>1360</v>
      </c>
      <c r="EJ67" s="25">
        <v>2085</v>
      </c>
      <c r="EK67" s="25">
        <v>2309</v>
      </c>
      <c r="EL67" s="25">
        <f>SUM(K67:L67)</f>
        <v>2542</v>
      </c>
      <c r="EM67" s="25">
        <f>N67+M67</f>
        <v>2453</v>
      </c>
      <c r="EN67" s="25">
        <f>SUM(O67:P67)</f>
        <v>2332</v>
      </c>
      <c r="EO67" s="25">
        <f t="shared" ref="EO67" si="87">SUM(Q67:R67)</f>
        <v>2175</v>
      </c>
      <c r="EP67" s="25">
        <f>T67+S67</f>
        <v>2874</v>
      </c>
      <c r="EQ67" s="25">
        <v>2342</v>
      </c>
      <c r="ER67" s="25">
        <f t="shared" ref="ER67:EY67" si="88">EQ67*0.99</f>
        <v>2318.58</v>
      </c>
      <c r="ES67" s="25">
        <f t="shared" si="88"/>
        <v>2295.3941999999997</v>
      </c>
      <c r="ET67" s="25">
        <f t="shared" si="88"/>
        <v>2272.4402579999996</v>
      </c>
      <c r="EU67" s="25">
        <f t="shared" si="88"/>
        <v>2249.7158554199996</v>
      </c>
      <c r="EV67" s="25">
        <f t="shared" si="88"/>
        <v>2227.2186968657998</v>
      </c>
      <c r="EW67" s="25">
        <f t="shared" si="88"/>
        <v>2204.9465098971418</v>
      </c>
      <c r="EX67" s="25">
        <f t="shared" si="88"/>
        <v>2182.8970447981706</v>
      </c>
      <c r="EY67" s="25">
        <f t="shared" si="88"/>
        <v>2161.0680743501889</v>
      </c>
      <c r="EZ67" s="25">
        <v>2726</v>
      </c>
      <c r="FA67" s="25">
        <v>2663</v>
      </c>
      <c r="FC67" s="25">
        <v>13518</v>
      </c>
      <c r="FD67" s="48"/>
    </row>
    <row r="68" spans="2:233" x14ac:dyDescent="0.2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2">
        <v>3063</v>
      </c>
      <c r="L68" s="72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G68" s="25"/>
      <c r="EH68" s="25">
        <v>4132</v>
      </c>
      <c r="EI68" s="25">
        <v>4624</v>
      </c>
      <c r="EJ68" s="25">
        <v>5154</v>
      </c>
      <c r="EK68" s="25">
        <f>I68+J68</f>
        <v>5705</v>
      </c>
      <c r="EL68" s="25">
        <f>L68+K68</f>
        <v>6589</v>
      </c>
      <c r="EM68" s="25">
        <f>N68+M68</f>
        <v>8385</v>
      </c>
      <c r="EN68" s="25">
        <f>SUM(O68:P68)</f>
        <v>8845</v>
      </c>
      <c r="EO68" s="25">
        <f t="shared" ref="EO68" si="89">SUM(Q68:R68)</f>
        <v>9874</v>
      </c>
      <c r="EP68" s="25">
        <f>T68+S68</f>
        <v>10026</v>
      </c>
      <c r="EQ68" s="25">
        <v>8326</v>
      </c>
      <c r="ER68" s="25"/>
      <c r="ES68" s="25"/>
      <c r="ET68" s="25"/>
      <c r="EU68" s="25"/>
      <c r="EV68" s="25"/>
      <c r="EW68" s="25"/>
      <c r="EX68" s="25"/>
      <c r="EY68" s="25"/>
      <c r="EZ68" s="25">
        <v>12153</v>
      </c>
      <c r="FA68" s="23">
        <v>13708</v>
      </c>
      <c r="FC68" s="23">
        <v>15251</v>
      </c>
    </row>
    <row r="69" spans="2:233" x14ac:dyDescent="0.2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/>
      <c r="EK69" s="25"/>
      <c r="EL69" s="25">
        <f>M69+L69</f>
        <v>1210</v>
      </c>
      <c r="EM69" s="25">
        <f>N69+M69</f>
        <v>2600</v>
      </c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</row>
    <row r="70" spans="2:233" x14ac:dyDescent="0.2">
      <c r="B70" s="3" t="s">
        <v>580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90">SUM(M66:M68)-M69</f>
        <v>9214</v>
      </c>
      <c r="N70" s="25">
        <f t="shared" si="90"/>
        <v>8351</v>
      </c>
      <c r="O70" s="25">
        <f t="shared" si="90"/>
        <v>9567</v>
      </c>
      <c r="P70" s="25">
        <f t="shared" si="90"/>
        <v>10780</v>
      </c>
      <c r="Q70" s="25">
        <f t="shared" si="90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G70" s="25"/>
      <c r="EH70" s="25"/>
      <c r="EI70" s="25"/>
      <c r="EJ70" s="25"/>
      <c r="EK70" s="25"/>
      <c r="EL70" s="25">
        <f t="shared" ref="EL70:EQ70" si="91">SUM(EL66:EL68)-EL69</f>
        <v>18777</v>
      </c>
      <c r="EM70" s="25">
        <f t="shared" si="91"/>
        <v>17565</v>
      </c>
      <c r="EN70" s="25">
        <f t="shared" si="91"/>
        <v>20347</v>
      </c>
      <c r="EO70" s="25">
        <f t="shared" si="91"/>
        <v>21524</v>
      </c>
      <c r="EP70" s="25">
        <f t="shared" si="91"/>
        <v>22388</v>
      </c>
      <c r="EQ70" s="25">
        <f t="shared" si="91"/>
        <v>18717</v>
      </c>
      <c r="ER70" s="25">
        <f t="shared" ref="ER70:EY70" si="92">SUM(ER66:ER68)-ER69</f>
        <v>10287.09</v>
      </c>
      <c r="ES70" s="25">
        <f t="shared" si="92"/>
        <v>10184.2191</v>
      </c>
      <c r="ET70" s="25">
        <f t="shared" si="92"/>
        <v>10082.376909000001</v>
      </c>
      <c r="EU70" s="25">
        <f t="shared" si="92"/>
        <v>9981.55313991</v>
      </c>
      <c r="EV70" s="25">
        <f t="shared" si="92"/>
        <v>9881.737608510899</v>
      </c>
      <c r="EW70" s="25">
        <f t="shared" si="92"/>
        <v>9782.9202324257913</v>
      </c>
      <c r="EX70" s="25">
        <f t="shared" si="92"/>
        <v>9685.0910301015338</v>
      </c>
      <c r="EY70" s="25">
        <f t="shared" si="92"/>
        <v>9588.2401198005173</v>
      </c>
      <c r="EZ70" s="23">
        <f>SUM(EZ66:EZ68)</f>
        <v>24240</v>
      </c>
      <c r="FA70" s="23">
        <f>SUM(FA66:FA68)</f>
        <v>25815</v>
      </c>
      <c r="FC70" s="23">
        <f>SUM(FC66:FC68)</f>
        <v>28769</v>
      </c>
    </row>
    <row r="71" spans="2:233" s="17" customFormat="1" x14ac:dyDescent="0.2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93">M65-M70</f>
        <v>8585</v>
      </c>
      <c r="N71" s="27">
        <f t="shared" si="93"/>
        <v>7442</v>
      </c>
      <c r="O71" s="27">
        <f t="shared" si="93"/>
        <v>7041</v>
      </c>
      <c r="P71" s="27">
        <f t="shared" si="93"/>
        <v>6855</v>
      </c>
      <c r="Q71" s="27">
        <f t="shared" si="93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7"/>
      <c r="EH71" s="27">
        <v>5223</v>
      </c>
      <c r="EI71" s="27">
        <v>5793</v>
      </c>
      <c r="EJ71" s="27">
        <v>6766</v>
      </c>
      <c r="EK71" s="27">
        <f>EK65-EK66-EK67-EK68</f>
        <v>10133</v>
      </c>
      <c r="EL71" s="27">
        <f t="shared" ref="EL71:EQ71" si="94">EL65-EL70</f>
        <v>14114</v>
      </c>
      <c r="EM71" s="27">
        <f t="shared" si="94"/>
        <v>16027</v>
      </c>
      <c r="EN71" s="27">
        <f t="shared" si="94"/>
        <v>14742</v>
      </c>
      <c r="EO71" s="27">
        <f t="shared" si="94"/>
        <v>15183</v>
      </c>
      <c r="EP71" s="27">
        <f t="shared" si="94"/>
        <v>13339</v>
      </c>
      <c r="EQ71" s="27">
        <f t="shared" si="94"/>
        <v>13454</v>
      </c>
      <c r="ER71" s="27">
        <f t="shared" ref="ER71:EZ71" si="95">ER65-ER70</f>
        <v>-10287.09</v>
      </c>
      <c r="ES71" s="27">
        <f t="shared" si="95"/>
        <v>-10184.2191</v>
      </c>
      <c r="ET71" s="27">
        <f t="shared" si="95"/>
        <v>-10082.376909000001</v>
      </c>
      <c r="EU71" s="27">
        <f t="shared" si="95"/>
        <v>-9981.55313991</v>
      </c>
      <c r="EV71" s="27">
        <f t="shared" si="95"/>
        <v>-9881.737608510899</v>
      </c>
      <c r="EW71" s="27">
        <f t="shared" si="95"/>
        <v>-9782.9202324257913</v>
      </c>
      <c r="EX71" s="27">
        <f t="shared" si="95"/>
        <v>-9685.0910301015338</v>
      </c>
      <c r="EY71" s="27">
        <f t="shared" si="95"/>
        <v>-9588.2401198005173</v>
      </c>
      <c r="EZ71" s="27">
        <f t="shared" si="95"/>
        <v>21536</v>
      </c>
      <c r="FA71" s="24">
        <f>FA65-FA70</f>
        <v>21897</v>
      </c>
      <c r="FC71" s="24">
        <f>FC65-FC70</f>
        <v>16775</v>
      </c>
      <c r="FD71" s="48"/>
    </row>
    <row r="72" spans="2:233" x14ac:dyDescent="0.2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7">
        <v>213</v>
      </c>
      <c r="H72" s="67">
        <v>156</v>
      </c>
      <c r="I72" s="67">
        <v>241</v>
      </c>
      <c r="J72" s="67">
        <f>678-I72</f>
        <v>437</v>
      </c>
      <c r="K72" s="67">
        <v>902</v>
      </c>
      <c r="L72" s="67">
        <f>1829-K72</f>
        <v>927</v>
      </c>
      <c r="M72" s="67">
        <v>979</v>
      </c>
      <c r="N72" s="67">
        <f>1805-M72</f>
        <v>826</v>
      </c>
      <c r="O72" s="67">
        <v>684</v>
      </c>
      <c r="P72" s="67">
        <f>O72</f>
        <v>684</v>
      </c>
      <c r="Q72" s="67">
        <v>484</v>
      </c>
      <c r="R72" s="67">
        <f>792-Q72</f>
        <v>308</v>
      </c>
      <c r="S72" s="67">
        <v>302</v>
      </c>
      <c r="T72" s="67">
        <f>-3+557-S72</f>
        <v>252</v>
      </c>
      <c r="EG72" s="25"/>
      <c r="EH72" s="25">
        <v>2000</v>
      </c>
      <c r="EI72" s="25">
        <v>47</v>
      </c>
      <c r="EJ72" s="25">
        <v>369</v>
      </c>
      <c r="EK72" s="25">
        <v>1313</v>
      </c>
      <c r="EL72" s="25">
        <f>SUM(K72:L72)</f>
        <v>1829</v>
      </c>
      <c r="EM72" s="25">
        <f>N72+M72</f>
        <v>1805</v>
      </c>
      <c r="EN72" s="25">
        <v>1123</v>
      </c>
      <c r="EO72" s="25">
        <f t="shared" ref="EO72:EO73" si="96">SUM(Q72:R72)</f>
        <v>792</v>
      </c>
      <c r="EP72" s="25">
        <f>T72+S72</f>
        <v>554</v>
      </c>
      <c r="EQ72" s="25">
        <f>-2228+647+12</f>
        <v>-1569</v>
      </c>
      <c r="ER72" s="25">
        <f t="shared" ref="ER72:EY72" si="97">ER82*$FJ$84</f>
        <v>-66.900000000000006</v>
      </c>
      <c r="ES72" s="25">
        <f t="shared" si="97"/>
        <v>-460.35162000000003</v>
      </c>
      <c r="ET72" s="25">
        <f t="shared" si="97"/>
        <v>-864.84530735999999</v>
      </c>
      <c r="EU72" s="25">
        <f t="shared" si="97"/>
        <v>-1280.83975158168</v>
      </c>
      <c r="EV72" s="25">
        <f t="shared" si="97"/>
        <v>-1708.8106814583641</v>
      </c>
      <c r="EW72" s="25">
        <f t="shared" si="97"/>
        <v>-2149.2515164771962</v>
      </c>
      <c r="EX72" s="25">
        <f t="shared" si="97"/>
        <v>-2602.67404293551</v>
      </c>
      <c r="EY72" s="25">
        <f t="shared" si="97"/>
        <v>-3069.6091157109176</v>
      </c>
      <c r="EZ72" s="25">
        <f>-539-25</f>
        <v>-564</v>
      </c>
      <c r="FA72" s="44">
        <f>-412-339</f>
        <v>-751</v>
      </c>
      <c r="FC72" s="44">
        <f>805-980-320</f>
        <v>-495</v>
      </c>
    </row>
    <row r="73" spans="2:233" s="17" customFormat="1" x14ac:dyDescent="0.2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7">
        <v>447</v>
      </c>
      <c r="P73" s="67">
        <f>O73</f>
        <v>447</v>
      </c>
      <c r="Q73" s="67">
        <v>1035</v>
      </c>
      <c r="R73" s="67">
        <f>2460-Q73</f>
        <v>1425</v>
      </c>
      <c r="S73" s="67">
        <v>1508</v>
      </c>
      <c r="T73" s="67">
        <f>2829-S73</f>
        <v>1321</v>
      </c>
      <c r="U73" s="67"/>
      <c r="V73" s="67"/>
      <c r="W73" s="67"/>
      <c r="X73" s="67"/>
      <c r="Y73" s="25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15"/>
      <c r="EG73" s="25"/>
      <c r="EH73" s="25">
        <v>-1165.1611044776121</v>
      </c>
      <c r="EI73" s="25">
        <v>-677</v>
      </c>
      <c r="EJ73" s="25">
        <v>-627</v>
      </c>
      <c r="EK73" s="25">
        <v>985</v>
      </c>
      <c r="EL73" s="25">
        <f>SUM(K73:L73)</f>
        <v>974</v>
      </c>
      <c r="EM73" s="25">
        <f>N73+M73</f>
        <v>971</v>
      </c>
      <c r="EN73" s="25">
        <v>887</v>
      </c>
      <c r="EO73" s="25">
        <f t="shared" si="96"/>
        <v>2460</v>
      </c>
      <c r="EP73" s="25">
        <f>T73+S73</f>
        <v>2829</v>
      </c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48"/>
      <c r="FC73" s="48"/>
      <c r="FD73" s="48"/>
    </row>
    <row r="74" spans="2:233" s="17" customFormat="1" x14ac:dyDescent="0.2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98">I71+I72-I73</f>
        <v>5299</v>
      </c>
      <c r="J74" s="27">
        <f t="shared" si="98"/>
        <v>5797</v>
      </c>
      <c r="K74" s="27">
        <f t="shared" si="98"/>
        <v>6723</v>
      </c>
      <c r="L74" s="27">
        <f t="shared" si="98"/>
        <v>7036</v>
      </c>
      <c r="M74" s="27">
        <f t="shared" si="98"/>
        <v>9085</v>
      </c>
      <c r="N74" s="27">
        <f t="shared" si="98"/>
        <v>7776</v>
      </c>
      <c r="O74" s="27">
        <f t="shared" si="98"/>
        <v>7278</v>
      </c>
      <c r="P74" s="27">
        <f t="shared" si="98"/>
        <v>7092</v>
      </c>
      <c r="Q74" s="27">
        <f t="shared" si="98"/>
        <v>7419</v>
      </c>
      <c r="R74" s="27">
        <f t="shared" si="98"/>
        <v>6096</v>
      </c>
      <c r="S74" s="27">
        <f t="shared" si="98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5"/>
      <c r="EG74" s="27"/>
      <c r="EH74" s="27">
        <v>6020.8388955223882</v>
      </c>
      <c r="EI74" s="27">
        <v>5119</v>
      </c>
      <c r="EJ74" s="27">
        <v>6465</v>
      </c>
      <c r="EK74" s="27">
        <f t="shared" ref="EK74:EZ74" si="99">EK71+EK72-EK73</f>
        <v>10461</v>
      </c>
      <c r="EL74" s="27">
        <f t="shared" si="99"/>
        <v>14969</v>
      </c>
      <c r="EM74" s="27">
        <f t="shared" si="99"/>
        <v>16861</v>
      </c>
      <c r="EN74" s="27">
        <f t="shared" si="99"/>
        <v>14978</v>
      </c>
      <c r="EO74" s="27">
        <f t="shared" si="99"/>
        <v>13515</v>
      </c>
      <c r="EP74" s="27">
        <f>EP71+EP72-EP73</f>
        <v>11064</v>
      </c>
      <c r="EQ74" s="27">
        <f t="shared" si="99"/>
        <v>11885</v>
      </c>
      <c r="ER74" s="27">
        <f t="shared" si="99"/>
        <v>-10353.99</v>
      </c>
      <c r="ES74" s="27">
        <f t="shared" si="99"/>
        <v>-10644.57072</v>
      </c>
      <c r="ET74" s="27">
        <f t="shared" si="99"/>
        <v>-10947.22221636</v>
      </c>
      <c r="EU74" s="27">
        <f t="shared" si="99"/>
        <v>-11262.39289149168</v>
      </c>
      <c r="EV74" s="27">
        <f t="shared" si="99"/>
        <v>-11590.548289969263</v>
      </c>
      <c r="EW74" s="27">
        <f t="shared" si="99"/>
        <v>-11932.171748902987</v>
      </c>
      <c r="EX74" s="27">
        <f t="shared" si="99"/>
        <v>-12287.765073037044</v>
      </c>
      <c r="EY74" s="27">
        <f t="shared" si="99"/>
        <v>-12657.849235511436</v>
      </c>
      <c r="EZ74" s="27">
        <f t="shared" si="99"/>
        <v>20972</v>
      </c>
      <c r="FA74" s="24">
        <f>FA71+FA72</f>
        <v>21146</v>
      </c>
      <c r="FB74" s="24">
        <f>FB71+FB72</f>
        <v>0</v>
      </c>
      <c r="FC74" s="24">
        <f>FC71+FC72</f>
        <v>16280</v>
      </c>
      <c r="FD74" s="48"/>
    </row>
    <row r="75" spans="2:233" x14ac:dyDescent="0.2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>
        <v>-1595</v>
      </c>
      <c r="EI75" s="25">
        <v>-1319</v>
      </c>
      <c r="EJ75" s="25">
        <v>-1605</v>
      </c>
      <c r="EK75" s="25">
        <v>2284</v>
      </c>
      <c r="EL75" s="25">
        <f>SUM(K75:L75)</f>
        <v>3436</v>
      </c>
      <c r="EM75" s="25">
        <f>N75+M75</f>
        <v>3867</v>
      </c>
      <c r="EN75" s="25">
        <v>3317</v>
      </c>
      <c r="EO75" s="25">
        <f>SUM(Q75:R75)</f>
        <v>2870</v>
      </c>
      <c r="EP75" s="25">
        <f>T75+S75</f>
        <v>2320</v>
      </c>
      <c r="EQ75" s="25">
        <v>2341</v>
      </c>
      <c r="ER75" s="25">
        <f t="shared" ref="ER75:EY75" si="100">ER74*0.24</f>
        <v>-2484.9575999999997</v>
      </c>
      <c r="ES75" s="25">
        <f t="shared" si="100"/>
        <v>-2554.6969727999999</v>
      </c>
      <c r="ET75" s="25">
        <f t="shared" si="100"/>
        <v>-2627.3333319263998</v>
      </c>
      <c r="EU75" s="25">
        <f t="shared" si="100"/>
        <v>-2702.9742939580028</v>
      </c>
      <c r="EV75" s="25">
        <f t="shared" si="100"/>
        <v>-2781.7315895926231</v>
      </c>
      <c r="EW75" s="25">
        <f t="shared" si="100"/>
        <v>-2863.7212197367166</v>
      </c>
      <c r="EX75" s="25">
        <f t="shared" si="100"/>
        <v>-2949.0636175288905</v>
      </c>
      <c r="EY75" s="25">
        <f t="shared" si="100"/>
        <v>-3037.8838165227444</v>
      </c>
      <c r="EZ75" s="25">
        <v>3594</v>
      </c>
      <c r="FA75" s="23">
        <v>3075</v>
      </c>
      <c r="FB75" s="23"/>
      <c r="FC75" s="23">
        <v>2136</v>
      </c>
    </row>
    <row r="76" spans="2:233" x14ac:dyDescent="0.2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101">I74-I75</f>
        <v>4204</v>
      </c>
      <c r="J76" s="25">
        <f t="shared" si="101"/>
        <v>4668</v>
      </c>
      <c r="K76" s="25">
        <f t="shared" si="101"/>
        <v>5022</v>
      </c>
      <c r="L76" s="25">
        <f t="shared" si="101"/>
        <v>5301</v>
      </c>
      <c r="M76" s="25">
        <f t="shared" si="101"/>
        <v>6970</v>
      </c>
      <c r="N76" s="25">
        <f t="shared" si="101"/>
        <v>6024</v>
      </c>
      <c r="O76" s="25">
        <f t="shared" ref="O76:T76" si="102">O74-O75</f>
        <v>5417</v>
      </c>
      <c r="P76" s="25">
        <f t="shared" si="102"/>
        <v>7092</v>
      </c>
      <c r="Q76" s="25">
        <f t="shared" si="102"/>
        <v>5741</v>
      </c>
      <c r="R76" s="25">
        <f t="shared" si="102"/>
        <v>4904</v>
      </c>
      <c r="S76" s="25">
        <f t="shared" si="102"/>
        <v>5750</v>
      </c>
      <c r="T76" s="25">
        <f t="shared" si="102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>
        <v>4425.8388955223882</v>
      </c>
      <c r="EI76" s="25">
        <v>3800</v>
      </c>
      <c r="EJ76" s="25">
        <v>4860</v>
      </c>
      <c r="EK76" s="25">
        <f t="shared" ref="EK76:ET76" si="103">EK74-EK75</f>
        <v>8177</v>
      </c>
      <c r="EL76" s="25">
        <f t="shared" si="103"/>
        <v>11533</v>
      </c>
      <c r="EM76" s="25">
        <f t="shared" si="103"/>
        <v>12994</v>
      </c>
      <c r="EN76" s="25">
        <f t="shared" si="103"/>
        <v>11661</v>
      </c>
      <c r="EO76" s="25">
        <f>EO74-EO75</f>
        <v>10645</v>
      </c>
      <c r="EP76" s="25">
        <f>EP74-EP75</f>
        <v>8744</v>
      </c>
      <c r="EQ76" s="25">
        <f t="shared" si="103"/>
        <v>9544</v>
      </c>
      <c r="ER76" s="25">
        <f t="shared" si="103"/>
        <v>-7869.0324000000001</v>
      </c>
      <c r="ES76" s="25">
        <f t="shared" si="103"/>
        <v>-8089.8737471999993</v>
      </c>
      <c r="ET76" s="25">
        <f t="shared" si="103"/>
        <v>-8319.8888844335997</v>
      </c>
      <c r="EU76" s="25">
        <f t="shared" ref="EU76:EY76" si="104">EU74-EU75</f>
        <v>-8559.4185975336768</v>
      </c>
      <c r="EV76" s="25">
        <f t="shared" si="104"/>
        <v>-8808.8167003766393</v>
      </c>
      <c r="EW76" s="25">
        <f t="shared" si="104"/>
        <v>-9068.4505291662699</v>
      </c>
      <c r="EX76" s="25">
        <f t="shared" si="104"/>
        <v>-9338.7014555081532</v>
      </c>
      <c r="EY76" s="25">
        <f t="shared" si="104"/>
        <v>-9619.9654189886915</v>
      </c>
      <c r="EZ76" s="25">
        <f>EZ74-EZ75</f>
        <v>17378</v>
      </c>
      <c r="FA76" s="23">
        <f>FA74-FA75</f>
        <v>18071</v>
      </c>
      <c r="FB76" s="23"/>
      <c r="FC76" s="23">
        <f>FC74-FC75</f>
        <v>14144</v>
      </c>
    </row>
    <row r="77" spans="2:233" x14ac:dyDescent="0.2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15"/>
      <c r="EG77" s="25"/>
      <c r="EH77" s="25">
        <v>34</v>
      </c>
      <c r="EI77" s="25">
        <v>-429</v>
      </c>
      <c r="EJ77" s="25">
        <v>-538</v>
      </c>
      <c r="EK77" s="25">
        <v>943</v>
      </c>
      <c r="EL77" s="25">
        <f>SUM(K77:L77)</f>
        <v>1291</v>
      </c>
      <c r="EM77" s="25">
        <f>N77+M77</f>
        <v>1676</v>
      </c>
      <c r="EN77" s="25">
        <v>1875</v>
      </c>
      <c r="EO77" s="25">
        <f>SUM(Q77:R77)</f>
        <v>726</v>
      </c>
      <c r="EP77" s="25">
        <f>T77+S77</f>
        <v>225</v>
      </c>
      <c r="EQ77" s="25">
        <v>201</v>
      </c>
      <c r="ER77" s="25"/>
      <c r="ES77" s="25"/>
      <c r="ET77" s="25"/>
      <c r="EU77" s="25"/>
      <c r="EV77" s="25"/>
      <c r="EW77" s="25"/>
      <c r="EX77" s="25"/>
      <c r="EY77" s="25"/>
      <c r="EZ77" s="25">
        <v>801</v>
      </c>
      <c r="FA77" s="23">
        <v>1033</v>
      </c>
      <c r="FB77" s="23"/>
      <c r="FC77" s="23">
        <v>877</v>
      </c>
    </row>
    <row r="78" spans="2:233" x14ac:dyDescent="0.2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105">I76-I77</f>
        <v>3760</v>
      </c>
      <c r="J78" s="25">
        <f t="shared" si="105"/>
        <v>4169</v>
      </c>
      <c r="K78" s="25">
        <f t="shared" si="105"/>
        <v>4450</v>
      </c>
      <c r="L78" s="25">
        <f t="shared" si="105"/>
        <v>4582</v>
      </c>
      <c r="M78" s="25">
        <f t="shared" si="105"/>
        <v>6027</v>
      </c>
      <c r="N78" s="25">
        <f t="shared" si="105"/>
        <v>5291</v>
      </c>
      <c r="O78" s="25">
        <f t="shared" ref="O78:T78" si="106">O76-O77</f>
        <v>4505</v>
      </c>
      <c r="P78" s="25">
        <f t="shared" si="106"/>
        <v>6180</v>
      </c>
      <c r="Q78" s="25">
        <f t="shared" si="106"/>
        <v>5163</v>
      </c>
      <c r="R78" s="25">
        <f t="shared" si="106"/>
        <v>4756</v>
      </c>
      <c r="S78" s="25">
        <f t="shared" si="106"/>
        <v>5653</v>
      </c>
      <c r="T78" s="25">
        <f t="shared" si="106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15"/>
      <c r="EG78" s="25"/>
      <c r="EH78" s="25">
        <v>4459.8388955223882</v>
      </c>
      <c r="EI78" s="25">
        <v>3371</v>
      </c>
      <c r="EJ78" s="25">
        <v>4322</v>
      </c>
      <c r="EK78" s="25">
        <f t="shared" ref="EK78:EZ78" si="107">EK76-EK77</f>
        <v>7234</v>
      </c>
      <c r="EL78" s="25">
        <f t="shared" si="107"/>
        <v>10242</v>
      </c>
      <c r="EM78" s="25">
        <f t="shared" si="107"/>
        <v>11318</v>
      </c>
      <c r="EN78" s="25">
        <f t="shared" si="107"/>
        <v>9786</v>
      </c>
      <c r="EO78" s="25">
        <f>EO76-EO77</f>
        <v>9919</v>
      </c>
      <c r="EP78" s="25">
        <f>EP76-EP77</f>
        <v>8519</v>
      </c>
      <c r="EQ78" s="25">
        <f t="shared" si="107"/>
        <v>9343</v>
      </c>
      <c r="ER78" s="25">
        <f t="shared" si="107"/>
        <v>-7869.0324000000001</v>
      </c>
      <c r="ES78" s="25">
        <f t="shared" si="107"/>
        <v>-8089.8737471999993</v>
      </c>
      <c r="ET78" s="25">
        <f t="shared" si="107"/>
        <v>-8319.8888844335997</v>
      </c>
      <c r="EU78" s="25">
        <f t="shared" si="107"/>
        <v>-8559.4185975336768</v>
      </c>
      <c r="EV78" s="25">
        <f t="shared" si="107"/>
        <v>-8808.8167003766393</v>
      </c>
      <c r="EW78" s="25">
        <f t="shared" si="107"/>
        <v>-9068.4505291662699</v>
      </c>
      <c r="EX78" s="25">
        <f t="shared" si="107"/>
        <v>-9338.7014555081532</v>
      </c>
      <c r="EY78" s="25">
        <f t="shared" si="107"/>
        <v>-9619.9654189886915</v>
      </c>
      <c r="EZ78" s="25">
        <f t="shared" si="107"/>
        <v>16577</v>
      </c>
      <c r="FA78" s="25">
        <f>FA76-FA77</f>
        <v>17038</v>
      </c>
      <c r="FB78" s="25">
        <f>FB76-FB77</f>
        <v>0</v>
      </c>
      <c r="FC78" s="25">
        <f>FC76-FC77</f>
        <v>13267</v>
      </c>
      <c r="FD78" s="25">
        <f t="shared" ref="FD78:GI78" si="108">FC78*(1+$FJ$85)</f>
        <v>13399.67</v>
      </c>
      <c r="FE78" s="32">
        <f t="shared" si="108"/>
        <v>13533.6667</v>
      </c>
      <c r="FF78" s="32">
        <f t="shared" si="108"/>
        <v>13669.003366999999</v>
      </c>
      <c r="FG78" s="32">
        <f t="shared" si="108"/>
        <v>13805.693400669999</v>
      </c>
      <c r="FH78" s="32">
        <f t="shared" si="108"/>
        <v>13943.750334676699</v>
      </c>
      <c r="FI78" s="32">
        <f t="shared" si="108"/>
        <v>14083.187838023467</v>
      </c>
      <c r="FJ78" s="32">
        <f t="shared" si="108"/>
        <v>14224.019716403702</v>
      </c>
      <c r="FK78" s="32">
        <f t="shared" si="108"/>
        <v>14366.259913567739</v>
      </c>
      <c r="FL78" s="32">
        <f t="shared" si="108"/>
        <v>14509.922512703417</v>
      </c>
      <c r="FM78" s="32">
        <f t="shared" si="108"/>
        <v>14655.021737830451</v>
      </c>
      <c r="FN78" s="32">
        <f t="shared" si="108"/>
        <v>14801.571955208756</v>
      </c>
      <c r="FO78" s="32">
        <f t="shared" si="108"/>
        <v>14949.587674760844</v>
      </c>
      <c r="FP78" s="32">
        <f t="shared" si="108"/>
        <v>15099.083551508453</v>
      </c>
      <c r="FQ78" s="32">
        <f t="shared" si="108"/>
        <v>15250.074387023538</v>
      </c>
      <c r="FR78" s="32">
        <f t="shared" si="108"/>
        <v>15402.575130893774</v>
      </c>
      <c r="FS78" s="32">
        <f t="shared" si="108"/>
        <v>15556.600882202712</v>
      </c>
      <c r="FT78" s="32">
        <f t="shared" si="108"/>
        <v>15712.166891024739</v>
      </c>
      <c r="FU78" s="32">
        <f t="shared" si="108"/>
        <v>15869.288559934987</v>
      </c>
      <c r="FV78" s="32">
        <f t="shared" si="108"/>
        <v>16027.981445534337</v>
      </c>
      <c r="FW78" s="32">
        <f t="shared" si="108"/>
        <v>16188.26125998968</v>
      </c>
      <c r="FX78" s="32">
        <f t="shared" si="108"/>
        <v>16350.143872589577</v>
      </c>
      <c r="FY78" s="32">
        <f t="shared" si="108"/>
        <v>16513.645311315471</v>
      </c>
      <c r="FZ78" s="32">
        <f t="shared" si="108"/>
        <v>16678.781764428626</v>
      </c>
      <c r="GA78" s="32">
        <f t="shared" si="108"/>
        <v>16845.569582072912</v>
      </c>
      <c r="GB78" s="32">
        <f t="shared" si="108"/>
        <v>17014.025277893641</v>
      </c>
      <c r="GC78" s="32">
        <f t="shared" si="108"/>
        <v>17184.165530672577</v>
      </c>
      <c r="GD78" s="32">
        <f t="shared" si="108"/>
        <v>17356.007185979302</v>
      </c>
      <c r="GE78" s="32">
        <f t="shared" si="108"/>
        <v>17529.567257839095</v>
      </c>
      <c r="GF78" s="32">
        <f t="shared" si="108"/>
        <v>17704.862930417486</v>
      </c>
      <c r="GG78" s="32">
        <f t="shared" si="108"/>
        <v>17881.911559721662</v>
      </c>
      <c r="GH78" s="32">
        <f t="shared" si="108"/>
        <v>18060.730675318879</v>
      </c>
      <c r="GI78" s="32">
        <f t="shared" si="108"/>
        <v>18241.337982072069</v>
      </c>
      <c r="GJ78" s="32">
        <f t="shared" ref="GJ78:HO78" si="109">GI78*(1+$FJ$85)</f>
        <v>18423.751361892791</v>
      </c>
      <c r="GK78" s="32">
        <f t="shared" si="109"/>
        <v>18607.988875511721</v>
      </c>
      <c r="GL78" s="32">
        <f t="shared" si="109"/>
        <v>18794.068764266838</v>
      </c>
      <c r="GM78" s="32">
        <f t="shared" si="109"/>
        <v>18982.009451909507</v>
      </c>
      <c r="GN78" s="32">
        <f t="shared" si="109"/>
        <v>19171.829546428602</v>
      </c>
      <c r="GO78" s="32">
        <f t="shared" si="109"/>
        <v>19363.547841892887</v>
      </c>
      <c r="GP78" s="32">
        <f t="shared" si="109"/>
        <v>19557.183320311815</v>
      </c>
      <c r="GQ78" s="32">
        <f t="shared" si="109"/>
        <v>19752.755153514932</v>
      </c>
      <c r="GR78" s="32">
        <f t="shared" si="109"/>
        <v>19950.282705050082</v>
      </c>
      <c r="GS78" s="32">
        <f t="shared" si="109"/>
        <v>20149.785532100585</v>
      </c>
      <c r="GT78" s="32">
        <f t="shared" si="109"/>
        <v>20351.28338742159</v>
      </c>
      <c r="GU78" s="32">
        <f t="shared" si="109"/>
        <v>20554.796221295805</v>
      </c>
      <c r="GV78" s="32">
        <f t="shared" si="109"/>
        <v>20760.344183508761</v>
      </c>
      <c r="GW78" s="32">
        <f t="shared" si="109"/>
        <v>20967.947625343848</v>
      </c>
      <c r="GX78" s="32">
        <f t="shared" si="109"/>
        <v>21177.627101597285</v>
      </c>
      <c r="GY78" s="32">
        <f t="shared" si="109"/>
        <v>21389.403372613258</v>
      </c>
      <c r="GZ78" s="32">
        <f t="shared" si="109"/>
        <v>21603.297406339392</v>
      </c>
      <c r="HA78" s="32">
        <f t="shared" si="109"/>
        <v>21819.330380402786</v>
      </c>
      <c r="HB78" s="32">
        <f t="shared" si="109"/>
        <v>22037.523684206815</v>
      </c>
      <c r="HC78" s="32">
        <f t="shared" si="109"/>
        <v>22257.898921048883</v>
      </c>
      <c r="HD78" s="32">
        <f t="shared" si="109"/>
        <v>22480.477910259371</v>
      </c>
      <c r="HE78" s="32">
        <f t="shared" si="109"/>
        <v>22705.282689361964</v>
      </c>
      <c r="HF78" s="32">
        <f t="shared" si="109"/>
        <v>22932.335516255585</v>
      </c>
      <c r="HG78" s="32">
        <f t="shared" si="109"/>
        <v>23161.658871418142</v>
      </c>
      <c r="HH78" s="32">
        <f t="shared" si="109"/>
        <v>23393.275460132325</v>
      </c>
      <c r="HI78" s="32">
        <f t="shared" si="109"/>
        <v>23627.208214733648</v>
      </c>
      <c r="HJ78" s="32">
        <f t="shared" si="109"/>
        <v>23863.480296880985</v>
      </c>
      <c r="HK78" s="32">
        <f t="shared" si="109"/>
        <v>24102.115099849794</v>
      </c>
      <c r="HL78" s="32">
        <f t="shared" si="109"/>
        <v>24343.136250848293</v>
      </c>
      <c r="HM78" s="32">
        <f t="shared" si="109"/>
        <v>24586.567613356776</v>
      </c>
      <c r="HN78" s="32">
        <f t="shared" si="109"/>
        <v>24832.433289490345</v>
      </c>
      <c r="HO78" s="32">
        <f t="shared" si="109"/>
        <v>25080.757622385248</v>
      </c>
      <c r="HP78" s="32">
        <f t="shared" ref="HP78:HY78" si="110">HO78*(1+$FJ$85)</f>
        <v>25331.5651986091</v>
      </c>
      <c r="HQ78" s="32">
        <f t="shared" si="110"/>
        <v>25584.880850595189</v>
      </c>
      <c r="HR78" s="32">
        <f t="shared" si="110"/>
        <v>25840.72965910114</v>
      </c>
      <c r="HS78" s="32">
        <f t="shared" si="110"/>
        <v>26099.136955692153</v>
      </c>
      <c r="HT78" s="32">
        <f t="shared" si="110"/>
        <v>26360.128325249076</v>
      </c>
      <c r="HU78" s="32">
        <f t="shared" si="110"/>
        <v>26623.729608501566</v>
      </c>
      <c r="HV78" s="32">
        <f t="shared" si="110"/>
        <v>26889.966904586581</v>
      </c>
      <c r="HW78" s="32">
        <f t="shared" si="110"/>
        <v>27158.866573632447</v>
      </c>
      <c r="HX78" s="32">
        <f t="shared" si="110"/>
        <v>27430.455239368774</v>
      </c>
      <c r="HY78" s="32">
        <f t="shared" si="110"/>
        <v>27704.759791762463</v>
      </c>
    </row>
    <row r="79" spans="2:233" s="17" customFormat="1" x14ac:dyDescent="0.2">
      <c r="B79" s="17" t="s">
        <v>21</v>
      </c>
      <c r="C79" s="49">
        <v>1.9072573266926225</v>
      </c>
      <c r="D79" s="49">
        <v>2.0566674424016758</v>
      </c>
      <c r="E79" s="49">
        <v>2.7278037383177569</v>
      </c>
      <c r="F79" s="49">
        <v>2.3449074074074074</v>
      </c>
      <c r="G79" s="49">
        <v>2.6395520047522396</v>
      </c>
      <c r="H79" s="49">
        <v>2.4104238397498516</v>
      </c>
      <c r="I79" s="49">
        <f t="shared" ref="I79:N79" si="111">I78/I80</f>
        <v>4.3591034019903718</v>
      </c>
      <c r="J79" s="49">
        <f t="shared" si="111"/>
        <v>4.8332718305579414</v>
      </c>
      <c r="K79" s="49">
        <f t="shared" si="111"/>
        <v>5.1590452496960513</v>
      </c>
      <c r="L79" s="49">
        <f t="shared" si="111"/>
        <v>5.3120776031701817</v>
      </c>
      <c r="M79" s="49">
        <f t="shared" si="111"/>
        <v>6.9873181393074386</v>
      </c>
      <c r="N79" s="49">
        <f t="shared" si="111"/>
        <v>6.1340468350880464</v>
      </c>
      <c r="O79" s="49">
        <f t="shared" ref="O79:T79" si="112">O78/O80</f>
        <v>5.2228087303102724</v>
      </c>
      <c r="P79" s="49">
        <f t="shared" si="112"/>
        <v>7.1646965490160897</v>
      </c>
      <c r="Q79" s="49">
        <f t="shared" si="112"/>
        <v>5.9856518256585876</v>
      </c>
      <c r="R79" s="49">
        <f t="shared" si="112"/>
        <v>5.5138020691133525</v>
      </c>
      <c r="S79" s="49">
        <f t="shared" si="112"/>
        <v>6.5537264711307364</v>
      </c>
      <c r="T79" s="49">
        <f t="shared" si="112"/>
        <v>3.4119258808663999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5"/>
      <c r="EG79" s="49"/>
      <c r="EH79" s="49">
        <v>5.3184322359227147</v>
      </c>
      <c r="EI79" s="49">
        <v>3.9639115250291037</v>
      </c>
      <c r="EJ79" s="49">
        <v>5.0502424081454445</v>
      </c>
      <c r="EK79" s="49">
        <v>6.1026426057431324</v>
      </c>
      <c r="EL79" s="49">
        <f t="shared" ref="EL79:ET79" si="113">EL78/EL80</f>
        <v>11.873919426379091</v>
      </c>
      <c r="EM79" s="49">
        <f t="shared" si="113"/>
        <v>13.121364974395485</v>
      </c>
      <c r="EN79" s="49">
        <f>EN78/EN80</f>
        <v>11.345262205286643</v>
      </c>
      <c r="EO79" s="49">
        <f>EO78/EO80</f>
        <v>11.499453894771941</v>
      </c>
      <c r="EP79" s="49">
        <f>EP78/EP80</f>
        <v>9.8763834791372265</v>
      </c>
      <c r="EQ79" s="49">
        <f t="shared" si="113"/>
        <v>10.831676352339372</v>
      </c>
      <c r="ER79" s="49">
        <f t="shared" si="113"/>
        <v>-9.1228526343650156</v>
      </c>
      <c r="ES79" s="49">
        <f t="shared" si="113"/>
        <v>-9.3788819609287533</v>
      </c>
      <c r="ET79" s="49">
        <f t="shared" si="113"/>
        <v>-9.6455467926373348</v>
      </c>
      <c r="EU79" s="49"/>
      <c r="EV79" s="49"/>
      <c r="EW79" s="49"/>
      <c r="EX79" s="49"/>
      <c r="EY79" s="49"/>
      <c r="EZ79" s="49"/>
      <c r="FA79" s="48"/>
      <c r="FC79" s="48"/>
      <c r="FD79" s="48"/>
    </row>
    <row r="80" spans="2:233" s="17" customFormat="1" x14ac:dyDescent="0.2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5"/>
      <c r="AX80" s="95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5"/>
      <c r="EH80" s="25">
        <v>838.56269999999995</v>
      </c>
      <c r="EI80" s="25">
        <v>859</v>
      </c>
      <c r="EJ80" s="25">
        <v>859.56269999999995</v>
      </c>
      <c r="EK80" s="25">
        <v>858</v>
      </c>
      <c r="EL80" s="25">
        <f>AVERAGE(M80:N80)</f>
        <v>862.56269999999995</v>
      </c>
      <c r="EM80" s="25">
        <f t="shared" ref="EM80:ET80" si="114">EL80</f>
        <v>862.56269999999995</v>
      </c>
      <c r="EN80" s="25">
        <f t="shared" si="114"/>
        <v>862.56269999999995</v>
      </c>
      <c r="EO80" s="25">
        <f t="shared" si="114"/>
        <v>862.56269999999995</v>
      </c>
      <c r="EP80" s="25">
        <f>EO80</f>
        <v>862.56269999999995</v>
      </c>
      <c r="EQ80" s="25">
        <f t="shared" si="114"/>
        <v>862.56269999999995</v>
      </c>
      <c r="ER80" s="25">
        <f t="shared" si="114"/>
        <v>862.56269999999995</v>
      </c>
      <c r="ES80" s="25">
        <f t="shared" si="114"/>
        <v>862.56269999999995</v>
      </c>
      <c r="ET80" s="25">
        <f t="shared" si="114"/>
        <v>862.56269999999995</v>
      </c>
      <c r="EU80" s="25"/>
      <c r="EV80" s="25"/>
      <c r="EW80" s="25"/>
      <c r="EX80" s="25"/>
      <c r="EY80" s="25"/>
      <c r="EZ80" s="25"/>
      <c r="FA80" s="48"/>
      <c r="FC80" s="48"/>
      <c r="FD80" s="48"/>
    </row>
    <row r="81" spans="2:168" s="17" customFormat="1" x14ac:dyDescent="0.2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5"/>
      <c r="AX81" s="95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48"/>
      <c r="FC81" s="48"/>
      <c r="FD81" s="48"/>
    </row>
    <row r="82" spans="2:168" x14ac:dyDescent="0.2">
      <c r="B82" s="15" t="s">
        <v>182</v>
      </c>
      <c r="C82" s="50"/>
      <c r="D82" s="50"/>
      <c r="E82" s="50"/>
      <c r="F82" s="50"/>
      <c r="G82" s="50"/>
      <c r="H82" s="50"/>
      <c r="I82" s="50"/>
      <c r="J82" s="50"/>
      <c r="K82" s="50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32"/>
      <c r="EG82" s="25"/>
      <c r="EH82" s="25"/>
      <c r="EI82" s="25"/>
      <c r="EJ82" s="25"/>
      <c r="EK82" s="25"/>
      <c r="EL82" s="25"/>
      <c r="EM82" s="25"/>
      <c r="EN82" s="25">
        <f>N82</f>
        <v>17336</v>
      </c>
      <c r="EO82" s="25">
        <f>Q82+4000</f>
        <v>-27000</v>
      </c>
      <c r="EP82" s="25">
        <f>+T82</f>
        <v>-19200</v>
      </c>
      <c r="EQ82" s="25">
        <f>EP82+EP78</f>
        <v>-10681</v>
      </c>
      <c r="ER82" s="25">
        <f t="shared" ref="ER82:ES82" si="115">EQ82+EQ78</f>
        <v>-1338</v>
      </c>
      <c r="ES82" s="25">
        <f t="shared" si="115"/>
        <v>-9207.0324000000001</v>
      </c>
      <c r="ET82" s="25">
        <f t="shared" ref="ET82:EY82" si="116">ES82+ES78</f>
        <v>-17296.906147199999</v>
      </c>
      <c r="EU82" s="25">
        <f t="shared" si="116"/>
        <v>-25616.795031633599</v>
      </c>
      <c r="EV82" s="25">
        <f t="shared" si="116"/>
        <v>-34176.21362916728</v>
      </c>
      <c r="EW82" s="25">
        <f t="shared" si="116"/>
        <v>-42985.030329543923</v>
      </c>
      <c r="EX82" s="25">
        <f t="shared" si="116"/>
        <v>-52053.480858710194</v>
      </c>
      <c r="EY82" s="25">
        <f t="shared" si="116"/>
        <v>-61392.182314218349</v>
      </c>
      <c r="EZ82" s="25"/>
      <c r="FA82" s="25"/>
      <c r="FC82" s="15"/>
      <c r="FD82" s="15"/>
    </row>
    <row r="83" spans="2:168" x14ac:dyDescent="0.2">
      <c r="C83" s="50"/>
      <c r="D83" s="50"/>
      <c r="E83" s="50"/>
      <c r="F83" s="50"/>
      <c r="G83" s="50"/>
      <c r="H83" s="50"/>
      <c r="I83" s="50"/>
      <c r="J83" s="50"/>
      <c r="K83" s="5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32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C83" s="15"/>
      <c r="FD83" s="15"/>
    </row>
    <row r="84" spans="2:168" s="17" customFormat="1" x14ac:dyDescent="0.2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3">
        <v>0.73841896282035857</v>
      </c>
      <c r="J84" s="73">
        <v>0.74</v>
      </c>
      <c r="K84" s="29">
        <f t="shared" ref="K84:P84" si="117">K65/K62</f>
        <v>0.78804977580734548</v>
      </c>
      <c r="L84" s="29">
        <f t="shared" si="117"/>
        <v>0.77726207642393652</v>
      </c>
      <c r="M84" s="29">
        <f t="shared" si="117"/>
        <v>0.77973452490471806</v>
      </c>
      <c r="N84" s="29">
        <f t="shared" si="117"/>
        <v>0.6776366600875311</v>
      </c>
      <c r="O84" s="29">
        <f t="shared" si="117"/>
        <v>0.75477185966187965</v>
      </c>
      <c r="P84" s="29">
        <f t="shared" si="117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G84" s="29"/>
      <c r="EH84" s="29">
        <f t="shared" ref="EH84:EN84" si="118">EH65/EH62</f>
        <v>0.77042891122535107</v>
      </c>
      <c r="EI84" s="29">
        <f t="shared" si="118"/>
        <v>0.77576314821625603</v>
      </c>
      <c r="EJ84" s="29">
        <f t="shared" si="118"/>
        <v>0.73856784770679496</v>
      </c>
      <c r="EK84" s="29">
        <f t="shared" si="118"/>
        <v>0.77874461434485087</v>
      </c>
      <c r="EL84" s="29">
        <f t="shared" si="118"/>
        <v>0.78235531980685524</v>
      </c>
      <c r="EM84" s="29">
        <f t="shared" si="118"/>
        <v>0.72815555025686607</v>
      </c>
      <c r="EN84" s="29">
        <f t="shared" si="118"/>
        <v>0.75520306480425281</v>
      </c>
      <c r="EO84" s="113">
        <v>0.75800000000000001</v>
      </c>
      <c r="EP84" s="113">
        <f>+EO84+0.25%</f>
        <v>0.76049999999999995</v>
      </c>
      <c r="EQ84" s="29">
        <f t="shared" ref="EQ84" si="119">EQ65/EQ62</f>
        <v>0.75641296936352309</v>
      </c>
      <c r="ER84" s="29"/>
      <c r="ES84" s="29"/>
      <c r="ET84" s="29"/>
      <c r="EU84" s="29"/>
      <c r="EV84" s="29"/>
      <c r="EW84" s="29"/>
      <c r="EX84" s="29"/>
      <c r="EY84" s="29"/>
      <c r="EZ84" s="29">
        <f>EZ65/EZ62</f>
        <v>0.78487046276769024</v>
      </c>
      <c r="FA84" s="29">
        <f t="shared" ref="FA84" si="120">FA65/FA62</f>
        <v>0.75973312526870596</v>
      </c>
      <c r="FI84" s="88" t="s">
        <v>677</v>
      </c>
      <c r="FJ84" s="51">
        <v>0.05</v>
      </c>
    </row>
    <row r="85" spans="2:168" x14ac:dyDescent="0.2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21">I66/I62</f>
        <v>0.26525087233786548</v>
      </c>
      <c r="J85" s="28">
        <f t="shared" si="121"/>
        <v>0.27613955212028163</v>
      </c>
      <c r="K85" s="28">
        <f t="shared" si="121"/>
        <v>0.26238097637160562</v>
      </c>
      <c r="L85" s="28">
        <f t="shared" si="121"/>
        <v>0.25450612833453495</v>
      </c>
      <c r="M85" s="28">
        <f t="shared" si="121"/>
        <v>0.24322074736058177</v>
      </c>
      <c r="N85" s="28">
        <f t="shared" si="121"/>
        <v>0.16197545696387197</v>
      </c>
      <c r="O85" s="28">
        <f t="shared" si="121"/>
        <v>0.19864570078167607</v>
      </c>
      <c r="P85" s="28">
        <f t="shared" si="121"/>
        <v>0.20323550586541311</v>
      </c>
      <c r="Q85" s="28">
        <f t="shared" si="121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G85" s="28"/>
      <c r="EH85" s="28">
        <v>0.3015038747794061</v>
      </c>
      <c r="EI85" s="28">
        <v>0.2874954027215888</v>
      </c>
      <c r="EJ85" s="28">
        <v>0.28243343946887067</v>
      </c>
      <c r="EK85" s="28">
        <v>0.27400024467646372</v>
      </c>
      <c r="EL85" s="28">
        <v>0.27083787651550573</v>
      </c>
      <c r="EM85" s="28">
        <v>0.25664542132384005</v>
      </c>
      <c r="EN85" s="28">
        <f>EN66/EN62</f>
        <v>0.19736134128231064</v>
      </c>
      <c r="EO85" s="28">
        <f>EO66/EO62</f>
        <v>0.19104748462546628</v>
      </c>
      <c r="EP85" s="28">
        <f t="shared" ref="EP85:EZ85" si="122">EP66/EP62</f>
        <v>0.20048176478045895</v>
      </c>
      <c r="EQ85" s="28">
        <f t="shared" si="122"/>
        <v>0.18925019397615855</v>
      </c>
      <c r="ER85" s="28">
        <f t="shared" si="122"/>
        <v>0.46515147977351001</v>
      </c>
      <c r="ES85" s="28">
        <f t="shared" si="122"/>
        <v>0.16863670158187261</v>
      </c>
      <c r="ET85" s="28">
        <f t="shared" si="122"/>
        <v>0.16455136005646626</v>
      </c>
      <c r="EU85" s="28">
        <f t="shared" si="122"/>
        <v>0.16249841921123978</v>
      </c>
      <c r="EV85" s="28">
        <f t="shared" si="122"/>
        <v>0.15897565705715799</v>
      </c>
      <c r="EW85" s="28">
        <f t="shared" si="122"/>
        <v>0.1680111236814617</v>
      </c>
      <c r="EX85" s="28">
        <f t="shared" si="122"/>
        <v>0.16212897338195845</v>
      </c>
      <c r="EY85" s="28">
        <f t="shared" si="122"/>
        <v>0.14327935732103186</v>
      </c>
      <c r="EZ85" s="28">
        <f t="shared" si="122"/>
        <v>0.16050271762426488</v>
      </c>
      <c r="FA85" s="28">
        <f t="shared" ref="FA85" si="123">FA66/FA62</f>
        <v>0.1503797710227544</v>
      </c>
      <c r="FI85" s="88" t="s">
        <v>287</v>
      </c>
      <c r="FJ85" s="51">
        <v>0.01</v>
      </c>
      <c r="FL85" s="103" t="s">
        <v>676</v>
      </c>
    </row>
    <row r="86" spans="2:168" s="17" customFormat="1" x14ac:dyDescent="0.2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24">K67/K62</f>
        <v>5.40077585772583E-2</v>
      </c>
      <c r="L86" s="28">
        <f t="shared" si="124"/>
        <v>6.6240086517664026E-2</v>
      </c>
      <c r="M86" s="28">
        <f t="shared" si="124"/>
        <v>5.4190213343847202E-2</v>
      </c>
      <c r="N86" s="28">
        <f t="shared" si="124"/>
        <v>5.2175405474984983E-2</v>
      </c>
      <c r="O86" s="28">
        <f t="shared" si="124"/>
        <v>4.9491001636066172E-2</v>
      </c>
      <c r="P86" s="28">
        <f t="shared" si="124"/>
        <v>5.2640494642781518E-2</v>
      </c>
      <c r="Q86" s="28">
        <f t="shared" si="124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8"/>
      <c r="EH86" s="28">
        <v>0.34727230875469961</v>
      </c>
      <c r="EI86" s="28">
        <v>0.33751379183523356</v>
      </c>
      <c r="EJ86" s="28">
        <v>0.35305873585800418</v>
      </c>
      <c r="EK86" s="28">
        <v>0.34502251241079884</v>
      </c>
      <c r="EL86" s="28">
        <v>0.33891166000207307</v>
      </c>
      <c r="EM86" s="28">
        <v>0.32326238327340828</v>
      </c>
      <c r="EN86" s="28">
        <f>EN67/EN62</f>
        <v>5.019047414071412E-2</v>
      </c>
      <c r="EO86" s="28">
        <f>EO67/EO62</f>
        <v>4.3855227341465873E-2</v>
      </c>
      <c r="EP86" s="28">
        <f t="shared" ref="EP86:EZ86" si="125">EP67/EP62</f>
        <v>6.0727718378903776E-2</v>
      </c>
      <c r="EQ86" s="28">
        <f t="shared" si="125"/>
        <v>5.5065716771296229E-2</v>
      </c>
      <c r="ER86" s="28">
        <f t="shared" si="125"/>
        <v>0.13534411301149962</v>
      </c>
      <c r="ES86" s="28">
        <f t="shared" si="125"/>
        <v>4.9067853783668229E-2</v>
      </c>
      <c r="ET86" s="28">
        <f t="shared" si="125"/>
        <v>4.787915085752812E-2</v>
      </c>
      <c r="EU86" s="28">
        <f t="shared" si="125"/>
        <v>4.7281811130913592E-2</v>
      </c>
      <c r="EV86" s="28">
        <f t="shared" si="125"/>
        <v>4.6256800699200393E-2</v>
      </c>
      <c r="EW86" s="28">
        <f t="shared" si="125"/>
        <v>4.8885830744438225E-2</v>
      </c>
      <c r="EX86" s="28">
        <f t="shared" si="125"/>
        <v>4.7174314282587483E-2</v>
      </c>
      <c r="EY86" s="28">
        <f t="shared" si="125"/>
        <v>4.1689682550112642E-2</v>
      </c>
      <c r="EZ86" s="28">
        <f t="shared" si="125"/>
        <v>4.6739708176877046E-2</v>
      </c>
      <c r="FA86" s="28">
        <f t="shared" ref="FA86" si="126">FA67/FA62</f>
        <v>4.2403783379245552E-2</v>
      </c>
      <c r="FI86" s="88" t="s">
        <v>288</v>
      </c>
      <c r="FJ86" s="51">
        <v>0.11</v>
      </c>
      <c r="FL86" s="3" t="s">
        <v>672</v>
      </c>
    </row>
    <row r="87" spans="2:168" x14ac:dyDescent="0.2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27">K68/K62</f>
        <v>0.15431507884528187</v>
      </c>
      <c r="L87" s="28">
        <f t="shared" si="127"/>
        <v>0.15888608507570295</v>
      </c>
      <c r="M87" s="28">
        <f t="shared" si="127"/>
        <v>0.15924124939764314</v>
      </c>
      <c r="N87" s="28">
        <f t="shared" si="127"/>
        <v>0.20381017763666009</v>
      </c>
      <c r="O87" s="28">
        <f t="shared" si="127"/>
        <v>0.18664788220323578</v>
      </c>
      <c r="P87" s="28">
        <f t="shared" si="127"/>
        <v>0.20065218311946809</v>
      </c>
      <c r="Q87" s="28">
        <f t="shared" si="127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G87" s="28"/>
      <c r="EH87" s="28">
        <v>0.15852067827821684</v>
      </c>
      <c r="EI87" s="28">
        <v>0.17006252298639205</v>
      </c>
      <c r="EJ87" s="28">
        <v>0.17458166790867827</v>
      </c>
      <c r="EK87" s="28">
        <v>0.16883613144566781</v>
      </c>
      <c r="EL87" s="28">
        <v>0.17008854048286479</v>
      </c>
      <c r="EM87" s="28">
        <v>0.16445100677776556</v>
      </c>
      <c r="EN87" s="28">
        <f>EN68/EN62</f>
        <v>0.19036652820523858</v>
      </c>
      <c r="EO87" s="28">
        <f>EO68/EO62</f>
        <v>0.19909265046879726</v>
      </c>
      <c r="EP87" s="28">
        <f t="shared" ref="EP87:EZ87" si="128">EP68/EP62</f>
        <v>0.21184972319655157</v>
      </c>
      <c r="EQ87" s="28">
        <f t="shared" si="128"/>
        <v>0.19576309045167054</v>
      </c>
      <c r="ER87" s="28">
        <f t="shared" si="128"/>
        <v>0</v>
      </c>
      <c r="ES87" s="28">
        <f t="shared" si="128"/>
        <v>0</v>
      </c>
      <c r="ET87" s="28">
        <f t="shared" si="128"/>
        <v>0</v>
      </c>
      <c r="EU87" s="28">
        <f t="shared" si="128"/>
        <v>0</v>
      </c>
      <c r="EV87" s="28">
        <f t="shared" si="128"/>
        <v>0</v>
      </c>
      <c r="EW87" s="28">
        <f t="shared" si="128"/>
        <v>0</v>
      </c>
      <c r="EX87" s="28">
        <f t="shared" si="128"/>
        <v>0</v>
      </c>
      <c r="EY87" s="28">
        <f t="shared" si="128"/>
        <v>0</v>
      </c>
      <c r="EZ87" s="28">
        <f t="shared" si="128"/>
        <v>0.20837405483257035</v>
      </c>
      <c r="FA87" s="28">
        <f t="shared" ref="FA87" si="129">FA68/FA62</f>
        <v>0.21827677903218101</v>
      </c>
      <c r="FI87" s="114" t="s">
        <v>701</v>
      </c>
      <c r="FJ87" s="25">
        <f>NPV(FJ86,ES78:IB78)+Main!J5-Main!J6+ER78</f>
        <v>-7139.3134742801049</v>
      </c>
      <c r="FL87" s="3" t="s">
        <v>673</v>
      </c>
    </row>
    <row r="88" spans="2:168" s="17" customFormat="1" x14ac:dyDescent="0.2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30">K71/K62</f>
        <v>0.31734596201319965</v>
      </c>
      <c r="L88" s="29">
        <f t="shared" si="130"/>
        <v>0.29762977649603461</v>
      </c>
      <c r="M88" s="29">
        <f t="shared" si="130"/>
        <v>0.37608971831602928</v>
      </c>
      <c r="N88" s="29">
        <f t="shared" si="130"/>
        <v>0.31931691409937357</v>
      </c>
      <c r="O88" s="29">
        <f t="shared" si="130"/>
        <v>0.31998727504090163</v>
      </c>
      <c r="P88" s="29">
        <f t="shared" si="130"/>
        <v>0.29030618726972429</v>
      </c>
      <c r="Q88" s="29">
        <f t="shared" si="130"/>
        <v>0.33200033325002082</v>
      </c>
      <c r="R88" s="29">
        <f t="shared" si="130"/>
        <v>0.28604854060913704</v>
      </c>
      <c r="S88" s="29">
        <f t="shared" ref="S88:T88" si="131">S71/S62</f>
        <v>0.35541484007144014</v>
      </c>
      <c r="T88" s="29">
        <f t="shared" si="131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5"/>
      <c r="EG88" s="29"/>
      <c r="EH88" s="29">
        <v>0.20037596869485153</v>
      </c>
      <c r="EI88" s="29">
        <v>0.21305627068775285</v>
      </c>
      <c r="EJ88" s="29">
        <v>0.22918501456540885</v>
      </c>
      <c r="EK88" s="29">
        <v>0.2429030652968388</v>
      </c>
      <c r="EL88" s="29">
        <f>EL71/EL62</f>
        <v>0.33571989248590661</v>
      </c>
      <c r="EM88" s="29">
        <f>EM71/EM62</f>
        <v>0.34740857954175969</v>
      </c>
      <c r="EN88" s="29">
        <f>EN71/EN62</f>
        <v>0.31728472117598949</v>
      </c>
      <c r="EO88" s="29">
        <f>EO71/EO62</f>
        <v>0.30613973182780524</v>
      </c>
      <c r="EP88" s="29">
        <f t="shared" ref="EP88:EZ88" si="132">EP71/EP62</f>
        <v>0.28185352660271312</v>
      </c>
      <c r="EQ88" s="29">
        <f t="shared" si="132"/>
        <v>0.31633396816439774</v>
      </c>
      <c r="ER88" s="29">
        <f t="shared" si="132"/>
        <v>-0.60049559278500964</v>
      </c>
      <c r="ES88" s="29">
        <f t="shared" si="132"/>
        <v>-0.21770455536554084</v>
      </c>
      <c r="ET88" s="29">
        <f t="shared" si="132"/>
        <v>-0.21243051091399437</v>
      </c>
      <c r="EU88" s="29">
        <f t="shared" si="132"/>
        <v>-0.20978023034215337</v>
      </c>
      <c r="EV88" s="29">
        <f t="shared" si="132"/>
        <v>-0.20523245775635837</v>
      </c>
      <c r="EW88" s="29">
        <f t="shared" si="132"/>
        <v>-0.21689695442589996</v>
      </c>
      <c r="EX88" s="29">
        <f t="shared" si="132"/>
        <v>-0.20930328766454592</v>
      </c>
      <c r="EY88" s="29">
        <f t="shared" si="132"/>
        <v>-0.18496903987114449</v>
      </c>
      <c r="EZ88" s="29">
        <f t="shared" si="132"/>
        <v>0.36925398213397803</v>
      </c>
      <c r="FA88" s="29">
        <f t="shared" ref="FA88" si="133">FA71/FA62</f>
        <v>0.34867279183452493</v>
      </c>
      <c r="FI88" s="114" t="s">
        <v>702</v>
      </c>
      <c r="FJ88" s="50">
        <f>FJ87/Main!J3</f>
        <v>-8.9196485698830514</v>
      </c>
      <c r="FL88" s="3" t="s">
        <v>674</v>
      </c>
    </row>
    <row r="89" spans="2:168" x14ac:dyDescent="0.2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G89" s="28"/>
      <c r="EH89" s="28">
        <v>0.23098438178172287</v>
      </c>
      <c r="EI89" s="28">
        <v>0.18826774549466715</v>
      </c>
      <c r="EJ89" s="28">
        <v>0.2189892283720615</v>
      </c>
      <c r="EK89" s="28">
        <v>0.24071284416750166</v>
      </c>
      <c r="EL89" s="28">
        <v>0.27114359566035856</v>
      </c>
      <c r="EM89" s="28">
        <v>0.30398791565649136</v>
      </c>
      <c r="EN89" s="28">
        <f t="shared" ref="EN89:EZ89" si="134">EN74/EN62</f>
        <v>0.32236403159503263</v>
      </c>
      <c r="EO89" s="28">
        <f t="shared" si="134"/>
        <v>0.2725073092045569</v>
      </c>
      <c r="EP89" s="28">
        <f t="shared" si="134"/>
        <v>0.23378269872797194</v>
      </c>
      <c r="EQ89" s="28">
        <f t="shared" si="134"/>
        <v>0.27944322964425949</v>
      </c>
      <c r="ER89" s="28">
        <f t="shared" si="134"/>
        <v>-0.60440079388243528</v>
      </c>
      <c r="ES89" s="28">
        <f t="shared" si="134"/>
        <v>-0.2275453339033775</v>
      </c>
      <c r="ET89" s="28">
        <f t="shared" si="134"/>
        <v>-0.23065235802031098</v>
      </c>
      <c r="EU89" s="28">
        <f t="shared" si="134"/>
        <v>-0.23669937352076836</v>
      </c>
      <c r="EV89" s="28">
        <f t="shared" si="134"/>
        <v>-0.24072251323951199</v>
      </c>
      <c r="EW89" s="28">
        <f t="shared" si="134"/>
        <v>-0.26454797243931771</v>
      </c>
      <c r="EX89" s="28">
        <f t="shared" si="134"/>
        <v>-0.26554935001052543</v>
      </c>
      <c r="EY89" s="28">
        <f t="shared" si="134"/>
        <v>-0.24418560556188507</v>
      </c>
      <c r="EZ89" s="28">
        <f t="shared" si="134"/>
        <v>0.35958369768358966</v>
      </c>
      <c r="FA89" s="28">
        <f t="shared" ref="FA89" si="135">FA74/FA62</f>
        <v>0.33671438352892469</v>
      </c>
      <c r="FI89" s="114" t="s">
        <v>703</v>
      </c>
      <c r="FJ89" s="104">
        <f>FJ88/Main!J2-1</f>
        <v>-1.0320850667981405</v>
      </c>
      <c r="FL89" s="3" t="s">
        <v>675</v>
      </c>
    </row>
    <row r="90" spans="2:168" x14ac:dyDescent="0.2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36">K75/K74</f>
        <v>0.25301204819277107</v>
      </c>
      <c r="L90" s="28">
        <f t="shared" si="136"/>
        <v>0.24658897100625354</v>
      </c>
      <c r="M90" s="28">
        <f t="shared" si="136"/>
        <v>0.23280132085855806</v>
      </c>
      <c r="N90" s="28">
        <f t="shared" si="136"/>
        <v>0.22530864197530864</v>
      </c>
      <c r="O90" s="28">
        <f t="shared" si="136"/>
        <v>0.25570211596592468</v>
      </c>
      <c r="P90" s="28">
        <f t="shared" si="136"/>
        <v>0</v>
      </c>
      <c r="Q90" s="28">
        <f t="shared" si="136"/>
        <v>0.2261760345059981</v>
      </c>
      <c r="R90" s="28">
        <f t="shared" si="136"/>
        <v>0.19553805774278216</v>
      </c>
      <c r="S90" s="28">
        <f t="shared" ref="S90:T90" si="137">S75/S74</f>
        <v>0.23841059602649006</v>
      </c>
      <c r="T90" s="28">
        <f t="shared" si="137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G90" s="28"/>
      <c r="EH90" s="28">
        <v>0.2649132500765265</v>
      </c>
      <c r="EI90" s="28">
        <v>0.25766751318616915</v>
      </c>
      <c r="EJ90" s="28">
        <v>0.24825986078886311</v>
      </c>
      <c r="EK90" s="28">
        <v>0.25182342708389949</v>
      </c>
      <c r="EL90" s="28">
        <v>0.27200000000000002</v>
      </c>
      <c r="EM90" s="28">
        <v>0.28000000000000003</v>
      </c>
      <c r="EN90" s="28">
        <f>EN75/EN74</f>
        <v>0.22145813860328481</v>
      </c>
      <c r="EO90" s="28">
        <f>EO75/EO74</f>
        <v>0.21235664076951535</v>
      </c>
      <c r="EP90" s="28">
        <f>EP75/EP74</f>
        <v>0.2096890817064353</v>
      </c>
      <c r="EQ90" s="28">
        <f t="shared" ref="EQ90:EY90" si="138">EQ75/EQ74</f>
        <v>0.19697097181320994</v>
      </c>
      <c r="ER90" s="28">
        <f t="shared" si="138"/>
        <v>0.24</v>
      </c>
      <c r="ES90" s="28">
        <f t="shared" si="138"/>
        <v>0.24</v>
      </c>
      <c r="ET90" s="28">
        <f t="shared" si="138"/>
        <v>0.24</v>
      </c>
      <c r="EU90" s="28">
        <f t="shared" si="138"/>
        <v>0.23999999999999996</v>
      </c>
      <c r="EV90" s="28">
        <f t="shared" si="138"/>
        <v>0.24</v>
      </c>
      <c r="EW90" s="28">
        <f t="shared" si="138"/>
        <v>0.24</v>
      </c>
      <c r="EX90" s="28">
        <f t="shared" si="138"/>
        <v>0.24</v>
      </c>
      <c r="EY90" s="28">
        <f t="shared" si="138"/>
        <v>0.24</v>
      </c>
      <c r="EZ90" s="28">
        <f>EZ75/EZ74</f>
        <v>0.17137135227922945</v>
      </c>
      <c r="FA90" s="28">
        <f t="shared" ref="FA90" si="139">FA75/FA74</f>
        <v>0.14541757306346353</v>
      </c>
      <c r="FI90" s="44"/>
      <c r="FJ90" s="44"/>
    </row>
    <row r="91" spans="2:168" s="17" customFormat="1" x14ac:dyDescent="0.2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5"/>
      <c r="EG91" s="29"/>
      <c r="EH91" s="29">
        <v>0.17109793967322903</v>
      </c>
      <c r="EI91" s="29">
        <v>0.12522986392055904</v>
      </c>
      <c r="EJ91" s="29">
        <v>0.14704288327349097</v>
      </c>
      <c r="EK91" s="29">
        <v>0.15265901938106788</v>
      </c>
      <c r="EL91" s="29">
        <v>0.16483039249577047</v>
      </c>
      <c r="EM91" s="29">
        <v>0.17561949193815188</v>
      </c>
      <c r="EN91" s="29">
        <f t="shared" ref="EN91:EY91" si="140">EN78/EN62</f>
        <v>0.2106192023760842</v>
      </c>
      <c r="EO91" s="29">
        <f t="shared" si="140"/>
        <v>0.2</v>
      </c>
      <c r="EP91" s="29">
        <f t="shared" si="140"/>
        <v>0.1800067616109538</v>
      </c>
      <c r="EQ91" s="29">
        <f t="shared" si="140"/>
        <v>0.21967506054407374</v>
      </c>
      <c r="ER91" s="29">
        <f t="shared" si="140"/>
        <v>-0.45934460335065086</v>
      </c>
      <c r="ES91" s="29">
        <f t="shared" si="140"/>
        <v>-0.17293445376656688</v>
      </c>
      <c r="ET91" s="29">
        <f t="shared" si="140"/>
        <v>-0.17529579209543633</v>
      </c>
      <c r="EU91" s="29">
        <f t="shared" si="140"/>
        <v>-0.17989152387578397</v>
      </c>
      <c r="EV91" s="29">
        <f t="shared" si="140"/>
        <v>-0.1829491100620291</v>
      </c>
      <c r="EW91" s="29">
        <f t="shared" si="140"/>
        <v>-0.20105645905388148</v>
      </c>
      <c r="EX91" s="29">
        <f t="shared" si="140"/>
        <v>-0.20181750600799933</v>
      </c>
      <c r="EY91" s="29">
        <f t="shared" si="140"/>
        <v>-0.18558106022703266</v>
      </c>
      <c r="EZ91" s="29">
        <f>EZ78/EZ62</f>
        <v>0.28422749172710593</v>
      </c>
      <c r="FA91" s="29">
        <f>FA78/FA62</f>
        <v>0.27130141239789174</v>
      </c>
      <c r="FC91" s="48"/>
      <c r="FD91" s="48"/>
    </row>
    <row r="92" spans="2:168" x14ac:dyDescent="0.2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G92" s="28"/>
      <c r="EH92" s="28">
        <v>-4.0346087028221136E-2</v>
      </c>
      <c r="EI92" s="28">
        <v>0.11305627068775286</v>
      </c>
      <c r="EJ92" s="28">
        <v>0.14230065713705034</v>
      </c>
      <c r="EK92" s="28">
        <v>0.15410220583112316</v>
      </c>
      <c r="EL92" s="28">
        <v>0.16469033218166365</v>
      </c>
      <c r="EM92" s="28">
        <v>0.17550225150897455</v>
      </c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</row>
    <row r="93" spans="2:168" x14ac:dyDescent="0.2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8" s="17" customFormat="1" x14ac:dyDescent="0.2">
      <c r="B94" s="17" t="s">
        <v>184</v>
      </c>
      <c r="C94" s="75" t="s">
        <v>12</v>
      </c>
      <c r="D94" s="75" t="s">
        <v>12</v>
      </c>
      <c r="E94" s="29">
        <v>0.13395784543325528</v>
      </c>
      <c r="F94" s="29">
        <v>4.2837273991655156E-2</v>
      </c>
      <c r="G94" s="75" t="s">
        <v>12</v>
      </c>
      <c r="H94" s="75" t="s">
        <v>12</v>
      </c>
      <c r="I94" s="29">
        <v>0.14429299187663491</v>
      </c>
      <c r="J94" s="29">
        <v>7.3267007224671055E-2</v>
      </c>
      <c r="K94" s="29">
        <f t="shared" ref="K94:T94" si="141">K62/I62-1</f>
        <v>0.19414029599326188</v>
      </c>
      <c r="L94" s="29">
        <f t="shared" si="141"/>
        <v>0.17486367727248653</v>
      </c>
      <c r="M94" s="29">
        <f t="shared" si="141"/>
        <v>0.1500327472416747</v>
      </c>
      <c r="N94" s="29">
        <f t="shared" si="141"/>
        <v>5.0198269646719584E-2</v>
      </c>
      <c r="O94" s="29">
        <f t="shared" si="141"/>
        <v>-3.6053795943400413E-2</v>
      </c>
      <c r="P94" s="29">
        <f t="shared" si="141"/>
        <v>1.3172573586200942E-2</v>
      </c>
      <c r="Q94" s="29">
        <f t="shared" si="141"/>
        <v>9.0983457553172054E-2</v>
      </c>
      <c r="R94" s="29">
        <f t="shared" si="141"/>
        <v>6.7886333799178411E-2</v>
      </c>
      <c r="S94" s="29">
        <f t="shared" si="141"/>
        <v>2.6243439140214875E-2</v>
      </c>
      <c r="T94" s="29">
        <f t="shared" si="141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79"/>
      <c r="BH94" s="79"/>
      <c r="BI94" s="79"/>
      <c r="BJ94" s="79"/>
      <c r="BK94" s="79"/>
      <c r="BL94" s="79"/>
      <c r="BM94" s="79"/>
      <c r="BN94" s="79"/>
      <c r="BO94" s="79"/>
      <c r="BP94" s="79">
        <f t="shared" ref="BP94:BQ94" si="142">BP62/BL62-1</f>
        <v>2.3527361449982021E-3</v>
      </c>
      <c r="BQ94" s="79">
        <f t="shared" si="142"/>
        <v>-1.7546658159196538E-3</v>
      </c>
      <c r="BR94" s="79">
        <f t="shared" ref="BR94:BW94" si="143">BR62/BN62-1</f>
        <v>6.0909583107742193E-2</v>
      </c>
      <c r="BS94" s="79">
        <f t="shared" si="143"/>
        <v>0.1108959690195388</v>
      </c>
      <c r="BT94" s="79">
        <f t="shared" si="143"/>
        <v>9.2236807789272346E-2</v>
      </c>
      <c r="BU94" s="79">
        <f t="shared" si="143"/>
        <v>1.0866091403004097E-2</v>
      </c>
      <c r="BV94" s="79">
        <f t="shared" si="143"/>
        <v>-0.33154716339202173</v>
      </c>
      <c r="BW94" s="79">
        <f t="shared" si="143"/>
        <v>-1.8301378545396929E-2</v>
      </c>
      <c r="BX94" s="79">
        <f t="shared" ref="BX94" si="144">BX62/BT62-1</f>
        <v>-8.5402737981534527E-2</v>
      </c>
      <c r="BY94" s="79">
        <f t="shared" ref="BY94" si="145">BY62/BU62-1</f>
        <v>-0.10322478659500478</v>
      </c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G94" s="29"/>
      <c r="EH94" s="29"/>
      <c r="EI94" s="29">
        <v>4.3121307450318502E-2</v>
      </c>
      <c r="EJ94" s="29"/>
      <c r="EK94" s="29">
        <f t="shared" ref="EK94:EL94" si="146">EK62/EJ62-1</f>
        <v>0.20286565950816349</v>
      </c>
      <c r="EL94" s="29">
        <f t="shared" si="146"/>
        <v>0.18388668299963395</v>
      </c>
      <c r="EM94" s="29">
        <f>EM62/EL62-1</f>
        <v>9.733355533883592E-2</v>
      </c>
      <c r="EN94" s="29">
        <f>EN62/EM62-1</f>
        <v>7.1532308759456598E-3</v>
      </c>
      <c r="EO94" s="29">
        <f>EO62/EN62-1</f>
        <v>6.7408475561199221E-2</v>
      </c>
      <c r="EP94" s="29">
        <f>EP62/EO62-1</f>
        <v>-4.5750579695533866E-2</v>
      </c>
      <c r="EQ94" s="29">
        <f t="shared" ref="EQ94:ES94" si="147">EQ62/EP62-1</f>
        <v>-0.10131851413599291</v>
      </c>
      <c r="ER94" s="29">
        <f t="shared" si="147"/>
        <v>-0.59721144576896856</v>
      </c>
      <c r="ES94" s="29">
        <f t="shared" si="147"/>
        <v>1.7307220827739185</v>
      </c>
      <c r="ET94" s="29">
        <f t="shared" ref="ET94" si="148">ET62/ES62-1</f>
        <v>1.4578879863189398E-2</v>
      </c>
      <c r="EU94" s="29">
        <f t="shared" ref="EU94" si="149">EU62/ET62-1</f>
        <v>2.5072689730731845E-3</v>
      </c>
      <c r="EV94" s="29">
        <f t="shared" ref="EV94" si="150">EV62/EU62-1</f>
        <v>1.1937538092936295E-2</v>
      </c>
      <c r="EW94" s="29">
        <f t="shared" ref="EW94" si="151">EW62/EV62-1</f>
        <v>-6.3241188809736393E-2</v>
      </c>
      <c r="EX94" s="29">
        <f t="shared" ref="EX94" si="152">EX62/EW62-1</f>
        <v>2.5917878680383089E-2</v>
      </c>
      <c r="EY94" s="29">
        <f t="shared" ref="EY94" si="153">EY62/EX62-1</f>
        <v>0.12024290623041511</v>
      </c>
      <c r="EZ94" s="29">
        <f t="shared" ref="EZ94" si="154">EZ62/EY62-1</f>
        <v>0.12512298165403091</v>
      </c>
      <c r="FA94" s="29">
        <f t="shared" ref="FA94:FC94" si="155">FA62/EZ62-1</f>
        <v>7.6779315192976982E-2</v>
      </c>
      <c r="FB94" s="29">
        <f t="shared" si="155"/>
        <v>-4.0158596200697394E-2</v>
      </c>
      <c r="FC94" s="29">
        <f t="shared" si="155"/>
        <v>-2.0056736176777945E-2</v>
      </c>
      <c r="FD94" s="48"/>
    </row>
    <row r="95" spans="2:168" s="17" customFormat="1" x14ac:dyDescent="0.2">
      <c r="B95" s="17" t="s">
        <v>336</v>
      </c>
      <c r="C95" s="75"/>
      <c r="D95" s="75"/>
      <c r="E95" s="29"/>
      <c r="F95" s="29"/>
      <c r="G95" s="75"/>
      <c r="H95" s="75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79"/>
      <c r="BS95" s="48"/>
      <c r="BT95" s="79">
        <v>0.14000000000000001</v>
      </c>
      <c r="BU95" s="48"/>
      <c r="BV95" s="79">
        <v>0.09</v>
      </c>
      <c r="BW95" s="79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G95" s="29"/>
      <c r="EH95" s="29"/>
      <c r="EI95" s="29"/>
      <c r="EJ95" s="29"/>
      <c r="EK95" s="29"/>
      <c r="EL95" s="29">
        <v>0.17399999999999999</v>
      </c>
      <c r="EM95" s="29">
        <v>0.10199999999999999</v>
      </c>
      <c r="EN95" s="29">
        <v>5.8999999999999997E-2</v>
      </c>
      <c r="EO95" s="29">
        <v>0.1</v>
      </c>
      <c r="EP95" s="29">
        <v>0</v>
      </c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48"/>
      <c r="FC95" s="29">
        <v>0.01</v>
      </c>
      <c r="FD95" s="48"/>
    </row>
    <row r="96" spans="2:168" s="17" customFormat="1" x14ac:dyDescent="0.2">
      <c r="B96" s="17" t="s">
        <v>337</v>
      </c>
      <c r="C96" s="75"/>
      <c r="D96" s="75"/>
      <c r="E96" s="29"/>
      <c r="F96" s="29"/>
      <c r="G96" s="75"/>
      <c r="H96" s="7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79"/>
      <c r="BS96" s="48"/>
      <c r="BT96" s="79">
        <v>0.15</v>
      </c>
      <c r="BU96" s="48"/>
      <c r="BV96" s="79">
        <v>0.1</v>
      </c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79">
        <v>0.02</v>
      </c>
      <c r="EA96" s="48"/>
      <c r="EB96" s="48"/>
      <c r="EC96" s="48"/>
      <c r="ED96" s="48"/>
      <c r="EE96" s="48"/>
      <c r="EG96" s="29"/>
      <c r="EH96" s="29"/>
      <c r="EI96" s="29"/>
      <c r="EJ96" s="29"/>
      <c r="EK96" s="29"/>
      <c r="EL96" s="29"/>
      <c r="EM96" s="29">
        <v>0.114</v>
      </c>
      <c r="EN96" s="29">
        <v>4.7E-2</v>
      </c>
      <c r="EO96" s="29">
        <v>0.11</v>
      </c>
      <c r="EP96" s="29">
        <v>-0.02</v>
      </c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48"/>
      <c r="FC96" s="48"/>
      <c r="FD96" s="48"/>
    </row>
    <row r="97" spans="2:160" s="17" customFormat="1" x14ac:dyDescent="0.2">
      <c r="B97" s="17" t="s">
        <v>721</v>
      </c>
      <c r="C97" s="75"/>
      <c r="D97" s="75"/>
      <c r="E97" s="29"/>
      <c r="F97" s="29"/>
      <c r="G97" s="75"/>
      <c r="H97" s="7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79"/>
      <c r="BS97" s="48"/>
      <c r="BT97" s="79"/>
      <c r="BU97" s="48"/>
      <c r="BV97" s="79"/>
      <c r="BW97" s="48"/>
      <c r="BX97" s="48"/>
      <c r="BY97" s="79">
        <v>0.1</v>
      </c>
      <c r="BZ97" s="79">
        <v>7.0000000000000007E-2</v>
      </c>
      <c r="CA97" s="79">
        <v>0.06</v>
      </c>
      <c r="CB97" s="79">
        <v>7.0000000000000007E-2</v>
      </c>
      <c r="CC97" s="79">
        <v>0.1</v>
      </c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48"/>
      <c r="FC97" s="48"/>
      <c r="FD97" s="48"/>
    </row>
    <row r="98" spans="2:160" s="17" customFormat="1" x14ac:dyDescent="0.2">
      <c r="B98" s="17" t="s">
        <v>722</v>
      </c>
      <c r="C98" s="75"/>
      <c r="D98" s="75"/>
      <c r="E98" s="29"/>
      <c r="F98" s="29"/>
      <c r="G98" s="75"/>
      <c r="H98" s="7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79"/>
      <c r="BS98" s="48"/>
      <c r="BT98" s="79"/>
      <c r="BU98" s="48"/>
      <c r="BV98" s="79"/>
      <c r="BW98" s="48"/>
      <c r="BX98" s="48"/>
      <c r="BY98" s="79">
        <v>0.02</v>
      </c>
      <c r="BZ98" s="79">
        <v>-0.06</v>
      </c>
      <c r="CA98" s="79">
        <v>-0.09</v>
      </c>
      <c r="CB98" s="79">
        <v>-0.1</v>
      </c>
      <c r="CC98" s="79">
        <v>-0.02</v>
      </c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48"/>
      <c r="FC98" s="48"/>
      <c r="FD98" s="48"/>
    </row>
    <row r="99" spans="2:160" s="17" customFormat="1" x14ac:dyDescent="0.2">
      <c r="B99" s="17" t="s">
        <v>723</v>
      </c>
      <c r="C99" s="75"/>
      <c r="D99" s="75"/>
      <c r="E99" s="29"/>
      <c r="F99" s="29"/>
      <c r="G99" s="75"/>
      <c r="H99" s="7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79"/>
      <c r="BS99" s="48"/>
      <c r="BT99" s="79"/>
      <c r="BU99" s="48"/>
      <c r="BV99" s="79"/>
      <c r="BW99" s="48"/>
      <c r="BX99" s="48"/>
      <c r="BY99" s="79">
        <v>0.05</v>
      </c>
      <c r="BZ99" s="79">
        <v>0.08</v>
      </c>
      <c r="CA99" s="79">
        <v>0.12</v>
      </c>
      <c r="CB99" s="79">
        <v>0.04</v>
      </c>
      <c r="CC99" s="79">
        <v>0.14000000000000001</v>
      </c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48"/>
      <c r="FC99" s="48"/>
      <c r="FD99" s="48"/>
    </row>
    <row r="100" spans="2:160" s="17" customFormat="1" x14ac:dyDescent="0.2">
      <c r="B100" s="3" t="s">
        <v>698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/>
      <c r="BU100" s="48"/>
      <c r="BV100" s="79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/>
      <c r="EJ100" s="29"/>
      <c r="EK100" s="29"/>
      <c r="EL100" s="29"/>
      <c r="EM100" s="81">
        <f t="shared" ref="EM100:FA100" si="156">EM6/EL6-1</f>
        <v>6.8937921573110739E-2</v>
      </c>
      <c r="EN100" s="81">
        <f t="shared" si="156"/>
        <v>3.2727272727272716E-2</v>
      </c>
      <c r="EO100" s="81">
        <f t="shared" si="156"/>
        <v>4.1321458160729074E-2</v>
      </c>
      <c r="EP100" s="81">
        <f t="shared" si="156"/>
        <v>3.5803083043262074E-2</v>
      </c>
      <c r="EQ100" s="81">
        <f t="shared" si="156"/>
        <v>-6.5098415746519422E-2</v>
      </c>
      <c r="ER100" s="81">
        <f t="shared" si="156"/>
        <v>-1</v>
      </c>
      <c r="ES100" s="81" t="e">
        <f t="shared" si="156"/>
        <v>#DIV/0!</v>
      </c>
      <c r="ET100" s="81" t="e">
        <f t="shared" si="156"/>
        <v>#DIV/0!</v>
      </c>
      <c r="EU100" s="81" t="e">
        <f t="shared" si="156"/>
        <v>#DIV/0!</v>
      </c>
      <c r="EV100" s="81" t="e">
        <f t="shared" si="156"/>
        <v>#DIV/0!</v>
      </c>
      <c r="EW100" s="81" t="e">
        <f t="shared" si="156"/>
        <v>#DIV/0!</v>
      </c>
      <c r="EX100" s="81">
        <f t="shared" si="156"/>
        <v>6.6230648232469491E-2</v>
      </c>
      <c r="EY100" s="81">
        <f t="shared" si="156"/>
        <v>5.5128503765820014E-3</v>
      </c>
      <c r="EZ100" s="81">
        <f t="shared" si="156"/>
        <v>6.4942084942084977E-2</v>
      </c>
      <c r="FA100" s="81">
        <f t="shared" si="156"/>
        <v>0.2877963889493147</v>
      </c>
      <c r="FC100" s="48"/>
      <c r="FD100" s="48"/>
    </row>
    <row r="101" spans="2:160" s="3" customFormat="1" x14ac:dyDescent="0.2">
      <c r="B101" s="3" t="s">
        <v>338</v>
      </c>
      <c r="C101" s="80"/>
      <c r="D101" s="80"/>
      <c r="E101" s="81"/>
      <c r="F101" s="81"/>
      <c r="G101" s="80"/>
      <c r="H101" s="8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82"/>
      <c r="BS101" s="52"/>
      <c r="BT101" s="82">
        <v>0.1</v>
      </c>
      <c r="BU101" s="52"/>
      <c r="BV101" s="82">
        <v>0.09</v>
      </c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G101" s="81"/>
      <c r="EH101" s="81"/>
      <c r="EI101" s="81"/>
      <c r="EJ101" s="81"/>
      <c r="EK101" s="81"/>
      <c r="EL101" s="81"/>
      <c r="EM101" s="81">
        <v>5.6000000000000001E-2</v>
      </c>
      <c r="EN101" s="81">
        <v>0.105</v>
      </c>
      <c r="EO101" s="81">
        <v>0.09</v>
      </c>
      <c r="EP101" s="81">
        <v>0.08</v>
      </c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52"/>
      <c r="FC101" s="52"/>
      <c r="FD101" s="52"/>
    </row>
    <row r="102" spans="2:160" x14ac:dyDescent="0.2">
      <c r="B102" s="15" t="s">
        <v>187</v>
      </c>
      <c r="C102" s="74" t="s">
        <v>12</v>
      </c>
      <c r="D102" s="74" t="s">
        <v>12</v>
      </c>
      <c r="E102" s="28">
        <v>8.8846364133406297E-2</v>
      </c>
      <c r="F102" s="28">
        <v>3.1978841067564323E-2</v>
      </c>
      <c r="G102" s="74" t="s">
        <v>12</v>
      </c>
      <c r="H102" s="74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G102" s="28"/>
      <c r="EH102" s="28"/>
      <c r="EI102" s="28">
        <v>-5.3441913729481705E-3</v>
      </c>
      <c r="EJ102" s="28"/>
      <c r="EK102" s="28">
        <f t="shared" ref="EK102:EM104" si="157">EK66/EJ66-1</f>
        <v>0.14020148716718639</v>
      </c>
      <c r="EL102" s="28">
        <f t="shared" si="157"/>
        <v>0.14189544546123911</v>
      </c>
      <c r="EM102" s="28">
        <f t="shared" si="157"/>
        <v>-0.14084377302873985</v>
      </c>
      <c r="EN102" s="28">
        <v>0.10866670124251376</v>
      </c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</row>
    <row r="103" spans="2:160" s="17" customFormat="1" x14ac:dyDescent="0.2">
      <c r="B103" s="15" t="s">
        <v>188</v>
      </c>
      <c r="C103" s="75" t="s">
        <v>12</v>
      </c>
      <c r="D103" s="75" t="s">
        <v>12</v>
      </c>
      <c r="E103" s="29">
        <v>8.599394080633882E-2</v>
      </c>
      <c r="F103" s="29">
        <v>2.5992632009824046E-2</v>
      </c>
      <c r="G103" s="75" t="s">
        <v>12</v>
      </c>
      <c r="H103" s="75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5"/>
      <c r="EG103" s="28"/>
      <c r="EH103" s="28"/>
      <c r="EI103" s="28">
        <v>1.3809102960671726E-2</v>
      </c>
      <c r="EJ103" s="28"/>
      <c r="EK103" s="28">
        <f t="shared" si="157"/>
        <v>0.10743405275779372</v>
      </c>
      <c r="EL103" s="28">
        <f t="shared" si="157"/>
        <v>0.10090948462537885</v>
      </c>
      <c r="EM103" s="28">
        <f t="shared" si="157"/>
        <v>-3.5011801730920555E-2</v>
      </c>
      <c r="EN103" s="29">
        <v>0.11175549765689508</v>
      </c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x14ac:dyDescent="0.2">
      <c r="B104" s="30" t="s">
        <v>189</v>
      </c>
      <c r="C104" s="75" t="s">
        <v>12</v>
      </c>
      <c r="D104" s="75" t="s">
        <v>12</v>
      </c>
      <c r="E104" s="29">
        <v>7.3630924988495217E-2</v>
      </c>
      <c r="F104" s="29">
        <v>0.1097511219910241</v>
      </c>
      <c r="G104" s="75" t="s">
        <v>12</v>
      </c>
      <c r="H104" s="75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5"/>
      <c r="EG104" s="28"/>
      <c r="EH104" s="28"/>
      <c r="EI104" s="28">
        <v>0.11907066795740562</v>
      </c>
      <c r="EJ104" s="28"/>
      <c r="EK104" s="28">
        <f t="shared" si="157"/>
        <v>0.10690725649980592</v>
      </c>
      <c r="EL104" s="28">
        <f t="shared" si="157"/>
        <v>0.15495179666958814</v>
      </c>
      <c r="EM104" s="28">
        <f t="shared" si="157"/>
        <v>0.2725755046289271</v>
      </c>
      <c r="EN104" s="29">
        <v>0.11157806678724591</v>
      </c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x14ac:dyDescent="0.2">
      <c r="B105" s="17" t="s">
        <v>149</v>
      </c>
      <c r="C105" s="74" t="s">
        <v>12</v>
      </c>
      <c r="D105" s="74" t="s">
        <v>12</v>
      </c>
      <c r="E105" s="29">
        <v>0.3063889869396399</v>
      </c>
      <c r="F105" s="29">
        <v>9.763513513513522E-2</v>
      </c>
      <c r="G105" s="74" t="s">
        <v>12</v>
      </c>
      <c r="H105" s="74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5"/>
      <c r="EG105" s="29"/>
      <c r="EH105" s="29"/>
      <c r="EI105" s="29">
        <v>0.10913268236645601</v>
      </c>
      <c r="EJ105" s="29"/>
      <c r="EK105" s="29">
        <f>EK71/EK62</f>
        <v>0.28534820196558813</v>
      </c>
      <c r="EL105" s="29"/>
      <c r="EM105" s="29"/>
      <c r="EN105" s="29">
        <f>EN71/EM71-1</f>
        <v>-8.0177200973357454E-2</v>
      </c>
      <c r="EO105" s="29">
        <f>EO71/EN71-1</f>
        <v>2.9914529914529808E-2</v>
      </c>
      <c r="EP105" s="29">
        <f>EP71/EO71-1</f>
        <v>-0.12145162352631234</v>
      </c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 x14ac:dyDescent="0.2">
      <c r="B106" s="15" t="s">
        <v>194</v>
      </c>
      <c r="C106" s="74" t="s">
        <v>12</v>
      </c>
      <c r="D106" s="74" t="s">
        <v>12</v>
      </c>
      <c r="E106" s="28">
        <v>0.5</v>
      </c>
      <c r="F106" s="28">
        <v>-0.38461538461538458</v>
      </c>
      <c r="G106" s="74" t="s">
        <v>12</v>
      </c>
      <c r="H106" s="74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G106" s="28"/>
      <c r="EH106" s="28"/>
      <c r="EI106" s="28">
        <v>0.18918918918918926</v>
      </c>
      <c r="EJ106" s="28"/>
      <c r="EK106" s="28">
        <v>-0.62790697674418605</v>
      </c>
      <c r="EL106" s="28">
        <v>0</v>
      </c>
      <c r="EM106" s="28">
        <v>0</v>
      </c>
      <c r="EN106" s="28">
        <v>0</v>
      </c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</row>
    <row r="107" spans="2:160" x14ac:dyDescent="0.2">
      <c r="B107" s="15" t="s">
        <v>14</v>
      </c>
      <c r="C107" s="74" t="s">
        <v>12</v>
      </c>
      <c r="D107" s="74" t="s">
        <v>12</v>
      </c>
      <c r="E107" s="28">
        <v>-0.31908831908831914</v>
      </c>
      <c r="F107" s="28">
        <v>-0.64157706093189959</v>
      </c>
      <c r="G107" s="74" t="s">
        <v>12</v>
      </c>
      <c r="H107" s="74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G107" s="28"/>
      <c r="EH107" s="28"/>
      <c r="EI107" s="28">
        <v>-1.7546366171712531</v>
      </c>
      <c r="EJ107" s="28"/>
      <c r="EK107" s="28">
        <v>-0.77084256183093414</v>
      </c>
      <c r="EL107" s="28">
        <v>-0.74361496486317979</v>
      </c>
      <c r="EM107" s="28">
        <v>-2.1573365350255624</v>
      </c>
      <c r="EN107" s="28">
        <v>1.8537461678109746</v>
      </c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</row>
    <row r="108" spans="2:160" x14ac:dyDescent="0.2">
      <c r="B108" s="15" t="s">
        <v>15</v>
      </c>
      <c r="C108" s="74" t="s">
        <v>12</v>
      </c>
      <c r="D108" s="74" t="s">
        <v>12</v>
      </c>
      <c r="E108" s="28">
        <v>0.39407467532467533</v>
      </c>
      <c r="F108" s="28">
        <v>0.18003766478342742</v>
      </c>
      <c r="G108" s="74" t="s">
        <v>12</v>
      </c>
      <c r="H108" s="74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-0.1497862525757121</v>
      </c>
      <c r="EJ108" s="28"/>
      <c r="EK108" s="28">
        <v>0.27706643758613492</v>
      </c>
      <c r="EL108" s="28">
        <v>0.2896293957283107</v>
      </c>
      <c r="EM108" s="28">
        <v>0.33935179791748182</v>
      </c>
      <c r="EN108" s="28">
        <v>0.22525526811705765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 x14ac:dyDescent="0.2">
      <c r="B109" s="15" t="s">
        <v>4</v>
      </c>
      <c r="C109" s="74" t="s">
        <v>12</v>
      </c>
      <c r="D109" s="74" t="s">
        <v>12</v>
      </c>
      <c r="E109" s="28">
        <v>0.47708894878706198</v>
      </c>
      <c r="F109" s="28">
        <v>0.25667351129363447</v>
      </c>
      <c r="G109" s="74" t="s">
        <v>12</v>
      </c>
      <c r="H109" s="74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G109" s="28"/>
      <c r="EH109" s="28"/>
      <c r="EI109" s="28">
        <v>-13.617647058823529</v>
      </c>
      <c r="EJ109" s="28"/>
      <c r="EK109" s="28">
        <v>0.75939385108773849</v>
      </c>
      <c r="EL109" s="28">
        <v>0.35668583556657008</v>
      </c>
      <c r="EM109" s="28">
        <v>0.5843113747061166</v>
      </c>
      <c r="EN109" s="28">
        <v>0.29449709369533661</v>
      </c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</row>
    <row r="110" spans="2:160" s="17" customFormat="1" x14ac:dyDescent="0.2">
      <c r="B110" s="17" t="s">
        <v>20</v>
      </c>
      <c r="C110" s="74" t="s">
        <v>12</v>
      </c>
      <c r="D110" s="74" t="s">
        <v>12</v>
      </c>
      <c r="E110" s="29">
        <v>0.42595419847328242</v>
      </c>
      <c r="F110" s="29">
        <v>0.14625176803394635</v>
      </c>
      <c r="G110" s="74" t="s">
        <v>12</v>
      </c>
      <c r="H110" s="74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9"/>
      <c r="EH110" s="29"/>
      <c r="EI110" s="29">
        <v>-0.23651950669819721</v>
      </c>
      <c r="EJ110" s="29"/>
      <c r="EK110" s="29">
        <v>0.20618920887528391</v>
      </c>
      <c r="EL110" s="29">
        <v>0.23617416138624936</v>
      </c>
      <c r="EM110" s="29">
        <v>0.27283796353628231</v>
      </c>
      <c r="EN110" s="29">
        <v>0.19103888723838436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x14ac:dyDescent="0.2">
      <c r="B111" s="15" t="s">
        <v>16</v>
      </c>
      <c r="C111" s="74" t="s">
        <v>12</v>
      </c>
      <c r="D111" s="74" t="s">
        <v>12</v>
      </c>
      <c r="E111" s="28">
        <v>0.95570934256055362</v>
      </c>
      <c r="F111" s="28">
        <v>-7.1209330877839205E-2</v>
      </c>
      <c r="G111" s="74" t="s">
        <v>12</v>
      </c>
      <c r="H111" s="74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G111" s="28"/>
      <c r="EH111" s="28"/>
      <c r="EI111" s="28">
        <v>-3.9229948572900177</v>
      </c>
      <c r="EJ111" s="28"/>
      <c r="EK111" s="28">
        <v>0.25816885401752154</v>
      </c>
      <c r="EL111" s="28">
        <v>0.22355666613924408</v>
      </c>
      <c r="EM111" s="28">
        <v>0.27306999762332884</v>
      </c>
      <c r="EN111" s="28">
        <v>0.19116650657623802</v>
      </c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</row>
    <row r="112" spans="2:160" s="17" customFormat="1" x14ac:dyDescent="0.2">
      <c r="B112" s="17" t="s">
        <v>21</v>
      </c>
      <c r="C112" s="74" t="s">
        <v>12</v>
      </c>
      <c r="D112" s="74" t="s">
        <v>12</v>
      </c>
      <c r="E112" s="29">
        <v>0.43022323214667901</v>
      </c>
      <c r="F112" s="29">
        <v>0.14014903871339501</v>
      </c>
      <c r="G112" s="74" t="s">
        <v>12</v>
      </c>
      <c r="H112" s="74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5"/>
      <c r="EG112" s="29"/>
      <c r="EH112" s="29"/>
      <c r="EI112" s="29">
        <v>-0.25468420970839167</v>
      </c>
      <c r="EJ112" s="29"/>
      <c r="EK112" s="29">
        <v>0.20838607586445579</v>
      </c>
      <c r="EL112" s="29">
        <v>0.23617416138624936</v>
      </c>
      <c r="EM112" s="29">
        <v>0.27283796353628231</v>
      </c>
      <c r="EN112" s="29">
        <f>EN79/EM79-1</f>
        <v>-0.13535960417034809</v>
      </c>
      <c r="EO112" s="29">
        <f>EO79/EN79-1</f>
        <v>1.3590844062947083E-2</v>
      </c>
      <c r="EP112" s="29">
        <f>EP79/EO79-1</f>
        <v>-0.14114326040931557</v>
      </c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48"/>
      <c r="FC112" s="48"/>
      <c r="FD112" s="48"/>
    </row>
    <row r="113" spans="2:160" x14ac:dyDescent="0.2">
      <c r="B113" s="15" t="s">
        <v>42</v>
      </c>
      <c r="C113" s="74" t="s">
        <v>12</v>
      </c>
      <c r="D113" s="74" t="s">
        <v>12</v>
      </c>
      <c r="E113" s="28"/>
      <c r="F113" s="28"/>
      <c r="G113" s="74" t="s">
        <v>12</v>
      </c>
      <c r="H113" s="74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/>
      <c r="EJ113" s="28"/>
      <c r="EK113" s="28">
        <v>0.24010160092268173</v>
      </c>
      <c r="EL113" s="28">
        <v>0.22959823690009884</v>
      </c>
      <c r="EM113" s="28">
        <v>0.26006430673578218</v>
      </c>
      <c r="EN113" s="28">
        <v>0.18389813893782847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">
      <c r="B114" s="15" t="s">
        <v>17</v>
      </c>
      <c r="C114" s="74" t="s">
        <v>12</v>
      </c>
      <c r="D114" s="74" t="s">
        <v>12</v>
      </c>
      <c r="E114" s="28">
        <v>0.94492985420368969</v>
      </c>
      <c r="F114" s="28">
        <v>-8.0257132892308958E-2</v>
      </c>
      <c r="G114" s="74" t="s">
        <v>12</v>
      </c>
      <c r="H114" s="74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-3.885011675710488</v>
      </c>
      <c r="EJ114" s="28"/>
      <c r="EK114" s="28">
        <v>0.25609102568827624</v>
      </c>
      <c r="EL114" s="28">
        <v>0.22332428171071594</v>
      </c>
      <c r="EM114" s="28">
        <v>0.27283796353628231</v>
      </c>
      <c r="EN114" s="28">
        <v>0.19103888723838436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x14ac:dyDescent="0.2">
      <c r="C115" s="44"/>
      <c r="D115" s="44"/>
      <c r="E115" s="44"/>
      <c r="F115" s="4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60" x14ac:dyDescent="0.2">
      <c r="B116" s="3" t="s">
        <v>483</v>
      </c>
      <c r="E116" s="44"/>
      <c r="F116" s="4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60" s="26" customFormat="1" x14ac:dyDescent="0.2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8"/>
      <c r="AX117" s="48"/>
      <c r="AY117" s="48"/>
      <c r="AZ117" s="48"/>
      <c r="BA117" s="48"/>
      <c r="BB117" s="79">
        <f t="shared" ref="BB117:CC117" si="158">BB20/AX20-1</f>
        <v>0.18797953964194369</v>
      </c>
      <c r="BC117" s="79">
        <f t="shared" si="158"/>
        <v>0.20546318289786214</v>
      </c>
      <c r="BD117" s="79">
        <f t="shared" si="158"/>
        <v>0.20113636363636367</v>
      </c>
      <c r="BE117" s="79">
        <f t="shared" si="158"/>
        <v>0.31922196796338675</v>
      </c>
      <c r="BF117" s="79">
        <f t="shared" si="158"/>
        <v>0.23358449946178683</v>
      </c>
      <c r="BG117" s="79">
        <f t="shared" si="158"/>
        <v>0.18423645320197046</v>
      </c>
      <c r="BH117" s="79">
        <f t="shared" si="158"/>
        <v>0.11352885525070966</v>
      </c>
      <c r="BI117" s="79">
        <f t="shared" si="158"/>
        <v>0.1396357328707718</v>
      </c>
      <c r="BJ117" s="79">
        <f t="shared" si="158"/>
        <v>0.14223385689354284</v>
      </c>
      <c r="BK117" s="79">
        <f t="shared" si="158"/>
        <v>0.16056572379367728</v>
      </c>
      <c r="BL117" s="79">
        <f t="shared" si="158"/>
        <v>0.1724723874256584</v>
      </c>
      <c r="BM117" s="79">
        <f t="shared" si="158"/>
        <v>8.9802130898021248E-2</v>
      </c>
      <c r="BN117" s="79">
        <f t="shared" si="158"/>
        <v>7.4866310160427885E-2</v>
      </c>
      <c r="BO117" s="79">
        <f t="shared" si="158"/>
        <v>4.6594982078853153E-2</v>
      </c>
      <c r="BP117" s="79">
        <f t="shared" si="158"/>
        <v>6.6666666666666652E-2</v>
      </c>
      <c r="BQ117" s="79">
        <f t="shared" si="158"/>
        <v>0.1061452513966481</v>
      </c>
      <c r="BR117" s="79">
        <f t="shared" si="158"/>
        <v>5.2594171997156991E-2</v>
      </c>
      <c r="BS117" s="79">
        <f t="shared" si="158"/>
        <v>0.10753424657534238</v>
      </c>
      <c r="BT117" s="79">
        <f t="shared" si="158"/>
        <v>2.4456521739130377E-2</v>
      </c>
      <c r="BU117" s="79">
        <f t="shared" si="158"/>
        <v>-6.5025252525252486E-2</v>
      </c>
      <c r="BV117" s="79">
        <f t="shared" si="158"/>
        <v>8.4402430790006644E-2</v>
      </c>
      <c r="BW117" s="79">
        <f t="shared" si="158"/>
        <v>4.8237476808905333E-2</v>
      </c>
      <c r="BX117" s="79">
        <f t="shared" si="158"/>
        <v>7.9575596816976457E-3</v>
      </c>
      <c r="BY117" s="79">
        <f t="shared" si="158"/>
        <v>3.6461850101283E-2</v>
      </c>
      <c r="BZ117" s="79">
        <f t="shared" si="158"/>
        <v>-3.1133250311332517E-2</v>
      </c>
      <c r="CA117" s="79">
        <f t="shared" si="158"/>
        <v>-0.11504424778761058</v>
      </c>
      <c r="CB117" s="79">
        <f t="shared" si="158"/>
        <v>-0.10460526315789476</v>
      </c>
      <c r="CC117" s="79">
        <f t="shared" si="158"/>
        <v>3.4527687296416865E-2</v>
      </c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  <c r="EF117" s="1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6"/>
      <c r="FB117" s="16"/>
      <c r="FC117" s="46"/>
      <c r="FD117" s="46"/>
    </row>
    <row r="118" spans="2:160" s="26" customFormat="1" x14ac:dyDescent="0.2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8"/>
      <c r="AX118" s="48"/>
      <c r="AY118" s="48"/>
      <c r="AZ118" s="48"/>
      <c r="BA118" s="48"/>
      <c r="BB118" s="79">
        <f t="shared" ref="BB118:CC118" si="159">BB18/AX18-1</f>
        <v>0.19207317073170738</v>
      </c>
      <c r="BC118" s="79">
        <f t="shared" si="159"/>
        <v>0.2921348314606742</v>
      </c>
      <c r="BD118" s="79">
        <f t="shared" si="159"/>
        <v>0.58445040214477206</v>
      </c>
      <c r="BE118" s="79">
        <f t="shared" si="159"/>
        <v>0.86387535984716535</v>
      </c>
      <c r="BF118" s="79">
        <f t="shared" si="159"/>
        <v>1.2020460358056266</v>
      </c>
      <c r="BG118" s="79">
        <f t="shared" si="159"/>
        <v>1.0695652173913044</v>
      </c>
      <c r="BH118" s="79">
        <f t="shared" si="159"/>
        <v>0.7072758037225042</v>
      </c>
      <c r="BI118" s="79">
        <f t="shared" si="159"/>
        <v>0.56960227272727271</v>
      </c>
      <c r="BJ118" s="79">
        <f t="shared" si="159"/>
        <v>0.35656213704994189</v>
      </c>
      <c r="BK118" s="79">
        <f t="shared" si="159"/>
        <v>0.27521008403361336</v>
      </c>
      <c r="BL118" s="79">
        <f t="shared" si="159"/>
        <v>0.19821605550049548</v>
      </c>
      <c r="BM118" s="79">
        <f t="shared" si="159"/>
        <v>0.14117647058823524</v>
      </c>
      <c r="BN118" s="79">
        <f t="shared" si="159"/>
        <v>4.8801369863013644E-2</v>
      </c>
      <c r="BO118" s="79">
        <f t="shared" si="159"/>
        <v>2.883031301482708E-2</v>
      </c>
      <c r="BP118" s="79">
        <f t="shared" si="159"/>
        <v>7.1133167907361461E-2</v>
      </c>
      <c r="BQ118" s="79">
        <f t="shared" si="159"/>
        <v>4.9167327517843029E-2</v>
      </c>
      <c r="BR118" s="79">
        <f t="shared" si="159"/>
        <v>6.6938775510203996E-2</v>
      </c>
      <c r="BS118" s="79">
        <f t="shared" si="159"/>
        <v>7.125700560448367E-2</v>
      </c>
      <c r="BT118" s="79">
        <f t="shared" si="159"/>
        <v>2.4710424710424617E-2</v>
      </c>
      <c r="BU118" s="79">
        <f t="shared" si="159"/>
        <v>-2.1919879062736181E-2</v>
      </c>
      <c r="BV118" s="79">
        <f t="shared" si="159"/>
        <v>8.4162203519510426E-2</v>
      </c>
      <c r="BW118" s="79">
        <f t="shared" si="159"/>
        <v>3.811659192825112E-2</v>
      </c>
      <c r="BX118" s="79">
        <f t="shared" si="159"/>
        <v>2.2607385079125741E-2</v>
      </c>
      <c r="BY118" s="79">
        <f t="shared" si="159"/>
        <v>-2.1638330757341562E-2</v>
      </c>
      <c r="BZ118" s="79">
        <f t="shared" si="159"/>
        <v>-2.1877205363443841E-2</v>
      </c>
      <c r="CA118" s="79">
        <f t="shared" si="159"/>
        <v>-4.2476601871850206E-2</v>
      </c>
      <c r="CB118" s="79">
        <f t="shared" si="159"/>
        <v>-0.12380250552689753</v>
      </c>
      <c r="CC118" s="79">
        <f t="shared" si="159"/>
        <v>6.4770932069510234E-2</v>
      </c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  <c r="EF118" s="1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6"/>
      <c r="FB118" s="16"/>
      <c r="FC118" s="46"/>
      <c r="FD118" s="46"/>
    </row>
    <row r="119" spans="2:160" s="26" customFormat="1" x14ac:dyDescent="0.2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8"/>
      <c r="AX119" s="48"/>
      <c r="AY119" s="48"/>
      <c r="AZ119" s="48"/>
      <c r="BA119" s="48"/>
      <c r="BB119" s="79">
        <f t="shared" ref="BB119:CC119" si="160">BB22/AX22-1</f>
        <v>4.416666666666667</v>
      </c>
      <c r="BC119" s="79">
        <f t="shared" si="160"/>
        <v>1.0532544378698225</v>
      </c>
      <c r="BD119" s="79">
        <f t="shared" si="160"/>
        <v>1.0680851063829788</v>
      </c>
      <c r="BE119" s="79">
        <f t="shared" si="160"/>
        <v>1.403361344537815</v>
      </c>
      <c r="BF119" s="79">
        <f t="shared" si="160"/>
        <v>1.6</v>
      </c>
      <c r="BG119" s="79">
        <f t="shared" si="160"/>
        <v>1.0547550432276656</v>
      </c>
      <c r="BH119" s="79">
        <f t="shared" si="160"/>
        <v>0.52469135802469147</v>
      </c>
      <c r="BI119" s="79">
        <f t="shared" si="160"/>
        <v>0.45454545454545459</v>
      </c>
      <c r="BJ119" s="79">
        <f t="shared" si="160"/>
        <v>0.36538461538461542</v>
      </c>
      <c r="BK119" s="79">
        <f t="shared" si="160"/>
        <v>0.38288920056100983</v>
      </c>
      <c r="BL119" s="79">
        <f t="shared" si="160"/>
        <v>0.4331983805668016</v>
      </c>
      <c r="BM119" s="79">
        <f t="shared" si="160"/>
        <v>0.36418269230769229</v>
      </c>
      <c r="BN119" s="79">
        <f t="shared" si="160"/>
        <v>0.22535211267605626</v>
      </c>
      <c r="BO119" s="79">
        <f t="shared" si="160"/>
        <v>0.23732251521298164</v>
      </c>
      <c r="BP119" s="79">
        <f t="shared" si="160"/>
        <v>0.27212806026365355</v>
      </c>
      <c r="BQ119" s="79">
        <f t="shared" si="160"/>
        <v>0.32599118942731287</v>
      </c>
      <c r="BR119" s="79">
        <f t="shared" si="160"/>
        <v>0.31299734748010599</v>
      </c>
      <c r="BS119" s="79">
        <f t="shared" si="160"/>
        <v>0.31557377049180335</v>
      </c>
      <c r="BT119" s="79">
        <f t="shared" si="160"/>
        <v>0.17986676535899337</v>
      </c>
      <c r="BU119" s="79">
        <f t="shared" si="160"/>
        <v>2.1926910299003399E-2</v>
      </c>
      <c r="BV119" s="79">
        <f t="shared" si="160"/>
        <v>0.12188552188552193</v>
      </c>
      <c r="BW119" s="79">
        <f t="shared" si="160"/>
        <v>7.6012461059190128E-2</v>
      </c>
      <c r="BX119" s="79">
        <f t="shared" si="160"/>
        <v>8.7829360100375453E-3</v>
      </c>
      <c r="BY119" s="79">
        <f t="shared" si="160"/>
        <v>-5.0715214564369338E-2</v>
      </c>
      <c r="BZ119" s="79">
        <f t="shared" si="160"/>
        <v>-0.1494597839135654</v>
      </c>
      <c r="CA119" s="79">
        <f t="shared" si="160"/>
        <v>-0.2420382165605095</v>
      </c>
      <c r="CB119" s="79">
        <f t="shared" si="160"/>
        <v>-0.24378109452736318</v>
      </c>
      <c r="CC119" s="79">
        <f t="shared" si="160"/>
        <v>-7.5342465753424626E-2</v>
      </c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  <c r="EF119" s="1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6"/>
      <c r="FB119" s="16"/>
      <c r="FC119" s="46"/>
      <c r="FD119" s="46"/>
    </row>
    <row r="120" spans="2:160" s="26" customFormat="1" x14ac:dyDescent="0.2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3"/>
      <c r="AX120" s="93"/>
      <c r="AY120" s="93"/>
      <c r="AZ120" s="93"/>
      <c r="BA120" s="93"/>
      <c r="BB120" s="94">
        <f t="shared" ref="BB120:BV120" si="161">BB38/AX38-1</f>
        <v>5.5214723926380271E-2</v>
      </c>
      <c r="BC120" s="94">
        <f t="shared" si="161"/>
        <v>7.344632768361592E-2</v>
      </c>
      <c r="BD120" s="94">
        <f t="shared" si="161"/>
        <v>6.8181818181818121E-2</v>
      </c>
      <c r="BE120" s="94">
        <f t="shared" si="161"/>
        <v>0.12734082397003754</v>
      </c>
      <c r="BF120" s="94">
        <f t="shared" si="161"/>
        <v>3.6821705426356655E-2</v>
      </c>
      <c r="BG120" s="94">
        <f t="shared" si="161"/>
        <v>-8.7719298245614308E-3</v>
      </c>
      <c r="BH120" s="94">
        <f t="shared" si="161"/>
        <v>-5.1418439716312103E-2</v>
      </c>
      <c r="BI120" s="94">
        <f t="shared" si="161"/>
        <v>-1.6611295681063121E-2</v>
      </c>
      <c r="BJ120" s="94">
        <f t="shared" si="161"/>
        <v>-2.4299065420560706E-2</v>
      </c>
      <c r="BK120" s="94">
        <f t="shared" si="161"/>
        <v>-3.7168141592920367E-2</v>
      </c>
      <c r="BL120" s="94">
        <f t="shared" si="161"/>
        <v>-3.1775700934579487E-2</v>
      </c>
      <c r="BM120" s="94">
        <f t="shared" si="161"/>
        <v>-0.13851351351351349</v>
      </c>
      <c r="BN120" s="94">
        <f t="shared" si="161"/>
        <v>-0.15325670498084287</v>
      </c>
      <c r="BO120" s="94">
        <f t="shared" si="161"/>
        <v>-0.17279411764705888</v>
      </c>
      <c r="BP120" s="94">
        <f t="shared" si="161"/>
        <v>-0.17567567567567566</v>
      </c>
      <c r="BQ120" s="94">
        <f t="shared" si="161"/>
        <v>-0.10784313725490191</v>
      </c>
      <c r="BR120" s="94">
        <f t="shared" si="161"/>
        <v>-0.14479638009049778</v>
      </c>
      <c r="BS120" s="94">
        <f t="shared" si="161"/>
        <v>-8.666666666666667E-2</v>
      </c>
      <c r="BT120" s="94">
        <f t="shared" si="161"/>
        <v>-8.4309133489461341E-2</v>
      </c>
      <c r="BU120" s="94">
        <f t="shared" si="161"/>
        <v>-0.1648351648351648</v>
      </c>
      <c r="BV120" s="94">
        <f t="shared" si="161"/>
        <v>-0.10317460317460314</v>
      </c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5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6"/>
      <c r="FB120" s="16"/>
      <c r="FC120" s="46"/>
      <c r="FD120" s="46"/>
    </row>
    <row r="121" spans="2:160" s="26" customFormat="1" x14ac:dyDescent="0.2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3"/>
      <c r="AX121" s="93"/>
      <c r="AY121" s="93"/>
      <c r="AZ121" s="93"/>
      <c r="BA121" s="93"/>
      <c r="BB121" s="94">
        <f t="shared" ref="BB121:BV121" si="162">BB43/AX43-1</f>
        <v>2.925925925925926</v>
      </c>
      <c r="BC121" s="94">
        <f t="shared" si="162"/>
        <v>7.2105263157894743</v>
      </c>
      <c r="BD121" s="94">
        <f t="shared" si="162"/>
        <v>1.5363636363636362</v>
      </c>
      <c r="BE121" s="94">
        <f t="shared" si="162"/>
        <v>6.5161290322580649</v>
      </c>
      <c r="BF121" s="94">
        <f t="shared" si="162"/>
        <v>0.41745283018867929</v>
      </c>
      <c r="BG121" s="94">
        <f t="shared" si="162"/>
        <v>1.3076923076923075</v>
      </c>
      <c r="BH121" s="94">
        <f t="shared" si="162"/>
        <v>1.3978494623655915</v>
      </c>
      <c r="BI121" s="94">
        <f t="shared" si="162"/>
        <v>0.42632331902718179</v>
      </c>
      <c r="BJ121" s="94">
        <f t="shared" si="162"/>
        <v>0.43926788685524132</v>
      </c>
      <c r="BK121" s="94">
        <f t="shared" si="162"/>
        <v>0.25277777777777777</v>
      </c>
      <c r="BL121" s="94">
        <f t="shared" si="162"/>
        <v>-0.61584454409566525</v>
      </c>
      <c r="BM121" s="94">
        <f t="shared" si="162"/>
        <v>-0.48645937813440321</v>
      </c>
      <c r="BN121" s="94">
        <f t="shared" si="162"/>
        <v>-0.67861271676300583</v>
      </c>
      <c r="BO121" s="94">
        <f t="shared" si="162"/>
        <v>-0.89135254988913526</v>
      </c>
      <c r="BP121" s="94">
        <f t="shared" si="162"/>
        <v>-0.60700389105058372</v>
      </c>
      <c r="BQ121" s="94">
        <f t="shared" si="162"/>
        <v>-0.646484375</v>
      </c>
      <c r="BR121" s="94">
        <f t="shared" si="162"/>
        <v>0.44244604316546754</v>
      </c>
      <c r="BS121" s="94">
        <f t="shared" si="162"/>
        <v>11.428571428571429</v>
      </c>
      <c r="BT121" s="94">
        <f t="shared" si="162"/>
        <v>8.8415841584158414</v>
      </c>
      <c r="BU121" s="94">
        <f t="shared" si="162"/>
        <v>5.6077348066298338</v>
      </c>
      <c r="BV121" s="94">
        <f t="shared" si="162"/>
        <v>0.28927680798004984</v>
      </c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5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6"/>
      <c r="FB121" s="16"/>
      <c r="FC121" s="46"/>
      <c r="FD121" s="46"/>
    </row>
    <row r="122" spans="2:160" s="26" customFormat="1" x14ac:dyDescent="0.2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3"/>
      <c r="AX122" s="93"/>
      <c r="AY122" s="93"/>
      <c r="AZ122" s="93"/>
      <c r="BA122" s="93"/>
      <c r="BB122" s="94">
        <f t="shared" ref="BB122:BV122" si="163">BB28/AX28-1</f>
        <v>2.7100271002709064E-3</v>
      </c>
      <c r="BC122" s="94">
        <f t="shared" si="163"/>
        <v>0.22857142857142865</v>
      </c>
      <c r="BD122" s="94">
        <f t="shared" si="163"/>
        <v>0.3086053412462908</v>
      </c>
      <c r="BE122" s="94">
        <f t="shared" si="163"/>
        <v>0.33717579250720453</v>
      </c>
      <c r="BF122" s="94">
        <f t="shared" si="163"/>
        <v>0.22702702702702693</v>
      </c>
      <c r="BG122" s="94">
        <f t="shared" si="163"/>
        <v>1.6279069767441756E-2</v>
      </c>
      <c r="BH122" s="94">
        <f t="shared" si="163"/>
        <v>5.6689342403628107E-2</v>
      </c>
      <c r="BI122" s="94">
        <f t="shared" si="163"/>
        <v>4.5258620689655249E-2</v>
      </c>
      <c r="BJ122" s="94">
        <f t="shared" si="163"/>
        <v>4.8458149779735615E-2</v>
      </c>
      <c r="BK122" s="94">
        <f t="shared" si="163"/>
        <v>0.15102974828375282</v>
      </c>
      <c r="BL122" s="94">
        <f t="shared" si="163"/>
        <v>4.0772532188841248E-2</v>
      </c>
      <c r="BM122" s="94">
        <f t="shared" si="163"/>
        <v>0.12989690721649483</v>
      </c>
      <c r="BN122" s="94">
        <f t="shared" si="163"/>
        <v>2.3109243697478909E-2</v>
      </c>
      <c r="BO122" s="94">
        <f t="shared" si="163"/>
        <v>3.9761431411530879E-2</v>
      </c>
      <c r="BP122" s="94">
        <f t="shared" si="163"/>
        <v>5.7731958762886615E-2</v>
      </c>
      <c r="BQ122" s="94">
        <f t="shared" si="163"/>
        <v>5.1094890510948954E-2</v>
      </c>
      <c r="BR122" s="94">
        <f t="shared" si="163"/>
        <v>6.1601642710472193E-2</v>
      </c>
      <c r="BS122" s="94">
        <f t="shared" si="163"/>
        <v>-0.21606118546845121</v>
      </c>
      <c r="BT122" s="94">
        <f t="shared" si="163"/>
        <v>-0.29434697855750491</v>
      </c>
      <c r="BU122" s="94">
        <f t="shared" si="163"/>
        <v>-0.50173611111111116</v>
      </c>
      <c r="BV122" s="94">
        <f t="shared" si="163"/>
        <v>-0.30947775628626695</v>
      </c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5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6"/>
      <c r="FB122" s="16"/>
      <c r="FC122" s="46"/>
      <c r="FD122" s="46"/>
    </row>
    <row r="123" spans="2:160" s="26" customFormat="1" x14ac:dyDescent="0.2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3"/>
      <c r="AX123" s="93"/>
      <c r="AY123" s="93"/>
      <c r="AZ123" s="93"/>
      <c r="BA123" s="93"/>
      <c r="BB123" s="94">
        <f t="shared" ref="BB123:BK124" si="164">BB39/AX39-1</f>
        <v>0.12456747404844282</v>
      </c>
      <c r="BC123" s="94">
        <f t="shared" si="164"/>
        <v>0.20338983050847448</v>
      </c>
      <c r="BD123" s="94">
        <f t="shared" si="164"/>
        <v>0.18243243243243246</v>
      </c>
      <c r="BE123" s="94">
        <f t="shared" si="164"/>
        <v>0.24749163879598668</v>
      </c>
      <c r="BF123" s="94">
        <f t="shared" si="164"/>
        <v>7.6923076923076872E-2</v>
      </c>
      <c r="BG123" s="94">
        <f t="shared" si="164"/>
        <v>5.3521126760563309E-2</v>
      </c>
      <c r="BH123" s="94">
        <f t="shared" si="164"/>
        <v>0</v>
      </c>
      <c r="BI123" s="94">
        <f t="shared" si="164"/>
        <v>5.3619302949061698E-2</v>
      </c>
      <c r="BJ123" s="94">
        <f t="shared" si="164"/>
        <v>0.14285714285714279</v>
      </c>
      <c r="BK123" s="94">
        <f t="shared" si="164"/>
        <v>8.8235294117646967E-2</v>
      </c>
      <c r="BL123" s="94">
        <f t="shared" ref="BL123:BU124" si="165">BL39/BH39-1</f>
        <v>9.4285714285714306E-2</v>
      </c>
      <c r="BM123" s="94">
        <f t="shared" si="165"/>
        <v>0.13740458015267176</v>
      </c>
      <c r="BN123" s="94">
        <f t="shared" si="165"/>
        <v>-7.7500000000000013E-2</v>
      </c>
      <c r="BO123" s="94">
        <f t="shared" si="165"/>
        <v>2.2113022113022129E-2</v>
      </c>
      <c r="BP123" s="94">
        <f t="shared" si="165"/>
        <v>5.7441253263707637E-2</v>
      </c>
      <c r="BQ123" s="94">
        <f t="shared" si="165"/>
        <v>-4.4742729306487261E-3</v>
      </c>
      <c r="BR123" s="94">
        <f t="shared" si="165"/>
        <v>6.5040650406503975E-2</v>
      </c>
      <c r="BS123" s="94">
        <f t="shared" si="165"/>
        <v>7.9326923076923128E-2</v>
      </c>
      <c r="BT123" s="94">
        <f t="shared" si="165"/>
        <v>8.1481481481481488E-2</v>
      </c>
      <c r="BU123" s="94">
        <f t="shared" si="165"/>
        <v>-0.15730337078651691</v>
      </c>
      <c r="BV123" s="94">
        <f t="shared" ref="BV123:BV124" si="166">BV39/BR39-1</f>
        <v>0.12213740458015265</v>
      </c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5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x14ac:dyDescent="0.2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3"/>
      <c r="AX124" s="93"/>
      <c r="AY124" s="93"/>
      <c r="AZ124" s="93"/>
      <c r="BA124" s="93"/>
      <c r="BB124" s="94">
        <f t="shared" si="164"/>
        <v>0.43478260869565211</v>
      </c>
      <c r="BC124" s="94">
        <f t="shared" si="164"/>
        <v>0.484375</v>
      </c>
      <c r="BD124" s="94">
        <f t="shared" si="164"/>
        <v>0.46896551724137936</v>
      </c>
      <c r="BE124" s="94">
        <f t="shared" si="164"/>
        <v>0.56164383561643838</v>
      </c>
      <c r="BF124" s="94">
        <f t="shared" si="164"/>
        <v>0.44242424242424239</v>
      </c>
      <c r="BG124" s="94">
        <f t="shared" si="164"/>
        <v>0.23157894736842111</v>
      </c>
      <c r="BH124" s="94">
        <f t="shared" si="164"/>
        <v>0.1220657276995305</v>
      </c>
      <c r="BI124" s="94">
        <f t="shared" si="164"/>
        <v>0.14035087719298245</v>
      </c>
      <c r="BJ124" s="94">
        <f t="shared" si="164"/>
        <v>0.12184873949579833</v>
      </c>
      <c r="BK124" s="94">
        <f t="shared" si="164"/>
        <v>0.20512820512820507</v>
      </c>
      <c r="BL124" s="94">
        <f t="shared" si="165"/>
        <v>0.21338912133891208</v>
      </c>
      <c r="BM124" s="94">
        <f t="shared" si="165"/>
        <v>0.19999999999999996</v>
      </c>
      <c r="BN124" s="94">
        <f t="shared" si="165"/>
        <v>5.2434456928838857E-2</v>
      </c>
      <c r="BO124" s="94">
        <f t="shared" si="165"/>
        <v>3.5460992907801359E-2</v>
      </c>
      <c r="BP124" s="94">
        <f t="shared" si="165"/>
        <v>5.862068965517242E-2</v>
      </c>
      <c r="BQ124" s="94">
        <f t="shared" si="165"/>
        <v>6.0897435897435903E-2</v>
      </c>
      <c r="BR124" s="94">
        <f t="shared" si="165"/>
        <v>5.3380782918149405E-2</v>
      </c>
      <c r="BS124" s="94">
        <f t="shared" si="165"/>
        <v>0.13013698630136994</v>
      </c>
      <c r="BT124" s="94">
        <f t="shared" si="165"/>
        <v>6.1889250814332275E-2</v>
      </c>
      <c r="BU124" s="94">
        <f t="shared" si="165"/>
        <v>-6.9486404833836835E-2</v>
      </c>
      <c r="BV124" s="94">
        <f t="shared" si="166"/>
        <v>0.18918918918918926</v>
      </c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5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x14ac:dyDescent="0.2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/>
      <c r="BC125" s="94"/>
      <c r="BD125" s="94"/>
      <c r="BE125" s="94">
        <f t="shared" ref="BE125:BV125" si="167">BE41/BA41-1</f>
        <v>7.2941176470588243</v>
      </c>
      <c r="BF125" s="94">
        <f t="shared" si="167"/>
        <v>2.0175438596491229</v>
      </c>
      <c r="BG125" s="94">
        <f t="shared" si="167"/>
        <v>1.2159090909090908</v>
      </c>
      <c r="BH125" s="94">
        <f t="shared" si="167"/>
        <v>1.0891089108910892</v>
      </c>
      <c r="BI125" s="94">
        <f t="shared" si="167"/>
        <v>0.66666666666666674</v>
      </c>
      <c r="BJ125" s="94">
        <f t="shared" si="167"/>
        <v>0.41279069767441867</v>
      </c>
      <c r="BK125" s="94">
        <f t="shared" si="167"/>
        <v>0.33333333333333326</v>
      </c>
      <c r="BL125" s="94">
        <f t="shared" si="167"/>
        <v>0.28436018957345977</v>
      </c>
      <c r="BM125" s="94">
        <f t="shared" si="167"/>
        <v>0.22553191489361701</v>
      </c>
      <c r="BN125" s="94">
        <f t="shared" si="167"/>
        <v>0.17695473251028804</v>
      </c>
      <c r="BO125" s="94">
        <f t="shared" si="167"/>
        <v>0.1576923076923078</v>
      </c>
      <c r="BP125" s="94">
        <f t="shared" si="167"/>
        <v>9.9630996309963082E-2</v>
      </c>
      <c r="BQ125" s="94">
        <f t="shared" si="167"/>
        <v>0.14583333333333326</v>
      </c>
      <c r="BR125" s="94">
        <f t="shared" si="167"/>
        <v>0.11888111888111896</v>
      </c>
      <c r="BS125" s="94">
        <f t="shared" si="167"/>
        <v>7.3089700996677776E-2</v>
      </c>
      <c r="BT125" s="94">
        <f t="shared" si="167"/>
        <v>7.0469798657718075E-2</v>
      </c>
      <c r="BU125" s="94">
        <f t="shared" si="167"/>
        <v>3.6363636363636376E-2</v>
      </c>
      <c r="BV125" s="94">
        <f t="shared" si="167"/>
        <v>1.8750000000000044E-2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5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x14ac:dyDescent="0.2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66"/>
      <c r="BI126" s="66"/>
      <c r="BJ126" s="66"/>
      <c r="BK126" s="66"/>
      <c r="BL126" s="94">
        <f t="shared" ref="BL126:BV126" si="168">BL24/BH24-1</f>
        <v>0.24479166666666674</v>
      </c>
      <c r="BM126" s="94">
        <f t="shared" si="168"/>
        <v>-0.1648351648351648</v>
      </c>
      <c r="BN126" s="94">
        <f t="shared" si="168"/>
        <v>-0.18250950570342206</v>
      </c>
      <c r="BO126" s="94">
        <f t="shared" si="168"/>
        <v>-0.13793103448275867</v>
      </c>
      <c r="BP126" s="94">
        <f t="shared" si="168"/>
        <v>2.9288702928870203E-2</v>
      </c>
      <c r="BQ126" s="94">
        <f t="shared" si="168"/>
        <v>0.20175438596491224</v>
      </c>
      <c r="BR126" s="94">
        <f t="shared" si="168"/>
        <v>0.29767441860465116</v>
      </c>
      <c r="BS126" s="94">
        <f t="shared" si="168"/>
        <v>0.30666666666666664</v>
      </c>
      <c r="BT126" s="94">
        <f t="shared" si="168"/>
        <v>0.20325203252032531</v>
      </c>
      <c r="BU126" s="94">
        <f t="shared" si="168"/>
        <v>0.2007299270072993</v>
      </c>
      <c r="BV126" s="94">
        <f t="shared" si="168"/>
        <v>0.17204301075268824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x14ac:dyDescent="0.2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/>
      <c r="BC127" s="94"/>
      <c r="BD127" s="94"/>
      <c r="BE127" s="94"/>
      <c r="BF127" s="94"/>
      <c r="BG127" s="94">
        <f t="shared" ref="BG127:BV127" si="169">BG42/BC42-1</f>
        <v>3.3809523809523814</v>
      </c>
      <c r="BH127" s="94">
        <f t="shared" si="169"/>
        <v>9.1428571428571423</v>
      </c>
      <c r="BI127" s="94">
        <f t="shared" si="169"/>
        <v>2.5098039215686274</v>
      </c>
      <c r="BJ127" s="94">
        <f t="shared" si="169"/>
        <v>1.2666666666666666</v>
      </c>
      <c r="BK127" s="94">
        <f t="shared" si="169"/>
        <v>1.2173913043478262</v>
      </c>
      <c r="BL127" s="94">
        <f t="shared" si="169"/>
        <v>0.61971830985915499</v>
      </c>
      <c r="BM127" s="94">
        <f t="shared" si="169"/>
        <v>0.58100558659217882</v>
      </c>
      <c r="BN127" s="94">
        <f t="shared" si="169"/>
        <v>0.41764705882352948</v>
      </c>
      <c r="BO127" s="94">
        <f t="shared" si="169"/>
        <v>0.30392156862745101</v>
      </c>
      <c r="BP127" s="94">
        <f t="shared" si="169"/>
        <v>0.16521739130434776</v>
      </c>
      <c r="BQ127" s="94">
        <f t="shared" si="169"/>
        <v>0.1766784452296819</v>
      </c>
      <c r="BR127" s="94">
        <f t="shared" si="169"/>
        <v>3.3195020746888071E-2</v>
      </c>
      <c r="BS127" s="94">
        <f t="shared" si="169"/>
        <v>3.7593984962406068E-2</v>
      </c>
      <c r="BT127" s="94">
        <f t="shared" si="169"/>
        <v>-4.8507462686567138E-2</v>
      </c>
      <c r="BU127" s="94">
        <f t="shared" si="169"/>
        <v>-0.16516516516516522</v>
      </c>
      <c r="BV127" s="94">
        <f t="shared" si="169"/>
        <v>0.11244979919678721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x14ac:dyDescent="0.2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70">BB49/AX49-1</f>
        <v>6.8493150684931781E-3</v>
      </c>
      <c r="BC128" s="94">
        <f t="shared" si="170"/>
        <v>0</v>
      </c>
      <c r="BD128" s="94">
        <f t="shared" si="170"/>
        <v>0.11724137931034484</v>
      </c>
      <c r="BE128" s="94">
        <f t="shared" si="170"/>
        <v>0.17518248175182483</v>
      </c>
      <c r="BF128" s="94">
        <f t="shared" si="170"/>
        <v>0.23129251700680276</v>
      </c>
      <c r="BG128" s="94">
        <f t="shared" si="170"/>
        <v>0.10303030303030303</v>
      </c>
      <c r="BH128" s="94">
        <f t="shared" si="170"/>
        <v>-1.2345679012345734E-2</v>
      </c>
      <c r="BI128" s="94">
        <f t="shared" si="170"/>
        <v>5.5900621118012417E-2</v>
      </c>
      <c r="BJ128" s="94">
        <f t="shared" si="170"/>
        <v>-9.9447513812154664E-2</v>
      </c>
      <c r="BK128" s="94">
        <f t="shared" si="170"/>
        <v>-3.2967032967032961E-2</v>
      </c>
      <c r="BL128" s="94">
        <f t="shared" si="170"/>
        <v>-5.6250000000000022E-2</v>
      </c>
      <c r="BM128" s="94">
        <f t="shared" si="170"/>
        <v>-0.16470588235294115</v>
      </c>
      <c r="BN128" s="94">
        <f t="shared" si="170"/>
        <v>-0.16564417177914115</v>
      </c>
      <c r="BO128" s="94">
        <f t="shared" si="170"/>
        <v>-0.27272727272727271</v>
      </c>
      <c r="BP128" s="94">
        <f t="shared" si="170"/>
        <v>-0.16556291390728473</v>
      </c>
      <c r="BQ128" s="94">
        <f t="shared" si="170"/>
        <v>-0.21126760563380287</v>
      </c>
      <c r="BR128" s="94">
        <f t="shared" si="170"/>
        <v>-0.24264705882352944</v>
      </c>
      <c r="BS128" s="94">
        <f t="shared" si="170"/>
        <v>-0.171875</v>
      </c>
      <c r="BT128" s="94">
        <f t="shared" si="170"/>
        <v>-0.22222222222222221</v>
      </c>
      <c r="BU128" s="94">
        <f t="shared" si="170"/>
        <v>-0.1964285714285714</v>
      </c>
      <c r="BV128" s="94">
        <f t="shared" si="170"/>
        <v>-0.11650485436893199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x14ac:dyDescent="0.2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71">BB15/AX15-1</f>
        <v>1.1315789473684212</v>
      </c>
      <c r="BC129" s="94">
        <f t="shared" si="171"/>
        <v>0.81818181818181812</v>
      </c>
      <c r="BD129" s="94">
        <f t="shared" si="171"/>
        <v>0.52941176470588225</v>
      </c>
      <c r="BE129" s="94">
        <f t="shared" si="171"/>
        <v>0.68493150684931514</v>
      </c>
      <c r="BF129" s="94">
        <f t="shared" si="171"/>
        <v>0.53086419753086411</v>
      </c>
      <c r="BG129" s="94">
        <f t="shared" si="171"/>
        <v>0.33000000000000007</v>
      </c>
      <c r="BH129" s="94">
        <f t="shared" si="171"/>
        <v>0.29807692307692313</v>
      </c>
      <c r="BI129" s="94">
        <f t="shared" si="171"/>
        <v>0.17886178861788626</v>
      </c>
      <c r="BJ129" s="94">
        <f t="shared" si="171"/>
        <v>9.6774193548387011E-2</v>
      </c>
      <c r="BK129" s="94">
        <f t="shared" si="171"/>
        <v>0.11278195488721798</v>
      </c>
      <c r="BL129" s="94">
        <f t="shared" si="171"/>
        <v>7.4074074074074181E-2</v>
      </c>
      <c r="BM129" s="94">
        <f t="shared" si="171"/>
        <v>-4.8275862068965503E-2</v>
      </c>
      <c r="BN129" s="94">
        <f t="shared" si="171"/>
        <v>-8.0882352941176516E-2</v>
      </c>
      <c r="BO129" s="94">
        <f t="shared" si="171"/>
        <v>-9.4594594594594628E-2</v>
      </c>
      <c r="BP129" s="94">
        <f t="shared" si="171"/>
        <v>0</v>
      </c>
      <c r="BQ129" s="94">
        <f t="shared" si="171"/>
        <v>0.13043478260869557</v>
      </c>
      <c r="BR129" s="94">
        <f t="shared" si="171"/>
        <v>0.21599999999999997</v>
      </c>
      <c r="BS129" s="94">
        <f t="shared" si="171"/>
        <v>0.20149253731343286</v>
      </c>
      <c r="BT129" s="94">
        <f t="shared" si="171"/>
        <v>8.2758620689655116E-2</v>
      </c>
      <c r="BU129" s="94">
        <f t="shared" si="171"/>
        <v>-3.8461538461538436E-2</v>
      </c>
      <c r="BV129" s="94">
        <f t="shared" si="171"/>
        <v>-2.6315789473684181E-2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x14ac:dyDescent="0.2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1" si="172">BB44/AX44-1</f>
        <v>0</v>
      </c>
      <c r="BC130" s="94">
        <f t="shared" si="172"/>
        <v>0.25316455696202533</v>
      </c>
      <c r="BD130" s="94">
        <f t="shared" si="172"/>
        <v>0.23456790123456783</v>
      </c>
      <c r="BE130" s="94">
        <f t="shared" si="172"/>
        <v>0.31325301204819267</v>
      </c>
      <c r="BF130" s="94">
        <f t="shared" si="172"/>
        <v>0.27906976744186052</v>
      </c>
      <c r="BG130" s="94">
        <f t="shared" si="172"/>
        <v>0.14141414141414144</v>
      </c>
      <c r="BH130" s="94">
        <f t="shared" si="172"/>
        <v>0.26</v>
      </c>
      <c r="BI130" s="94">
        <f t="shared" si="172"/>
        <v>0.27522935779816504</v>
      </c>
      <c r="BJ130" s="94">
        <f t="shared" si="172"/>
        <v>0.1272727272727272</v>
      </c>
      <c r="BK130" s="94">
        <f t="shared" si="172"/>
        <v>0.21238938053097356</v>
      </c>
      <c r="BL130" s="94">
        <f t="shared" ref="BL130:BU131" si="173">BL44/BH44-1</f>
        <v>8.7301587301587213E-2</v>
      </c>
      <c r="BM130" s="94">
        <f t="shared" si="173"/>
        <v>3.5971223021582732E-2</v>
      </c>
      <c r="BN130" s="94">
        <f t="shared" si="173"/>
        <v>3.2258064516129004E-2</v>
      </c>
      <c r="BO130" s="94">
        <f t="shared" si="173"/>
        <v>-7.2992700729926918E-3</v>
      </c>
      <c r="BP130" s="94">
        <f t="shared" si="173"/>
        <v>4.3795620437956151E-2</v>
      </c>
      <c r="BQ130" s="94">
        <f t="shared" si="173"/>
        <v>3.4722222222222321E-2</v>
      </c>
      <c r="BR130" s="94">
        <f t="shared" si="173"/>
        <v>2.34375E-2</v>
      </c>
      <c r="BS130" s="94">
        <f t="shared" si="173"/>
        <v>5.1470588235294157E-2</v>
      </c>
      <c r="BT130" s="94">
        <f t="shared" si="173"/>
        <v>3.4965034965035002E-2</v>
      </c>
      <c r="BU130" s="94">
        <f t="shared" si="173"/>
        <v>-4.6979865771812124E-2</v>
      </c>
      <c r="BV130" s="94">
        <f t="shared" ref="BV130:BV131" si="174">BV44/BR44-1</f>
        <v>0.13740458015267176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x14ac:dyDescent="0.2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si="172"/>
        <v>9.1743119266054496E-3</v>
      </c>
      <c r="BC131" s="94">
        <f t="shared" si="172"/>
        <v>5.1724137931034475E-2</v>
      </c>
      <c r="BD131" s="94">
        <f t="shared" si="172"/>
        <v>5.4545454545454453E-2</v>
      </c>
      <c r="BE131" s="94">
        <f t="shared" si="172"/>
        <v>0.12280701754385959</v>
      </c>
      <c r="BF131" s="94">
        <f t="shared" si="172"/>
        <v>7.2727272727272751E-2</v>
      </c>
      <c r="BG131" s="94">
        <f t="shared" si="172"/>
        <v>3.2786885245901676E-2</v>
      </c>
      <c r="BH131" s="94">
        <f t="shared" si="172"/>
        <v>1.7241379310344751E-2</v>
      </c>
      <c r="BI131" s="94">
        <f t="shared" si="172"/>
        <v>3.125E-2</v>
      </c>
      <c r="BJ131" s="94">
        <f t="shared" si="172"/>
        <v>-8.4745762711864181E-3</v>
      </c>
      <c r="BK131" s="94">
        <f t="shared" si="172"/>
        <v>-3.1746031746031744E-2</v>
      </c>
      <c r="BL131" s="94">
        <f t="shared" si="173"/>
        <v>0</v>
      </c>
      <c r="BM131" s="94">
        <f t="shared" si="173"/>
        <v>-0.14393939393939392</v>
      </c>
      <c r="BN131" s="94">
        <f t="shared" si="173"/>
        <v>-0.17094017094017089</v>
      </c>
      <c r="BO131" s="94">
        <f t="shared" si="173"/>
        <v>-0.19672131147540983</v>
      </c>
      <c r="BP131" s="94">
        <f t="shared" si="173"/>
        <v>-0.10169491525423724</v>
      </c>
      <c r="BQ131" s="94">
        <f t="shared" si="173"/>
        <v>-8.8495575221239076E-3</v>
      </c>
      <c r="BR131" s="94">
        <f t="shared" si="173"/>
        <v>7.2164948453608213E-2</v>
      </c>
      <c r="BS131" s="94">
        <f t="shared" si="173"/>
        <v>9.1836734693877542E-2</v>
      </c>
      <c r="BT131" s="94">
        <f t="shared" si="173"/>
        <v>-5.6603773584905648E-2</v>
      </c>
      <c r="BU131" s="94">
        <f t="shared" si="173"/>
        <v>-0.2053571428571429</v>
      </c>
      <c r="BV131" s="94">
        <f t="shared" si="174"/>
        <v>-0.125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x14ac:dyDescent="0.2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75">BB27/AX27-1</f>
        <v>5.9523809523809534E-2</v>
      </c>
      <c r="BC132" s="94">
        <f t="shared" si="175"/>
        <v>0.18586636397103939</v>
      </c>
      <c r="BD132" s="94">
        <f t="shared" si="175"/>
        <v>0.16279069767441867</v>
      </c>
      <c r="BE132" s="94">
        <f t="shared" si="175"/>
        <v>0.2441860465116279</v>
      </c>
      <c r="BF132" s="94">
        <f t="shared" si="175"/>
        <v>0.22471910112359561</v>
      </c>
      <c r="BG132" s="94">
        <f t="shared" si="175"/>
        <v>6.1855670103092786E-2</v>
      </c>
      <c r="BH132" s="94">
        <f t="shared" si="175"/>
        <v>8.0000000000000071E-2</v>
      </c>
      <c r="BI132" s="94">
        <f t="shared" si="175"/>
        <v>8.4112149532710179E-2</v>
      </c>
      <c r="BJ132" s="94">
        <f t="shared" si="175"/>
        <v>1.8348623853210899E-2</v>
      </c>
      <c r="BK132" s="94">
        <f t="shared" si="175"/>
        <v>0.16504854368932032</v>
      </c>
      <c r="BL132" s="94">
        <f t="shared" si="175"/>
        <v>0.14814814814814814</v>
      </c>
      <c r="BM132" s="94">
        <f t="shared" si="175"/>
        <v>0.10344827586206895</v>
      </c>
      <c r="BN132" s="94">
        <f t="shared" si="175"/>
        <v>5.4054054054053946E-2</v>
      </c>
      <c r="BO132" s="94">
        <f t="shared" si="175"/>
        <v>0</v>
      </c>
      <c r="BP132" s="94">
        <f t="shared" si="175"/>
        <v>-3.2258064516129004E-2</v>
      </c>
      <c r="BQ132" s="94">
        <f t="shared" si="175"/>
        <v>8.59375E-2</v>
      </c>
      <c r="BR132" s="94">
        <f t="shared" si="175"/>
        <v>2.564102564102555E-2</v>
      </c>
      <c r="BS132" s="94">
        <f t="shared" si="175"/>
        <v>6.6666666666666652E-2</v>
      </c>
      <c r="BT132" s="94">
        <f t="shared" si="175"/>
        <v>4.1666666666666741E-2</v>
      </c>
      <c r="BU132" s="94">
        <f t="shared" si="175"/>
        <v>-7.9136690647481966E-2</v>
      </c>
      <c r="BV132" s="94">
        <f t="shared" si="175"/>
        <v>0.125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x14ac:dyDescent="0.2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66"/>
      <c r="BI133" s="66"/>
      <c r="BJ133" s="66"/>
      <c r="BK133" s="66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x14ac:dyDescent="0.2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66"/>
      <c r="BI134" s="66"/>
      <c r="BJ134" s="66"/>
      <c r="BK134" s="66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x14ac:dyDescent="0.2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x14ac:dyDescent="0.2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66"/>
      <c r="BI136" s="66"/>
      <c r="BJ136" s="66"/>
      <c r="BK136" s="66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x14ac:dyDescent="0.2">
      <c r="B137" s="3" t="s">
        <v>604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66"/>
      <c r="BI137" s="66"/>
      <c r="BJ137" s="66"/>
      <c r="BK137" s="66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5"/>
      <c r="EG137" s="47"/>
      <c r="EH137" s="47"/>
      <c r="EI137" s="47"/>
      <c r="EJ137" s="47"/>
      <c r="EK137" s="47"/>
      <c r="EL137" s="47"/>
      <c r="EM137" s="47"/>
      <c r="EN137" s="23">
        <f>EN78</f>
        <v>9786</v>
      </c>
      <c r="EO137" s="23">
        <f t="shared" ref="EO137" si="176">EO78</f>
        <v>9919</v>
      </c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x14ac:dyDescent="0.2">
      <c r="B138" s="3" t="s">
        <v>601</v>
      </c>
      <c r="E138" s="44"/>
      <c r="F138" s="4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N138" s="23">
        <v>12177</v>
      </c>
      <c r="EO138" s="23">
        <v>16877</v>
      </c>
    </row>
    <row r="139" spans="2:160" x14ac:dyDescent="0.2">
      <c r="B139" s="3" t="s">
        <v>602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N139" s="23">
        <v>3139</v>
      </c>
      <c r="EO139" s="23">
        <v>2984</v>
      </c>
    </row>
    <row r="140" spans="2:160" x14ac:dyDescent="0.2">
      <c r="B140" s="3" t="s">
        <v>603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N140" s="23">
        <f>+EN138-EN139</f>
        <v>9038</v>
      </c>
      <c r="EO140" s="23">
        <f>+EO138-EO139</f>
        <v>13893</v>
      </c>
    </row>
    <row r="141" spans="2:160" x14ac:dyDescent="0.2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60" x14ac:dyDescent="0.2">
      <c r="B142" s="3" t="s">
        <v>809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R142" s="23">
        <v>82089</v>
      </c>
      <c r="ES142" s="23">
        <v>85080</v>
      </c>
      <c r="ET142" s="23">
        <v>88509</v>
      </c>
      <c r="EU142" s="23">
        <v>91747</v>
      </c>
      <c r="EV142" s="23">
        <v>94052</v>
      </c>
      <c r="EW142" s="23">
        <v>93734</v>
      </c>
      <c r="EX142" s="23">
        <v>94442</v>
      </c>
      <c r="EY142" s="23">
        <v>97735</v>
      </c>
      <c r="EZ142" s="23">
        <v>101465</v>
      </c>
      <c r="FA142" s="23">
        <v>100920</v>
      </c>
    </row>
    <row r="143" spans="2:160" x14ac:dyDescent="0.2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60" x14ac:dyDescent="0.2">
      <c r="B144" s="3" t="s">
        <v>940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FC144" s="23">
        <f>+FC145-FC156</f>
        <v>-18699</v>
      </c>
    </row>
    <row r="145" spans="2:159" x14ac:dyDescent="0.2">
      <c r="B145" s="3" t="s">
        <v>810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FC145" s="23">
        <f>5376+5134</f>
        <v>10510</v>
      </c>
    </row>
    <row r="146" spans="2:159" x14ac:dyDescent="0.2">
      <c r="B146" s="3" t="s">
        <v>931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FC146" s="23">
        <v>3822</v>
      </c>
    </row>
    <row r="147" spans="2:159" x14ac:dyDescent="0.2">
      <c r="B147" s="3" t="s">
        <v>932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FC147" s="23">
        <f>344+6882</f>
        <v>7226</v>
      </c>
    </row>
    <row r="148" spans="2:159" x14ac:dyDescent="0.2">
      <c r="B148" s="3" t="s">
        <v>933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FC148" s="23">
        <v>11021</v>
      </c>
    </row>
    <row r="149" spans="2:159" x14ac:dyDescent="0.2">
      <c r="B149" s="3" t="s">
        <v>934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FC149" s="23">
        <v>7749</v>
      </c>
    </row>
    <row r="150" spans="2:159" x14ac:dyDescent="0.2">
      <c r="B150" s="3" t="s">
        <v>935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v>1964</v>
      </c>
    </row>
    <row r="151" spans="2:159" x14ac:dyDescent="0.2">
      <c r="B151" s="3" t="s">
        <v>936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v>1019</v>
      </c>
    </row>
    <row r="152" spans="2:159" x14ac:dyDescent="0.2">
      <c r="B152" s="3" t="s">
        <v>939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f>9390+14828+1215</f>
        <v>25433</v>
      </c>
    </row>
    <row r="153" spans="2:159" x14ac:dyDescent="0.2">
      <c r="B153" s="3" t="s">
        <v>938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v>21724</v>
      </c>
    </row>
    <row r="154" spans="2:159" x14ac:dyDescent="0.2">
      <c r="B154" s="3" t="s">
        <v>937</v>
      </c>
      <c r="FC154" s="24">
        <f>SUM(FC145:FC153)</f>
        <v>90468</v>
      </c>
    </row>
    <row r="156" spans="2:159" x14ac:dyDescent="0.2">
      <c r="B156" s="3" t="s">
        <v>611</v>
      </c>
      <c r="FC156" s="23">
        <f>4400+24809</f>
        <v>29209</v>
      </c>
    </row>
    <row r="157" spans="2:159" x14ac:dyDescent="0.2">
      <c r="B157" s="3" t="s">
        <v>943</v>
      </c>
      <c r="FC157" s="23">
        <v>12158</v>
      </c>
    </row>
    <row r="158" spans="2:159" x14ac:dyDescent="0.2">
      <c r="B158" s="3" t="s">
        <v>942</v>
      </c>
      <c r="FC158" s="23">
        <v>4325</v>
      </c>
    </row>
    <row r="159" spans="2:159" x14ac:dyDescent="0.2">
      <c r="B159" s="3" t="s">
        <v>941</v>
      </c>
      <c r="FC159" s="23">
        <f>1684+1059</f>
        <v>2743</v>
      </c>
    </row>
    <row r="160" spans="2:159" x14ac:dyDescent="0.2">
      <c r="B160" s="3" t="s">
        <v>932</v>
      </c>
      <c r="FC160" s="23">
        <f>2257+593</f>
        <v>2850</v>
      </c>
    </row>
    <row r="161" spans="2:159" x14ac:dyDescent="0.2">
      <c r="B161" s="3" t="s">
        <v>944</v>
      </c>
      <c r="FC161" s="23">
        <v>1541</v>
      </c>
    </row>
    <row r="162" spans="2:159" x14ac:dyDescent="0.2">
      <c r="B162" s="3" t="s">
        <v>945</v>
      </c>
      <c r="FC162" s="23">
        <v>4379</v>
      </c>
    </row>
    <row r="163" spans="2:159" x14ac:dyDescent="0.2">
      <c r="B163" s="3" t="s">
        <v>947</v>
      </c>
      <c r="FC163" s="23">
        <v>33263</v>
      </c>
    </row>
    <row r="164" spans="2:159" x14ac:dyDescent="0.2">
      <c r="B164" s="3" t="s">
        <v>946</v>
      </c>
      <c r="FC164" s="24">
        <f>SUM(FC156:FC163)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895</v>
      </c>
    </row>
    <row r="3" spans="1:3" x14ac:dyDescent="0.2">
      <c r="B3" s="2" t="s">
        <v>815</v>
      </c>
      <c r="C3" s="2" t="s">
        <v>816</v>
      </c>
    </row>
    <row r="4" spans="1:3" x14ac:dyDescent="0.2">
      <c r="B4" s="2" t="s">
        <v>44</v>
      </c>
      <c r="C4" s="2" t="s">
        <v>817</v>
      </c>
    </row>
    <row r="5" spans="1:3" x14ac:dyDescent="0.2">
      <c r="B5" s="2"/>
      <c r="C5" s="2" t="s">
        <v>833</v>
      </c>
    </row>
    <row r="6" spans="1:3" x14ac:dyDescent="0.2">
      <c r="B6" s="2" t="s">
        <v>818</v>
      </c>
      <c r="C6" s="2" t="s">
        <v>813</v>
      </c>
    </row>
    <row r="7" spans="1:3" x14ac:dyDescent="0.2">
      <c r="B7" s="2" t="s">
        <v>53</v>
      </c>
    </row>
    <row r="8" spans="1:3" x14ac:dyDescent="0.2">
      <c r="C8" s="40" t="s">
        <v>832</v>
      </c>
    </row>
    <row r="9" spans="1:3" x14ac:dyDescent="0.2">
      <c r="C9" s="2" t="s">
        <v>829</v>
      </c>
    </row>
    <row r="10" spans="1:3" x14ac:dyDescent="0.2">
      <c r="C10" s="2" t="s">
        <v>830</v>
      </c>
    </row>
    <row r="11" spans="1:3" x14ac:dyDescent="0.2">
      <c r="C11" s="2" t="s">
        <v>831</v>
      </c>
    </row>
    <row r="13" spans="1:3" x14ac:dyDescent="0.2">
      <c r="C13" s="40" t="s">
        <v>840</v>
      </c>
    </row>
    <row r="14" spans="1:3" x14ac:dyDescent="0.2">
      <c r="C14" s="2" t="s">
        <v>839</v>
      </c>
    </row>
    <row r="15" spans="1:3" x14ac:dyDescent="0.2">
      <c r="C15" s="2" t="s">
        <v>838</v>
      </c>
    </row>
    <row r="16" spans="1:3" x14ac:dyDescent="0.2">
      <c r="C16" s="2" t="s">
        <v>836</v>
      </c>
    </row>
    <row r="17" spans="3:3" x14ac:dyDescent="0.2">
      <c r="C17" s="2" t="s">
        <v>837</v>
      </c>
    </row>
    <row r="18" spans="3:3" x14ac:dyDescent="0.2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39" t="s">
        <v>55</v>
      </c>
    </row>
    <row r="2" spans="1:5" x14ac:dyDescent="0.2">
      <c r="B2" s="2" t="s">
        <v>408</v>
      </c>
    </row>
    <row r="3" spans="1:5" x14ac:dyDescent="0.2">
      <c r="B3" s="2" t="s">
        <v>504</v>
      </c>
    </row>
    <row r="4" spans="1:5" x14ac:dyDescent="0.2">
      <c r="B4" s="2" t="s">
        <v>407</v>
      </c>
    </row>
    <row r="5" spans="1:5" x14ac:dyDescent="0.2">
      <c r="B5" s="3" t="s">
        <v>401</v>
      </c>
    </row>
    <row r="6" spans="1:5" x14ac:dyDescent="0.2">
      <c r="B6" s="3" t="s">
        <v>402</v>
      </c>
    </row>
    <row r="7" spans="1:5" x14ac:dyDescent="0.2">
      <c r="B7" s="2" t="s">
        <v>410</v>
      </c>
    </row>
    <row r="8" spans="1:5" x14ac:dyDescent="0.2">
      <c r="B8" s="2" t="s">
        <v>409</v>
      </c>
    </row>
    <row r="9" spans="1:5" x14ac:dyDescent="0.2">
      <c r="B9" s="2" t="s">
        <v>457</v>
      </c>
    </row>
    <row r="11" spans="1:5" x14ac:dyDescent="0.2">
      <c r="B11" s="40" t="s">
        <v>459</v>
      </c>
      <c r="C11" s="64" t="s">
        <v>482</v>
      </c>
      <c r="E11" s="40" t="s">
        <v>660</v>
      </c>
    </row>
    <row r="12" spans="1:5" x14ac:dyDescent="0.2">
      <c r="B12" s="2" t="s">
        <v>460</v>
      </c>
      <c r="C12" s="65">
        <f>3363/7365</f>
        <v>0.4566191446028513</v>
      </c>
      <c r="E12" s="2" t="s">
        <v>663</v>
      </c>
    </row>
    <row r="13" spans="1:5" x14ac:dyDescent="0.2">
      <c r="B13" s="2" t="s">
        <v>461</v>
      </c>
      <c r="C13" s="65">
        <f>346/7365</f>
        <v>4.6978954514596064E-2</v>
      </c>
      <c r="E13" s="2" t="s">
        <v>664</v>
      </c>
    </row>
    <row r="14" spans="1:5" x14ac:dyDescent="0.2">
      <c r="B14" s="2" t="s">
        <v>462</v>
      </c>
      <c r="C14" s="65">
        <f>2158/7365</f>
        <v>0.29300746775288528</v>
      </c>
      <c r="E14" s="2" t="s">
        <v>661</v>
      </c>
    </row>
    <row r="15" spans="1:5" x14ac:dyDescent="0.2">
      <c r="B15" s="2" t="s">
        <v>480</v>
      </c>
      <c r="C15" s="65">
        <f>882/7365</f>
        <v>0.11975560081466395</v>
      </c>
      <c r="E15" s="2" t="s">
        <v>662</v>
      </c>
    </row>
    <row r="16" spans="1:5" x14ac:dyDescent="0.2">
      <c r="B16" s="2" t="s">
        <v>481</v>
      </c>
      <c r="C16" s="65">
        <f>616/7365</f>
        <v>8.3638832315003395E-2</v>
      </c>
      <c r="E16" s="2" t="s">
        <v>665</v>
      </c>
    </row>
    <row r="17" spans="2:5" x14ac:dyDescent="0.2">
      <c r="E17" s="2"/>
    </row>
    <row r="19" spans="2:5" x14ac:dyDescent="0.2">
      <c r="B19" s="40" t="s">
        <v>843</v>
      </c>
    </row>
    <row r="20" spans="2:5" x14ac:dyDescent="0.2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RowHeight="12.75" x14ac:dyDescent="0.2"/>
  <cols>
    <col min="1" max="1" width="5" style="5" bestFit="1" customWidth="1"/>
    <col min="2" max="2" width="13.140625" style="5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305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286</v>
      </c>
    </row>
    <row r="8" spans="1:3" x14ac:dyDescent="0.2">
      <c r="B8" s="5" t="s">
        <v>914</v>
      </c>
      <c r="C8" s="5" t="s">
        <v>915</v>
      </c>
    </row>
    <row r="9" spans="1:3" x14ac:dyDescent="0.2">
      <c r="B9" s="5" t="s">
        <v>916</v>
      </c>
      <c r="C9" s="5" t="s">
        <v>917</v>
      </c>
    </row>
    <row r="10" spans="1:3" x14ac:dyDescent="0.2">
      <c r="B10" s="5" t="s">
        <v>913</v>
      </c>
      <c r="C10" s="5" t="s">
        <v>919</v>
      </c>
    </row>
    <row r="11" spans="1:3" x14ac:dyDescent="0.2">
      <c r="B11" s="15" t="s">
        <v>9</v>
      </c>
      <c r="C11" s="3" t="s">
        <v>918</v>
      </c>
    </row>
    <row r="12" spans="1:3" x14ac:dyDescent="0.2">
      <c r="B12" s="3" t="s">
        <v>75</v>
      </c>
      <c r="C12" s="3" t="s">
        <v>485</v>
      </c>
    </row>
    <row r="13" spans="1:3" x14ac:dyDescent="0.2">
      <c r="B13" s="5" t="s">
        <v>53</v>
      </c>
    </row>
    <row r="14" spans="1:3" x14ac:dyDescent="0.2">
      <c r="C14" s="16" t="s">
        <v>167</v>
      </c>
    </row>
    <row r="15" spans="1:3" x14ac:dyDescent="0.2">
      <c r="C15" s="5" t="s">
        <v>170</v>
      </c>
    </row>
    <row r="17" spans="3:3" x14ac:dyDescent="0.2">
      <c r="C17" s="16" t="s">
        <v>292</v>
      </c>
    </row>
    <row r="18" spans="3:3" x14ac:dyDescent="0.2">
      <c r="C18" s="5" t="s">
        <v>171</v>
      </c>
    </row>
    <row r="20" spans="3:3" x14ac:dyDescent="0.2">
      <c r="C20" s="16" t="s">
        <v>218</v>
      </c>
    </row>
    <row r="21" spans="3:3" x14ac:dyDescent="0.2">
      <c r="C21" s="5" t="s">
        <v>219</v>
      </c>
    </row>
    <row r="23" spans="3:3" x14ac:dyDescent="0.2">
      <c r="C23" s="16" t="s">
        <v>220</v>
      </c>
    </row>
    <row r="25" spans="3:3" x14ac:dyDescent="0.2">
      <c r="C25" s="16" t="s">
        <v>403</v>
      </c>
    </row>
    <row r="26" spans="3:3" x14ac:dyDescent="0.2">
      <c r="C26" s="3" t="s">
        <v>396</v>
      </c>
    </row>
    <row r="27" spans="3:3" x14ac:dyDescent="0.2">
      <c r="C27" s="3"/>
    </row>
    <row r="28" spans="3:3" x14ac:dyDescent="0.2">
      <c r="C28" s="16" t="s">
        <v>516</v>
      </c>
    </row>
    <row r="29" spans="3:3" x14ac:dyDescent="0.2">
      <c r="C29" s="3" t="s">
        <v>517</v>
      </c>
    </row>
    <row r="30" spans="3:3" x14ac:dyDescent="0.2">
      <c r="C30" s="3"/>
    </row>
    <row r="31" spans="3:3" x14ac:dyDescent="0.2">
      <c r="C31" s="16" t="s">
        <v>518</v>
      </c>
    </row>
    <row r="32" spans="3:3" x14ac:dyDescent="0.2">
      <c r="C32" s="3" t="s">
        <v>519</v>
      </c>
    </row>
    <row r="33" spans="3:29" x14ac:dyDescent="0.2">
      <c r="C33" s="3"/>
    </row>
    <row r="34" spans="3:29" x14ac:dyDescent="0.2">
      <c r="C34" s="16" t="s">
        <v>513</v>
      </c>
    </row>
    <row r="35" spans="3:29" x14ac:dyDescent="0.2">
      <c r="C35" s="3" t="s">
        <v>520</v>
      </c>
    </row>
    <row r="36" spans="3:29" x14ac:dyDescent="0.2">
      <c r="C36" s="3"/>
    </row>
    <row r="37" spans="3:29" x14ac:dyDescent="0.2">
      <c r="C37" s="16" t="s">
        <v>680</v>
      </c>
    </row>
    <row r="38" spans="3:29" x14ac:dyDescent="0.2">
      <c r="C38" s="3" t="s">
        <v>681</v>
      </c>
    </row>
    <row r="39" spans="3:29" x14ac:dyDescent="0.2">
      <c r="C39" s="3"/>
    </row>
    <row r="40" spans="3:29" x14ac:dyDescent="0.2">
      <c r="C40" s="16" t="s">
        <v>682</v>
      </c>
    </row>
    <row r="41" spans="3:29" x14ac:dyDescent="0.2">
      <c r="C41" s="3" t="s">
        <v>683</v>
      </c>
    </row>
    <row r="43" spans="3:29" x14ac:dyDescent="0.2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x14ac:dyDescent="0.2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">
      <c r="B50" s="3" t="s">
        <v>397</v>
      </c>
    </row>
    <row r="51" spans="2:4" x14ac:dyDescent="0.2">
      <c r="C51" s="55">
        <v>39387</v>
      </c>
      <c r="D51" s="5">
        <v>197</v>
      </c>
    </row>
    <row r="52" spans="2:4" x14ac:dyDescent="0.2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534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532</v>
      </c>
    </row>
    <row r="9" spans="1:3" x14ac:dyDescent="0.2">
      <c r="B9" s="5" t="s">
        <v>66</v>
      </c>
      <c r="C9" s="3" t="s">
        <v>531</v>
      </c>
    </row>
    <row r="10" spans="1:3" x14ac:dyDescent="0.2">
      <c r="B10" s="5" t="s">
        <v>81</v>
      </c>
      <c r="C10" s="5" t="s">
        <v>526</v>
      </c>
    </row>
    <row r="11" spans="1:3" x14ac:dyDescent="0.2">
      <c r="B11" s="3" t="s">
        <v>75</v>
      </c>
      <c r="C11" s="3" t="s">
        <v>561</v>
      </c>
    </row>
    <row r="12" spans="1:3" x14ac:dyDescent="0.2">
      <c r="B12" s="3" t="s">
        <v>96</v>
      </c>
      <c r="C12" s="3" t="s">
        <v>533</v>
      </c>
    </row>
    <row r="13" spans="1:3" x14ac:dyDescent="0.2">
      <c r="B13" s="3"/>
      <c r="C13" s="3" t="s">
        <v>535</v>
      </c>
    </row>
    <row r="14" spans="1:3" x14ac:dyDescent="0.2">
      <c r="B14" s="3"/>
      <c r="C14" s="3" t="s">
        <v>538</v>
      </c>
    </row>
    <row r="15" spans="1:3" x14ac:dyDescent="0.2">
      <c r="B15" s="3"/>
      <c r="C15" s="3" t="s">
        <v>545</v>
      </c>
    </row>
    <row r="16" spans="1:3" x14ac:dyDescent="0.2">
      <c r="B16" s="3"/>
      <c r="C16" s="3" t="s">
        <v>554</v>
      </c>
    </row>
    <row r="17" spans="2:3" x14ac:dyDescent="0.2">
      <c r="B17" s="3"/>
      <c r="C17" s="3" t="s">
        <v>562</v>
      </c>
    </row>
    <row r="18" spans="2:3" x14ac:dyDescent="0.2">
      <c r="B18" s="3"/>
      <c r="C18" s="3" t="s">
        <v>568</v>
      </c>
    </row>
    <row r="19" spans="2:3" x14ac:dyDescent="0.2">
      <c r="B19" s="5" t="s">
        <v>53</v>
      </c>
    </row>
    <row r="20" spans="2:3" x14ac:dyDescent="0.2">
      <c r="C20" s="16" t="s">
        <v>430</v>
      </c>
    </row>
    <row r="21" spans="2:3" x14ac:dyDescent="0.2">
      <c r="C21" s="3" t="s">
        <v>428</v>
      </c>
    </row>
    <row r="22" spans="2:3" x14ac:dyDescent="0.2">
      <c r="C22" s="3" t="s">
        <v>429</v>
      </c>
    </row>
    <row r="23" spans="2:3" x14ac:dyDescent="0.2">
      <c r="C23" s="3"/>
    </row>
    <row r="24" spans="2:3" x14ac:dyDescent="0.2">
      <c r="C24" s="16" t="s">
        <v>596</v>
      </c>
    </row>
    <row r="25" spans="2:3" x14ac:dyDescent="0.2">
      <c r="C25" s="3" t="s">
        <v>668</v>
      </c>
    </row>
    <row r="26" spans="2:3" x14ac:dyDescent="0.2">
      <c r="C26" s="16"/>
    </row>
    <row r="27" spans="2:3" x14ac:dyDescent="0.2">
      <c r="C27" s="16" t="s">
        <v>597</v>
      </c>
    </row>
    <row r="28" spans="2:3" x14ac:dyDescent="0.2">
      <c r="C28" s="3" t="s">
        <v>666</v>
      </c>
    </row>
    <row r="29" spans="2:3" x14ac:dyDescent="0.2">
      <c r="C29" s="3" t="s">
        <v>667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598</v>
      </c>
    </row>
    <row r="33" spans="3:3" x14ac:dyDescent="0.2">
      <c r="C33" s="16" t="s">
        <v>669</v>
      </c>
    </row>
    <row r="34" spans="3:3" x14ac:dyDescent="0.2">
      <c r="C34" s="3"/>
    </row>
    <row r="35" spans="3:3" x14ac:dyDescent="0.2">
      <c r="C35" s="16" t="s">
        <v>525</v>
      </c>
    </row>
    <row r="36" spans="3:3" x14ac:dyDescent="0.2">
      <c r="C36" s="3" t="s">
        <v>567</v>
      </c>
    </row>
    <row r="37" spans="3:3" x14ac:dyDescent="0.2">
      <c r="C37" s="3" t="s">
        <v>566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541</v>
      </c>
    </row>
    <row r="45" spans="3:3" x14ac:dyDescent="0.2">
      <c r="C45" s="16" t="s">
        <v>540</v>
      </c>
    </row>
    <row r="46" spans="3:3" x14ac:dyDescent="0.2">
      <c r="C46" s="3" t="s">
        <v>539</v>
      </c>
    </row>
    <row r="47" spans="3:3" x14ac:dyDescent="0.2">
      <c r="C47" s="3" t="s">
        <v>542</v>
      </c>
    </row>
    <row r="48" spans="3:3" x14ac:dyDescent="0.2">
      <c r="C48" s="3"/>
    </row>
    <row r="49" spans="3:3" x14ac:dyDescent="0.2">
      <c r="C49" s="16" t="s">
        <v>426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423</v>
      </c>
    </row>
    <row r="56" spans="3:3" x14ac:dyDescent="0.2">
      <c r="C56" s="3" t="s">
        <v>427</v>
      </c>
    </row>
    <row r="57" spans="3:3" x14ac:dyDescent="0.2">
      <c r="C57" s="16"/>
    </row>
    <row r="58" spans="3:3" x14ac:dyDescent="0.2">
      <c r="C58" s="3" t="s">
        <v>424</v>
      </c>
    </row>
    <row r="59" spans="3:3" x14ac:dyDescent="0.2">
      <c r="C59" s="3" t="s">
        <v>425</v>
      </c>
    </row>
    <row r="60" spans="3:3" x14ac:dyDescent="0.2">
      <c r="C60" s="3"/>
    </row>
    <row r="61" spans="3:3" x14ac:dyDescent="0.2">
      <c r="C61" s="16" t="s">
        <v>536</v>
      </c>
    </row>
    <row r="62" spans="3:3" x14ac:dyDescent="0.2">
      <c r="C62" s="3" t="s">
        <v>537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555</v>
      </c>
    </row>
    <row r="69" spans="3:3" x14ac:dyDescent="0.2">
      <c r="C69" s="3" t="s">
        <v>556</v>
      </c>
    </row>
    <row r="70" spans="3:3" x14ac:dyDescent="0.2">
      <c r="C70" s="3" t="s">
        <v>557</v>
      </c>
    </row>
    <row r="71" spans="3:3" x14ac:dyDescent="0.2">
      <c r="C71" s="3" t="s">
        <v>558</v>
      </c>
    </row>
    <row r="73" spans="3:3" x14ac:dyDescent="0.2">
      <c r="C73" s="16" t="s">
        <v>439</v>
      </c>
    </row>
    <row r="74" spans="3:3" x14ac:dyDescent="0.2">
      <c r="C74" s="3" t="s">
        <v>437</v>
      </c>
    </row>
    <row r="75" spans="3:3" x14ac:dyDescent="0.2">
      <c r="C75" s="3" t="s">
        <v>440</v>
      </c>
    </row>
    <row r="76" spans="3:3" x14ac:dyDescent="0.2">
      <c r="C76" s="3" t="s">
        <v>441</v>
      </c>
    </row>
    <row r="77" spans="3:3" x14ac:dyDescent="0.2">
      <c r="C77" s="3"/>
    </row>
    <row r="78" spans="3:3" x14ac:dyDescent="0.2">
      <c r="C78" s="16" t="s">
        <v>432</v>
      </c>
    </row>
    <row r="79" spans="3:3" x14ac:dyDescent="0.2">
      <c r="C79" s="3" t="s">
        <v>433</v>
      </c>
    </row>
    <row r="80" spans="3:3" x14ac:dyDescent="0.2">
      <c r="C80" s="3"/>
    </row>
    <row r="81" spans="3:3" x14ac:dyDescent="0.2">
      <c r="C81" s="16" t="s">
        <v>434</v>
      </c>
    </row>
    <row r="82" spans="3:3" x14ac:dyDescent="0.2">
      <c r="C82" s="3" t="s">
        <v>435</v>
      </c>
    </row>
    <row r="83" spans="3:3" x14ac:dyDescent="0.2">
      <c r="C83" s="3"/>
    </row>
    <row r="84" spans="3:3" x14ac:dyDescent="0.2">
      <c r="C84" s="3" t="s">
        <v>415</v>
      </c>
    </row>
    <row r="85" spans="3:3" x14ac:dyDescent="0.2">
      <c r="C85" s="16" t="s">
        <v>438</v>
      </c>
    </row>
    <row r="86" spans="3:3" x14ac:dyDescent="0.2">
      <c r="C86" s="16"/>
    </row>
    <row r="87" spans="3:3" x14ac:dyDescent="0.2">
      <c r="C87" s="16" t="s">
        <v>523</v>
      </c>
    </row>
    <row r="88" spans="3:3" x14ac:dyDescent="0.2">
      <c r="C88" s="3" t="s">
        <v>524</v>
      </c>
    </row>
    <row r="89" spans="3:3" x14ac:dyDescent="0.2">
      <c r="C89" s="3"/>
    </row>
    <row r="90" spans="3:3" x14ac:dyDescent="0.2">
      <c r="C90" s="16" t="s">
        <v>546</v>
      </c>
    </row>
    <row r="91" spans="3:3" x14ac:dyDescent="0.2">
      <c r="C91" s="3" t="s">
        <v>547</v>
      </c>
    </row>
    <row r="92" spans="3:3" x14ac:dyDescent="0.2">
      <c r="C92" s="3"/>
    </row>
    <row r="93" spans="3:3" x14ac:dyDescent="0.2">
      <c r="C93" s="16" t="s">
        <v>559</v>
      </c>
    </row>
    <row r="94" spans="3:3" x14ac:dyDescent="0.2">
      <c r="C94" s="3"/>
    </row>
    <row r="95" spans="3:3" x14ac:dyDescent="0.2">
      <c r="C95" s="16" t="s">
        <v>560</v>
      </c>
    </row>
    <row r="96" spans="3:3" x14ac:dyDescent="0.2">
      <c r="C96" s="16"/>
    </row>
    <row r="97" spans="2:4" x14ac:dyDescent="0.2">
      <c r="C97" s="16" t="s">
        <v>563</v>
      </c>
    </row>
    <row r="98" spans="2:4" x14ac:dyDescent="0.2">
      <c r="C98" s="16"/>
    </row>
    <row r="99" spans="2:4" x14ac:dyDescent="0.2">
      <c r="C99" s="16" t="s">
        <v>564</v>
      </c>
    </row>
    <row r="100" spans="2:4" x14ac:dyDescent="0.2">
      <c r="C100" s="16"/>
    </row>
    <row r="101" spans="2:4" x14ac:dyDescent="0.2">
      <c r="C101" s="16" t="s">
        <v>565</v>
      </c>
    </row>
    <row r="102" spans="2:4" x14ac:dyDescent="0.2">
      <c r="C102" s="16"/>
    </row>
    <row r="103" spans="2:4" x14ac:dyDescent="0.2">
      <c r="C103" s="16" t="s">
        <v>569</v>
      </c>
    </row>
    <row r="104" spans="2:4" x14ac:dyDescent="0.2">
      <c r="C104" s="3" t="s">
        <v>570</v>
      </c>
    </row>
    <row r="105" spans="2:4" x14ac:dyDescent="0.2">
      <c r="C105" s="16"/>
    </row>
    <row r="106" spans="2:4" x14ac:dyDescent="0.2">
      <c r="C106" s="16" t="s">
        <v>571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397</v>
      </c>
    </row>
    <row r="111" spans="2:4" x14ac:dyDescent="0.2">
      <c r="C111" s="55">
        <v>39387</v>
      </c>
      <c r="D111" s="5">
        <v>194</v>
      </c>
    </row>
    <row r="112" spans="2:4" x14ac:dyDescent="0.2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2024-08-13T15:07:01Z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