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74BB66F-B875-4F45-8D00-A833FD167B2B}" xr6:coauthVersionLast="47" xr6:coauthVersionMax="47" xr10:uidLastSave="{00000000-0000-0000-0000-000000000000}"/>
  <bookViews>
    <workbookView xWindow="-21600" yWindow="210" windowWidth="20925" windowHeight="20520" activeTab="1" xr2:uid="{FA5389C5-A966-484C-B9A8-032DB52A420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2" l="1"/>
  <c r="V4" i="2"/>
  <c r="U4" i="2"/>
  <c r="T4" i="2"/>
  <c r="S4" i="2"/>
  <c r="R4" i="2"/>
  <c r="Q4" i="2"/>
  <c r="P4" i="2"/>
  <c r="O4" i="2"/>
  <c r="O14" i="2"/>
  <c r="P14" i="2"/>
  <c r="Q14" i="2" s="1"/>
  <c r="R14" i="2" s="1"/>
  <c r="S14" i="2" s="1"/>
  <c r="T14" i="2" s="1"/>
  <c r="U14" i="2" s="1"/>
  <c r="V14" i="2" s="1"/>
  <c r="W14" i="2" s="1"/>
  <c r="N23" i="2"/>
  <c r="M23" i="2"/>
  <c r="L23" i="2"/>
  <c r="N22" i="2"/>
  <c r="M22" i="2"/>
  <c r="L22" i="2"/>
  <c r="M5" i="2"/>
  <c r="N5" i="2"/>
  <c r="M28" i="2"/>
  <c r="L28" i="2"/>
  <c r="N28" i="2"/>
  <c r="M21" i="2"/>
  <c r="M19" i="2"/>
  <c r="L17" i="2"/>
  <c r="L19" i="2" s="1"/>
  <c r="M17" i="2"/>
  <c r="M15" i="2"/>
  <c r="L15" i="2"/>
  <c r="L13" i="2"/>
  <c r="L12" i="2"/>
  <c r="M12" i="2"/>
  <c r="M13" i="2" s="1"/>
  <c r="N21" i="2"/>
  <c r="N17" i="2"/>
  <c r="N19" i="2" s="1"/>
  <c r="N15" i="2"/>
  <c r="N12" i="2"/>
  <c r="N13" i="2" s="1"/>
  <c r="P3" i="2"/>
  <c r="Q3" i="2" s="1"/>
  <c r="R3" i="2" s="1"/>
  <c r="S3" i="2" s="1"/>
  <c r="T3" i="2" s="1"/>
  <c r="U3" i="2" s="1"/>
  <c r="V3" i="2" s="1"/>
  <c r="W3" i="2" s="1"/>
  <c r="C28" i="2"/>
  <c r="G28" i="2"/>
  <c r="C16" i="2"/>
  <c r="C12" i="2"/>
  <c r="C13" i="2" s="1"/>
  <c r="C15" i="2" s="1"/>
  <c r="G21" i="2"/>
  <c r="G16" i="2"/>
  <c r="G12" i="2"/>
  <c r="G13" i="2" s="1"/>
  <c r="G15" i="2" s="1"/>
  <c r="H28" i="2"/>
  <c r="D28" i="2"/>
  <c r="H21" i="2"/>
  <c r="D16" i="2"/>
  <c r="F17" i="2"/>
  <c r="F19" i="2" s="1"/>
  <c r="E17" i="2"/>
  <c r="E19" i="2" s="1"/>
  <c r="H16" i="2"/>
  <c r="D12" i="2"/>
  <c r="D13" i="2" s="1"/>
  <c r="D15" i="2" s="1"/>
  <c r="H12" i="2"/>
  <c r="H13" i="2" s="1"/>
  <c r="H15" i="2" s="1"/>
  <c r="K7" i="1"/>
  <c r="K4" i="1"/>
  <c r="P7" i="2" l="1"/>
  <c r="O7" i="2"/>
  <c r="C17" i="2"/>
  <c r="C19" i="2" s="1"/>
  <c r="G17" i="2"/>
  <c r="G19" i="2" s="1"/>
  <c r="H17" i="2"/>
  <c r="H19" i="2" s="1"/>
  <c r="D17" i="2"/>
  <c r="D19" i="2" s="1"/>
  <c r="O13" i="2" l="1"/>
  <c r="O21" i="2"/>
  <c r="P13" i="2"/>
  <c r="P21" i="2"/>
  <c r="Q7" i="2"/>
  <c r="R7" i="2" l="1"/>
  <c r="Q13" i="2"/>
  <c r="Q21" i="2"/>
  <c r="P22" i="2"/>
  <c r="P15" i="2"/>
  <c r="O15" i="2"/>
  <c r="O22" i="2"/>
  <c r="O23" i="2" l="1"/>
  <c r="O17" i="2"/>
  <c r="P23" i="2"/>
  <c r="P17" i="2"/>
  <c r="Q15" i="2"/>
  <c r="Q22" i="2"/>
  <c r="S7" i="2"/>
  <c r="R13" i="2"/>
  <c r="R21" i="2"/>
  <c r="T7" i="2" l="1"/>
  <c r="Q23" i="2"/>
  <c r="Q17" i="2"/>
  <c r="Q18" i="2" s="1"/>
  <c r="Q19" i="2" s="1"/>
  <c r="O18" i="2"/>
  <c r="O19" i="2"/>
  <c r="R22" i="2"/>
  <c r="R15" i="2"/>
  <c r="S13" i="2"/>
  <c r="S21" i="2"/>
  <c r="P18" i="2"/>
  <c r="P19" i="2"/>
  <c r="S15" i="2" l="1"/>
  <c r="S22" i="2"/>
  <c r="R23" i="2"/>
  <c r="R17" i="2"/>
  <c r="R18" i="2" s="1"/>
  <c r="R19" i="2" s="1"/>
  <c r="U7" i="2"/>
  <c r="T13" i="2"/>
  <c r="T21" i="2"/>
  <c r="T15" i="2" l="1"/>
  <c r="T22" i="2"/>
  <c r="U13" i="2"/>
  <c r="U21" i="2"/>
  <c r="V7" i="2"/>
  <c r="W7" i="2"/>
  <c r="S23" i="2"/>
  <c r="S17" i="2"/>
  <c r="S18" i="2" s="1"/>
  <c r="S19" i="2" s="1"/>
  <c r="W13" i="2" l="1"/>
  <c r="W21" i="2"/>
  <c r="V13" i="2"/>
  <c r="V21" i="2"/>
  <c r="U15" i="2"/>
  <c r="U22" i="2"/>
  <c r="T23" i="2"/>
  <c r="T17" i="2"/>
  <c r="T18" i="2" s="1"/>
  <c r="T19" i="2" s="1"/>
  <c r="U17" i="2" l="1"/>
  <c r="U23" i="2"/>
  <c r="V15" i="2"/>
  <c r="V22" i="2"/>
  <c r="W15" i="2"/>
  <c r="W22" i="2"/>
  <c r="W17" i="2" l="1"/>
  <c r="W23" i="2"/>
  <c r="V23" i="2"/>
  <c r="V17" i="2"/>
  <c r="V18" i="2" s="1"/>
  <c r="V19" i="2" s="1"/>
  <c r="U18" i="2"/>
  <c r="U19" i="2" s="1"/>
  <c r="W18" i="2" l="1"/>
  <c r="W19" i="2"/>
</calcChain>
</file>

<file path=xl/sharedStrings.xml><?xml version="1.0" encoding="utf-8"?>
<sst xmlns="http://schemas.openxmlformats.org/spreadsheetml/2006/main" count="39" uniqueCount="36">
  <si>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</si>
  <si>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</si>
  <si>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</si>
  <si>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</si>
  <si>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</si>
  <si>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</si>
  <si>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</si>
  <si>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</si>
  <si>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</si>
  <si>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Q123</t>
  </si>
  <si>
    <t>Q223</t>
  </si>
  <si>
    <t>Q323</t>
  </si>
  <si>
    <t>Q423</t>
  </si>
  <si>
    <t>Q124</t>
  </si>
  <si>
    <t>Q324</t>
  </si>
  <si>
    <t>Q424</t>
  </si>
  <si>
    <t>Food</t>
  </si>
  <si>
    <t>Labor</t>
  </si>
  <si>
    <t>Rent</t>
  </si>
  <si>
    <t>Other</t>
  </si>
  <si>
    <t>COGS</t>
  </si>
  <si>
    <t>Gross Profit</t>
  </si>
  <si>
    <t>G&amp;A</t>
  </si>
  <si>
    <t>Operating Income</t>
  </si>
  <si>
    <t>Pretax Income</t>
  </si>
  <si>
    <t>Taxes</t>
  </si>
  <si>
    <t>Net Income</t>
  </si>
  <si>
    <t>Interest</t>
  </si>
  <si>
    <t>Revenue y/y</t>
  </si>
  <si>
    <t>FCF</t>
  </si>
  <si>
    <t>CapEx</t>
  </si>
  <si>
    <t>CFFO</t>
  </si>
  <si>
    <t>Founded</t>
  </si>
  <si>
    <t>Stores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</si>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</sst>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m/d/yy;@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6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63BB26-C4E3-4FB9-8926-E9BA68F75D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13138</xdr:colOff>
      <xdr:row>0</xdr:row>
      <xdr:rowOff>32845</xdr:rowOff>
    </xdr:from>
    <xdr:to>
      <xdr:col>14</xdr:col>
      <xdr:colOff>13138</xdr:colOff>
      <xdr:row>47</xdr:row>
      <xdr:rowOff>65690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67BE514-264F-F736-095B-1A80CBA75E51}"/>
            </a:ext>
          </a:extLst>
        </xdr:cNvPr>
        <xdr:cNvCxnSpPr/>
      </xdr:nvCxnSpPr>
      <xdr:spPr>
        <a:xfrm>
          <a:off x="9216259" y="32845"/>
          <a:ext cx="0" cy="775137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1448-B432-421D-B3BF-39C2763C368B}">
  <dimension ref="J2:L10"/>
  <sheetViews>
    <sheetView zoomScale="145" zoomScaleNormal="145" workbookViewId="0">
      <selection activeCell="K8" sqref="K8"/>
    </sheetView>
  </sheetViews>
  <sheetFormatPr defaultRowHeight="12.75" x14ac:dyDescent="0.2"/>
  <sheetData>
    <row r="2" spans="10:12" x14ac:dyDescent="0.2">
      <c r="J2" t="s">
        <v>0</v>
      </c>
      <c r="K2" s="1">
        <v>133</v>
      </c>
    </row>
    <row r="3" spans="10:12" x14ac:dyDescent="0.2">
      <c r="J3" t="s">
        <v>1</v>
      </c>
      <c r="K3" s="3">
        <v>114.320581</v>
      </c>
      <c r="L3" s="2" t="s">
        <v>6</v>
      </c>
    </row>
    <row r="4" spans="10:12" x14ac:dyDescent="0.2">
      <c r="J4" t="s">
        <v>2</v>
      </c>
      <c r="K4" s="3">
        <f>+K2*K3</f>
        <v>15204.637273</v>
      </c>
      <c r="L4" s="2"/>
    </row>
    <row r="5" spans="10:12" x14ac:dyDescent="0.2">
      <c r="J5" t="s">
        <v>3</v>
      </c>
      <c r="K5" s="3">
        <v>343.74799999999999</v>
      </c>
      <c r="L5" s="2" t="s">
        <v>6</v>
      </c>
    </row>
    <row r="6" spans="10:12" x14ac:dyDescent="0.2">
      <c r="J6" t="s">
        <v>4</v>
      </c>
      <c r="K6" s="3">
        <v>0</v>
      </c>
      <c r="L6" s="2" t="s">
        <v>6</v>
      </c>
    </row>
    <row r="7" spans="10:12" x14ac:dyDescent="0.2">
      <c r="J7" t="s">
        <v>5</v>
      </c>
      <c r="K7" s="3">
        <f>+K4-K5+K6</f>
        <v>14860.889273000001</v>
      </c>
    </row>
    <row r="10" spans="10:12" x14ac:dyDescent="0.2">
      <c r="J10" t="s">
        <v>32</v>
      </c>
      <c r="K10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82FB-43F2-43B6-AB4A-E916E9DA41F1}">
  <dimension ref="A1:W28"/>
  <sheetViews>
    <sheetView tabSelected="1" zoomScale="145" zoomScaleNormal="145" workbookViewId="0">
      <pane xSplit="2" ySplit="3" topLeftCell="M4" activePane="bottomRight" state="frozen"/>
      <selection pane="topRight" activeCell="C1" sqref="C1"/>
      <selection pane="bottomLeft" activeCell="A3" sqref="A3"/>
      <selection pane="bottomRight" activeCell="W4" sqref="W4"/>
    </sheetView>
  </sheetViews>
  <sheetFormatPr defaultRowHeight="12.75" x14ac:dyDescent="0.2"/>
  <cols>
    <col min="1" max="1" width="5" bestFit="1" customWidth="1"/>
    <col min="2" max="2" width="15.7109375" bestFit="1" customWidth="1"/>
    <col min="3" max="10" width="10.140625" style="2" customWidth="1"/>
    <col min="14" max="14" width="8.5703125" customWidth="1"/>
  </cols>
  <sheetData>
    <row r="1" spans="1:23" x14ac:dyDescent="0.2">
      <c r="A1" t="s">
        <v>7</v>
      </c>
    </row>
    <row r="2" spans="1:23" x14ac:dyDescent="0.2">
      <c r="C2" s="8">
        <v>45032</v>
      </c>
      <c r="G2" s="8">
        <v>45403</v>
      </c>
      <c r="L2" s="9">
        <v>44561</v>
      </c>
      <c r="M2" s="9">
        <v>44926</v>
      </c>
      <c r="N2" s="9">
        <v>45291</v>
      </c>
    </row>
    <row r="3" spans="1:23" x14ac:dyDescent="0.2"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6</v>
      </c>
      <c r="I3" s="2" t="s">
        <v>14</v>
      </c>
      <c r="J3" s="2" t="s">
        <v>15</v>
      </c>
      <c r="L3">
        <v>2021</v>
      </c>
      <c r="M3">
        <v>2022</v>
      </c>
      <c r="N3">
        <v>2023</v>
      </c>
      <c r="O3">
        <v>2024</v>
      </c>
      <c r="P3">
        <f>+O3+1</f>
        <v>2025</v>
      </c>
      <c r="Q3">
        <f>+P3+1</f>
        <v>2026</v>
      </c>
      <c r="R3">
        <f>+Q3+1</f>
        <v>2027</v>
      </c>
      <c r="S3">
        <f>+R3+1</f>
        <v>2028</v>
      </c>
      <c r="T3">
        <f>+S3+1</f>
        <v>2029</v>
      </c>
      <c r="U3">
        <f>+T3+1</f>
        <v>2030</v>
      </c>
      <c r="V3">
        <f>+U3+1</f>
        <v>2031</v>
      </c>
      <c r="W3">
        <f>+V3+1</f>
        <v>2032</v>
      </c>
    </row>
    <row r="4" spans="1:23" s="3" customFormat="1" x14ac:dyDescent="0.2">
      <c r="B4" s="3" t="s">
        <v>33</v>
      </c>
      <c r="C4" s="4"/>
      <c r="D4" s="4"/>
      <c r="E4" s="4"/>
      <c r="F4" s="4"/>
      <c r="G4" s="4"/>
      <c r="H4" s="4"/>
      <c r="I4" s="4"/>
      <c r="J4" s="4"/>
      <c r="M4" s="3">
        <v>237</v>
      </c>
      <c r="N4" s="3">
        <v>309</v>
      </c>
      <c r="O4" s="3">
        <f>+N4+100</f>
        <v>409</v>
      </c>
      <c r="P4" s="3">
        <f>+O4+150</f>
        <v>559</v>
      </c>
      <c r="Q4" s="3">
        <f>+P4+200</f>
        <v>759</v>
      </c>
      <c r="R4" s="3">
        <f>+Q4+200</f>
        <v>959</v>
      </c>
      <c r="S4" s="3">
        <f>+R4+200</f>
        <v>1159</v>
      </c>
      <c r="T4" s="3">
        <f>+S4+200</f>
        <v>1359</v>
      </c>
      <c r="U4" s="3">
        <f>+T4+200</f>
        <v>1559</v>
      </c>
      <c r="V4" s="3">
        <f>+U4+200</f>
        <v>1759</v>
      </c>
      <c r="W4" s="3">
        <f>+V4+200</f>
        <v>1959</v>
      </c>
    </row>
    <row r="5" spans="1:23" x14ac:dyDescent="0.2">
      <c r="M5" s="1">
        <f>+M7/M4</f>
        <v>2.3802489451476796</v>
      </c>
      <c r="N5" s="1">
        <f>+N7/N4</f>
        <v>2.3582524271844663</v>
      </c>
    </row>
    <row r="7" spans="1:23" s="5" customFormat="1" x14ac:dyDescent="0.2">
      <c r="B7" s="5" t="s">
        <v>8</v>
      </c>
      <c r="C7" s="6">
        <v>203.083</v>
      </c>
      <c r="D7" s="6">
        <v>172.89400000000001</v>
      </c>
      <c r="E7" s="6"/>
      <c r="F7" s="6"/>
      <c r="G7" s="6">
        <v>259.00599999999997</v>
      </c>
      <c r="H7" s="6">
        <v>233.495</v>
      </c>
      <c r="I7" s="6"/>
      <c r="J7" s="6"/>
      <c r="L7" s="5">
        <v>500.072</v>
      </c>
      <c r="M7" s="5">
        <v>564.11900000000003</v>
      </c>
      <c r="N7" s="5">
        <v>728.7</v>
      </c>
      <c r="O7" s="5">
        <f>+O4*2.36</f>
        <v>965.2399999999999</v>
      </c>
      <c r="P7" s="5">
        <f t="shared" ref="P7:W7" si="0">+P4*2.36</f>
        <v>1319.24</v>
      </c>
      <c r="Q7" s="5">
        <f t="shared" si="0"/>
        <v>1791.24</v>
      </c>
      <c r="R7" s="5">
        <f t="shared" si="0"/>
        <v>2263.2399999999998</v>
      </c>
      <c r="S7" s="5">
        <f t="shared" si="0"/>
        <v>2735.24</v>
      </c>
      <c r="T7" s="5">
        <f t="shared" si="0"/>
        <v>3207.24</v>
      </c>
      <c r="U7" s="5">
        <f t="shared" si="0"/>
        <v>3679.24</v>
      </c>
      <c r="V7" s="5">
        <f t="shared" si="0"/>
        <v>4151.24</v>
      </c>
      <c r="W7" s="5">
        <f t="shared" si="0"/>
        <v>4623.24</v>
      </c>
    </row>
    <row r="8" spans="1:23" s="3" customFormat="1" x14ac:dyDescent="0.2">
      <c r="B8" s="3" t="s">
        <v>16</v>
      </c>
      <c r="C8" s="4">
        <v>59.118000000000002</v>
      </c>
      <c r="D8" s="4">
        <v>51</v>
      </c>
      <c r="E8" s="4"/>
      <c r="F8" s="4"/>
      <c r="G8" s="4">
        <v>73.947000000000003</v>
      </c>
      <c r="H8" s="4">
        <v>68.838999999999999</v>
      </c>
      <c r="I8" s="4"/>
      <c r="J8" s="4"/>
      <c r="L8" s="3">
        <v>154.77199999999999</v>
      </c>
      <c r="M8" s="3">
        <v>179.988</v>
      </c>
      <c r="N8" s="3">
        <v>213.458</v>
      </c>
    </row>
    <row r="9" spans="1:23" s="3" customFormat="1" x14ac:dyDescent="0.2">
      <c r="B9" s="3" t="s">
        <v>17</v>
      </c>
      <c r="C9" s="4">
        <v>52.154000000000003</v>
      </c>
      <c r="D9" s="4">
        <v>42.417000000000002</v>
      </c>
      <c r="E9" s="4"/>
      <c r="F9" s="4"/>
      <c r="G9" s="4">
        <v>66.513000000000005</v>
      </c>
      <c r="H9" s="4">
        <v>58.387999999999998</v>
      </c>
      <c r="I9" s="4"/>
      <c r="J9" s="4"/>
      <c r="L9" s="3">
        <v>143.39500000000001</v>
      </c>
      <c r="M9" s="3">
        <v>157.89099999999999</v>
      </c>
      <c r="N9" s="3">
        <v>187.32599999999999</v>
      </c>
    </row>
    <row r="10" spans="1:23" s="3" customFormat="1" x14ac:dyDescent="0.2">
      <c r="B10" s="3" t="s">
        <v>18</v>
      </c>
      <c r="C10" s="4">
        <v>16.599</v>
      </c>
      <c r="D10" s="4">
        <v>13.4</v>
      </c>
      <c r="E10" s="4"/>
      <c r="F10" s="4"/>
      <c r="G10" s="4">
        <v>20.422000000000001</v>
      </c>
      <c r="H10" s="4">
        <v>15.917</v>
      </c>
      <c r="I10" s="4"/>
      <c r="J10" s="4"/>
      <c r="L10" s="3">
        <v>49.298999999999999</v>
      </c>
      <c r="M10" s="3">
        <v>53.668999999999997</v>
      </c>
      <c r="N10" s="3">
        <v>58.319000000000003</v>
      </c>
    </row>
    <row r="11" spans="1:23" s="3" customFormat="1" x14ac:dyDescent="0.2">
      <c r="B11" s="3" t="s">
        <v>19</v>
      </c>
      <c r="C11" s="4">
        <v>24.648</v>
      </c>
      <c r="D11" s="4">
        <v>20.646000000000001</v>
      </c>
      <c r="E11" s="4"/>
      <c r="F11" s="4"/>
      <c r="G11" s="4">
        <v>32.758000000000003</v>
      </c>
      <c r="H11" s="4">
        <v>27.991</v>
      </c>
      <c r="I11" s="4"/>
      <c r="J11" s="4"/>
      <c r="L11" s="3">
        <v>70.453000000000003</v>
      </c>
      <c r="M11" s="3">
        <v>74.587000000000003</v>
      </c>
      <c r="N11" s="3">
        <v>89.251000000000005</v>
      </c>
    </row>
    <row r="12" spans="1:23" s="3" customFormat="1" x14ac:dyDescent="0.2">
      <c r="B12" s="3" t="s">
        <v>20</v>
      </c>
      <c r="C12" s="4">
        <f>SUM(C8:C11)</f>
        <v>152.51900000000001</v>
      </c>
      <c r="D12" s="4">
        <f>SUM(D8:D11)</f>
        <v>127.46300000000001</v>
      </c>
      <c r="E12" s="4"/>
      <c r="F12" s="4"/>
      <c r="G12" s="4">
        <f>SUM(G8:G11)</f>
        <v>193.64000000000001</v>
      </c>
      <c r="H12" s="4">
        <f>SUM(H8:H11)</f>
        <v>171.13499999999999</v>
      </c>
      <c r="I12" s="4"/>
      <c r="J12" s="4"/>
      <c r="L12" s="4">
        <f>SUM(L8:L11)</f>
        <v>417.91899999999998</v>
      </c>
      <c r="M12" s="4">
        <f>SUM(M8:M11)</f>
        <v>466.13499999999999</v>
      </c>
      <c r="N12" s="4">
        <f>SUM(N8:N11)</f>
        <v>548.35400000000004</v>
      </c>
    </row>
    <row r="13" spans="1:23" s="3" customFormat="1" x14ac:dyDescent="0.2">
      <c r="B13" s="3" t="s">
        <v>21</v>
      </c>
      <c r="C13" s="4">
        <f>+C7-C12</f>
        <v>50.563999999999993</v>
      </c>
      <c r="D13" s="4">
        <f>+D7-D12</f>
        <v>45.430999999999997</v>
      </c>
      <c r="E13" s="4"/>
      <c r="F13" s="4"/>
      <c r="G13" s="4">
        <f>+G7-G12</f>
        <v>65.365999999999957</v>
      </c>
      <c r="H13" s="4">
        <f>+H7-H12</f>
        <v>62.360000000000014</v>
      </c>
      <c r="I13" s="4"/>
      <c r="J13" s="4"/>
      <c r="L13" s="4">
        <f>+L7-L12</f>
        <v>82.15300000000002</v>
      </c>
      <c r="M13" s="4">
        <f>+M7-M12</f>
        <v>97.984000000000037</v>
      </c>
      <c r="N13" s="4">
        <f>+N7-N12</f>
        <v>180.346</v>
      </c>
      <c r="O13" s="3">
        <f>+O7*0.26</f>
        <v>250.96239999999997</v>
      </c>
      <c r="P13" s="3">
        <f>+P7*0.28</f>
        <v>369.38720000000006</v>
      </c>
      <c r="Q13" s="3">
        <f>+Q7*0.3</f>
        <v>537.37199999999996</v>
      </c>
      <c r="R13" s="3">
        <f>+R7*0.32</f>
        <v>724.2367999999999</v>
      </c>
      <c r="S13" s="3">
        <f>+S7*0.34</f>
        <v>929.98159999999996</v>
      </c>
      <c r="T13" s="3">
        <f>+T7*0.36</f>
        <v>1154.6063999999999</v>
      </c>
      <c r="U13" s="3">
        <f>+U7*0.38</f>
        <v>1398.1111999999998</v>
      </c>
      <c r="V13" s="3">
        <f>+V7*0.4</f>
        <v>1660.4960000000001</v>
      </c>
      <c r="W13" s="3">
        <f>+W7*0.42</f>
        <v>1941.7607999999998</v>
      </c>
    </row>
    <row r="14" spans="1:23" s="3" customFormat="1" x14ac:dyDescent="0.2">
      <c r="B14" s="3" t="s">
        <v>22</v>
      </c>
      <c r="C14" s="4">
        <v>29.024000000000001</v>
      </c>
      <c r="D14" s="4">
        <v>23.321000000000002</v>
      </c>
      <c r="E14" s="4"/>
      <c r="F14" s="4"/>
      <c r="G14" s="4">
        <v>33.840000000000003</v>
      </c>
      <c r="H14" s="4">
        <v>28.280999999999999</v>
      </c>
      <c r="I14" s="4"/>
      <c r="J14" s="4"/>
      <c r="L14" s="3">
        <v>64.792000000000002</v>
      </c>
      <c r="M14" s="3">
        <v>70.037000000000006</v>
      </c>
      <c r="N14" s="3">
        <v>101.491</v>
      </c>
      <c r="O14" s="3">
        <f>+N14*1.05</f>
        <v>106.56555</v>
      </c>
      <c r="P14" s="3">
        <f t="shared" ref="P14:W14" si="1">+O14*1.05</f>
        <v>111.8938275</v>
      </c>
      <c r="Q14" s="3">
        <f t="shared" si="1"/>
        <v>117.48851887500001</v>
      </c>
      <c r="R14" s="3">
        <f t="shared" si="1"/>
        <v>123.36294481875002</v>
      </c>
      <c r="S14" s="3">
        <f t="shared" si="1"/>
        <v>129.53109205968752</v>
      </c>
      <c r="T14" s="3">
        <f t="shared" si="1"/>
        <v>136.0076466626719</v>
      </c>
      <c r="U14" s="3">
        <f t="shared" si="1"/>
        <v>142.8080289958055</v>
      </c>
      <c r="V14" s="3">
        <f t="shared" si="1"/>
        <v>149.94843044559579</v>
      </c>
      <c r="W14" s="3">
        <f t="shared" si="1"/>
        <v>157.4458519678756</v>
      </c>
    </row>
    <row r="15" spans="1:23" s="3" customFormat="1" x14ac:dyDescent="0.2">
      <c r="B15" s="3" t="s">
        <v>23</v>
      </c>
      <c r="C15" s="4">
        <f>+C13-C14</f>
        <v>21.539999999999992</v>
      </c>
      <c r="D15" s="4">
        <f>+D13-D14</f>
        <v>22.109999999999996</v>
      </c>
      <c r="E15" s="4"/>
      <c r="F15" s="4"/>
      <c r="G15" s="4">
        <f>+G13-G14</f>
        <v>31.525999999999954</v>
      </c>
      <c r="H15" s="4">
        <f>+H13-H14</f>
        <v>34.079000000000015</v>
      </c>
      <c r="I15" s="4"/>
      <c r="J15" s="4"/>
      <c r="L15" s="4">
        <f>+L13-L14</f>
        <v>17.361000000000018</v>
      </c>
      <c r="M15" s="4">
        <f>+M13-M14</f>
        <v>27.947000000000031</v>
      </c>
      <c r="N15" s="4">
        <f>+N13-N14</f>
        <v>78.855000000000004</v>
      </c>
      <c r="O15" s="4">
        <f t="shared" ref="O15:W15" si="2">+O13-O14</f>
        <v>144.39684999999997</v>
      </c>
      <c r="P15" s="4">
        <f t="shared" si="2"/>
        <v>257.49337250000008</v>
      </c>
      <c r="Q15" s="4">
        <f t="shared" si="2"/>
        <v>419.88348112499995</v>
      </c>
      <c r="R15" s="4">
        <f t="shared" si="2"/>
        <v>600.87385518124984</v>
      </c>
      <c r="S15" s="4">
        <f t="shared" si="2"/>
        <v>800.45050794031249</v>
      </c>
      <c r="T15" s="4">
        <f t="shared" si="2"/>
        <v>1018.5987533373279</v>
      </c>
      <c r="U15" s="4">
        <f t="shared" si="2"/>
        <v>1255.3031710041944</v>
      </c>
      <c r="V15" s="4">
        <f t="shared" si="2"/>
        <v>1510.5475695544044</v>
      </c>
      <c r="W15" s="4">
        <f t="shared" si="2"/>
        <v>1784.3149480321242</v>
      </c>
    </row>
    <row r="16" spans="1:23" s="3" customFormat="1" x14ac:dyDescent="0.2">
      <c r="B16" s="3" t="s">
        <v>27</v>
      </c>
      <c r="C16" s="4">
        <f>0.174-0.025</f>
        <v>0.14899999999999999</v>
      </c>
      <c r="D16" s="4">
        <f>0.699+0.118</f>
        <v>0.81699999999999995</v>
      </c>
      <c r="E16" s="4"/>
      <c r="F16" s="4"/>
      <c r="G16" s="4">
        <f>4.914+0.078</f>
        <v>4.992</v>
      </c>
      <c r="H16" s="4">
        <f>3.824+0.06</f>
        <v>3.8839999999999999</v>
      </c>
      <c r="I16" s="4"/>
      <c r="J16" s="4"/>
      <c r="L16" s="3">
        <v>-4.8099999999999996</v>
      </c>
      <c r="M16" s="3">
        <v>-4.7E-2</v>
      </c>
      <c r="N16" s="3">
        <v>8.8520000000000003</v>
      </c>
    </row>
    <row r="17" spans="2:23" s="3" customFormat="1" x14ac:dyDescent="0.2">
      <c r="B17" s="3" t="s">
        <v>24</v>
      </c>
      <c r="C17" s="4">
        <f t="shared" ref="C17:F17" si="3">+C15+C16</f>
        <v>21.688999999999993</v>
      </c>
      <c r="D17" s="4">
        <f t="shared" si="3"/>
        <v>22.926999999999996</v>
      </c>
      <c r="E17" s="4">
        <f t="shared" si="3"/>
        <v>0</v>
      </c>
      <c r="F17" s="4">
        <f t="shared" si="3"/>
        <v>0</v>
      </c>
      <c r="G17" s="4">
        <f>+G15+G16</f>
        <v>36.517999999999951</v>
      </c>
      <c r="H17" s="4">
        <f>+H15+H16</f>
        <v>37.963000000000015</v>
      </c>
      <c r="I17" s="4"/>
      <c r="J17" s="4"/>
      <c r="L17" s="4">
        <f>+L15+L16</f>
        <v>12.55100000000002</v>
      </c>
      <c r="M17" s="4">
        <f>+M15+M16</f>
        <v>27.900000000000031</v>
      </c>
      <c r="N17" s="4">
        <f>+N15+N16</f>
        <v>87.707000000000008</v>
      </c>
      <c r="O17" s="4">
        <f t="shared" ref="O17:W17" si="4">+O15+O16</f>
        <v>144.39684999999997</v>
      </c>
      <c r="P17" s="4">
        <f t="shared" si="4"/>
        <v>257.49337250000008</v>
      </c>
      <c r="Q17" s="4">
        <f t="shared" si="4"/>
        <v>419.88348112499995</v>
      </c>
      <c r="R17" s="4">
        <f t="shared" si="4"/>
        <v>600.87385518124984</v>
      </c>
      <c r="S17" s="4">
        <f t="shared" si="4"/>
        <v>800.45050794031249</v>
      </c>
      <c r="T17" s="4">
        <f t="shared" si="4"/>
        <v>1018.5987533373279</v>
      </c>
      <c r="U17" s="4">
        <f t="shared" si="4"/>
        <v>1255.3031710041944</v>
      </c>
      <c r="V17" s="4">
        <f t="shared" si="4"/>
        <v>1510.5475695544044</v>
      </c>
      <c r="W17" s="4">
        <f t="shared" si="4"/>
        <v>1784.3149480321242</v>
      </c>
    </row>
    <row r="18" spans="2:23" s="3" customFormat="1" x14ac:dyDescent="0.2">
      <c r="B18" s="3" t="s">
        <v>25</v>
      </c>
      <c r="C18" s="4">
        <v>3.7999999999999999E-2</v>
      </c>
      <c r="D18" s="4">
        <v>0.04</v>
      </c>
      <c r="E18" s="4"/>
      <c r="F18" s="4"/>
      <c r="G18" s="4">
        <v>0.252</v>
      </c>
      <c r="H18" s="4">
        <v>0.28699999999999998</v>
      </c>
      <c r="I18" s="4"/>
      <c r="J18" s="4"/>
      <c r="L18" s="3">
        <v>0.11700000000000001</v>
      </c>
      <c r="M18" s="3">
        <v>9.2999999999999999E-2</v>
      </c>
      <c r="N18" s="3">
        <v>0.76800000000000002</v>
      </c>
      <c r="O18" s="3">
        <f>+O17*0.1</f>
        <v>14.439684999999997</v>
      </c>
      <c r="P18" s="3">
        <f>+P17*0.1</f>
        <v>25.749337250000011</v>
      </c>
      <c r="Q18" s="3">
        <f>+Q17*0.1</f>
        <v>41.988348112499999</v>
      </c>
      <c r="R18" s="3">
        <f>+R17*0.1</f>
        <v>60.087385518124989</v>
      </c>
      <c r="S18" s="3">
        <f>+S17*0.15</f>
        <v>120.06757619104687</v>
      </c>
      <c r="T18" s="3">
        <f>+T17*0.15</f>
        <v>152.7898130005992</v>
      </c>
      <c r="U18" s="3">
        <f>+U17*0.15</f>
        <v>188.29547565062916</v>
      </c>
      <c r="V18" s="3">
        <f>+V17*0.2</f>
        <v>302.10951391088088</v>
      </c>
      <c r="W18" s="3">
        <f>+W17*0.2</f>
        <v>356.86298960642489</v>
      </c>
    </row>
    <row r="19" spans="2:23" s="3" customFormat="1" x14ac:dyDescent="0.2">
      <c r="B19" s="3" t="s">
        <v>26</v>
      </c>
      <c r="C19" s="4">
        <f t="shared" ref="C19:F19" si="5">+C17-C18</f>
        <v>21.650999999999993</v>
      </c>
      <c r="D19" s="4">
        <f t="shared" si="5"/>
        <v>22.886999999999997</v>
      </c>
      <c r="E19" s="4">
        <f t="shared" si="5"/>
        <v>0</v>
      </c>
      <c r="F19" s="4">
        <f t="shared" si="5"/>
        <v>0</v>
      </c>
      <c r="G19" s="4">
        <f>+G17-G18</f>
        <v>36.265999999999948</v>
      </c>
      <c r="H19" s="4">
        <f>+H17-H18</f>
        <v>37.676000000000016</v>
      </c>
      <c r="I19" s="4"/>
      <c r="J19" s="4"/>
      <c r="L19" s="4">
        <f>+L17-L18</f>
        <v>12.434000000000019</v>
      </c>
      <c r="M19" s="4">
        <f>+M17-M18</f>
        <v>27.807000000000031</v>
      </c>
      <c r="N19" s="4">
        <f>+N17-N18</f>
        <v>86.939000000000007</v>
      </c>
      <c r="O19" s="4">
        <f t="shared" ref="O19:W19" si="6">+O17-O18</f>
        <v>129.95716499999997</v>
      </c>
      <c r="P19" s="4">
        <f t="shared" si="6"/>
        <v>231.74403525000008</v>
      </c>
      <c r="Q19" s="4">
        <f t="shared" si="6"/>
        <v>377.89513301249997</v>
      </c>
      <c r="R19" s="4">
        <f t="shared" si="6"/>
        <v>540.78646966312488</v>
      </c>
      <c r="S19" s="4">
        <f t="shared" si="6"/>
        <v>680.38293174926559</v>
      </c>
      <c r="T19" s="4">
        <f t="shared" si="6"/>
        <v>865.80894033672871</v>
      </c>
      <c r="U19" s="4">
        <f t="shared" si="6"/>
        <v>1067.0076953535652</v>
      </c>
      <c r="V19" s="4">
        <f t="shared" si="6"/>
        <v>1208.4380556435235</v>
      </c>
      <c r="W19" s="4">
        <f t="shared" si="6"/>
        <v>1427.4519584256993</v>
      </c>
    </row>
    <row r="21" spans="2:23" x14ac:dyDescent="0.2">
      <c r="B21" s="3" t="s">
        <v>28</v>
      </c>
      <c r="G21" s="7">
        <f>+G7/C7-1</f>
        <v>0.27537016884721988</v>
      </c>
      <c r="H21" s="7">
        <f>+H7/D7-1</f>
        <v>0.35050956077133955</v>
      </c>
      <c r="M21" s="10">
        <f>+M7/L7-1</f>
        <v>0.1280755571197747</v>
      </c>
      <c r="N21" s="10">
        <f>+N7/M7-1</f>
        <v>0.29174872677573349</v>
      </c>
      <c r="O21" s="10">
        <f t="shared" ref="O21:W21" si="7">+O7/N7-1</f>
        <v>0.32460546178125416</v>
      </c>
      <c r="P21" s="10">
        <f t="shared" si="7"/>
        <v>0.36674816625916895</v>
      </c>
      <c r="Q21" s="10">
        <f t="shared" si="7"/>
        <v>0.35778175313059024</v>
      </c>
      <c r="R21" s="10">
        <f t="shared" si="7"/>
        <v>0.26350461133069825</v>
      </c>
      <c r="S21" s="10">
        <f t="shared" si="7"/>
        <v>0.20855057351407713</v>
      </c>
      <c r="T21" s="10">
        <f t="shared" si="7"/>
        <v>0.17256255392579822</v>
      </c>
      <c r="U21" s="10">
        <f t="shared" si="7"/>
        <v>0.14716703458425306</v>
      </c>
      <c r="V21" s="10">
        <f t="shared" si="7"/>
        <v>0.12828736369467597</v>
      </c>
      <c r="W21" s="10">
        <f t="shared" si="7"/>
        <v>0.11370096645821492</v>
      </c>
    </row>
    <row r="22" spans="2:23" x14ac:dyDescent="0.2">
      <c r="B22" s="3" t="s">
        <v>34</v>
      </c>
      <c r="L22" s="10">
        <f>+L13/L7</f>
        <v>0.1642823433425587</v>
      </c>
      <c r="M22" s="10">
        <f>+M13/M7</f>
        <v>0.17369384828378415</v>
      </c>
      <c r="N22" s="10">
        <f>+N13/N7</f>
        <v>0.24749005077535335</v>
      </c>
      <c r="O22" s="10">
        <f t="shared" ref="O22:W22" si="8">+O13/O7</f>
        <v>0.26</v>
      </c>
      <c r="P22" s="10">
        <f t="shared" si="8"/>
        <v>0.28000000000000003</v>
      </c>
      <c r="Q22" s="10">
        <f t="shared" si="8"/>
        <v>0.3</v>
      </c>
      <c r="R22" s="10">
        <f t="shared" si="8"/>
        <v>0.32</v>
      </c>
      <c r="S22" s="10">
        <f t="shared" si="8"/>
        <v>0.34</v>
      </c>
      <c r="T22" s="10">
        <f t="shared" si="8"/>
        <v>0.36</v>
      </c>
      <c r="U22" s="10">
        <f t="shared" si="8"/>
        <v>0.37999999999999995</v>
      </c>
      <c r="V22" s="10">
        <f t="shared" si="8"/>
        <v>0.4</v>
      </c>
      <c r="W22" s="10">
        <f t="shared" si="8"/>
        <v>0.42</v>
      </c>
    </row>
    <row r="23" spans="2:23" x14ac:dyDescent="0.2">
      <c r="B23" s="3" t="s">
        <v>35</v>
      </c>
      <c r="L23" s="10">
        <f>+L15/L7</f>
        <v>3.4717000751891762E-2</v>
      </c>
      <c r="M23" s="10">
        <f>+M15/M7</f>
        <v>4.9540965647319149E-2</v>
      </c>
      <c r="N23" s="10">
        <f>+N15/N7</f>
        <v>0.10821325648414985</v>
      </c>
      <c r="O23" s="10">
        <f t="shared" ref="O23:W23" si="9">+O15/O7</f>
        <v>0.14959683602005719</v>
      </c>
      <c r="P23" s="10">
        <f t="shared" si="9"/>
        <v>0.19518311489948764</v>
      </c>
      <c r="Q23" s="10">
        <f t="shared" si="9"/>
        <v>0.23440939300428751</v>
      </c>
      <c r="R23" s="10">
        <f t="shared" si="9"/>
        <v>0.26549276929589877</v>
      </c>
      <c r="S23" s="10">
        <f t="shared" si="9"/>
        <v>0.29264361004530226</v>
      </c>
      <c r="T23" s="10">
        <f t="shared" si="9"/>
        <v>0.31759355499972813</v>
      </c>
      <c r="U23" s="10">
        <f t="shared" si="9"/>
        <v>0.34118545433410008</v>
      </c>
      <c r="V23" s="10">
        <f t="shared" si="9"/>
        <v>0.36387864097339701</v>
      </c>
      <c r="W23" s="10">
        <f t="shared" si="9"/>
        <v>0.38594469420409155</v>
      </c>
    </row>
    <row r="26" spans="2:23" s="3" customFormat="1" x14ac:dyDescent="0.2">
      <c r="B26" s="3" t="s">
        <v>31</v>
      </c>
      <c r="C26" s="4">
        <v>25.678999999999998</v>
      </c>
      <c r="D26" s="4">
        <v>47.11</v>
      </c>
      <c r="E26" s="4"/>
      <c r="F26" s="4"/>
      <c r="G26" s="4">
        <v>38.386000000000003</v>
      </c>
      <c r="H26" s="4">
        <v>87.295000000000002</v>
      </c>
      <c r="I26" s="4"/>
      <c r="J26" s="4"/>
      <c r="L26" s="3">
        <v>3.3929999999999998</v>
      </c>
      <c r="M26" s="3">
        <v>6.0380000000000003</v>
      </c>
      <c r="N26" s="3">
        <v>97.100999999999999</v>
      </c>
    </row>
    <row r="27" spans="2:23" s="3" customFormat="1" x14ac:dyDescent="0.2">
      <c r="B27" s="3" t="s">
        <v>30</v>
      </c>
      <c r="C27" s="4">
        <v>39.097000000000001</v>
      </c>
      <c r="D27" s="4">
        <v>72.477999999999994</v>
      </c>
      <c r="E27" s="4"/>
      <c r="F27" s="4"/>
      <c r="G27" s="4">
        <v>33.686999999999998</v>
      </c>
      <c r="H27" s="4">
        <v>59.881999999999998</v>
      </c>
      <c r="I27" s="4"/>
      <c r="J27" s="4"/>
      <c r="L27" s="3">
        <v>56.308999999999997</v>
      </c>
      <c r="M27" s="3">
        <v>104.161</v>
      </c>
      <c r="N27" s="3">
        <v>168.80600000000001</v>
      </c>
    </row>
    <row r="28" spans="2:23" s="3" customFormat="1" x14ac:dyDescent="0.2">
      <c r="B28" s="3" t="s">
        <v>29</v>
      </c>
      <c r="C28" s="4">
        <f>+C26-C27</f>
        <v>-13.418000000000003</v>
      </c>
      <c r="D28" s="4">
        <f>+D26-D27</f>
        <v>-25.367999999999995</v>
      </c>
      <c r="E28" s="4"/>
      <c r="F28" s="4"/>
      <c r="G28" s="4">
        <f>+G26-G27</f>
        <v>4.6990000000000052</v>
      </c>
      <c r="H28" s="4">
        <f>+H26-H27</f>
        <v>27.413000000000004</v>
      </c>
      <c r="I28" s="4"/>
      <c r="J28" s="4"/>
      <c r="L28" s="3">
        <f t="shared" ref="L28:M28" si="10">+L26-L27</f>
        <v>-52.915999999999997</v>
      </c>
      <c r="M28" s="3">
        <f t="shared" si="10"/>
        <v>-98.123000000000005</v>
      </c>
      <c r="N28" s="3">
        <f>+N26-N27</f>
        <v>-71.705000000000013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2024-10-13T15:03:28Z</dcterms:created>
  <dcterms:modified xsi:type="dcterms:W3CDTF">2024-10-13T15:35:23Z</dcterms:modified>
</cp:coreProperties>
</file>