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AB3203A-FAEF-4C44-A7F0-EA56E124052F}" xr6:coauthVersionLast="47" xr6:coauthVersionMax="47" xr10:uidLastSave="{00000000-0000-0000-0000-000000000000}"/>
  <bookViews>
    <workbookView xWindow="-31725" yWindow="2055" windowWidth="31650" windowHeight="18690" activeTab="1" xr2:uid="{AF5D6250-CC2E-478D-A72E-6EAEA79B8F65}"/>
  </bookViews>
  <sheets>
    <sheet name="Main" sheetId="1" r:id="rId1"/>
    <sheet name="Model" sheetId="2" r:id="rId2"/>
    <sheet name="Azure" sheetId="4" r:id="rId3"/>
    <sheet name="Productivity" sheetId="5" r:id="rId4"/>
    <sheet name="Personal Computing" sheetId="6" r:id="rId5"/>
    <sheet name="Legac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2" l="1"/>
  <c r="F16" i="2"/>
  <c r="F15" i="2"/>
  <c r="F14" i="2"/>
  <c r="F13" i="2"/>
  <c r="F12" i="2"/>
  <c r="F11" i="2"/>
  <c r="F10" i="2"/>
  <c r="F9" i="2"/>
  <c r="F8" i="2"/>
  <c r="G53" i="2"/>
  <c r="G52" i="2"/>
  <c r="G51" i="2"/>
  <c r="K110" i="2"/>
  <c r="O111" i="2" s="1"/>
  <c r="O109" i="2"/>
  <c r="K108" i="2"/>
  <c r="G107" i="2"/>
  <c r="G100" i="2"/>
  <c r="G103" i="2"/>
  <c r="G105" i="2" s="1"/>
  <c r="G94" i="2"/>
  <c r="G96" i="2"/>
  <c r="G89" i="2"/>
  <c r="G90" i="2" s="1"/>
  <c r="G83" i="2"/>
  <c r="G75" i="2"/>
  <c r="G81" i="2"/>
  <c r="G76" i="2"/>
  <c r="G73" i="2"/>
  <c r="G68" i="2"/>
  <c r="G70" i="2" s="1"/>
  <c r="G62" i="2"/>
  <c r="G61" i="2"/>
  <c r="C58" i="2"/>
  <c r="C57" i="2"/>
  <c r="C56" i="2"/>
  <c r="C55" i="2"/>
  <c r="C54" i="2"/>
  <c r="G48" i="2"/>
  <c r="C39" i="2"/>
  <c r="C34" i="2"/>
  <c r="C31" i="2"/>
  <c r="S111" i="2"/>
  <c r="R111" i="2"/>
  <c r="Q111" i="2"/>
  <c r="P111" i="2"/>
  <c r="T111" i="2"/>
  <c r="S110" i="2"/>
  <c r="R110" i="2"/>
  <c r="Q110" i="2"/>
  <c r="P110" i="2"/>
  <c r="O110" i="2"/>
  <c r="N110" i="2"/>
  <c r="M110" i="2"/>
  <c r="L110" i="2"/>
  <c r="T110" i="2"/>
  <c r="H100" i="2"/>
  <c r="H103" i="2" s="1"/>
  <c r="H94" i="2"/>
  <c r="H96" i="2" s="1"/>
  <c r="H89" i="2"/>
  <c r="H90" i="2" s="1"/>
  <c r="H107" i="2" s="1"/>
  <c r="H76" i="2"/>
  <c r="H75" i="2"/>
  <c r="H73" i="2"/>
  <c r="H81" i="2" s="1"/>
  <c r="H62" i="2"/>
  <c r="H70" i="2" s="1"/>
  <c r="H68" i="2"/>
  <c r="D58" i="2"/>
  <c r="D57" i="2"/>
  <c r="H53" i="2"/>
  <c r="H52" i="2"/>
  <c r="H51" i="2"/>
  <c r="D39" i="2"/>
  <c r="D34" i="2"/>
  <c r="D31" i="2"/>
  <c r="I53" i="2"/>
  <c r="I52" i="2"/>
  <c r="I51" i="2"/>
  <c r="E58" i="2"/>
  <c r="E57" i="2"/>
  <c r="E39" i="2"/>
  <c r="E34" i="2"/>
  <c r="E31" i="2"/>
  <c r="E35" i="2" s="1"/>
  <c r="E54" i="2" s="1"/>
  <c r="BE7" i="2"/>
  <c r="J7" i="2"/>
  <c r="J17" i="2"/>
  <c r="J16" i="2"/>
  <c r="J15" i="2"/>
  <c r="J14" i="2"/>
  <c r="J13" i="2"/>
  <c r="J12" i="2"/>
  <c r="J11" i="2"/>
  <c r="J10" i="2"/>
  <c r="J9" i="2"/>
  <c r="J8" i="2"/>
  <c r="N16" i="2"/>
  <c r="N17" i="2"/>
  <c r="N15" i="2"/>
  <c r="N14" i="2"/>
  <c r="N13" i="2"/>
  <c r="N12" i="2"/>
  <c r="N11" i="2"/>
  <c r="N10" i="2"/>
  <c r="N9" i="2"/>
  <c r="N8" i="2"/>
  <c r="R17" i="2"/>
  <c r="R16" i="2"/>
  <c r="R15" i="2"/>
  <c r="R14" i="2"/>
  <c r="R13" i="2"/>
  <c r="R12" i="2"/>
  <c r="R11" i="2"/>
  <c r="R10" i="2"/>
  <c r="R9" i="2"/>
  <c r="R8" i="2"/>
  <c r="T52" i="2"/>
  <c r="S99" i="2"/>
  <c r="S103" i="2" s="1"/>
  <c r="S100" i="2"/>
  <c r="S94" i="2"/>
  <c r="S96" i="2" s="1"/>
  <c r="S89" i="2"/>
  <c r="S90" i="2" s="1"/>
  <c r="S107" i="2" s="1"/>
  <c r="S73" i="2"/>
  <c r="S76" i="2"/>
  <c r="S75" i="2"/>
  <c r="S62" i="2"/>
  <c r="S68" i="2"/>
  <c r="T53" i="2"/>
  <c r="S53" i="2"/>
  <c r="T51" i="2"/>
  <c r="S51" i="2"/>
  <c r="S52" i="2"/>
  <c r="S34" i="2"/>
  <c r="T31" i="2"/>
  <c r="T100" i="2"/>
  <c r="T99" i="2"/>
  <c r="T103" i="2" s="1"/>
  <c r="T94" i="2"/>
  <c r="T96" i="2" s="1"/>
  <c r="T89" i="2"/>
  <c r="T90" i="2" s="1"/>
  <c r="T107" i="2" s="1"/>
  <c r="T75" i="2"/>
  <c r="T76" i="2"/>
  <c r="T73" i="2"/>
  <c r="T62" i="2"/>
  <c r="T68" i="2"/>
  <c r="V61" i="2"/>
  <c r="U61" i="2"/>
  <c r="T34" i="2"/>
  <c r="S58" i="2"/>
  <c r="BF7" i="2"/>
  <c r="L53" i="2"/>
  <c r="K53" i="2"/>
  <c r="J53" i="2"/>
  <c r="L52" i="2"/>
  <c r="K52" i="2"/>
  <c r="J52" i="2"/>
  <c r="L51" i="2"/>
  <c r="K51" i="2"/>
  <c r="J51" i="2"/>
  <c r="M53" i="2"/>
  <c r="M52" i="2"/>
  <c r="M51" i="2"/>
  <c r="R51" i="2"/>
  <c r="P51" i="2"/>
  <c r="O51" i="2"/>
  <c r="N51" i="2"/>
  <c r="P53" i="2"/>
  <c r="O53" i="2"/>
  <c r="N53" i="2"/>
  <c r="R53" i="2"/>
  <c r="R52" i="2"/>
  <c r="P52" i="2"/>
  <c r="O52" i="2"/>
  <c r="N52" i="2"/>
  <c r="P19" i="2"/>
  <c r="Q19" i="2"/>
  <c r="R19" i="2"/>
  <c r="R5" i="2"/>
  <c r="Q5" i="2"/>
  <c r="P5" i="2"/>
  <c r="I100" i="2"/>
  <c r="I103" i="2" s="1"/>
  <c r="I94" i="2"/>
  <c r="I96" i="2" s="1"/>
  <c r="I89" i="2"/>
  <c r="I90" i="2" s="1"/>
  <c r="I107" i="2" s="1"/>
  <c r="I75" i="2"/>
  <c r="I76" i="2"/>
  <c r="I73" i="2"/>
  <c r="I68" i="2"/>
  <c r="I62" i="2"/>
  <c r="J100" i="2"/>
  <c r="J103" i="2" s="1"/>
  <c r="J94" i="2"/>
  <c r="J96" i="2" s="1"/>
  <c r="J89" i="2"/>
  <c r="J90" i="2" s="1"/>
  <c r="J107" i="2" s="1"/>
  <c r="J75" i="2"/>
  <c r="J76" i="2"/>
  <c r="J73" i="2"/>
  <c r="J62" i="2"/>
  <c r="J68" i="2"/>
  <c r="Q100" i="2"/>
  <c r="Q103" i="2" s="1"/>
  <c r="Q94" i="2"/>
  <c r="Q96" i="2" s="1"/>
  <c r="Q89" i="2"/>
  <c r="Q90" i="2" s="1"/>
  <c r="Q107" i="2" s="1"/>
  <c r="R99" i="2"/>
  <c r="R103" i="2" s="1"/>
  <c r="R94" i="2"/>
  <c r="R96" i="2" s="1"/>
  <c r="R89" i="2"/>
  <c r="R90" i="2" s="1"/>
  <c r="R107" i="2" s="1"/>
  <c r="R75" i="2"/>
  <c r="R76" i="2"/>
  <c r="R73" i="2"/>
  <c r="R68" i="2"/>
  <c r="R62" i="2"/>
  <c r="R34" i="2"/>
  <c r="AY58" i="2"/>
  <c r="AY57" i="2"/>
  <c r="AY39" i="2"/>
  <c r="AY34" i="2"/>
  <c r="AY31" i="2"/>
  <c r="AY48" i="2" s="1"/>
  <c r="AY116" i="2"/>
  <c r="AY117" i="2" s="1"/>
  <c r="AX48" i="2"/>
  <c r="AX39" i="2"/>
  <c r="AX35" i="2"/>
  <c r="AX116" i="2"/>
  <c r="AX117" i="2" s="1"/>
  <c r="AW79" i="2"/>
  <c r="AW76" i="2"/>
  <c r="AW75" i="2"/>
  <c r="AW73" i="2"/>
  <c r="AW68" i="2"/>
  <c r="AW65" i="2"/>
  <c r="AW62" i="2"/>
  <c r="AW48" i="2"/>
  <c r="AW39" i="2"/>
  <c r="AW35" i="2"/>
  <c r="AW116" i="2"/>
  <c r="AW117" i="2" s="1"/>
  <c r="AV79" i="2"/>
  <c r="AV76" i="2"/>
  <c r="AV73" i="2"/>
  <c r="AV68" i="2"/>
  <c r="AV65" i="2"/>
  <c r="AV62" i="2"/>
  <c r="AV48" i="2"/>
  <c r="AV39" i="2"/>
  <c r="AV35" i="2"/>
  <c r="AV54" i="2" s="1"/>
  <c r="AV116" i="2"/>
  <c r="AV117" i="2" s="1"/>
  <c r="AV123" i="2" s="1"/>
  <c r="AU79" i="2"/>
  <c r="AU76" i="2"/>
  <c r="AU73" i="2"/>
  <c r="AU68" i="2"/>
  <c r="AU65" i="2"/>
  <c r="AU62" i="2"/>
  <c r="AU48" i="2"/>
  <c r="AU39" i="2"/>
  <c r="AU35" i="2"/>
  <c r="AU54" i="2" s="1"/>
  <c r="AU116" i="2"/>
  <c r="AU117" i="2" s="1"/>
  <c r="AU123" i="2" s="1"/>
  <c r="AT79" i="2"/>
  <c r="AT77" i="2"/>
  <c r="AT76" i="2"/>
  <c r="AT68" i="2"/>
  <c r="AT69" i="2"/>
  <c r="AT65" i="2"/>
  <c r="AT62" i="2"/>
  <c r="AT61" i="2" s="1"/>
  <c r="AT48" i="2"/>
  <c r="AT39" i="2"/>
  <c r="AT35" i="2"/>
  <c r="AT54" i="2" s="1"/>
  <c r="AT116" i="2"/>
  <c r="AT117" i="2" s="1"/>
  <c r="AS79" i="2"/>
  <c r="AS76" i="2"/>
  <c r="AS73" i="2"/>
  <c r="AS68" i="2"/>
  <c r="AS65" i="2"/>
  <c r="AS62" i="2"/>
  <c r="AS48" i="2"/>
  <c r="AS39" i="2"/>
  <c r="AS35" i="2"/>
  <c r="AS54" i="2" s="1"/>
  <c r="AS116" i="2"/>
  <c r="AS117" i="2" s="1"/>
  <c r="AR79" i="2"/>
  <c r="AR73" i="2"/>
  <c r="AR76" i="2"/>
  <c r="AR75" i="2"/>
  <c r="AR72" i="2"/>
  <c r="AR69" i="2"/>
  <c r="AR68" i="2"/>
  <c r="AR65" i="2"/>
  <c r="AR62" i="2"/>
  <c r="AR48" i="2"/>
  <c r="AR39" i="2"/>
  <c r="AR35" i="2"/>
  <c r="AR116" i="2"/>
  <c r="AR117" i="2" s="1"/>
  <c r="AQ79" i="2"/>
  <c r="AQ76" i="2"/>
  <c r="AQ62" i="2"/>
  <c r="AQ61" i="2" s="1"/>
  <c r="AQ69" i="2"/>
  <c r="AQ68" i="2"/>
  <c r="AQ65" i="2"/>
  <c r="AQ39" i="2"/>
  <c r="AQ35" i="2"/>
  <c r="AQ54" i="2" s="1"/>
  <c r="AQ48" i="2"/>
  <c r="AQ116" i="2"/>
  <c r="AQ117" i="2" s="1"/>
  <c r="AP79" i="2"/>
  <c r="AP76" i="2"/>
  <c r="AP69" i="2"/>
  <c r="AP68" i="2"/>
  <c r="AP65" i="2"/>
  <c r="AP62" i="2"/>
  <c r="AP61" i="2"/>
  <c r="AP39" i="2"/>
  <c r="AP35" i="2"/>
  <c r="AP54" i="2" s="1"/>
  <c r="AP48" i="2"/>
  <c r="AP116" i="2"/>
  <c r="AP117" i="2" s="1"/>
  <c r="AP123" i="2" s="1"/>
  <c r="AO79" i="2"/>
  <c r="AO76" i="2"/>
  <c r="AO69" i="2"/>
  <c r="AO68" i="2"/>
  <c r="AO65" i="2"/>
  <c r="AO62" i="2"/>
  <c r="AO61" i="2" s="1"/>
  <c r="AO39" i="2"/>
  <c r="AO35" i="2"/>
  <c r="AO48" i="2"/>
  <c r="AO116" i="2"/>
  <c r="AO117" i="2" s="1"/>
  <c r="AO123" i="2" s="1"/>
  <c r="AN76" i="2"/>
  <c r="AN75" i="2"/>
  <c r="AN69" i="2"/>
  <c r="AN68" i="2"/>
  <c r="AN65" i="2"/>
  <c r="AN62" i="2"/>
  <c r="AN61" i="2"/>
  <c r="AN39" i="2"/>
  <c r="AN35" i="2"/>
  <c r="AN48" i="2"/>
  <c r="AN116" i="2"/>
  <c r="AN117" i="2" s="1"/>
  <c r="AN123" i="2" s="1"/>
  <c r="AM76" i="2"/>
  <c r="AM81" i="2" s="1"/>
  <c r="AM69" i="2"/>
  <c r="AM68" i="2"/>
  <c r="AM65" i="2"/>
  <c r="AM62" i="2"/>
  <c r="AM61" i="2" s="1"/>
  <c r="AM39" i="2"/>
  <c r="AM35" i="2"/>
  <c r="AM54" i="2" s="1"/>
  <c r="AM48" i="2"/>
  <c r="AM116" i="2"/>
  <c r="AM117" i="2" s="1"/>
  <c r="AL79" i="2"/>
  <c r="AL76" i="2"/>
  <c r="AL68" i="2"/>
  <c r="AL62" i="2"/>
  <c r="AL61" i="2" s="1"/>
  <c r="AL65" i="2"/>
  <c r="AL39" i="2"/>
  <c r="AL35" i="2"/>
  <c r="AL48" i="2"/>
  <c r="AL116" i="2"/>
  <c r="AL117" i="2" s="1"/>
  <c r="AL118" i="2" s="1"/>
  <c r="AK79" i="2"/>
  <c r="AK76" i="2"/>
  <c r="AK81" i="2" s="1"/>
  <c r="AK68" i="2"/>
  <c r="AK62" i="2"/>
  <c r="AK61" i="2" s="1"/>
  <c r="AK65" i="2"/>
  <c r="AK48" i="2"/>
  <c r="AK39" i="2"/>
  <c r="AK35" i="2"/>
  <c r="AK116" i="2"/>
  <c r="AK117" i="2" s="1"/>
  <c r="AK123" i="2" s="1"/>
  <c r="AJ79" i="2"/>
  <c r="AJ81" i="2" s="1"/>
  <c r="AJ65" i="2"/>
  <c r="AJ62" i="2"/>
  <c r="AJ61" i="2" s="1"/>
  <c r="AJ39" i="2"/>
  <c r="AJ35" i="2"/>
  <c r="AJ54" i="2" s="1"/>
  <c r="AJ48" i="2"/>
  <c r="AJ116" i="2"/>
  <c r="AJ117" i="2" s="1"/>
  <c r="AJ123" i="2" s="1"/>
  <c r="AI81" i="2"/>
  <c r="AI65" i="2"/>
  <c r="AI62" i="2"/>
  <c r="AI41" i="2"/>
  <c r="AI39" i="2"/>
  <c r="AI35" i="2"/>
  <c r="AI48" i="2"/>
  <c r="AI116" i="2"/>
  <c r="AI117" i="2" s="1"/>
  <c r="AG122" i="2"/>
  <c r="AC122" i="2"/>
  <c r="AH81" i="2"/>
  <c r="AH62" i="2"/>
  <c r="AH70" i="2" s="1"/>
  <c r="AH41" i="2"/>
  <c r="AH39" i="2"/>
  <c r="AH35" i="2"/>
  <c r="AH54" i="2" s="1"/>
  <c r="AH48" i="2"/>
  <c r="AH116" i="2"/>
  <c r="AH117" i="2" s="1"/>
  <c r="AH123" i="2" s="1"/>
  <c r="AG81" i="2"/>
  <c r="AG62" i="2"/>
  <c r="AG70" i="2" s="1"/>
  <c r="AG48" i="2"/>
  <c r="AG35" i="2"/>
  <c r="AG54" i="2" s="1"/>
  <c r="AG43" i="2"/>
  <c r="AG41" i="2"/>
  <c r="AG39" i="2"/>
  <c r="AG116" i="2"/>
  <c r="AG117" i="2" s="1"/>
  <c r="AG123" i="2" s="1"/>
  <c r="AF116" i="2"/>
  <c r="AF117" i="2" s="1"/>
  <c r="AF80" i="2"/>
  <c r="AF81" i="2" s="1"/>
  <c r="AF62" i="2"/>
  <c r="AF70" i="2" s="1"/>
  <c r="AF41" i="2"/>
  <c r="AF48" i="2"/>
  <c r="AF39" i="2"/>
  <c r="AF35" i="2"/>
  <c r="AF54" i="2" s="1"/>
  <c r="AE79" i="2"/>
  <c r="AE81" i="2" s="1"/>
  <c r="AE70" i="2"/>
  <c r="AE61" i="2"/>
  <c r="AE41" i="2"/>
  <c r="AE39" i="2"/>
  <c r="AE35" i="2"/>
  <c r="AE54" i="2" s="1"/>
  <c r="AC48" i="2"/>
  <c r="AE48" i="2"/>
  <c r="AE116" i="2"/>
  <c r="AE117" i="2" s="1"/>
  <c r="AE123" i="2" s="1"/>
  <c r="AD79" i="2"/>
  <c r="AD81" i="2" s="1"/>
  <c r="AD70" i="2"/>
  <c r="AD61" i="2"/>
  <c r="AD41" i="2"/>
  <c r="AD39" i="2"/>
  <c r="AD35" i="2"/>
  <c r="AD48" i="2"/>
  <c r="AD116" i="2"/>
  <c r="AD117" i="2" s="1"/>
  <c r="AC116" i="2"/>
  <c r="AC117" i="2" s="1"/>
  <c r="Z41" i="2"/>
  <c r="Y41" i="2"/>
  <c r="Z39" i="2"/>
  <c r="Y39" i="2"/>
  <c r="Z35" i="2"/>
  <c r="Z54" i="2" s="1"/>
  <c r="Y35" i="2"/>
  <c r="Y54" i="2" s="1"/>
  <c r="AC81" i="2"/>
  <c r="AC62" i="2"/>
  <c r="AC70" i="2" s="1"/>
  <c r="AA41" i="2"/>
  <c r="AA39" i="2"/>
  <c r="AA35" i="2"/>
  <c r="AA54" i="2" s="1"/>
  <c r="AB41" i="2"/>
  <c r="AB39" i="2"/>
  <c r="AB35" i="2"/>
  <c r="AB54" i="2" s="1"/>
  <c r="AC41" i="2"/>
  <c r="AC39" i="2"/>
  <c r="AC35" i="2"/>
  <c r="AB48" i="2"/>
  <c r="AA48" i="2"/>
  <c r="Z48" i="2"/>
  <c r="Q75" i="2"/>
  <c r="Q76" i="2"/>
  <c r="Q73" i="2"/>
  <c r="Q68" i="2"/>
  <c r="Q62" i="2"/>
  <c r="Q34" i="2"/>
  <c r="Q31" i="2"/>
  <c r="Q58" i="2"/>
  <c r="BC58" i="2"/>
  <c r="BB58" i="2"/>
  <c r="BA58" i="2"/>
  <c r="BC57" i="2"/>
  <c r="BB57" i="2"/>
  <c r="BA57" i="2"/>
  <c r="AZ58" i="2"/>
  <c r="AZ57" i="2"/>
  <c r="R58" i="2"/>
  <c r="G58" i="2"/>
  <c r="F58" i="2"/>
  <c r="I57" i="2"/>
  <c r="H57" i="2"/>
  <c r="G57" i="2"/>
  <c r="F57" i="2"/>
  <c r="K58" i="2"/>
  <c r="J58" i="2"/>
  <c r="I58" i="2"/>
  <c r="H58" i="2"/>
  <c r="L57" i="2"/>
  <c r="K57" i="2"/>
  <c r="J57" i="2"/>
  <c r="O58" i="2"/>
  <c r="N58" i="2"/>
  <c r="M58" i="2"/>
  <c r="L58" i="2"/>
  <c r="P58" i="2"/>
  <c r="O57" i="2"/>
  <c r="N57" i="2"/>
  <c r="M57" i="2"/>
  <c r="P57" i="2"/>
  <c r="U29" i="2"/>
  <c r="U37" i="2"/>
  <c r="V30" i="2"/>
  <c r="V33" i="2" s="1"/>
  <c r="V58" i="2" s="1"/>
  <c r="V29" i="2"/>
  <c r="V32" i="2" s="1"/>
  <c r="Q53" i="2"/>
  <c r="Q52" i="2"/>
  <c r="BF25" i="2"/>
  <c r="P31" i="2"/>
  <c r="P100" i="2"/>
  <c r="P103" i="2" s="1"/>
  <c r="P94" i="2"/>
  <c r="P96" i="2" s="1"/>
  <c r="P89" i="2"/>
  <c r="P90" i="2" s="1"/>
  <c r="P107" i="2" s="1"/>
  <c r="P76" i="2"/>
  <c r="P75" i="2"/>
  <c r="P73" i="2"/>
  <c r="P68" i="2"/>
  <c r="P62" i="2"/>
  <c r="P39" i="2"/>
  <c r="P34" i="2"/>
  <c r="O34" i="2"/>
  <c r="U46" i="2"/>
  <c r="V46" i="2" s="1"/>
  <c r="U41" i="2"/>
  <c r="V38" i="2"/>
  <c r="BF38" i="2"/>
  <c r="BG38" i="2" s="1"/>
  <c r="BH38" i="2" s="1"/>
  <c r="BI38" i="2" s="1"/>
  <c r="BJ38" i="2" s="1"/>
  <c r="BK38" i="2" s="1"/>
  <c r="BL38" i="2" s="1"/>
  <c r="BM38" i="2" s="1"/>
  <c r="V37" i="2"/>
  <c r="V36" i="2"/>
  <c r="O100" i="2"/>
  <c r="O103" i="2" s="1"/>
  <c r="O94" i="2"/>
  <c r="O96" i="2" s="1"/>
  <c r="O89" i="2"/>
  <c r="O90" i="2" s="1"/>
  <c r="O107" i="2" s="1"/>
  <c r="C35" i="2" l="1"/>
  <c r="C40" i="2" s="1"/>
  <c r="C42" i="2" s="1"/>
  <c r="C44" i="2" s="1"/>
  <c r="C45" i="2" s="1"/>
  <c r="S70" i="2"/>
  <c r="T50" i="2"/>
  <c r="H61" i="2"/>
  <c r="T35" i="2"/>
  <c r="H105" i="2"/>
  <c r="E40" i="2"/>
  <c r="D35" i="2"/>
  <c r="J61" i="2"/>
  <c r="AK40" i="2"/>
  <c r="AK42" i="2" s="1"/>
  <c r="AK56" i="2" s="1"/>
  <c r="S61" i="2"/>
  <c r="AI70" i="2"/>
  <c r="AI40" i="2"/>
  <c r="AP81" i="2"/>
  <c r="AL81" i="2"/>
  <c r="T70" i="2"/>
  <c r="AI61" i="2"/>
  <c r="AI118" i="2" s="1"/>
  <c r="AN81" i="2"/>
  <c r="S81" i="2"/>
  <c r="S108" i="2"/>
  <c r="AJ70" i="2"/>
  <c r="T105" i="2"/>
  <c r="AD40" i="2"/>
  <c r="AD42" i="2" s="1"/>
  <c r="AD44" i="2" s="1"/>
  <c r="AD45" i="2" s="1"/>
  <c r="AO40" i="2"/>
  <c r="AO42" i="2" s="1"/>
  <c r="AO44" i="2" s="1"/>
  <c r="AO45" i="2" s="1"/>
  <c r="AH61" i="2"/>
  <c r="AH118" i="2" s="1"/>
  <c r="AN40" i="2"/>
  <c r="AN42" i="2" s="1"/>
  <c r="AN44" i="2" s="1"/>
  <c r="AN45" i="2" s="1"/>
  <c r="AP70" i="2"/>
  <c r="AT81" i="2"/>
  <c r="AW40" i="2"/>
  <c r="S105" i="2"/>
  <c r="T108" i="2"/>
  <c r="T81" i="2"/>
  <c r="T61" i="2"/>
  <c r="AT70" i="2"/>
  <c r="I81" i="2"/>
  <c r="Q51" i="2"/>
  <c r="R81" i="2"/>
  <c r="BF26" i="2"/>
  <c r="BF27" i="2"/>
  <c r="AC40" i="2"/>
  <c r="AC42" i="2" s="1"/>
  <c r="AC44" i="2" s="1"/>
  <c r="AC45" i="2" s="1"/>
  <c r="AG61" i="2"/>
  <c r="AG118" i="2" s="1"/>
  <c r="J70" i="2"/>
  <c r="AQ40" i="2"/>
  <c r="AQ42" i="2" s="1"/>
  <c r="AQ44" i="2" s="1"/>
  <c r="AQ45" i="2" s="1"/>
  <c r="AU61" i="2"/>
  <c r="AU118" i="2" s="1"/>
  <c r="AR40" i="2"/>
  <c r="AV70" i="2"/>
  <c r="AD54" i="2"/>
  <c r="Q61" i="2"/>
  <c r="AN70" i="2"/>
  <c r="R61" i="2"/>
  <c r="AU81" i="2"/>
  <c r="AO81" i="2"/>
  <c r="AQ81" i="2"/>
  <c r="AL70" i="2"/>
  <c r="AJ40" i="2"/>
  <c r="AJ42" i="2" s="1"/>
  <c r="AJ56" i="2" s="1"/>
  <c r="AQ70" i="2"/>
  <c r="AK54" i="2"/>
  <c r="AR81" i="2"/>
  <c r="AM118" i="2"/>
  <c r="AS81" i="2"/>
  <c r="AQ118" i="2"/>
  <c r="AQ123" i="2"/>
  <c r="J81" i="2"/>
  <c r="AI54" i="2"/>
  <c r="AW70" i="2"/>
  <c r="AW81" i="2"/>
  <c r="AS61" i="2"/>
  <c r="AS118" i="2" s="1"/>
  <c r="I61" i="2"/>
  <c r="Z40" i="2"/>
  <c r="Z42" i="2" s="1"/>
  <c r="AC54" i="2"/>
  <c r="I70" i="2"/>
  <c r="AE40" i="2"/>
  <c r="AE42" i="2" s="1"/>
  <c r="AE44" i="2" s="1"/>
  <c r="AE45" i="2" s="1"/>
  <c r="R105" i="2"/>
  <c r="AW54" i="2"/>
  <c r="AR61" i="2"/>
  <c r="AR118" i="2" s="1"/>
  <c r="AV81" i="2"/>
  <c r="AN54" i="2"/>
  <c r="AP40" i="2"/>
  <c r="AP42" i="2" s="1"/>
  <c r="AP44" i="2" s="1"/>
  <c r="AP45" i="2" s="1"/>
  <c r="AE118" i="2"/>
  <c r="AO54" i="2"/>
  <c r="AX123" i="2"/>
  <c r="AX118" i="2"/>
  <c r="AC123" i="2"/>
  <c r="AR123" i="2"/>
  <c r="I105" i="2"/>
  <c r="R70" i="2"/>
  <c r="J105" i="2"/>
  <c r="AK44" i="2"/>
  <c r="AK45" i="2" s="1"/>
  <c r="AH40" i="2"/>
  <c r="AH42" i="2" s="1"/>
  <c r="AC61" i="2"/>
  <c r="AC118" i="2" s="1"/>
  <c r="AM40" i="2"/>
  <c r="AM42" i="2" s="1"/>
  <c r="AL123" i="2"/>
  <c r="AS123" i="2"/>
  <c r="AD118" i="2"/>
  <c r="AM123" i="2"/>
  <c r="AK70" i="2"/>
  <c r="AF61" i="2"/>
  <c r="AF118" i="2" s="1"/>
  <c r="AV61" i="2"/>
  <c r="AV118" i="2" s="1"/>
  <c r="AX54" i="2"/>
  <c r="AX40" i="2"/>
  <c r="AU40" i="2"/>
  <c r="AY123" i="2"/>
  <c r="AY118" i="2"/>
  <c r="AK118" i="2"/>
  <c r="AS70" i="2"/>
  <c r="AF123" i="2"/>
  <c r="AO118" i="2"/>
  <c r="AP118" i="2"/>
  <c r="AY35" i="2"/>
  <c r="AY54" i="2" s="1"/>
  <c r="AJ118" i="2"/>
  <c r="AT123" i="2"/>
  <c r="AT118" i="2"/>
  <c r="AL40" i="2"/>
  <c r="AL42" i="2" s="1"/>
  <c r="AL54" i="2"/>
  <c r="AN118" i="2"/>
  <c r="AO70" i="2"/>
  <c r="AW123" i="2"/>
  <c r="AR70" i="2"/>
  <c r="AI123" i="2"/>
  <c r="AT40" i="2"/>
  <c r="AI42" i="2"/>
  <c r="Y40" i="2"/>
  <c r="Y42" i="2" s="1"/>
  <c r="AD123" i="2"/>
  <c r="AR54" i="2"/>
  <c r="AV40" i="2"/>
  <c r="AW61" i="2"/>
  <c r="AW118" i="2" s="1"/>
  <c r="AS40" i="2"/>
  <c r="AU70" i="2"/>
  <c r="AM70" i="2"/>
  <c r="R108" i="2"/>
  <c r="Q105" i="2"/>
  <c r="AG40" i="2"/>
  <c r="AG42" i="2" s="1"/>
  <c r="AG56" i="2" s="1"/>
  <c r="AF40" i="2"/>
  <c r="AF42" i="2" s="1"/>
  <c r="AA40" i="2"/>
  <c r="AA42" i="2" s="1"/>
  <c r="AB40" i="2"/>
  <c r="AB42" i="2" s="1"/>
  <c r="BF36" i="2"/>
  <c r="BG36" i="2" s="1"/>
  <c r="BH36" i="2" s="1"/>
  <c r="BI36" i="2" s="1"/>
  <c r="BJ36" i="2" s="1"/>
  <c r="BK36" i="2" s="1"/>
  <c r="BL36" i="2" s="1"/>
  <c r="BM36" i="2" s="1"/>
  <c r="Q35" i="2"/>
  <c r="Q54" i="2" s="1"/>
  <c r="V39" i="2"/>
  <c r="BF37" i="2"/>
  <c r="BG37" i="2" s="1"/>
  <c r="BH37" i="2" s="1"/>
  <c r="BI37" i="2" s="1"/>
  <c r="BJ37" i="2" s="1"/>
  <c r="BK37" i="2" s="1"/>
  <c r="BL37" i="2" s="1"/>
  <c r="BM37" i="2" s="1"/>
  <c r="V31" i="2"/>
  <c r="V35" i="2" s="1"/>
  <c r="V54" i="2" s="1"/>
  <c r="Q70" i="2"/>
  <c r="BF32" i="2"/>
  <c r="Q81" i="2"/>
  <c r="T58" i="2"/>
  <c r="T57" i="2"/>
  <c r="S57" i="2"/>
  <c r="BF46" i="2"/>
  <c r="BG46" i="2"/>
  <c r="BH46" i="2" s="1"/>
  <c r="BI46" i="2" s="1"/>
  <c r="BJ46" i="2" s="1"/>
  <c r="BK46" i="2" s="1"/>
  <c r="BL46" i="2" s="1"/>
  <c r="BM46" i="2" s="1"/>
  <c r="U32" i="2"/>
  <c r="U57" i="2" s="1"/>
  <c r="U30" i="2"/>
  <c r="U31" i="2" s="1"/>
  <c r="U35" i="2" s="1"/>
  <c r="U54" i="2" s="1"/>
  <c r="BF33" i="2"/>
  <c r="V57" i="2"/>
  <c r="T39" i="2"/>
  <c r="Q57" i="2"/>
  <c r="U36" i="2"/>
  <c r="BF29" i="2"/>
  <c r="S31" i="2"/>
  <c r="S35" i="2" s="1"/>
  <c r="BF30" i="2"/>
  <c r="S39" i="2"/>
  <c r="T48" i="2"/>
  <c r="U38" i="2"/>
  <c r="R31" i="2"/>
  <c r="V41" i="2"/>
  <c r="P61" i="2"/>
  <c r="R39" i="2"/>
  <c r="Q39" i="2"/>
  <c r="P70" i="2"/>
  <c r="P81" i="2"/>
  <c r="P35" i="2"/>
  <c r="P105" i="2"/>
  <c r="O105" i="2"/>
  <c r="O76" i="2"/>
  <c r="S50" i="2" s="1"/>
  <c r="O75" i="2"/>
  <c r="O73" i="2"/>
  <c r="O68" i="2"/>
  <c r="O62" i="2"/>
  <c r="O39" i="2"/>
  <c r="O31" i="2"/>
  <c r="F39" i="2"/>
  <c r="F34" i="2"/>
  <c r="F31" i="2"/>
  <c r="AZ39" i="2"/>
  <c r="AZ34" i="2"/>
  <c r="AZ31" i="2"/>
  <c r="AZ48" i="2" s="1"/>
  <c r="BA39" i="2"/>
  <c r="BA34" i="2"/>
  <c r="BA31" i="2"/>
  <c r="BG2" i="2"/>
  <c r="BH2" i="2" s="1"/>
  <c r="BI2" i="2" s="1"/>
  <c r="BJ2" i="2" s="1"/>
  <c r="BK2" i="2" s="1"/>
  <c r="BL2" i="2" s="1"/>
  <c r="BM2" i="2" s="1"/>
  <c r="BE43" i="2"/>
  <c r="BE41" i="2"/>
  <c r="BE46" i="2"/>
  <c r="BD46" i="2"/>
  <c r="BD43" i="2"/>
  <c r="BD41" i="2"/>
  <c r="BC39" i="2"/>
  <c r="BB39" i="2"/>
  <c r="BC34" i="2"/>
  <c r="BB34" i="2"/>
  <c r="BB31" i="2"/>
  <c r="BC31" i="2"/>
  <c r="BD2" i="2"/>
  <c r="BE2" i="2"/>
  <c r="R2" i="2"/>
  <c r="Q2" i="2"/>
  <c r="P2" i="2"/>
  <c r="T2" i="2" s="1"/>
  <c r="O2" i="2"/>
  <c r="S2" i="2" s="1"/>
  <c r="BD38" i="2"/>
  <c r="BD37" i="2"/>
  <c r="BD36" i="2"/>
  <c r="BE38" i="2"/>
  <c r="BE37" i="2"/>
  <c r="BE36" i="2"/>
  <c r="BE33" i="2"/>
  <c r="BE32" i="2"/>
  <c r="BD33" i="2"/>
  <c r="BD32" i="2"/>
  <c r="BD25" i="2"/>
  <c r="BD26" i="2"/>
  <c r="BD27" i="2"/>
  <c r="BD30" i="2"/>
  <c r="BD29" i="2"/>
  <c r="BE30" i="2"/>
  <c r="BE29" i="2"/>
  <c r="BE27" i="2"/>
  <c r="BE26" i="2"/>
  <c r="BE25" i="2"/>
  <c r="N20" i="2"/>
  <c r="N100" i="2"/>
  <c r="N103" i="2" s="1"/>
  <c r="N94" i="2"/>
  <c r="N96" i="2" s="1"/>
  <c r="N89" i="2"/>
  <c r="N90" i="2" s="1"/>
  <c r="N107" i="2" s="1"/>
  <c r="Q108" i="2" s="1"/>
  <c r="N75" i="2"/>
  <c r="N76" i="2"/>
  <c r="N73" i="2"/>
  <c r="N62" i="2"/>
  <c r="N68" i="2"/>
  <c r="N39" i="2"/>
  <c r="K100" i="2"/>
  <c r="K103" i="2" s="1"/>
  <c r="K94" i="2"/>
  <c r="K96" i="2" s="1"/>
  <c r="K89" i="2"/>
  <c r="K90" i="2" s="1"/>
  <c r="K107" i="2" s="1"/>
  <c r="L108" i="2" s="1"/>
  <c r="K76" i="2"/>
  <c r="K75" i="2"/>
  <c r="K73" i="2"/>
  <c r="K68" i="2"/>
  <c r="K62" i="2"/>
  <c r="L100" i="2"/>
  <c r="L103" i="2" s="1"/>
  <c r="L94" i="2"/>
  <c r="L96" i="2" s="1"/>
  <c r="L89" i="2"/>
  <c r="L90" i="2" s="1"/>
  <c r="L107" i="2" s="1"/>
  <c r="L76" i="2"/>
  <c r="P50" i="2" s="1"/>
  <c r="L75" i="2"/>
  <c r="L73" i="2"/>
  <c r="L68" i="2"/>
  <c r="L62" i="2"/>
  <c r="M100" i="2"/>
  <c r="M103" i="2" s="1"/>
  <c r="M94" i="2"/>
  <c r="M96" i="2" s="1"/>
  <c r="M89" i="2"/>
  <c r="M90" i="2" s="1"/>
  <c r="M107" i="2" s="1"/>
  <c r="M75" i="2"/>
  <c r="M76" i="2"/>
  <c r="M73" i="2"/>
  <c r="M68" i="2"/>
  <c r="M62" i="2"/>
  <c r="M61" i="2" s="1"/>
  <c r="L4" i="1"/>
  <c r="L7" i="1" s="1"/>
  <c r="L39" i="2"/>
  <c r="K39" i="2"/>
  <c r="J39" i="2"/>
  <c r="I39" i="2"/>
  <c r="H39" i="2"/>
  <c r="G39" i="2"/>
  <c r="M39" i="2"/>
  <c r="N34" i="2"/>
  <c r="N31" i="2"/>
  <c r="G31" i="2"/>
  <c r="H34" i="2"/>
  <c r="G34" i="2"/>
  <c r="M34" i="2"/>
  <c r="L34" i="2"/>
  <c r="K34" i="2"/>
  <c r="J34" i="2"/>
  <c r="I34" i="2"/>
  <c r="L31" i="2"/>
  <c r="P48" i="2" s="1"/>
  <c r="K31" i="2"/>
  <c r="J31" i="2"/>
  <c r="I31" i="2"/>
  <c r="I48" i="2" s="1"/>
  <c r="H31" i="2"/>
  <c r="H48" i="2" s="1"/>
  <c r="M31" i="2"/>
  <c r="Q48" i="2" s="1"/>
  <c r="D40" i="2" l="1"/>
  <c r="D54" i="2"/>
  <c r="E55" i="2"/>
  <c r="E42" i="2"/>
  <c r="N61" i="2"/>
  <c r="BE61" i="2" s="1"/>
  <c r="BF41" i="2" s="1"/>
  <c r="AN56" i="2"/>
  <c r="AO56" i="2"/>
  <c r="AO119" i="2"/>
  <c r="AN119" i="2"/>
  <c r="AS42" i="2"/>
  <c r="AS56" i="2" s="1"/>
  <c r="AS55" i="2"/>
  <c r="AR42" i="2"/>
  <c r="AR55" i="2"/>
  <c r="AU42" i="2"/>
  <c r="AU55" i="2"/>
  <c r="AV42" i="2"/>
  <c r="AV56" i="2" s="1"/>
  <c r="AV55" i="2"/>
  <c r="AW42" i="2"/>
  <c r="AW55" i="2"/>
  <c r="AX42" i="2"/>
  <c r="AX56" i="2" s="1"/>
  <c r="AX55" i="2"/>
  <c r="AT42" i="2"/>
  <c r="AT56" i="2" s="1"/>
  <c r="AT55" i="2"/>
  <c r="AQ56" i="2"/>
  <c r="AQ119" i="2"/>
  <c r="M108" i="2"/>
  <c r="Q109" i="2" s="1"/>
  <c r="Q50" i="2"/>
  <c r="M50" i="2"/>
  <c r="R50" i="2"/>
  <c r="N50" i="2"/>
  <c r="AC56" i="2"/>
  <c r="AJ44" i="2"/>
  <c r="AJ45" i="2" s="1"/>
  <c r="AD56" i="2"/>
  <c r="AP56" i="2"/>
  <c r="AE56" i="2"/>
  <c r="AY40" i="2"/>
  <c r="AC119" i="2"/>
  <c r="AP119" i="2"/>
  <c r="Y56" i="2"/>
  <c r="Y44" i="2"/>
  <c r="Y45" i="2" s="1"/>
  <c r="AH56" i="2"/>
  <c r="AH44" i="2"/>
  <c r="AH45" i="2" s="1"/>
  <c r="AB44" i="2"/>
  <c r="AB45" i="2" s="1"/>
  <c r="AB56" i="2"/>
  <c r="AU56" i="2"/>
  <c r="AU44" i="2"/>
  <c r="AU45" i="2" s="1"/>
  <c r="AA44" i="2"/>
  <c r="AA45" i="2" s="1"/>
  <c r="AA56" i="2"/>
  <c r="AE119" i="2"/>
  <c r="BB48" i="2"/>
  <c r="BE58" i="2"/>
  <c r="AL44" i="2"/>
  <c r="AL56" i="2"/>
  <c r="AD119" i="2"/>
  <c r="BD58" i="2"/>
  <c r="BF34" i="2"/>
  <c r="AF44" i="2"/>
  <c r="AF45" i="2" s="1"/>
  <c r="AF56" i="2"/>
  <c r="BE57" i="2"/>
  <c r="AG44" i="2"/>
  <c r="AG45" i="2" s="1"/>
  <c r="BD57" i="2"/>
  <c r="O50" i="2"/>
  <c r="R48" i="2"/>
  <c r="R35" i="2"/>
  <c r="R54" i="2" s="1"/>
  <c r="AI44" i="2"/>
  <c r="AI45" i="2" s="1"/>
  <c r="AI56" i="2"/>
  <c r="AK119" i="2"/>
  <c r="Z56" i="2"/>
  <c r="Z44" i="2"/>
  <c r="Z45" i="2" s="1"/>
  <c r="AM56" i="2"/>
  <c r="AM44" i="2"/>
  <c r="AS44" i="2"/>
  <c r="AS45" i="2" s="1"/>
  <c r="BF57" i="2"/>
  <c r="R57" i="2"/>
  <c r="U48" i="2"/>
  <c r="T40" i="2"/>
  <c r="S48" i="2"/>
  <c r="V40" i="2"/>
  <c r="U39" i="2"/>
  <c r="U40" i="2" s="1"/>
  <c r="V34" i="2"/>
  <c r="U33" i="2"/>
  <c r="U58" i="2" s="1"/>
  <c r="U34" i="2"/>
  <c r="BG29" i="2"/>
  <c r="BF58" i="2"/>
  <c r="V48" i="2"/>
  <c r="S54" i="2"/>
  <c r="T54" i="2"/>
  <c r="S40" i="2"/>
  <c r="Q40" i="2"/>
  <c r="J48" i="2"/>
  <c r="BD34" i="2"/>
  <c r="L61" i="2"/>
  <c r="O48" i="2"/>
  <c r="O35" i="2"/>
  <c r="O54" i="2" s="1"/>
  <c r="O70" i="2"/>
  <c r="O61" i="2"/>
  <c r="K61" i="2"/>
  <c r="P54" i="2"/>
  <c r="P40" i="2"/>
  <c r="P108" i="2"/>
  <c r="O108" i="2"/>
  <c r="S109" i="2" s="1"/>
  <c r="N108" i="2"/>
  <c r="R109" i="2" s="1"/>
  <c r="O81" i="2"/>
  <c r="BA35" i="2"/>
  <c r="BA40" i="2" s="1"/>
  <c r="F35" i="2"/>
  <c r="F40" i="2" s="1"/>
  <c r="AZ35" i="2"/>
  <c r="AZ40" i="2" s="1"/>
  <c r="BA48" i="2"/>
  <c r="BE39" i="2"/>
  <c r="BC48" i="2"/>
  <c r="BE31" i="2"/>
  <c r="BD39" i="2"/>
  <c r="BC35" i="2"/>
  <c r="BC54" i="2" s="1"/>
  <c r="BB35" i="2"/>
  <c r="BB54" i="2" s="1"/>
  <c r="BE34" i="2"/>
  <c r="BD31" i="2"/>
  <c r="N81" i="2"/>
  <c r="K81" i="2"/>
  <c r="N105" i="2"/>
  <c r="K70" i="2"/>
  <c r="N70" i="2"/>
  <c r="L48" i="2"/>
  <c r="K48" i="2"/>
  <c r="M81" i="2"/>
  <c r="K105" i="2"/>
  <c r="N48" i="2"/>
  <c r="L70" i="2"/>
  <c r="L105" i="2"/>
  <c r="G35" i="2"/>
  <c r="G54" i="2" s="1"/>
  <c r="L81" i="2"/>
  <c r="M35" i="2"/>
  <c r="M40" i="2" s="1"/>
  <c r="I35" i="2"/>
  <c r="I54" i="2" s="1"/>
  <c r="M70" i="2"/>
  <c r="M105" i="2"/>
  <c r="M48" i="2"/>
  <c r="J35" i="2"/>
  <c r="J54" i="2" s="1"/>
  <c r="K35" i="2"/>
  <c r="K54" i="2" s="1"/>
  <c r="L35" i="2"/>
  <c r="L54" i="2" s="1"/>
  <c r="H35" i="2"/>
  <c r="N35" i="2"/>
  <c r="N54" i="2" s="1"/>
  <c r="AF119" i="2" l="1"/>
  <c r="E56" i="2"/>
  <c r="E44" i="2"/>
  <c r="E45" i="2" s="1"/>
  <c r="T109" i="2"/>
  <c r="P109" i="2"/>
  <c r="D42" i="2"/>
  <c r="D55" i="2"/>
  <c r="AT44" i="2"/>
  <c r="AT45" i="2" s="1"/>
  <c r="AS119" i="2"/>
  <c r="AV44" i="2"/>
  <c r="AV45" i="2" s="1"/>
  <c r="AZ42" i="2"/>
  <c r="AZ44" i="2" s="1"/>
  <c r="AZ45" i="2" s="1"/>
  <c r="AZ55" i="2"/>
  <c r="BA42" i="2"/>
  <c r="BA55" i="2"/>
  <c r="T42" i="2"/>
  <c r="T56" i="2" s="1"/>
  <c r="T55" i="2"/>
  <c r="M42" i="2"/>
  <c r="M56" i="2" s="1"/>
  <c r="M55" i="2"/>
  <c r="V42" i="2"/>
  <c r="V43" i="2" s="1"/>
  <c r="V56" i="2" s="1"/>
  <c r="V55" i="2"/>
  <c r="AY42" i="2"/>
  <c r="AY56" i="2" s="1"/>
  <c r="AY55" i="2"/>
  <c r="Q42" i="2"/>
  <c r="Q44" i="2" s="1"/>
  <c r="Q45" i="2" s="1"/>
  <c r="Q55" i="2"/>
  <c r="F42" i="2"/>
  <c r="F44" i="2" s="1"/>
  <c r="F45" i="2" s="1"/>
  <c r="F55" i="2"/>
  <c r="AW56" i="2"/>
  <c r="AW44" i="2"/>
  <c r="P42" i="2"/>
  <c r="P56" i="2" s="1"/>
  <c r="P55" i="2"/>
  <c r="AR44" i="2"/>
  <c r="AR56" i="2"/>
  <c r="U42" i="2"/>
  <c r="U43" i="2" s="1"/>
  <c r="U56" i="2" s="1"/>
  <c r="U55" i="2"/>
  <c r="AX44" i="2"/>
  <c r="S42" i="2"/>
  <c r="S56" i="2" s="1"/>
  <c r="S55" i="2"/>
  <c r="AJ119" i="2"/>
  <c r="R40" i="2"/>
  <c r="AG119" i="2"/>
  <c r="AH119" i="2"/>
  <c r="AT119" i="2"/>
  <c r="AU119" i="2"/>
  <c r="AL45" i="2"/>
  <c r="AL119" i="2"/>
  <c r="AV119" i="2"/>
  <c r="AI119" i="2"/>
  <c r="T44" i="2"/>
  <c r="AM45" i="2"/>
  <c r="AM119" i="2"/>
  <c r="AZ54" i="2"/>
  <c r="BB40" i="2"/>
  <c r="BD35" i="2"/>
  <c r="BD54" i="2" s="1"/>
  <c r="BH29" i="2"/>
  <c r="BG32" i="2"/>
  <c r="BG57" i="2" s="1"/>
  <c r="O40" i="2"/>
  <c r="BA54" i="2"/>
  <c r="BH39" i="2"/>
  <c r="BF39" i="2"/>
  <c r="BE35" i="2"/>
  <c r="BE40" i="2" s="1"/>
  <c r="BG39" i="2"/>
  <c r="BE54" i="2"/>
  <c r="BC40" i="2"/>
  <c r="M54" i="2"/>
  <c r="F54" i="2"/>
  <c r="AZ56" i="2"/>
  <c r="BA44" i="2"/>
  <c r="BA45" i="2" s="1"/>
  <c r="BA56" i="2"/>
  <c r="BF31" i="2"/>
  <c r="BG30" i="2"/>
  <c r="BI39" i="2"/>
  <c r="BD48" i="2"/>
  <c r="BE48" i="2"/>
  <c r="N40" i="2"/>
  <c r="I40" i="2"/>
  <c r="G40" i="2"/>
  <c r="H40" i="2"/>
  <c r="H54" i="2"/>
  <c r="L40" i="2"/>
  <c r="K40" i="2"/>
  <c r="J40" i="2"/>
  <c r="Q56" i="2" l="1"/>
  <c r="D44" i="2"/>
  <c r="D45" i="2" s="1"/>
  <c r="D56" i="2"/>
  <c r="BD40" i="2"/>
  <c r="F56" i="2"/>
  <c r="BB42" i="2"/>
  <c r="BB55" i="2"/>
  <c r="BE42" i="2"/>
  <c r="BE56" i="2" s="1"/>
  <c r="BE55" i="2"/>
  <c r="J42" i="2"/>
  <c r="J56" i="2" s="1"/>
  <c r="J55" i="2"/>
  <c r="P44" i="2"/>
  <c r="P45" i="2" s="1"/>
  <c r="N42" i="2"/>
  <c r="N44" i="2" s="1"/>
  <c r="N83" i="2" s="1"/>
  <c r="N55" i="2"/>
  <c r="R42" i="2"/>
  <c r="R55" i="2"/>
  <c r="M44" i="2"/>
  <c r="M45" i="2" s="1"/>
  <c r="BD42" i="2"/>
  <c r="BD56" i="2" s="1"/>
  <c r="BD55" i="2"/>
  <c r="K42" i="2"/>
  <c r="K44" i="2" s="1"/>
  <c r="K45" i="2" s="1"/>
  <c r="K55" i="2"/>
  <c r="BC42" i="2"/>
  <c r="BC44" i="2" s="1"/>
  <c r="BC45" i="2" s="1"/>
  <c r="BC55" i="2"/>
  <c r="H42" i="2"/>
  <c r="H56" i="2" s="1"/>
  <c r="H55" i="2"/>
  <c r="I42" i="2"/>
  <c r="I56" i="2" s="1"/>
  <c r="I55" i="2"/>
  <c r="AY44" i="2"/>
  <c r="AY45" i="2" s="1"/>
  <c r="AR45" i="2"/>
  <c r="AR119" i="2"/>
  <c r="AW45" i="2"/>
  <c r="AW119" i="2"/>
  <c r="T45" i="2"/>
  <c r="T83" i="2"/>
  <c r="G42" i="2"/>
  <c r="G44" i="2" s="1"/>
  <c r="G45" i="2" s="1"/>
  <c r="G55" i="2"/>
  <c r="V44" i="2"/>
  <c r="V45" i="2" s="1"/>
  <c r="O42" i="2"/>
  <c r="O56" i="2" s="1"/>
  <c r="O55" i="2"/>
  <c r="AX45" i="2"/>
  <c r="AX119" i="2"/>
  <c r="L42" i="2"/>
  <c r="L56" i="2" s="1"/>
  <c r="L55" i="2"/>
  <c r="S44" i="2"/>
  <c r="S45" i="2" s="1"/>
  <c r="U44" i="2"/>
  <c r="U45" i="2" s="1"/>
  <c r="S83" i="2"/>
  <c r="BF35" i="2"/>
  <c r="BF48" i="2"/>
  <c r="BI29" i="2"/>
  <c r="BH32" i="2"/>
  <c r="BH57" i="2" s="1"/>
  <c r="BG33" i="2"/>
  <c r="BG58" i="2" s="1"/>
  <c r="Q83" i="2"/>
  <c r="BG31" i="2"/>
  <c r="BH30" i="2"/>
  <c r="BJ39" i="2"/>
  <c r="O44" i="2" l="1"/>
  <c r="O45" i="2" s="1"/>
  <c r="J44" i="2"/>
  <c r="G56" i="2"/>
  <c r="I44" i="2"/>
  <c r="I45" i="2" s="1"/>
  <c r="BD44" i="2"/>
  <c r="BD45" i="2" s="1"/>
  <c r="K56" i="2"/>
  <c r="N56" i="2"/>
  <c r="BE44" i="2"/>
  <c r="BE45" i="2" s="1"/>
  <c r="H44" i="2"/>
  <c r="O83" i="2"/>
  <c r="AY119" i="2"/>
  <c r="R56" i="2"/>
  <c r="R44" i="2"/>
  <c r="P83" i="2"/>
  <c r="L44" i="2"/>
  <c r="L45" i="2" s="1"/>
  <c r="M83" i="2"/>
  <c r="BC56" i="2"/>
  <c r="BB56" i="2"/>
  <c r="BB44" i="2"/>
  <c r="BB45" i="2" s="1"/>
  <c r="J45" i="2"/>
  <c r="J83" i="2"/>
  <c r="I83" i="2"/>
  <c r="BJ29" i="2"/>
  <c r="BI32" i="2"/>
  <c r="BI57" i="2" s="1"/>
  <c r="BH33" i="2"/>
  <c r="BH58" i="2" s="1"/>
  <c r="BG35" i="2"/>
  <c r="BG34" i="2" s="1"/>
  <c r="K83" i="2"/>
  <c r="BG48" i="2"/>
  <c r="BF54" i="2"/>
  <c r="BF40" i="2"/>
  <c r="BI30" i="2"/>
  <c r="BH31" i="2"/>
  <c r="N45" i="2"/>
  <c r="BK39" i="2"/>
  <c r="H45" i="2" l="1"/>
  <c r="H83" i="2"/>
  <c r="BF42" i="2"/>
  <c r="BF43" i="2" s="1"/>
  <c r="BF56" i="2" s="1"/>
  <c r="BF55" i="2"/>
  <c r="R83" i="2"/>
  <c r="R45" i="2"/>
  <c r="L83" i="2"/>
  <c r="BK29" i="2"/>
  <c r="BJ32" i="2"/>
  <c r="BJ57" i="2" s="1"/>
  <c r="BH35" i="2"/>
  <c r="BH34" i="2" s="1"/>
  <c r="BI33" i="2"/>
  <c r="BI58" i="2" s="1"/>
  <c r="BH48" i="2"/>
  <c r="BG40" i="2"/>
  <c r="BG55" i="2" s="1"/>
  <c r="BG54" i="2"/>
  <c r="BJ30" i="2"/>
  <c r="BI31" i="2"/>
  <c r="BI35" i="2" s="1"/>
  <c r="BM39" i="2"/>
  <c r="BL39" i="2"/>
  <c r="BL29" i="2" l="1"/>
  <c r="BK32" i="2"/>
  <c r="BK57" i="2" s="1"/>
  <c r="BJ33" i="2"/>
  <c r="BJ58" i="2" s="1"/>
  <c r="BF44" i="2"/>
  <c r="BI48" i="2"/>
  <c r="BK30" i="2"/>
  <c r="BJ31" i="2"/>
  <c r="BJ35" i="2" s="1"/>
  <c r="BH54" i="2"/>
  <c r="BH40" i="2"/>
  <c r="BH55" i="2" s="1"/>
  <c r="BM29" i="2" l="1"/>
  <c r="BL32" i="2"/>
  <c r="BL57" i="2" s="1"/>
  <c r="BK33" i="2"/>
  <c r="BK58" i="2" s="1"/>
  <c r="BF61" i="2"/>
  <c r="BF45" i="2"/>
  <c r="BJ48" i="2"/>
  <c r="BL30" i="2"/>
  <c r="BK31" i="2"/>
  <c r="BK35" i="2" s="1"/>
  <c r="BI34" i="2"/>
  <c r="BI54" i="2"/>
  <c r="BI40" i="2"/>
  <c r="BI55" i="2" s="1"/>
  <c r="BG41" i="2" l="1"/>
  <c r="BG42" i="2" s="1"/>
  <c r="BM32" i="2"/>
  <c r="BM57" i="2" s="1"/>
  <c r="BL33" i="2"/>
  <c r="BL58" i="2" s="1"/>
  <c r="BK48" i="2"/>
  <c r="BJ54" i="2"/>
  <c r="BJ40" i="2"/>
  <c r="BJ55" i="2" s="1"/>
  <c r="BJ34" i="2"/>
  <c r="BM30" i="2"/>
  <c r="BL31" i="2"/>
  <c r="BL35" i="2" s="1"/>
  <c r="BG43" i="2" l="1"/>
  <c r="BG56" i="2" s="1"/>
  <c r="BM31" i="2"/>
  <c r="BM35" i="2" s="1"/>
  <c r="BM33" i="2"/>
  <c r="BM58" i="2" s="1"/>
  <c r="BL48" i="2"/>
  <c r="BK40" i="2"/>
  <c r="BK55" i="2" s="1"/>
  <c r="BK34" i="2"/>
  <c r="BK54" i="2"/>
  <c r="BG44" i="2" l="1"/>
  <c r="BM48" i="2"/>
  <c r="BM54" i="2"/>
  <c r="BM34" i="2"/>
  <c r="BM40" i="2"/>
  <c r="BM55" i="2" s="1"/>
  <c r="BL34" i="2"/>
  <c r="BL54" i="2"/>
  <c r="BL40" i="2"/>
  <c r="BL55" i="2" s="1"/>
  <c r="BG45" i="2" l="1"/>
  <c r="BG61" i="2"/>
  <c r="BH41" i="2" s="1"/>
  <c r="BH42" i="2" s="1"/>
  <c r="BH43" i="2" l="1"/>
  <c r="BH56" i="2" s="1"/>
  <c r="BH44" i="2"/>
  <c r="BH61" i="2" l="1"/>
  <c r="BI41" i="2" s="1"/>
  <c r="BI42" i="2" s="1"/>
  <c r="BI43" i="2" s="1"/>
  <c r="BI56" i="2" s="1"/>
  <c r="BH45" i="2"/>
  <c r="BI44" i="2" l="1"/>
  <c r="BI61" i="2" s="1"/>
  <c r="BJ41" i="2" s="1"/>
  <c r="BJ42" i="2" s="1"/>
  <c r="BI45" i="2" l="1"/>
  <c r="BJ43" i="2"/>
  <c r="BJ56" i="2" s="1"/>
  <c r="BJ44" i="2" l="1"/>
  <c r="BJ45" i="2" l="1"/>
  <c r="BJ61" i="2"/>
  <c r="BK41" i="2"/>
  <c r="BK42" i="2" s="1"/>
  <c r="BK43" i="2" l="1"/>
  <c r="BK56" i="2" s="1"/>
  <c r="BK44" i="2" l="1"/>
  <c r="BK45" i="2" l="1"/>
  <c r="BK61" i="2"/>
  <c r="BL41" i="2" s="1"/>
  <c r="BL42" i="2" s="1"/>
  <c r="BL43" i="2" l="1"/>
  <c r="BL56" i="2" s="1"/>
  <c r="BL44" i="2" l="1"/>
  <c r="BL45" i="2" l="1"/>
  <c r="BL61" i="2"/>
  <c r="BM41" i="2" s="1"/>
  <c r="BM42" i="2" s="1"/>
  <c r="BM43" i="2" l="1"/>
  <c r="BM56" i="2" s="1"/>
  <c r="BM44" i="2" l="1"/>
  <c r="BN44" i="2" s="1"/>
  <c r="BO44" i="2" s="1"/>
  <c r="BP44" i="2" s="1"/>
  <c r="BQ44" i="2" s="1"/>
  <c r="BR44" i="2" s="1"/>
  <c r="BS44" i="2" s="1"/>
  <c r="BT44" i="2" s="1"/>
  <c r="BU44" i="2" s="1"/>
  <c r="BV44" i="2" s="1"/>
  <c r="BW44" i="2" s="1"/>
  <c r="BX44" i="2" s="1"/>
  <c r="BY44" i="2" s="1"/>
  <c r="BZ44" i="2" s="1"/>
  <c r="CA44" i="2" s="1"/>
  <c r="CB44" i="2" s="1"/>
  <c r="CC44" i="2" s="1"/>
  <c r="CD44" i="2" s="1"/>
  <c r="CE44" i="2" s="1"/>
  <c r="CF44" i="2" s="1"/>
  <c r="CG44" i="2" s="1"/>
  <c r="CH44" i="2" s="1"/>
  <c r="CI44" i="2" s="1"/>
  <c r="CJ44" i="2" s="1"/>
  <c r="CK44" i="2" s="1"/>
  <c r="CL44" i="2" s="1"/>
  <c r="CM44" i="2" s="1"/>
  <c r="CN44" i="2" s="1"/>
  <c r="CO44" i="2" s="1"/>
  <c r="CP44" i="2" s="1"/>
  <c r="CQ44" i="2" s="1"/>
  <c r="CR44" i="2" s="1"/>
  <c r="CS44" i="2" s="1"/>
  <c r="CT44" i="2" s="1"/>
  <c r="CU44" i="2" s="1"/>
  <c r="CV44" i="2" s="1"/>
  <c r="CW44" i="2" s="1"/>
  <c r="CX44" i="2" s="1"/>
  <c r="CY44" i="2" s="1"/>
  <c r="CZ44" i="2" s="1"/>
  <c r="DA44" i="2" s="1"/>
  <c r="DB44" i="2" s="1"/>
  <c r="DC44" i="2" s="1"/>
  <c r="DD44" i="2" s="1"/>
  <c r="DE44" i="2" s="1"/>
  <c r="DF44" i="2" s="1"/>
  <c r="DG44" i="2" s="1"/>
  <c r="DH44" i="2" s="1"/>
  <c r="DI44" i="2" s="1"/>
  <c r="DJ44" i="2" s="1"/>
  <c r="DK44" i="2" s="1"/>
  <c r="DL44" i="2" s="1"/>
  <c r="DM44" i="2" s="1"/>
  <c r="DN44" i="2" s="1"/>
  <c r="DO44" i="2" s="1"/>
  <c r="DP44" i="2" s="1"/>
  <c r="DQ44" i="2" s="1"/>
  <c r="DR44" i="2" s="1"/>
  <c r="DS44" i="2" s="1"/>
  <c r="BP54" i="2" s="1"/>
  <c r="BP56" i="2" s="1"/>
  <c r="BM61" i="2" l="1"/>
  <c r="BM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tc={A9B57C90-F042-456E-9599-71B00A53636C}</author>
  </authors>
  <commentList>
    <comment ref="B17" authorId="0" shapeId="0" xr:uid="{A9B57C90-F042-456E-9599-71B00A53636C}">
      <text>
        <t>[Threaded comment]
Your version of Excel allows you to read this threaded comment; however, any edits to it will get removed if the file is opened in a newer version of Excel. Learn more: https://go.microsoft.com/fwlink/?linkid=870924
Comment:
    280m MAU CQ422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tc={C3B43970-9624-4440-A221-208CFA9224F4}</author>
    <author>tc={495E5562-8828-4FA8-84E7-259BB5495AC2}</author>
    <author>tc={8AC866B7-A6C9-4AFE-88B5-A371DED6226E}</author>
    <author>tc={ECADAB22-36B1-41A2-AD23-FFF1F2EAB8AC}</author>
    <author>tc={1CA79B8E-9FD8-4E2D-9412-7A77DDB83F01}</author>
    <author>tc={96AC5426-8FEE-464D-8105-8764B3629F77}</author>
    <author>tc={3A6A4C0B-9CA9-4EA2-8610-4020B0DDB40E}</author>
    <author>tc={6B1B9C92-FEE7-475D-B41A-E884CF55D05D}</author>
    <author>tc={2883B5CB-9CE6-4897-A415-6E91690048D2}</author>
    <author>tc={6A5307CC-CCBA-4CAC-BF0C-55B40FBD45DC}</author>
    <author>tc={8F896F81-6E53-40A7-B585-0CF468064875}</author>
    <author>tc={1708469E-E4B0-42B4-A74A-7F2EA54BA260}</author>
    <author>tc={6C2A9AED-575A-4447-8CAD-2E4A869395ED}</author>
    <author>tc={1194B53B-11DF-4936-8FD7-77F49319A1C9}</author>
    <author>tc={B7D8227E-9C6A-4B9D-BCEB-E38F55E93FBB}</author>
    <author>tc={C7BC1CA5-759B-43A0-833B-88C4CD54B000}</author>
    <author>tc={21797C47-1950-4375-853A-A1712EF01174}</author>
    <author>tc={AA439B2E-FC6E-4E0D-A042-CA20F999D88F}</author>
    <author>tc={EC9B7190-CE1A-4E78-A2EF-A3F3AADAB339}</author>
    <author>tc={F728FAC2-51F0-4023-AB40-41F83CEF5C89}</author>
    <author>tc={A9249A39-B9EC-4BC7-B87E-1B27108C92D8}</author>
    <author>tc={246E0C01-DF1D-4F91-A337-4DE00EFEDDC8}</author>
    <author>tc={730404D6-8355-478B-BCFF-9D938DC1FD29}</author>
    <author>tc={DCFC0E54-F0B5-4901-BBC6-12237E7E3B9E}</author>
    <author>tc={1C31850E-87A1-42A5-A544-D7C66ECB0D78}</author>
    <author>tc={6CD6DA57-15E4-4617-9E8A-DE627D4291F4}</author>
    <author>tc={530E3A34-4790-4FEE-B8A2-EEE361836B57}</author>
    <author>tc={6550F107-B2DD-468B-9840-A88B103B8C6E}</author>
    <author>tc={B0B4B47A-77DB-4469-A3F3-BA8FF53995B8}</author>
    <author>tc={672EF133-CF99-4F62-BC53-D74F59EFAF45}</author>
    <author>tc={667BC7EE-5E86-47FC-B964-2C031A25E303}</author>
    <author>tc={7492A336-ABB9-4529-8350-AF762E5855FF}</author>
    <author>tc={9D309CA1-66AA-4222-B1F7-ACD53E16B28F}</author>
    <author>tc={48518769-DF2C-4CE7-8344-8EDB6814ABC3}</author>
    <author>tc={207240C6-AA0E-47C1-A8DC-C70F3CF7F6CF}</author>
    <author>tc={615EEB63-0CBB-48DD-AEFA-DCC9511390CB}</author>
  </authors>
  <commentList>
    <comment ref="P4" authorId="0" shapeId="0" xr:uid="{C3B43970-9624-4440-A221-208CFA9224F4}">
      <text>
        <t>[Threaded comment]
Your version of Excel allows you to read this threaded comment; however, any edits to it will get removed if the file is opened in a newer version of Excel. Learn more: https://go.microsoft.com/fwlink/?linkid=870924
Comment:
    45% NTM</t>
      </text>
    </comment>
    <comment ref="B7" authorId="1" shapeId="0" xr:uid="{495E5562-8828-4FA8-84E7-259BB5495AC2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Azure, Office 365, LinkedIn, Dynamics 365</t>
      </text>
    </comment>
    <comment ref="R19" authorId="2" shapeId="0" xr:uid="{8AC866B7-A6C9-4AFE-88B5-A371DED6226E}">
      <text>
        <t>[Threaded comment]
Your version of Excel allows you to read this threaded comment; however, any edits to it will get removed if the file is opened in a newer version of Excel. Learn more: https://go.microsoft.com/fwlink/?linkid=870924
Comment:
    +23% CC</t>
      </text>
    </comment>
    <comment ref="P20" authorId="3" shapeId="0" xr:uid="{ECADAB22-36B1-41A2-AD23-FFF1F2EAB8AC}">
      <text>
        <t>[Threaded comment]
Your version of Excel allows you to read this threaded comment; however, any edits to it will get removed if the file is opened in a newer version of Excel. Learn more: https://go.microsoft.com/fwlink/?linkid=870924
Comment:
    +14% CC</t>
      </text>
    </comment>
    <comment ref="R20" authorId="4" shapeId="0" xr:uid="{1CA79B8E-9FD8-4E2D-9412-7A77DDB83F01}">
      <text>
        <t>[Threaded comment]
Your version of Excel allows you to read this threaded comment; however, any edits to it will get removed if the file is opened in a newer version of Excel. Learn more: https://go.microsoft.com/fwlink/?linkid=870924
Comment:
    +7% LinkedIn revenue CC</t>
      </text>
    </comment>
    <comment ref="BF20" authorId="5" shapeId="0" xr:uid="{96AC5426-8FEE-464D-8105-8764B3629F77}">
      <text>
        <t>[Threaded comment]
Your version of Excel allows you to read this threaded comment; however, any edits to it will get removed if the file is opened in a newer version of Excel. Learn more: https://go.microsoft.com/fwlink/?linkid=870924
Comment:
    +27% CC</t>
      </text>
    </comment>
    <comment ref="R23" authorId="6" shapeId="0" xr:uid="{3A6A4C0B-9CA9-4EA2-8610-4020B0DDB40E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hardware -13%
Content &amp; Services +6%</t>
      </text>
    </comment>
    <comment ref="S23" authorId="7" shapeId="0" xr:uid="{6B1B9C92-FEE7-475D-B41A-E884CF55D05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+MSD</t>
      </text>
    </comment>
    <comment ref="P25" authorId="8" shapeId="0" xr:uid="{2883B5CB-9CE6-4897-A415-6E91690048D2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+20%</t>
      </text>
    </comment>
    <comment ref="Q25" authorId="9" shapeId="0" xr:uid="{6A5307CC-CCBA-4CAC-BF0C-55B40FBD45DC}">
      <text>
        <t>[Threaded comment]
Your version of Excel allows you to read this threaded comment; however, any edits to it will get removed if the file is opened in a newer version of Excel. Learn more: https://go.microsoft.com/fwlink/?linkid=870924
Comment:
    +11-13%
16.9-17.2B</t>
      </text>
    </comment>
    <comment ref="R25" authorId="10" shapeId="0" xr:uid="{8F896F81-6E53-40A7-B585-0CF468064875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17.9-18.2B</t>
      </text>
    </comment>
    <comment ref="S25" authorId="11" shapeId="0" xr:uid="{1708469E-E4B0-42B4-A74A-7F2EA54BA260}">
      <text>
        <t>[Threaded comment]
Your version of Excel allows you to read this threaded comment; however, any edits to it will get removed if the file is opened in a newer version of Excel. Learn more: https://go.microsoft.com/fwlink/?linkid=870924
Comment:
    18000-18300 guidance Q423</t>
      </text>
    </comment>
    <comment ref="BF25" authorId="12" shapeId="0" xr:uid="{6C2A9AED-575A-4447-8CAD-2E4A869395ED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$5B
LinkedIn $15B</t>
      </text>
    </comment>
    <comment ref="K26" authorId="13" shapeId="0" xr:uid="{1194B53B-11DF-4936-8FD7-77F49319A1C9}">
      <text>
        <t>[Threaded comment]
Your version of Excel allows you to read this threaded comment; however, any edits to it will get removed if the file is opened in a newer version of Excel. Learn more: https://go.microsoft.com/fwlink/?linkid=870924
Comment:
    16964 old</t>
      </text>
    </comment>
    <comment ref="P26" authorId="14" shapeId="0" xr:uid="{B7D8227E-9C6A-4B9D-BCEB-E38F55E9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 growth moderated
Grew from Nuance</t>
      </text>
    </comment>
    <comment ref="Q26" authorId="15" shapeId="0" xr:uid="{C7BC1CA5-759B-43A0-833B-88C4CD54B00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21.7-22.0B</t>
      </text>
    </comment>
    <comment ref="R26" authorId="16" shapeId="0" xr:uid="{21797C47-1950-4375-853A-A1712EF01174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23.6-23.9B</t>
      </text>
    </comment>
    <comment ref="S26" authorId="17" shapeId="0" xr:uid="{AA439B2E-FC6E-4E0D-A042-CA20F999D88F}">
      <text>
        <t>[Threaded comment]
Your version of Excel allows you to read this threaded comment; however, any edits to it will get removed if the file is opened in a newer version of Excel. Learn more: https://go.microsoft.com/fwlink/?linkid=870924
Comment:
    23.3-23.6B Q423</t>
      </text>
    </comment>
    <comment ref="B27" authorId="18" shapeId="0" xr:uid="{EC9B7190-CE1A-4E78-A2EF-A3F3AADAB339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Windows, Gaming, Devices, Search and News Advertising</t>
      </text>
    </comment>
    <comment ref="K27" authorId="19" shapeId="0" xr:uid="{F728FAC2-51F0-4023-AB40-41F83CEF5C89}">
      <text>
        <t>[Threaded comment]
Your version of Excel allows you to read this threaded comment; however, any edits to it will get removed if the file is opened in a newer version of Excel. Learn more: https://go.microsoft.com/fwlink/?linkid=870924
Comment:
    13314 prior</t>
      </text>
    </comment>
    <comment ref="P27" authorId="20" shapeId="0" xr:uid="{A9249A39-B9EC-4BC7-B87E-1B27108C92D8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 OEM -39% inline, Windows 11 referral caused strong comp
PC in-line
Surface "execution challenges" on new product launches</t>
      </text>
    </comment>
    <comment ref="Q27" authorId="21" shapeId="0" xr:uid="{246E0C01-DF1D-4F91-A337-4DE00EFE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FQ223 guidance: 11.9-12.3B</t>
      </text>
    </comment>
    <comment ref="R27" authorId="22" shapeId="0" xr:uid="{730404D6-8355-478B-BCFF-9D938DC1FD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13.35-13.75B
Xandr acquisition benefit</t>
      </text>
    </comment>
    <comment ref="S27" authorId="23" shapeId="0" xr:uid="{DCFC0E54-F0B5-4901-BBC6-12237E7E3B9E}">
      <text>
        <t>[Threaded comment]
Your version of Excel allows you to read this threaded comment; however, any edits to it will get removed if the file is opened in a newer version of Excel. Learn more: https://go.microsoft.com/fwlink/?linkid=870924
Comment:
    12.5-12.9B Q423</t>
      </text>
    </comment>
    <comment ref="AA27" authorId="24" shapeId="0" xr:uid="{1C31850E-87A1-42A5-A544-D7C66ECB0D7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254m</t>
      </text>
    </comment>
    <comment ref="AB27" authorId="25" shapeId="0" xr:uid="{6CD6DA57-15E4-4617-9E8A-DE627D4291F4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233m</t>
      </text>
    </comment>
    <comment ref="AC27" authorId="26" shapeId="0" xr:uid="{530E3A34-4790-4FEE-B8A2-EEE361836B57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203m</t>
      </text>
    </comment>
    <comment ref="P31" authorId="27" shapeId="0" xr:uid="{6550F107-B2DD-468B-9840-A88B103B8C6E}">
      <text>
        <t>[Threaded comment]
Your version of Excel allows you to read this threaded comment; however, any edits to it will get removed if the file is opened in a newer version of Excel. Learn more: https://go.microsoft.com/fwlink/?linkid=870924
Comment:
    Saw weakening in December
US weaker than expected</t>
      </text>
    </comment>
    <comment ref="Q31" authorId="28" shapeId="0" xr:uid="{B0B4B47A-77DB-4469-A3F3-BA8FF53995B8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Consensus: 51.02B
Q223 guidance: 50.5-51.5B</t>
      </text>
    </comment>
    <comment ref="R31" authorId="29" shapeId="0" xr:uid="{672EF133-CF99-4F62-BC53-D74F59EFAF45}">
      <text>
        <t>[Threaded comment]
Your version of Excel allows you to read this threaded comment; however, any edits to it will get removed if the file is opened in a newer version of Excel. Learn more: https://go.microsoft.com/fwlink/?linkid=870924
Comment:
    4/24/23: 54.84B consensus
FQ323 Guidance: 54.850-55.80B</t>
      </text>
    </comment>
    <comment ref="S34" authorId="30" shapeId="0" xr:uid="{667BC7EE-5E86-47FC-B964-2C031A25E303}">
      <text>
        <t>[Threaded comment]
Your version of Excel allows you to read this threaded comment; however, any edits to it will get removed if the file is opened in a newer version of Excel. Learn more: https://go.microsoft.com/fwlink/?linkid=870924
Comment:
    16.6-16.8B - Q423</t>
      </text>
    </comment>
    <comment ref="BG40" authorId="31" shapeId="0" xr:uid="{7492A336-ABB9-4529-8350-AF762E5855FF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flat OM% y/y</t>
      </text>
    </comment>
    <comment ref="BG43" authorId="32" shapeId="0" xr:uid="{9D309CA1-66AA-4222-B1F7-ACD53E16B28F}">
      <text>
        <t>[Threaded comment]
Your version of Excel allows you to read this threaded comment; however, any edits to it will get removed if the file is opened in a newer version of Excel. Learn more: https://go.microsoft.com/fwlink/?linkid=870924
Comment:
    19% guidance - Q423</t>
      </text>
    </comment>
    <comment ref="R45" authorId="33" shapeId="0" xr:uid="{48518769-DF2C-4CE7-8344-8EDB6814ABC3}">
      <text>
        <t>[Threaded comment]
Your version of Excel allows you to read this threaded comment; however, any edits to it will get removed if the file is opened in a newer version of Excel. Learn more: https://go.microsoft.com/fwlink/?linkid=870924
Comment:
    2.69 +23% cc</t>
      </text>
    </comment>
    <comment ref="P49" authorId="34" shapeId="0" xr:uid="{207240C6-AA0E-47C1-A8DC-C70F3CF7F6CF}">
      <text>
        <t>[Threaded comment]
Your version of Excel allows you to read this threaded comment; however, any edits to it will get removed if the file is opened in a newer version of Excel. Learn more: https://go.microsoft.com/fwlink/?linkid=870924
Comment:
    Bookings +4% y/y</t>
      </text>
    </comment>
    <comment ref="R51" authorId="35" shapeId="0" xr:uid="{615EEB63-0CBB-48DD-AEFA-DCC9511390CB}">
      <text>
        <t>[Threaded comment]
Your version of Excel allows you to read this threaded comment; however, any edits to it will get removed if the file is opened in a newer version of Excel. Learn more: https://go.microsoft.com/fwlink/?linkid=870924
Comment:
    +12% CC</t>
      </text>
    </comment>
  </commentList>
</comments>
</file>

<file path=xl/sharedStrings.xml><?xml version="1.0" encoding="utf-8"?>
<sst xmlns="http://schemas.openxmlformats.org/spreadsheetml/2006/main" count="587" uniqueCount="467">
  <si>
    <t>Price</t>
  </si>
  <si>
    <t>Shares</t>
  </si>
  <si>
    <t>MC</t>
  </si>
  <si>
    <t>Cash</t>
  </si>
  <si>
    <t>Debt</t>
  </si>
  <si>
    <t>EV</t>
  </si>
  <si>
    <t>Main</t>
  </si>
  <si>
    <t>4/26/22: FQ322 results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</si>
  <si>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</si>
  <si>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</si>
  <si>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</si>
  <si>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</si>
  <si>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</si>
  <si>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</si>
  <si>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</si>
  <si>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</si>
  <si>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</si>
  <si>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</si>
  <si>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</si>
  <si>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</si>
  <si>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</si>
  <si>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</si>
  <si>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</si>
  <si>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</si>
  <si>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</si>
  <si>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</si>
  <si>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</si>
  <si>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</si>
  <si>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</si>
  <si>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</si>
  <si>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</si>
  <si>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</si>
  <si>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</si>
  <si>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</si>
  <si>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</si>
  <si>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AR</t>
  </si>
  <si>
    <t>Inventories</t>
  </si>
  <si>
    <t>OCA</t>
  </si>
  <si>
    <t>PP&amp;E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</si>
  <si>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</si>
  <si>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</si>
  <si>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</si>
  <si>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</si>
  <si>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</si>
  <si>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</si>
  <si>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</si>
  <si>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</si>
  <si>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</si>
  <si>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</si>
  <si>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</si>
  <si>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</si>
  <si>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</si>
  <si>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</si>
  <si>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</si>
  <si>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</si>
  <si>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</si>
  <si>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</si>
  <si>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</si>
  <si>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</si>
  <si>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</si>
  <si>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</si>
  <si>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</si>
  <si>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</si>
  <si>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</si>
  <si>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</si>
  <si>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</si>
  <si>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</si>
  <si>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</si>
  <si>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</si>
  <si>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</si>
  <si>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</si>
  <si>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</si>
  <si>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</si>
  <si>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</si>
  <si>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F2021</t>
  </si>
  <si>
    <t>F2022</t>
  </si>
  <si>
    <t>F2023</t>
  </si>
  <si>
    <t>F2020</t>
  </si>
  <si>
    <t>FQ420</t>
  </si>
  <si>
    <t>FQ320</t>
  </si>
  <si>
    <t>FQ220</t>
  </si>
  <si>
    <t>FQ120</t>
  </si>
  <si>
    <t>Net Cash</t>
  </si>
  <si>
    <t>FQ123</t>
  </si>
  <si>
    <t>FQ223</t>
  </si>
  <si>
    <t>FQ323</t>
  </si>
  <si>
    <t>FQ423</t>
  </si>
  <si>
    <t>LinkedIn</t>
  </si>
  <si>
    <t>F2019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</si>
  <si>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</si>
  <si>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</si>
  <si>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</si>
  <si>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</si>
  <si>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</si>
  <si>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</si>
  <si>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</si>
  <si>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</si>
  <si>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</si>
  <si>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</si>
  <si>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</si>
  <si>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</si>
  <si>
    <t>F2018</t>
  </si>
  <si>
    <t>F2017</t>
  </si>
  <si>
    <t xml:space="preserve">  TTM 12mo</t>
  </si>
  <si>
    <t>Revenue c/c</t>
  </si>
  <si>
    <t>Share</t>
  </si>
  <si>
    <t>Office</t>
  </si>
  <si>
    <t>Outlook, Excel, Powerpoint</t>
  </si>
  <si>
    <t>Teams</t>
  </si>
  <si>
    <t>Xbox</t>
  </si>
  <si>
    <t>Windows</t>
  </si>
  <si>
    <t>Dynamics</t>
  </si>
  <si>
    <t>CRM</t>
  </si>
  <si>
    <t>OS</t>
  </si>
  <si>
    <t>Games</t>
  </si>
  <si>
    <t>Azure</t>
  </si>
  <si>
    <t>Bing</t>
  </si>
  <si>
    <t>1991: MS-DOS 5.0. DOS was installed on 75% of all computers at that point (60m PCs)</t>
  </si>
  <si>
    <t>1975: Microsoft founded, signed MITS BASIC deal for $3,000 upfront, with royalties capped at $180,000.</t>
  </si>
  <si>
    <t>1977: Terminates MITS license agreement. FORTRAN, 6800, 6502 but not 8080 BASIC. MITS/Pertec litigation returns BASIC to Microsoft. COBOL released. Tandy &amp; Apple sign BASIC deals.</t>
  </si>
  <si>
    <t>1976: 4K, 8K, Extended, ROM and Disk BASIC. NCR and GE purchased BASIC. $200,000 revenue.</t>
  </si>
  <si>
    <t>1978: Nearly $1m in revenue by 1978.</t>
  </si>
  <si>
    <t>CEO</t>
  </si>
  <si>
    <t>CFO</t>
  </si>
  <si>
    <t>Amy Hood</t>
  </si>
  <si>
    <t>Satya Nadella</t>
  </si>
  <si>
    <t>Productivity &amp; Business Processes</t>
  </si>
  <si>
    <t>Server</t>
  </si>
  <si>
    <t>GitHub?</t>
  </si>
  <si>
    <t>Visual Studio?</t>
  </si>
  <si>
    <t>More Personal Computing</t>
  </si>
  <si>
    <t>Surface</t>
  </si>
  <si>
    <t>Edge?</t>
  </si>
  <si>
    <t>OpenAI?</t>
  </si>
  <si>
    <t>CAO</t>
  </si>
  <si>
    <t>Alice Jolla</t>
  </si>
  <si>
    <t>Deputy GC</t>
  </si>
  <si>
    <t>Keith Dolliver</t>
  </si>
  <si>
    <t>VP IR</t>
  </si>
  <si>
    <t>Brett Iversen</t>
  </si>
  <si>
    <t>Viva (Yammer replacement)</t>
  </si>
  <si>
    <t>Clipchamp</t>
  </si>
  <si>
    <t>Loop (Notion ripoff)</t>
  </si>
  <si>
    <t>Create</t>
  </si>
  <si>
    <t>Power Pages (no code)</t>
  </si>
  <si>
    <t>Security: $20B business!?</t>
  </si>
  <si>
    <t>FQ124</t>
  </si>
  <si>
    <t>FQ224</t>
  </si>
  <si>
    <t>Defender, Sentinel</t>
  </si>
  <si>
    <t>Social Network: 900m members</t>
  </si>
  <si>
    <t>Commercial RPO</t>
  </si>
  <si>
    <t>y/y</t>
  </si>
  <si>
    <t>Microsoft Cloud</t>
  </si>
  <si>
    <t>Consumer 365 users</t>
  </si>
  <si>
    <t>FQ324</t>
  </si>
  <si>
    <t>FQ424</t>
  </si>
  <si>
    <t>Product GM%</t>
  </si>
  <si>
    <t>Service GM%</t>
  </si>
  <si>
    <t>DR y/y</t>
  </si>
  <si>
    <t>1980: Enters OS market with UNIX license "XENIX". IBM deal for MS-DOS. Releases "SoftCard", hardware product for Apple II. $8m revenue. BASIC for Atari in development. 86-QDOS created by Seattle Computer. Bob O'Rear. Marla Wood, Steve Wood left the company. Steve Ballmer joins in June as employee 30. 28 programmers, Gates and a secretary.</t>
  </si>
  <si>
    <t>1979: Establishes consumer products division with Vern Raburn: Typing Tutor and Adventure. $4m revenue. Steve Smith joins in July, just before Raburn as Marketing Director. Xerox $150k customer. CBASIC from Digital became a competitor.</t>
  </si>
  <si>
    <t>1986: IPO on 3/13/1986, $61m.</t>
  </si>
  <si>
    <t>F2016</t>
  </si>
  <si>
    <t>F2010</t>
  </si>
  <si>
    <t>F2011</t>
  </si>
  <si>
    <t>F2012</t>
  </si>
  <si>
    <t>F2013</t>
  </si>
  <si>
    <t>F2014</t>
  </si>
  <si>
    <t>F2015</t>
  </si>
  <si>
    <t>F2006</t>
  </si>
  <si>
    <t>F2007</t>
  </si>
  <si>
    <t>F2008</t>
  </si>
  <si>
    <t>F2009</t>
  </si>
  <si>
    <t>F1999</t>
  </si>
  <si>
    <t>F2000</t>
  </si>
  <si>
    <t>F2001</t>
  </si>
  <si>
    <t>F2002</t>
  </si>
  <si>
    <t>F2003</t>
  </si>
  <si>
    <t>F2004</t>
  </si>
  <si>
    <t>F2005</t>
  </si>
  <si>
    <t>F1996</t>
  </si>
  <si>
    <t>F1997</t>
  </si>
  <si>
    <t>F1998</t>
  </si>
  <si>
    <t>F1994</t>
  </si>
  <si>
    <t>F1995</t>
  </si>
  <si>
    <t>1981: Converts from partnership to corporation. DOS released.</t>
  </si>
  <si>
    <t>1985: Excel for Macintosh introduced.</t>
  </si>
  <si>
    <t>1987: Excel for Windows introduced.</t>
  </si>
  <si>
    <t>1983: Microsoft Word for DOS released. Microsoft Flight Simulator. Microsoft Press founded.</t>
  </si>
  <si>
    <t>Employees</t>
  </si>
  <si>
    <t xml:space="preserve">     William H. Gates             38          Chairman of the Board; Chief Executive Officer</t>
  </si>
  <si>
    <t xml:space="preserve">     Steven A. Ballmer            38          Executive Vice President, Sales and Support</t>
  </si>
  <si>
    <t xml:space="preserve">     Michael J. Maples            52          Executive Vice President, Products</t>
  </si>
  <si>
    <t xml:space="preserve">     Roger J. Heinen, Jr.         43          Senior Vice President, Developer Division</t>
  </si>
  <si>
    <t xml:space="preserve">     Frank M. (Pete) Higgins      36          Senior Vice President, Desktop Applications Division</t>
  </si>
  <si>
    <t xml:space="preserve">     Joachim Kempin               52          Senior Vice President, OEM Sales Division</t>
  </si>
  <si>
    <t xml:space="preserve">     Paul A. Maritz               39          Senior Vice President, Systems Division</t>
  </si>
  <si>
    <t xml:space="preserve">     Nathan P. Myhrvold           35          Senior Vice President, Advanced Technology</t>
  </si>
  <si>
    <t xml:space="preserve">     William H. Neukom            52          Senior Vice President, Law and Corporate Affairs; Corp. Secretary</t>
  </si>
  <si>
    <t xml:space="preserve">     Jeffrey S. Raikes            36          Senior Vice President, Microsoft North America</t>
  </si>
  <si>
    <t xml:space="preserve">     Bernard P. Vergnes           49          Vice President, Microsoft; President, Microsoft Europe</t>
  </si>
  <si>
    <t xml:space="preserve">     James E. Allchin             42          Vice President, Business Systems Division</t>
  </si>
  <si>
    <t xml:space="preserve">     Michael W. Brown             48          Vice President, Finance; Chief Financial Officer</t>
  </si>
  <si>
    <t xml:space="preserve">     Raymond A. Emery             52          Vice President, Operations</t>
  </si>
  <si>
    <t xml:space="preserve">     Richard W. Fade              39          Vice President, Advanced Technology Sales</t>
  </si>
  <si>
    <t xml:space="preserve">     Michel Lacombe               43          Vice President, End User Customer Business Unit, Europe</t>
  </si>
  <si>
    <t xml:space="preserve">     Jonathan D. Lazarus          43          Vice President, Strategic Relations</t>
  </si>
  <si>
    <t xml:space="preserve">     Robert L. McDowell           48          Vice President, Strategic Enterprise Services</t>
  </si>
  <si>
    <t xml:space="preserve">     Craig J. Mundie              45          Vice President, Advanced Consumer Technology</t>
  </si>
  <si>
    <t xml:space="preserve">     Michael R. Murray            39          Vice President, Human Resources</t>
  </si>
  <si>
    <t xml:space="preserve">     G. Christopher Peters        35          Vice President, Office Business Unit</t>
  </si>
  <si>
    <t xml:space="preserve">     Richard F. Rashid            42          Vice President, Research</t>
  </si>
  <si>
    <t xml:space="preserve">     Darryl E. Rubin              40          Vice President, Software Strategy</t>
  </si>
  <si>
    <t xml:space="preserve">     Brad A. Silverberg           40          Vice President, Personal Operating Systems Division</t>
  </si>
  <si>
    <t xml:space="preserve">     Rolf B. Skoglund             40          Vice President, Organization Customer Business Unit, Europe</t>
  </si>
  <si>
    <t xml:space="preserve">     Christopher F. Smith         59          Vice President, International Operations</t>
  </si>
  <si>
    <t xml:space="preserve">     Charles G. V. Stevens        37          Vice President, Far East</t>
  </si>
  <si>
    <t xml:space="preserve">     Patricia Q. Stonesifer       38          Vice President, Consumer Division</t>
  </si>
  <si>
    <t xml:space="preserve">     Deborah N. Willingham        38          Vice President, Product Support Services</t>
  </si>
  <si>
    <t>F1990</t>
  </si>
  <si>
    <t>F1991</t>
  </si>
  <si>
    <t>F1992</t>
  </si>
  <si>
    <t>F1993</t>
  </si>
  <si>
    <t>EV/NI</t>
  </si>
  <si>
    <t>1994: Planned merger of Intuit.</t>
  </si>
  <si>
    <t xml:space="preserve">  William H. Gates              41      Chairman of the Board; Chief Executive Officer </t>
  </si>
  <si>
    <t xml:space="preserve">  Steven A. Ballmer             41      Executive Vice President, Sales and Support</t>
  </si>
  <si>
    <t xml:space="preserve">  Robert J. Herbold             55      Executive Vice President; Chief Operating Officer</t>
  </si>
  <si>
    <t xml:space="preserve">  Frank M. (Pete) Higgins       39      Group Vice President, Interactive Media</t>
  </si>
  <si>
    <t xml:space="preserve">  Paul A. Maritz                42      Group Vice President, Platforms and Applications</t>
  </si>
  <si>
    <t xml:space="preserve">  Nathan P. Myhrvold            38      Group Vice President, Chief Technology Officier</t>
  </si>
  <si>
    <t xml:space="preserve">  Jeffrey S. Raikes             39      Group Vice President, Sales and Marketing</t>
  </si>
  <si>
    <t xml:space="preserve">  James E. Allchin              45      Senior Vice President, Personal and Business Systems Division</t>
  </si>
  <si>
    <t xml:space="preserve">  Joachim Kempin                55      Senior Vice President, OEM Sales</t>
  </si>
  <si>
    <t xml:space="preserve">  Michel Lacombe                46      Senior Vice President, Microsoft; President, Microsoft Europe</t>
  </si>
  <si>
    <t xml:space="preserve">  Craig J. Mundie               48      Senior Vice President, Consumer Platforms Division</t>
  </si>
  <si>
    <t xml:space="preserve">  William H. Neukom             55      Senior Vice President, Law and Corporate Affairs; Secretary</t>
  </si>
  <si>
    <t xml:space="preserve">  Brad A. Silverberg            43      Senior Vice President, Applications and Internet Client</t>
  </si>
  <si>
    <t xml:space="preserve">  Gregory B. Maffei             37      Vice President, Finance; Chief Financial Officer</t>
  </si>
  <si>
    <t>John Shirley</t>
  </si>
  <si>
    <t xml:space="preserve">   William H. Gates............   42   Chairman of the Board; Chief Executive</t>
  </si>
  <si>
    <t xml:space="preserve">                                       Officer</t>
  </si>
  <si>
    <t xml:space="preserve">   Steven A. Ballmer...........   42   President</t>
  </si>
  <si>
    <t xml:space="preserve">   Robert J. Herbold...........   56   Executive Vice President; Chief</t>
  </si>
  <si>
    <t xml:space="preserve">                                       Operating Officer</t>
  </si>
  <si>
    <t xml:space="preserve">   Frank M. (Pete) Higgins.....   40   Group Vice President, Interactive Media</t>
  </si>
  <si>
    <t xml:space="preserve">   Paul A. Maritz..............   43   Group Vice President, Platforms and</t>
  </si>
  <si>
    <t xml:space="preserve">                                       Applications</t>
  </si>
  <si>
    <t xml:space="preserve">   Nathan P. Myhrvold..........   39   Group Vice President, Chief Technology</t>
  </si>
  <si>
    <t xml:space="preserve">   Jeffrey S. Raikes...........   40   Group Vice President, Sales and Support</t>
  </si>
  <si>
    <t xml:space="preserve">   James E. Allchin............   46   Senior Vice President, Personal and</t>
  </si>
  <si>
    <t xml:space="preserve">                                       Business Systems</t>
  </si>
  <si>
    <t xml:space="preserve">   Orlando Ayala Lozano........   42   Senior Vice President, South Pacific</t>
  </si>
  <si>
    <t xml:space="preserve">                                       and Americas Region</t>
  </si>
  <si>
    <t xml:space="preserve">   Joachim Kempin..............   56   Senior Vice President, OEM, Internet</t>
  </si>
  <si>
    <t xml:space="preserve">                                       Customer Unit, Embedded Systems</t>
  </si>
  <si>
    <t xml:space="preserve">   Michel Lacombe..............   47   Senior Vice President, Europe, Middle</t>
  </si>
  <si>
    <t xml:space="preserve">                                       East, and Africa Region; President,</t>
  </si>
  <si>
    <t xml:space="preserve">                                       Microsoft Europe</t>
  </si>
  <si>
    <t xml:space="preserve">   Robert L. Muglia............   38   Senior Vice President, Applications and</t>
  </si>
  <si>
    <t xml:space="preserve">                                       Tools Division</t>
  </si>
  <si>
    <t xml:space="preserve">   Craig Mundie................   49   Senior Vice President, Consumer</t>
  </si>
  <si>
    <t xml:space="preserve">                                       Platforms Division</t>
  </si>
  <si>
    <t xml:space="preserve">   William H. Neukom...........   56   Senior Vice President, Law and</t>
  </si>
  <si>
    <t xml:space="preserve">                                       Corporate Affairs; Secretary</t>
  </si>
  <si>
    <t xml:space="preserve">   Bernard P. Vergnes..........   53   Senior Vice President, Microsoft;</t>
  </si>
  <si>
    <t xml:space="preserve">                                       Chairman, Microsoft Europe</t>
  </si>
  <si>
    <t xml:space="preserve">   Gregory B. Maffei...........   38   Vice President, Finance; Chief</t>
  </si>
  <si>
    <t xml:space="preserve">                                       Financial Officer</t>
  </si>
  <si>
    <t xml:space="preserve"> </t>
  </si>
  <si>
    <t xml:space="preserve">   William H. Gates......... 43    Chairman of the Board; Chief Executive Officer</t>
  </si>
  <si>
    <t xml:space="preserve">   Steven A. Ballmer........ 43    President</t>
  </si>
  <si>
    <t xml:space="preserve">   Robert J. Herbold........ 57    Executive Vice President; Chief Operating Officer</t>
  </si>
  <si>
    <t xml:space="preserve">   Richard Belluzzo......... 45    Group Vice President, Consumer and Commerce</t>
  </si>
  <si>
    <t xml:space="preserve">   Frank M. (Pete) Higgins.. 41    Group Vice President</t>
  </si>
  <si>
    <t xml:space="preserve">   Paul A. Maritz........... 44    Group Vice President, Developer</t>
  </si>
  <si>
    <t xml:space="preserve">   Jeffrey S. Raikes........ 41    Group Vice President, Sales and Support</t>
  </si>
  <si>
    <t xml:space="preserve">   James E. Allchin......... 47    Senior Vice President, Platforms</t>
  </si>
  <si>
    <t xml:space="preserve">   Orlando Ayala Lozano..... 43    Senior Vice President, South Pacific and Americas</t>
  </si>
  <si>
    <t xml:space="preserve">   Bradley M. Chase......... 39    Senior Vice President, Consumer and Commerce</t>
  </si>
  <si>
    <t xml:space="preserve">   John S. DeVaan........... 38    Senior Vice President, Consumer and Commerce</t>
  </si>
  <si>
    <t xml:space="preserve">   Joachim Kempin........... 57    Senior Vice President, OEM Sales</t>
  </si>
  <si>
    <t xml:space="preserve">   Michel Lacombe........... 48    Senior Vice President; President, Microsoft Europe, Middle East,</t>
  </si>
  <si>
    <t xml:space="preserve">                                   and Africa</t>
  </si>
  <si>
    <t xml:space="preserve">   Gregory B. Maffei........ 39    Senior Vice President, Finance and Administration; Chief Financial Officer</t>
  </si>
  <si>
    <t xml:space="preserve">   Robert L. Muglia......... 39    Senior Vice President, Business Productivity</t>
  </si>
  <si>
    <t xml:space="preserve">   Craig Mundie............. 50    Senior Vice President, Consumer Strategy</t>
  </si>
  <si>
    <t xml:space="preserve">   William H. Neukom........ 57    Senior Vice President, Law and Corporate Affairs; Secretary</t>
  </si>
  <si>
    <t xml:space="preserve">   Bernard P. Vergnes....... 54    Senior Vice President; Chairman, Microsoft Europe, Middle East,</t>
  </si>
  <si>
    <t xml:space="preserve">   William H. Gates........  44 Chairman of the Board; Chief Software Architect</t>
  </si>
  <si>
    <t xml:space="preserve">   Steven A. Ballmer.......  44 President; Chief Executive Officer</t>
  </si>
  <si>
    <t xml:space="preserve">   Robert J. Herbold.......  58 Executive Vice President; Chief Operating</t>
  </si>
  <si>
    <t xml:space="preserve">                                Officer</t>
  </si>
  <si>
    <t xml:space="preserve">   William H. Neukom.......  58 Executive Vice President, Law and Corporate</t>
  </si>
  <si>
    <t xml:space="preserve">                                Affairs; Secretary</t>
  </si>
  <si>
    <t xml:space="preserve">   James E. Allchin........  48 Group Vice President, Platforms</t>
  </si>
  <si>
    <t xml:space="preserve">   Orlando Ayala Lozano....  44 Group Vice President, Sales, Marketing and</t>
  </si>
  <si>
    <t xml:space="preserve">                                Services</t>
  </si>
  <si>
    <t xml:space="preserve">   Richard E. Belluzzo.....  46 Group Vice President, Personal Services and</t>
  </si>
  <si>
    <t xml:space="preserve">                                Devices</t>
  </si>
  <si>
    <t xml:space="preserve">   Paul A. Maritz..........  45 Group Vice President, Platforms Strategy and</t>
  </si>
  <si>
    <t xml:space="preserve">                                Developer</t>
  </si>
  <si>
    <t xml:space="preserve">   Robert L. Muglia........  40 Group Vice President, .NET Services</t>
  </si>
  <si>
    <t xml:space="preserve">   Jeffrey S. Raikes.......  42 Group Vice President, Productivity and Business</t>
  </si>
  <si>
    <t xml:space="preserve">   Robert J. Bach..........  38 Senior Vice President, Home and Retail</t>
  </si>
  <si>
    <t xml:space="preserve">   Brad Chase..............  40 Senior Vice President, MSN.com</t>
  </si>
  <si>
    <t xml:space="preserve">   David Cole..............  38 Senior Vice President, Personal Services</t>
  </si>
  <si>
    <t xml:space="preserve">                                Platform</t>
  </si>
  <si>
    <t xml:space="preserve">   John G. Connors.........  41 Senior Vice President, Finance and</t>
  </si>
  <si>
    <t xml:space="preserve">                                Administration; Chief Financial Officer</t>
  </si>
  <si>
    <t xml:space="preserve">   Jean-Philippe Courtois..  40 Senior Vice President; President, Microsoft</t>
  </si>
  <si>
    <t xml:space="preserve">                                Europe, Middle East, and Africa</t>
  </si>
  <si>
    <t xml:space="preserve">   Jon DeVaan..............  39 Senior Vice President, TV Service and Platform</t>
  </si>
  <si>
    <t xml:space="preserve">   Paul Flessner...........  41 Senior Vice President, .NET Enterprise Server</t>
  </si>
  <si>
    <t xml:space="preserve">   Paul H. Gross...........  39 Senior Vice President, Collaboration and</t>
  </si>
  <si>
    <t xml:space="preserve">                                Mobility</t>
  </si>
  <si>
    <t xml:space="preserve">   Joachim Kempin..........  58 Senior Vice President, OEM</t>
  </si>
  <si>
    <t xml:space="preserve">   Michel Lacombe..........  49 Senior Vice President; Chairman, Microsoft</t>
  </si>
  <si>
    <t xml:space="preserve">   Brian MacDonald.........  38 Senior Vice President, Subscription Service</t>
  </si>
  <si>
    <t xml:space="preserve">   Craig Mundie............  51 Senior Vice President, Consumer Strategy</t>
  </si>
  <si>
    <t xml:space="preserve">   Richard F. Rashid.......  48 Senior Vice President, Research</t>
  </si>
  <si>
    <t xml:space="preserve">   Steven J. Sinofsky......  35 Senior Vice President, Office</t>
  </si>
  <si>
    <t xml:space="preserve">   Brian Valentine.........  40 Senior Vice President, Windows</t>
  </si>
  <si>
    <t xml:space="preserve">   David Vaskevitch........  47 Senior Vice President, Business Applications</t>
  </si>
  <si>
    <t xml:space="preserve">   Bernard P. Vergnes......  55 Senior Vice President; Chairman Emeritus,</t>
  </si>
  <si>
    <t xml:space="preserve">                                Microsoft Europe, Middle East, and Africa</t>
  </si>
  <si>
    <t xml:space="preserve">  William H. Gates, III       45     Chairman of the Board; Chief Software Architect</t>
  </si>
  <si>
    <t xml:space="preserve">  Steven A. Ballmer           45     Chief Executive Officer</t>
  </si>
  <si>
    <t xml:space="preserve">  Richard E. Belluzzo         47     President; Chief Operating Officer</t>
  </si>
  <si>
    <t xml:space="preserve">  James E. Allchin            49     Group Vice President, Platforms</t>
  </si>
  <si>
    <t xml:space="preserve">  Orlando Ayala               45     Group Vice President, Worldwide Sales, Marketing, and Services</t>
  </si>
  <si>
    <t xml:space="preserve">  Robert J. (Robbie) Bach     39     Senior Vice President, Games</t>
  </si>
  <si>
    <t xml:space="preserve">  Douglas J. Burgum           45     Senior Vice President, Business Solutions; President, Great Plains Division</t>
  </si>
  <si>
    <t xml:space="preserve">  David W. Cole               39     Senior Vice President, Services Platform Division</t>
  </si>
  <si>
    <t xml:space="preserve">  John G. Connors             42     Senior Vice President; Chief Financial Officer</t>
  </si>
  <si>
    <t xml:space="preserve">  Jean-Philippe Courtois      41     Senior Vice President; President, Microsoft Europe, Middle East, and Africa</t>
  </si>
  <si>
    <t xml:space="preserve">  Jon Stephan DeVaan          40     Senior Vice President, TV Division</t>
  </si>
  <si>
    <t xml:space="preserve">  Richard P. Emerson          39     Senior Vice President, Corporate Development and Strategy</t>
  </si>
  <si>
    <t xml:space="preserve">  Paul Flessner               42     Senior Vice President, .NET Enterprise Servers</t>
  </si>
  <si>
    <t xml:space="preserve">  Kevin R. Johnson            40     Senior Vice President, U.S. Sales, Marketing, and Services</t>
  </si>
  <si>
    <t xml:space="preserve">  Robert L. Muglia            41     Group Vice President, Personal Services Group</t>
  </si>
  <si>
    <t xml:space="preserve">  Craig J. Mundie             52     Senior Vice President; Chief Technical Officer, Advanced Strategies and Policy</t>
  </si>
  <si>
    <t xml:space="preserve">  William H. Neukom           59     Executive Vice President, Law and Corporate Affairs; Secretary</t>
  </si>
  <si>
    <t xml:space="preserve">  Jeffrey S. Raikes           43     Group Vice President, Productivity and Business Services</t>
  </si>
  <si>
    <t xml:space="preserve">  Richard F. Rashid           49     Senior Vice President, Research</t>
  </si>
  <si>
    <t xml:space="preserve">  Steven J. Sinofsky          36     Senior Vice President, Office</t>
  </si>
  <si>
    <t xml:space="preserve">  Brian Valentine             41     Senior Vice President, Windows</t>
  </si>
  <si>
    <t xml:space="preserve">  David Vaskevitch            48     Senior Vice President; Chief Technical Officer, Business Platform</t>
  </si>
  <si>
    <t xml:space="preserve">  Deborah N. Willingham       45     Senior Vice President, Human Resources</t>
  </si>
  <si>
    <t>Name</t>
  </si>
  <si>
    <t>  </t>
  </si>
  <si>
    <t>Age</t>
  </si>
  <si>
    <t>Position with the Company</t>
  </si>
  <si>
    <t>William H. Gates III</t>
  </si>
  <si>
    <t>Chairman of the Board and Chief Software Architect</t>
  </si>
  <si>
    <t>Steven A. Ballmer</t>
  </si>
  <si>
    <t>Chief Executive Officer</t>
  </si>
  <si>
    <t>James E. Allchin</t>
  </si>
  <si>
    <t>Group Vice President, Platforms Group</t>
  </si>
  <si>
    <t>Robert J. (Robbie) Bach</t>
  </si>
  <si>
    <t>Senior Vice President, Home and Entertainment</t>
  </si>
  <si>
    <t>Lisa Brummel</t>
  </si>
  <si>
    <t>Corporate Vice President, Human Resources</t>
  </si>
  <si>
    <t>Douglas J. Burgum</t>
  </si>
  <si>
    <t>Senior Vice President, Microsoft Business Solutions</t>
  </si>
  <si>
    <t>David W. Cole</t>
  </si>
  <si>
    <t>Senior Vice President, MSN and Personal Services Group</t>
  </si>
  <si>
    <t>Jean-Philippe Courtois</t>
  </si>
  <si>
    <t>Senior Vice President; President, Microsoft International</t>
  </si>
  <si>
    <t>J. Scott Di Valerio</t>
  </si>
  <si>
    <t>Corporate Vice President, Finance and Administration and Chief Accounting Officer</t>
  </si>
  <si>
    <t>Kevin R. Johnson</t>
  </si>
  <si>
    <t>Group Vice President, Worldwide Sales, Marketing and Services</t>
  </si>
  <si>
    <t>Christopher P. Liddell</t>
  </si>
  <si>
    <t>Senior Vice President, Finance and Administration and Chief Financial Officer</t>
  </si>
  <si>
    <t>Michelle (Mich) Mathews</t>
  </si>
  <si>
    <t>Senior Vice President, Marketing</t>
  </si>
  <si>
    <t>Craig J. Mundie</t>
  </si>
  <si>
    <t>Senior Vice President; Chief Technical Officer, Advanced Strategies and Policy</t>
  </si>
  <si>
    <t>Jeffrey S. Raikes</t>
  </si>
  <si>
    <t>Group Vice President, Information Worker Business</t>
  </si>
  <si>
    <t>Eric D. Rudder</t>
  </si>
  <si>
    <t>Senior Vice President, Server and Tools Business</t>
  </si>
  <si>
    <t>Bradford L. Smith</t>
  </si>
  <si>
    <t>Senior Vice President, Legal and Corporate Affairs, General Counsel and Secretary</t>
  </si>
  <si>
    <t xml:space="preserve">  </t>
  </si>
  <si>
    <t>Chairman of the Board</t>
  </si>
  <si>
    <t>President, Microsoft Entertainment and Devices Division</t>
  </si>
  <si>
    <t>Lisa E. Brummel</t>
  </si>
  <si>
    <t>Senior Vice President, Human Resources</t>
  </si>
  <si>
    <t>Co-President, Microsoft Platforms and Services Division</t>
  </si>
  <si>
    <t>Senior Vice President and Chief Financial Officer</t>
  </si>
  <si>
    <t>President, Microsoft Business Division</t>
  </si>
  <si>
    <t>Senior Vice President, Legal and Corporate Affairs; General Counsel and Secretary</t>
  </si>
  <si>
    <t>Brian Kevin Turner</t>
  </si>
  <si>
    <t>Chief Operating Officer</t>
  </si>
  <si>
    <t>2008: Acquires Aquantive for $8B, proposes to acquire Yahoo.</t>
  </si>
  <si>
    <t>Steven A. Ballmer</t>
  </si>
  <si>
    <t>Chief People Officer</t>
  </si>
  <si>
    <t>Kurt D. DelBene</t>
  </si>
  <si>
    <t>President, Microsoft Office Division</t>
  </si>
  <si>
    <t>Peter S. Klein</t>
  </si>
  <si>
    <t>Chief Financial Officer</t>
  </si>
  <si>
    <t>Chief Research and Strategy Officer</t>
  </si>
  <si>
    <t>President, Server and Tools Business</t>
  </si>
  <si>
    <t>Steven Sinofsky</t>
  </si>
  <si>
    <t>President, Windows &amp; Windows Live Division</t>
  </si>
  <si>
    <t>Bradford L. Smith</t>
  </si>
  <si>
    <t>Executive Vice President; General Counsel; Secretary</t>
  </si>
  <si>
    <t>B. Kevin Turner</t>
  </si>
  <si>
    <t>2014: Acquires Nokia phones for $9.5B. Satya replaces Ballmer.</t>
  </si>
  <si>
    <t>Commercial bookings CC</t>
  </si>
  <si>
    <t>Gaming</t>
  </si>
  <si>
    <t>Cloud y/y</t>
  </si>
  <si>
    <t>Personal y/y</t>
  </si>
  <si>
    <t>Productivity y/y</t>
  </si>
  <si>
    <t>Azure Arc</t>
  </si>
  <si>
    <t>"18,000 customers" - FQ423 call</t>
  </si>
  <si>
    <t>OpenAI</t>
  </si>
  <si>
    <t>"11,000 organizations" - FQ423 call</t>
  </si>
  <si>
    <t>Intelligent Data Platform</t>
  </si>
  <si>
    <t>Fabric</t>
  </si>
  <si>
    <t>compute, storage, governance</t>
  </si>
  <si>
    <t>analytics</t>
  </si>
  <si>
    <t>AI Studio</t>
  </si>
  <si>
    <t>Github Copilot</t>
  </si>
  <si>
    <t>VS Code</t>
  </si>
  <si>
    <t>Power BI</t>
  </si>
  <si>
    <t>Power Pages</t>
  </si>
  <si>
    <t>Power Virtual Agents</t>
  </si>
  <si>
    <t>Power Automate</t>
  </si>
  <si>
    <t>10m MAUs - Q423 call</t>
  </si>
  <si>
    <t>&gt;$5B in revenue F2023</t>
  </si>
  <si>
    <t>Cloud for Sustainability</t>
  </si>
  <si>
    <t>Nuance DAX ambient intelligence</t>
  </si>
  <si>
    <t>DAX Express</t>
  </si>
  <si>
    <t>Microsoft 365</t>
  </si>
  <si>
    <t>Microsoft 365 Copilot</t>
  </si>
  <si>
    <t>Microsoft Teams</t>
  </si>
  <si>
    <t>Teams Premium</t>
  </si>
  <si>
    <t>600k seats 5 months in - Q423</t>
  </si>
  <si>
    <t>Teams Phone</t>
  </si>
  <si>
    <t>17m PSTN users</t>
  </si>
  <si>
    <t>Teams Rooms</t>
  </si>
  <si>
    <t>Viva</t>
  </si>
  <si>
    <t>35m monthly active users</t>
  </si>
  <si>
    <t>Windows 365</t>
  </si>
  <si>
    <t>Azure Virtual Desktop (with Windows 365 &gt;$1B TTM - Q423)</t>
  </si>
  <si>
    <t>Windows 11</t>
  </si>
  <si>
    <t xml:space="preserve">  Windows Copilot</t>
  </si>
  <si>
    <t>Entra ID</t>
  </si>
  <si>
    <t>610m MAUs, identity product</t>
  </si>
  <si>
    <t>Security Copilot</t>
  </si>
  <si>
    <t>$15B FY23</t>
  </si>
  <si>
    <t xml:space="preserve">  Bing Chat Enterprise</t>
  </si>
  <si>
    <t>Operating Margin</t>
  </si>
  <si>
    <t>Q423</t>
  </si>
  <si>
    <t>10/13/23: Activision acquisition closes, $75.4B.</t>
  </si>
  <si>
    <t>Search/News Ads</t>
  </si>
  <si>
    <t>Enterprise Services</t>
  </si>
  <si>
    <t>Devices</t>
  </si>
  <si>
    <t>3/4/22: Nuance acquisition closes, $18.8B.</t>
  </si>
  <si>
    <t>3/9/21: ZeniMax acquisition closes, $8.1B.</t>
  </si>
  <si>
    <t>Server Products &amp; Cloud</t>
  </si>
  <si>
    <t>Office Products &amp; Cloud</t>
  </si>
  <si>
    <t xml:space="preserve">  y/y</t>
  </si>
  <si>
    <t>TTM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</si>
</sst>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%"/>
    <numFmt numFmtId="165" formatCode="m/d/yy;@"/>
    <numFmt numFmtId="166" formatCode="0\x"/>
    <numFmt numFmtId="167" formatCode="#,##0.0"/>
  </numFmts>
  <fonts count="12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 Unicode MS"/>
    </font>
    <font>
      <b/>
      <sz val="10"/>
      <color rgb="FF000000"/>
      <name val="Arial Unicode MS"/>
    </font>
    <font>
      <sz val="10"/>
      <color theme="1"/>
      <name val="Times New Roman"/>
      <family val="1"/>
    </font>
    <font>
      <b/>
      <sz val="7.5"/>
      <color theme="1"/>
      <name val="Arial"/>
      <family val="2"/>
    </font>
    <font>
      <sz val="7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0" fontId="2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3" fillId="0" borderId="0" xfId="0" applyFont="1"/>
    <xf numFmtId="9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6" fontId="0" fillId="0" borderId="0" xfId="0" applyNumberFormat="1"/>
    <xf numFmtId="166" fontId="1" fillId="0" borderId="0" xfId="0" applyNumberFormat="1" applyFont="1"/>
    <xf numFmtId="0" fontId="9" fillId="2" borderId="0" xfId="0" applyFont="1" applyFill="1" applyAlignment="1">
      <alignment vertical="center"/>
    </xf>
    <xf numFmtId="0" fontId="9" fillId="2" borderId="0" xfId="0" applyFont="1" applyFill="1"/>
    <xf numFmtId="0" fontId="10" fillId="2" borderId="1" xfId="0" applyFont="1" applyFill="1" applyBorder="1"/>
    <xf numFmtId="0" fontId="11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11" fillId="2" borderId="0" xfId="0" applyFont="1" applyFill="1"/>
    <xf numFmtId="0" fontId="5" fillId="2" borderId="0" xfId="0" applyFont="1" applyFill="1" applyAlignment="1">
      <alignment horizontal="right" vertical="top"/>
    </xf>
    <xf numFmtId="0" fontId="5" fillId="2" borderId="0" xfId="0" applyFont="1" applyFill="1" applyAlignment="1">
      <alignment vertical="top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167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0542937-2D0E-4E8A-A81E-0E53A37F2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44692</xdr:colOff>
      <xdr:row>0</xdr:row>
      <xdr:rowOff>0</xdr:rowOff>
    </xdr:from>
    <xdr:to>
      <xdr:col>20</xdr:col>
      <xdr:colOff>44692</xdr:colOff>
      <xdr:row>119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13592173" y="0"/>
          <a:ext cx="0" cy="169537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65745</xdr:colOff>
      <xdr:row>0</xdr:row>
      <xdr:rowOff>0</xdr:rowOff>
    </xdr:from>
    <xdr:to>
      <xdr:col>58</xdr:col>
      <xdr:colOff>65745</xdr:colOff>
      <xdr:row>119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36813660" y="0"/>
          <a:ext cx="0" cy="161281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ADAC7E3-86EF-4E60-96A3-ED0BEE011F1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" dT="2023-04-25T17:20:02.39" personId="{2ADAC7E3-86EF-4E60-96A3-ED0BEE011F1E}" id="{A9B57C90-F042-456E-9599-71B00A53636C}">
    <text>280m MAU CQ422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4" dT="2023-04-25T17:34:54.10" personId="{2ADAC7E3-86EF-4E60-96A3-ED0BEE011F1E}" id="{C3B43970-9624-4440-A221-208CFA9224F4}">
    <text>45% NTM</text>
  </threadedComment>
  <threadedComment ref="B7" dT="2023-09-28T17:15:47.55" personId="{2ADAC7E3-86EF-4E60-96A3-ED0BEE011F1E}" id="{495E5562-8828-4FA8-84E7-259BB5495AC2}">
    <text>Azure, Office 365, LinkedIn, Dynamics 365</text>
  </threadedComment>
  <threadedComment ref="R19" dT="2023-09-28T17:43:21.59" personId="{2ADAC7E3-86EF-4E60-96A3-ED0BEE011F1E}" id="{8AC866B7-A6C9-4AFE-88B5-A371DED6226E}">
    <text>+23% CC</text>
  </threadedComment>
  <threadedComment ref="P20" dT="2023-04-25T17:43:15.37" personId="{2ADAC7E3-86EF-4E60-96A3-ED0BEE011F1E}" id="{ECADAB22-36B1-41A2-AD23-FFF1F2EAB8AC}">
    <text>+14% CC</text>
  </threadedComment>
  <threadedComment ref="R20" dT="2023-09-28T17:37:24.54" personId="{2ADAC7E3-86EF-4E60-96A3-ED0BEE011F1E}" id="{1CA79B8E-9FD8-4E2D-9412-7A77DDB83F01}">
    <text>+7% LinkedIn revenue CC</text>
  </threadedComment>
  <threadedComment ref="BF20" dT="2023-09-28T17:49:57.89" personId="{2ADAC7E3-86EF-4E60-96A3-ED0BEE011F1E}" id="{96AC5426-8FEE-464D-8105-8764B3629F77}">
    <text>+27% CC</text>
  </threadedComment>
  <threadedComment ref="R23" dT="2023-09-28T17:33:29.03" personId="{2ADAC7E3-86EF-4E60-96A3-ED0BEE011F1E}" id="{3A6A4C0B-9CA9-4EA2-8610-4020B0DDB40E}">
    <text>XBOX hardware -13%
Content &amp; Services +6%</text>
  </threadedComment>
  <threadedComment ref="S23" dT="2023-09-28T18:52:34.02" personId="{2ADAC7E3-86EF-4E60-96A3-ED0BEE011F1E}" id="{6B1B9C92-FEE7-475D-B41A-E884CF55D05D}">
    <text>Expect +MSD</text>
  </threadedComment>
  <threadedComment ref="P25" dT="2023-04-25T17:42:46.88" personId="{2ADAC7E3-86EF-4E60-96A3-ED0BEE011F1E}" id="{2883B5CB-9CE6-4897-A415-6E91690048D2}">
    <text>Dynamics +20%</text>
  </threadedComment>
  <threadedComment ref="Q25" dT="2023-04-25T17:51:08.94" personId="{2ADAC7E3-86EF-4E60-96A3-ED0BEE011F1E}" id="{6A5307CC-CCBA-4CAC-BF0C-55B40FBD45DC}">
    <text>+11-13%
16.9-17.2B</text>
  </threadedComment>
  <threadedComment ref="R25" dT="2023-04-25T22:13:26.39" personId="{2ADAC7E3-86EF-4E60-96A3-ED0BEE011F1E}" id="{8F896F81-6E53-40A7-B585-0CF468064875}">
    <text>Guidance: 17.9-18.2B</text>
  </threadedComment>
  <threadedComment ref="S25" dT="2023-09-28T18:50:05.48" personId="{2ADAC7E3-86EF-4E60-96A3-ED0BEE011F1E}" id="{1708469E-E4B0-42B4-A74A-7F2EA54BA260}">
    <text>18000-18300 guidance Q423</text>
  </threadedComment>
  <threadedComment ref="BF25" dT="2023-09-28T18:19:04.32" personId="{2ADAC7E3-86EF-4E60-96A3-ED0BEE011F1E}" id="{6C2A9AED-575A-4447-8CAD-2E4A869395ED}">
    <text>Dynamics $5B
LinkedIn $15B</text>
  </threadedComment>
  <threadedComment ref="K26" dT="2023-01-12T14:11:54.08" personId="{2ADAC7E3-86EF-4E60-96A3-ED0BEE011F1E}" id="{1194B53B-11DF-4936-8FD7-77F49319A1C9}">
    <text>16964 old</text>
  </threadedComment>
  <threadedComment ref="P26" dT="2023-04-25T17:30:58.20" personId="{2ADAC7E3-86EF-4E60-96A3-ED0BEE011F1E}" id="{B7D8227E-9C6A-4B9D-BCEB-E38F55E93FBB}">
    <text>Azure growth moderated
Grew from Nuance</text>
  </threadedComment>
  <threadedComment ref="Q26" dT="2023-04-25T17:52:22.56" personId="{2ADAC7E3-86EF-4E60-96A3-ED0BEE011F1E}" id="{C7BC1CA5-759B-43A0-833B-88C4CD54B000}">
    <text>Q223 guidance: 21.7-22.0B</text>
  </threadedComment>
  <threadedComment ref="R26" dT="2023-04-25T22:13:34.93" personId="{2ADAC7E3-86EF-4E60-96A3-ED0BEE011F1E}" id="{21797C47-1950-4375-853A-A1712EF01174}">
    <text>Guidance: 23.6-23.9B</text>
  </threadedComment>
  <threadedComment ref="S26" dT="2023-09-28T18:50:34.89" personId="{2ADAC7E3-86EF-4E60-96A3-ED0BEE011F1E}" id="{AA439B2E-FC6E-4E0D-A042-CA20F999D88F}">
    <text>23.3-23.6B Q423</text>
  </threadedComment>
  <threadedComment ref="B27" dT="2023-09-28T17:34:02.74" personId="{2ADAC7E3-86EF-4E60-96A3-ED0BEE011F1E}" id="{EC9B7190-CE1A-4E78-A2EF-A3F3AADAB339}">
    <text>Windows, Gaming, Devices, Search and News Advertising</text>
  </threadedComment>
  <threadedComment ref="K27" dT="2023-01-12T14:11:37.67" personId="{2ADAC7E3-86EF-4E60-96A3-ED0BEE011F1E}" id="{F728FAC2-51F0-4023-AB40-41F83CEF5C89}">
    <text>13314 prior</text>
  </threadedComment>
  <threadedComment ref="P27" dT="2023-04-25T16:02:39.70" personId="{2ADAC7E3-86EF-4E60-96A3-ED0BEE011F1E}" id="{A9249A39-B9EC-4BC7-B87E-1B27108C92D8}">
    <text>Windows OEM -39% inline, Windows 11 referral caused strong comp
PC in-line
Surface "execution challenges" on new product launches</text>
  </threadedComment>
  <threadedComment ref="Q27" dT="2023-04-25T17:53:27.39" personId="{2ADAC7E3-86EF-4E60-96A3-ED0BEE011F1E}" id="{246E0C01-DF1D-4F91-A337-4DE00EFEDDC8}">
    <text>FQ223 guidance: 11.9-12.3B</text>
  </threadedComment>
  <threadedComment ref="R27" dT="2023-04-25T22:13:46.70" personId="{2ADAC7E3-86EF-4E60-96A3-ED0BEE011F1E}" id="{730404D6-8355-478B-BCFF-9D938DC1FD29}">
    <text>Guidance: 13.35-13.75B
Xandr acquisition benefit</text>
  </threadedComment>
  <threadedComment ref="S27" dT="2023-09-28T18:51:01.20" personId="{2ADAC7E3-86EF-4E60-96A3-ED0BEE011F1E}" id="{DCFC0E54-F0B5-4901-BBC6-12237E7E3B9E}">
    <text>12.5-12.9B Q423</text>
  </threadedComment>
  <threadedComment ref="AA27" dT="2023-04-30T03:57:38.72" personId="{2ADAC7E3-86EF-4E60-96A3-ED0BEE011F1E}" id="{1C31850E-87A1-42A5-A544-D7C66ECB0D78}">
    <text>Hardware 254m</text>
  </threadedComment>
  <threadedComment ref="AB27" dT="2023-04-30T03:57:32.74" personId="{2ADAC7E3-86EF-4E60-96A3-ED0BEE011F1E}" id="{6CD6DA57-15E4-4617-9E8A-DE627D4291F4}">
    <text>Hardware 233m</text>
  </threadedComment>
  <threadedComment ref="AC27" dT="2023-04-30T03:57:25.69" personId="{2ADAC7E3-86EF-4E60-96A3-ED0BEE011F1E}" id="{530E3A34-4790-4FEE-B8A2-EEE361836B57}">
    <text>Hardware 203m</text>
  </threadedComment>
  <threadedComment ref="P31" dT="2023-04-25T17:28:33.19" personId="{2ADAC7E3-86EF-4E60-96A3-ED0BEE011F1E}" id="{6550F107-B2DD-468B-9840-A88B103B8C6E}">
    <text>Saw weakening in December
US weaker than expected</text>
  </threadedComment>
  <threadedComment ref="Q31" dT="2023-04-25T17:53:49.93" personId="{2ADAC7E3-86EF-4E60-96A3-ED0BEE011F1E}" id="{B0B4B47A-77DB-4469-A3F3-BA8FF53995B8}">
    <text>4/25/23 Consensus: 51.02B
Q223 guidance: 50.5-51.5B</text>
  </threadedComment>
  <threadedComment ref="R31" dT="2023-04-25T17:54:04.57" personId="{2ADAC7E3-86EF-4E60-96A3-ED0BEE011F1E}" id="{672EF133-CF99-4F62-BC53-D74F59EFAF45}">
    <text>4/24/23: 54.84B consensus
FQ323 Guidance: 54.850-55.80B</text>
  </threadedComment>
  <threadedComment ref="S34" dT="2023-09-28T18:52:48.38" personId="{2ADAC7E3-86EF-4E60-96A3-ED0BEE011F1E}" id="{667BC7EE-5E86-47FC-B964-2C031A25E303}">
    <text>16.6-16.8B - Q423</text>
  </threadedComment>
  <threadedComment ref="BG40" dT="2023-09-28T18:49:03.40" personId="{2ADAC7E3-86EF-4E60-96A3-ED0BEE011F1E}" id="{7492A336-ABB9-4529-8350-AF762E5855FF}">
    <text>Expect flat OM% y/y</text>
  </threadedComment>
  <threadedComment ref="BG43" dT="2023-09-28T18:49:17.54" personId="{2ADAC7E3-86EF-4E60-96A3-ED0BEE011F1E}" id="{9D309CA1-66AA-4222-B1F7-ACD53E16B28F}">
    <text>19% guidance - Q423</text>
  </threadedComment>
  <threadedComment ref="R45" dT="2023-09-28T18:39:40.83" personId="{2ADAC7E3-86EF-4E60-96A3-ED0BEE011F1E}" id="{48518769-DF2C-4CE7-8344-8EDB6814ABC3}">
    <text>2.69 +23% cc</text>
  </threadedComment>
  <threadedComment ref="P49" dT="2023-04-25T17:32:36.53" personId="{2ADAC7E3-86EF-4E60-96A3-ED0BEE011F1E}" id="{207240C6-AA0E-47C1-A8DC-C70F3CF7F6CF}">
    <text>Bookings +4% y/y</text>
  </threadedComment>
  <threadedComment ref="R51" dT="2023-09-28T17:43:49.05" personId="{2ADAC7E3-86EF-4E60-96A3-ED0BEE011F1E}" id="{615EEB63-0CBB-48DD-AEFA-DCC9511390CB}">
    <text>+12% CC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41"/>
  <sheetViews>
    <sheetView zoomScale="170" zoomScaleNormal="170" workbookViewId="0">
      <selection activeCell="B27" sqref="B27"/>
    </sheetView>
  </sheetViews>
  <sheetFormatPr defaultRowHeight="12.75"/>
  <cols>
    <col min="1" max="1" width="3.7109375" customWidth="1"/>
    <col min="11" max="11" width="11.5703125" customWidth="1"/>
    <col min="12" max="12" width="13.5703125" customWidth="1"/>
  </cols>
  <sheetData>
    <row r="2" spans="2:13">
      <c r="B2" s="17" t="s">
        <v>130</v>
      </c>
      <c r="K2" t="s">
        <v>0</v>
      </c>
      <c r="L2" s="1">
        <v>415</v>
      </c>
    </row>
    <row r="3" spans="2:13">
      <c r="B3" t="s">
        <v>110</v>
      </c>
      <c r="C3" t="s">
        <v>113</v>
      </c>
      <c r="K3" t="s">
        <v>1</v>
      </c>
      <c r="L3" s="4">
        <v>7430.4362289999999</v>
      </c>
      <c r="M3" s="2" t="s">
        <v>456</v>
      </c>
    </row>
    <row r="4" spans="2:13">
      <c r="B4" t="s">
        <v>109</v>
      </c>
      <c r="C4" t="s">
        <v>114</v>
      </c>
      <c r="K4" t="s">
        <v>2</v>
      </c>
      <c r="L4" s="4">
        <f>L2*L3</f>
        <v>3083631.0350350002</v>
      </c>
    </row>
    <row r="5" spans="2:13">
      <c r="B5" t="s">
        <v>116</v>
      </c>
      <c r="K5" t="s">
        <v>3</v>
      </c>
      <c r="L5" s="4">
        <v>94384</v>
      </c>
      <c r="M5" s="2" t="s">
        <v>456</v>
      </c>
    </row>
    <row r="6" spans="2:13">
      <c r="B6" t="s">
        <v>131</v>
      </c>
      <c r="K6" t="s">
        <v>4</v>
      </c>
      <c r="L6" s="4">
        <v>74219</v>
      </c>
      <c r="M6" s="2" t="s">
        <v>456</v>
      </c>
    </row>
    <row r="7" spans="2:13">
      <c r="K7" t="s">
        <v>5</v>
      </c>
      <c r="L7" s="4">
        <f>L4-L5+L6</f>
        <v>3063466.0350350002</v>
      </c>
    </row>
    <row r="8" spans="2:13">
      <c r="B8" t="s">
        <v>132</v>
      </c>
      <c r="L8" s="4"/>
    </row>
    <row r="9" spans="2:13">
      <c r="K9" t="s">
        <v>73</v>
      </c>
      <c r="L9">
        <v>1975</v>
      </c>
    </row>
    <row r="11" spans="2:13">
      <c r="B11" s="17" t="s">
        <v>126</v>
      </c>
      <c r="G11" s="17" t="s">
        <v>68</v>
      </c>
      <c r="K11" t="s">
        <v>122</v>
      </c>
      <c r="L11" t="s">
        <v>125</v>
      </c>
    </row>
    <row r="12" spans="2:13">
      <c r="B12" t="s">
        <v>106</v>
      </c>
      <c r="G12" t="s">
        <v>115</v>
      </c>
      <c r="K12" t="s">
        <v>123</v>
      </c>
      <c r="L12" t="s">
        <v>124</v>
      </c>
    </row>
    <row r="13" spans="2:13">
      <c r="C13" t="s">
        <v>107</v>
      </c>
      <c r="G13" t="s">
        <v>127</v>
      </c>
      <c r="K13" t="s">
        <v>134</v>
      </c>
      <c r="L13" t="s">
        <v>135</v>
      </c>
    </row>
    <row r="14" spans="2:13">
      <c r="B14" t="s">
        <v>87</v>
      </c>
      <c r="C14" t="s">
        <v>149</v>
      </c>
      <c r="K14" t="s">
        <v>136</v>
      </c>
      <c r="L14" t="s">
        <v>137</v>
      </c>
    </row>
    <row r="15" spans="2:13">
      <c r="B15" t="s">
        <v>111</v>
      </c>
      <c r="C15" t="s">
        <v>112</v>
      </c>
      <c r="G15" t="s">
        <v>133</v>
      </c>
      <c r="K15" t="s">
        <v>138</v>
      </c>
      <c r="L15" t="s">
        <v>139</v>
      </c>
    </row>
    <row r="16" spans="2:13">
      <c r="G16" t="s">
        <v>145</v>
      </c>
    </row>
    <row r="17" spans="2:8">
      <c r="B17" t="s">
        <v>108</v>
      </c>
      <c r="C17" t="s">
        <v>140</v>
      </c>
      <c r="H17" t="s">
        <v>148</v>
      </c>
    </row>
    <row r="18" spans="2:8">
      <c r="B18" t="s">
        <v>128</v>
      </c>
    </row>
    <row r="19" spans="2:8">
      <c r="B19" t="s">
        <v>129</v>
      </c>
    </row>
    <row r="20" spans="2:8">
      <c r="B20" t="s">
        <v>141</v>
      </c>
      <c r="C20" t="s">
        <v>143</v>
      </c>
    </row>
    <row r="21" spans="2:8">
      <c r="B21" t="s">
        <v>142</v>
      </c>
      <c r="D21" t="s">
        <v>144</v>
      </c>
    </row>
    <row r="23" spans="2:8">
      <c r="B23" t="s">
        <v>457</v>
      </c>
    </row>
    <row r="24" spans="2:8">
      <c r="B24" t="s">
        <v>7</v>
      </c>
    </row>
    <row r="25" spans="2:8">
      <c r="B25" t="s">
        <v>461</v>
      </c>
    </row>
    <row r="26" spans="2:8">
      <c r="B26" t="s">
        <v>462</v>
      </c>
    </row>
    <row r="27" spans="2:8">
      <c r="B27" t="s">
        <v>410</v>
      </c>
    </row>
    <row r="28" spans="2:8">
      <c r="B28" t="s">
        <v>396</v>
      </c>
    </row>
    <row r="29" spans="2:8">
      <c r="B29" t="s">
        <v>224</v>
      </c>
    </row>
    <row r="30" spans="2:8">
      <c r="B30" t="s">
        <v>117</v>
      </c>
    </row>
    <row r="31" spans="2:8">
      <c r="B31" t="s">
        <v>187</v>
      </c>
    </row>
    <row r="32" spans="2:8">
      <c r="B32" t="s">
        <v>161</v>
      </c>
    </row>
    <row r="33" spans="2:2">
      <c r="B33" t="s">
        <v>186</v>
      </c>
    </row>
    <row r="34" spans="2:2">
      <c r="B34" t="s">
        <v>188</v>
      </c>
    </row>
    <row r="35" spans="2:2">
      <c r="B35" t="s">
        <v>185</v>
      </c>
    </row>
    <row r="36" spans="2:2">
      <c r="B36" t="s">
        <v>159</v>
      </c>
    </row>
    <row r="37" spans="2:2">
      <c r="B37" t="s">
        <v>160</v>
      </c>
    </row>
    <row r="38" spans="2:2">
      <c r="B38" t="s">
        <v>121</v>
      </c>
    </row>
    <row r="39" spans="2:2">
      <c r="B39" t="s">
        <v>119</v>
      </c>
    </row>
    <row r="40" spans="2:2">
      <c r="B40" t="s">
        <v>120</v>
      </c>
    </row>
    <row r="41" spans="2:2">
      <c r="B41" t="s">
        <v>118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DS124"/>
  <sheetViews>
    <sheetView tabSelected="1" zoomScale="130" zoomScaleNormal="130" workbookViewId="0">
      <pane xSplit="2" ySplit="3" topLeftCell="BE25" activePane="bottomRight" state="frozen"/>
      <selection pane="topRight" activeCell="C1" sqref="C1"/>
      <selection pane="bottomLeft" activeCell="A4" sqref="A4"/>
      <selection pane="bottomRight" activeCell="BP48" sqref="BP48"/>
    </sheetView>
  </sheetViews>
  <sheetFormatPr defaultRowHeight="12.75"/>
  <cols>
    <col min="1" max="1" width="5" bestFit="1" customWidth="1"/>
    <col min="2" max="2" width="19.7109375" customWidth="1"/>
    <col min="3" max="6" width="10" style="2" customWidth="1"/>
    <col min="7" max="14" width="9.85546875" style="2" customWidth="1"/>
    <col min="15" max="22" width="9.85546875" customWidth="1"/>
    <col min="29" max="29" width="9.5703125" customWidth="1"/>
    <col min="55" max="58" width="9.140625" style="2"/>
    <col min="68" max="68" width="10.7109375" customWidth="1"/>
  </cols>
  <sheetData>
    <row r="1" spans="1:65">
      <c r="A1" s="14" t="s">
        <v>6</v>
      </c>
    </row>
    <row r="2" spans="1:65" s="15" customFormat="1">
      <c r="C2" s="16">
        <v>43738</v>
      </c>
      <c r="D2" s="16">
        <v>43830</v>
      </c>
      <c r="E2" s="16">
        <v>43921</v>
      </c>
      <c r="F2" s="16">
        <v>44012</v>
      </c>
      <c r="G2" s="16">
        <v>44104</v>
      </c>
      <c r="H2" s="16">
        <v>44196</v>
      </c>
      <c r="I2" s="16">
        <v>44286</v>
      </c>
      <c r="J2" s="16">
        <v>44377</v>
      </c>
      <c r="K2" s="16">
        <v>44469</v>
      </c>
      <c r="L2" s="16">
        <v>44561</v>
      </c>
      <c r="M2" s="16">
        <v>44651</v>
      </c>
      <c r="N2" s="16">
        <v>44742</v>
      </c>
      <c r="O2" s="15">
        <f t="shared" ref="O2:T2" si="0">+K2+365</f>
        <v>44834</v>
      </c>
      <c r="P2" s="15">
        <f t="shared" si="0"/>
        <v>44926</v>
      </c>
      <c r="Q2" s="15">
        <f t="shared" si="0"/>
        <v>45016</v>
      </c>
      <c r="R2" s="15">
        <f t="shared" si="0"/>
        <v>45107</v>
      </c>
      <c r="S2" s="15">
        <f t="shared" si="0"/>
        <v>45199</v>
      </c>
      <c r="T2" s="15">
        <f t="shared" si="0"/>
        <v>45291</v>
      </c>
      <c r="U2" s="15">
        <v>45016</v>
      </c>
      <c r="V2" s="15">
        <v>45107</v>
      </c>
      <c r="Y2" s="15">
        <v>33054</v>
      </c>
      <c r="Z2" s="15">
        <v>33419</v>
      </c>
      <c r="AA2" s="15">
        <v>33785</v>
      </c>
      <c r="AB2" s="15">
        <v>34150</v>
      </c>
      <c r="AC2" s="15">
        <v>34515</v>
      </c>
      <c r="AD2" s="15">
        <v>34880</v>
      </c>
      <c r="AE2" s="15">
        <v>35246</v>
      </c>
      <c r="AF2" s="15">
        <v>35611</v>
      </c>
      <c r="AG2" s="15">
        <v>35976</v>
      </c>
      <c r="AH2" s="15">
        <v>36341</v>
      </c>
      <c r="AI2" s="15">
        <v>36707</v>
      </c>
      <c r="AJ2" s="15">
        <v>37072</v>
      </c>
      <c r="AK2" s="15">
        <v>37437</v>
      </c>
      <c r="AL2" s="15">
        <v>37802</v>
      </c>
      <c r="AM2" s="15">
        <v>38168</v>
      </c>
      <c r="AN2" s="15">
        <v>38533</v>
      </c>
      <c r="AO2" s="15">
        <v>38898</v>
      </c>
      <c r="AP2" s="15">
        <v>39263</v>
      </c>
      <c r="AQ2" s="15">
        <v>39629</v>
      </c>
      <c r="AR2" s="15">
        <v>39994</v>
      </c>
      <c r="AS2" s="15">
        <v>40359</v>
      </c>
      <c r="AT2" s="15">
        <v>40724</v>
      </c>
      <c r="AU2" s="15">
        <v>41090</v>
      </c>
      <c r="AV2" s="15">
        <v>41455</v>
      </c>
      <c r="AW2" s="15">
        <v>41820</v>
      </c>
      <c r="AX2" s="15">
        <v>42185</v>
      </c>
      <c r="AY2" s="15">
        <v>42551</v>
      </c>
      <c r="AZ2" s="15">
        <v>42916</v>
      </c>
      <c r="BA2" s="15">
        <v>43281</v>
      </c>
      <c r="BB2" s="15">
        <v>43646</v>
      </c>
      <c r="BC2" s="16">
        <v>44012</v>
      </c>
      <c r="BD2" s="16">
        <f>+J2</f>
        <v>44377</v>
      </c>
      <c r="BE2" s="16">
        <f>+N2</f>
        <v>44742</v>
      </c>
      <c r="BF2" s="16">
        <v>45107</v>
      </c>
      <c r="BG2" s="15">
        <f>+BF2+366</f>
        <v>45473</v>
      </c>
      <c r="BH2" s="15">
        <f>+BG2+365</f>
        <v>45838</v>
      </c>
      <c r="BI2" s="15">
        <f>+BH2+365</f>
        <v>46203</v>
      </c>
      <c r="BJ2" s="15">
        <f>+BI2+365</f>
        <v>46568</v>
      </c>
      <c r="BK2" s="15">
        <f>+BJ2+366</f>
        <v>46934</v>
      </c>
      <c r="BL2" s="15">
        <f>+BK2+365</f>
        <v>47299</v>
      </c>
      <c r="BM2" s="15">
        <f>+BL2+365</f>
        <v>47664</v>
      </c>
    </row>
    <row r="3" spans="1:65">
      <c r="C3" s="2" t="s">
        <v>81</v>
      </c>
      <c r="D3" s="2" t="s">
        <v>80</v>
      </c>
      <c r="E3" s="2" t="s">
        <v>79</v>
      </c>
      <c r="F3" s="2" t="s">
        <v>78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83</v>
      </c>
      <c r="P3" s="2" t="s">
        <v>84</v>
      </c>
      <c r="Q3" s="2" t="s">
        <v>85</v>
      </c>
      <c r="R3" s="2" t="s">
        <v>86</v>
      </c>
      <c r="S3" s="2" t="s">
        <v>146</v>
      </c>
      <c r="T3" s="2" t="s">
        <v>147</v>
      </c>
      <c r="U3" s="2" t="s">
        <v>154</v>
      </c>
      <c r="V3" s="2" t="s">
        <v>155</v>
      </c>
      <c r="X3" s="2"/>
      <c r="Y3" s="2" t="s">
        <v>219</v>
      </c>
      <c r="Z3" s="2" t="s">
        <v>220</v>
      </c>
      <c r="AA3" s="2" t="s">
        <v>221</v>
      </c>
      <c r="AB3" s="2" t="s">
        <v>222</v>
      </c>
      <c r="AC3" s="2" t="s">
        <v>183</v>
      </c>
      <c r="AD3" s="2" t="s">
        <v>184</v>
      </c>
      <c r="AE3" s="2" t="s">
        <v>180</v>
      </c>
      <c r="AF3" s="2" t="s">
        <v>181</v>
      </c>
      <c r="AG3" s="2" t="s">
        <v>182</v>
      </c>
      <c r="AH3" s="2" t="s">
        <v>173</v>
      </c>
      <c r="AI3" s="2" t="s">
        <v>174</v>
      </c>
      <c r="AJ3" s="2" t="s">
        <v>175</v>
      </c>
      <c r="AK3" s="2" t="s">
        <v>176</v>
      </c>
      <c r="AL3" s="2" t="s">
        <v>177</v>
      </c>
      <c r="AM3" s="2" t="s">
        <v>178</v>
      </c>
      <c r="AN3" s="2" t="s">
        <v>179</v>
      </c>
      <c r="AO3" s="2" t="s">
        <v>169</v>
      </c>
      <c r="AP3" s="2" t="s">
        <v>170</v>
      </c>
      <c r="AQ3" s="2" t="s">
        <v>171</v>
      </c>
      <c r="AR3" s="2" t="s">
        <v>172</v>
      </c>
      <c r="AS3" s="2" t="s">
        <v>163</v>
      </c>
      <c r="AT3" s="2" t="s">
        <v>164</v>
      </c>
      <c r="AU3" s="2" t="s">
        <v>165</v>
      </c>
      <c r="AV3" s="2" t="s">
        <v>166</v>
      </c>
      <c r="AW3" s="2" t="s">
        <v>167</v>
      </c>
      <c r="AX3" s="2" t="s">
        <v>168</v>
      </c>
      <c r="AY3" s="2" t="s">
        <v>162</v>
      </c>
      <c r="AZ3" s="2" t="s">
        <v>102</v>
      </c>
      <c r="BA3" s="2" t="s">
        <v>101</v>
      </c>
      <c r="BB3" s="2" t="s">
        <v>88</v>
      </c>
      <c r="BC3" s="2" t="s">
        <v>77</v>
      </c>
      <c r="BD3" s="2" t="s">
        <v>74</v>
      </c>
      <c r="BE3" s="2" t="s">
        <v>75</v>
      </c>
      <c r="BF3" s="2" t="s">
        <v>76</v>
      </c>
      <c r="BG3" s="2" t="s">
        <v>90</v>
      </c>
      <c r="BH3" s="2" t="s">
        <v>91</v>
      </c>
      <c r="BI3" s="2" t="s">
        <v>92</v>
      </c>
      <c r="BJ3" s="2" t="s">
        <v>93</v>
      </c>
      <c r="BK3" s="2" t="s">
        <v>94</v>
      </c>
      <c r="BL3" s="2" t="s">
        <v>95</v>
      </c>
      <c r="BM3" s="2" t="s">
        <v>96</v>
      </c>
    </row>
    <row r="4" spans="1:65">
      <c r="B4" t="s">
        <v>150</v>
      </c>
      <c r="L4" s="2">
        <v>147</v>
      </c>
      <c r="M4" s="2">
        <v>155</v>
      </c>
      <c r="N4" s="2">
        <v>189</v>
      </c>
      <c r="O4" s="2">
        <v>180</v>
      </c>
      <c r="P4" s="2">
        <v>189</v>
      </c>
      <c r="Q4" s="2">
        <v>196</v>
      </c>
      <c r="R4" s="2">
        <v>224</v>
      </c>
      <c r="S4" s="2"/>
      <c r="T4" s="2"/>
      <c r="U4" s="2"/>
      <c r="V4" s="2"/>
      <c r="AS4" s="2"/>
      <c r="AT4" s="2"/>
      <c r="AU4" s="2"/>
      <c r="AV4" s="2"/>
      <c r="AW4" s="2"/>
      <c r="AX4" s="2"/>
      <c r="AY4" s="2"/>
      <c r="AZ4" s="2"/>
      <c r="BA4" s="2"/>
      <c r="BB4" s="2"/>
      <c r="BG4" s="2"/>
      <c r="BH4" s="2"/>
      <c r="BI4" s="2"/>
      <c r="BJ4" s="2"/>
      <c r="BK4" s="2"/>
      <c r="BL4" s="2"/>
      <c r="BM4" s="2"/>
    </row>
    <row r="5" spans="1:65" s="19" customFormat="1">
      <c r="B5" s="19" t="s">
        <v>151</v>
      </c>
      <c r="C5" s="20"/>
      <c r="D5" s="20"/>
      <c r="E5" s="20"/>
      <c r="F5" s="20"/>
      <c r="G5" s="20"/>
      <c r="H5" s="20"/>
      <c r="I5" s="20"/>
      <c r="J5" s="20"/>
      <c r="K5" s="20"/>
      <c r="L5" s="21">
        <v>0.37</v>
      </c>
      <c r="M5" s="21">
        <v>0.35</v>
      </c>
      <c r="N5" s="21">
        <v>0.35</v>
      </c>
      <c r="O5" s="21">
        <v>0.16</v>
      </c>
      <c r="P5" s="21">
        <f>+P4/L4-1</f>
        <v>0.28571428571428581</v>
      </c>
      <c r="Q5" s="21">
        <f>+Q4/M4-1</f>
        <v>0.26451612903225796</v>
      </c>
      <c r="R5" s="21">
        <f>+R4/N4-1</f>
        <v>0.18518518518518512</v>
      </c>
      <c r="S5" s="20"/>
      <c r="T5" s="20"/>
      <c r="U5" s="20"/>
      <c r="V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</row>
    <row r="6" spans="1:65" s="19" customFormat="1">
      <c r="C6" s="20"/>
      <c r="D6" s="20"/>
      <c r="E6" s="20"/>
      <c r="F6" s="20"/>
      <c r="G6" s="20"/>
      <c r="H6" s="20"/>
      <c r="I6" s="20"/>
      <c r="J6" s="20"/>
      <c r="K6" s="20"/>
      <c r="L6" s="21"/>
      <c r="M6" s="21"/>
      <c r="N6" s="21"/>
      <c r="O6" s="21"/>
      <c r="P6" s="21"/>
      <c r="Q6" s="20"/>
      <c r="R6" s="20"/>
      <c r="S6" s="20"/>
      <c r="T6" s="20"/>
      <c r="U6" s="20"/>
      <c r="V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</row>
    <row r="7" spans="1:65" s="19" customFormat="1">
      <c r="B7" t="s">
        <v>152</v>
      </c>
      <c r="C7" s="7">
        <v>11600</v>
      </c>
      <c r="D7" s="20"/>
      <c r="E7" s="20"/>
      <c r="F7" s="20"/>
      <c r="G7" s="7">
        <v>15200</v>
      </c>
      <c r="H7" s="7">
        <v>16700</v>
      </c>
      <c r="I7" s="7">
        <v>17700</v>
      </c>
      <c r="J7" s="7">
        <f>69100-I7-H7-G7</f>
        <v>19500</v>
      </c>
      <c r="K7" s="7">
        <v>20700</v>
      </c>
      <c r="L7" s="7">
        <v>22100</v>
      </c>
      <c r="M7" s="7">
        <v>23400</v>
      </c>
      <c r="N7" s="7">
        <v>25100</v>
      </c>
      <c r="O7" s="7">
        <v>25700</v>
      </c>
      <c r="P7" s="7">
        <v>27100</v>
      </c>
      <c r="Q7" s="7">
        <v>28500</v>
      </c>
      <c r="R7" s="7">
        <v>30300</v>
      </c>
      <c r="S7" s="7">
        <v>31800</v>
      </c>
      <c r="T7" s="7">
        <v>33700</v>
      </c>
      <c r="U7" s="20"/>
      <c r="V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5">
        <f>SUM(K7:N7)</f>
        <v>91300</v>
      </c>
      <c r="BF7" s="5">
        <f>SUM(O7:R7)</f>
        <v>111600</v>
      </c>
      <c r="BG7" s="20"/>
      <c r="BH7" s="20"/>
      <c r="BI7" s="20"/>
      <c r="BJ7" s="20"/>
      <c r="BK7" s="20"/>
      <c r="BL7" s="20"/>
      <c r="BM7" s="20"/>
    </row>
    <row r="8" spans="1:65" s="19" customFormat="1">
      <c r="B8" t="s">
        <v>463</v>
      </c>
      <c r="C8" s="5">
        <v>9192</v>
      </c>
      <c r="D8" s="5">
        <v>10119</v>
      </c>
      <c r="E8" s="5">
        <v>10490</v>
      </c>
      <c r="F8" s="5">
        <f>+BC8-E8-D8-C8</f>
        <v>11578</v>
      </c>
      <c r="G8" s="5">
        <v>11195</v>
      </c>
      <c r="H8" s="5">
        <v>12729</v>
      </c>
      <c r="I8" s="5">
        <v>13204</v>
      </c>
      <c r="J8" s="5">
        <f>+BD8-I8-H8-G8</f>
        <v>15461</v>
      </c>
      <c r="K8" s="5">
        <v>15070</v>
      </c>
      <c r="L8" s="5">
        <v>16375</v>
      </c>
      <c r="M8" s="5">
        <v>17046</v>
      </c>
      <c r="N8" s="5">
        <f>+BE8-M8-L8-K8</f>
        <v>18859</v>
      </c>
      <c r="O8" s="5">
        <v>18388</v>
      </c>
      <c r="P8" s="5">
        <v>19594</v>
      </c>
      <c r="Q8" s="5">
        <v>20025</v>
      </c>
      <c r="R8" s="5">
        <f>+BF8-Q8-P8-O8</f>
        <v>21963</v>
      </c>
      <c r="S8" s="5">
        <v>22308</v>
      </c>
      <c r="T8" s="5">
        <v>23953</v>
      </c>
      <c r="U8" s="20"/>
      <c r="V8" s="20"/>
      <c r="AS8" s="20"/>
      <c r="AT8" s="20"/>
      <c r="AU8" s="20"/>
      <c r="AV8" s="20"/>
      <c r="AW8" s="20"/>
      <c r="AX8" s="20"/>
      <c r="AY8" s="20"/>
      <c r="AZ8" s="20"/>
      <c r="BA8" s="20"/>
      <c r="BB8" s="5">
        <v>32622</v>
      </c>
      <c r="BC8" s="5">
        <v>41379</v>
      </c>
      <c r="BD8" s="5">
        <v>52589</v>
      </c>
      <c r="BE8" s="5">
        <v>67350</v>
      </c>
      <c r="BF8" s="5">
        <v>79970</v>
      </c>
      <c r="BG8" s="20"/>
      <c r="BH8" s="20"/>
      <c r="BI8" s="20"/>
      <c r="BJ8" s="20"/>
      <c r="BK8" s="20"/>
      <c r="BL8" s="20"/>
      <c r="BM8" s="20"/>
    </row>
    <row r="9" spans="1:65" s="19" customFormat="1">
      <c r="B9" t="s">
        <v>464</v>
      </c>
      <c r="C9" s="5">
        <v>8466</v>
      </c>
      <c r="D9" s="5">
        <v>8983</v>
      </c>
      <c r="E9" s="5">
        <v>8920</v>
      </c>
      <c r="F9" s="5">
        <f t="shared" ref="F9:F17" si="1">+BC9-E9-D9-C9</f>
        <v>8947</v>
      </c>
      <c r="G9" s="5">
        <v>9278</v>
      </c>
      <c r="H9" s="5">
        <v>9881</v>
      </c>
      <c r="I9" s="5">
        <v>10016</v>
      </c>
      <c r="J9" s="5">
        <f t="shared" ref="J9:J17" si="2">+BD9-I9-H9-G9</f>
        <v>10697</v>
      </c>
      <c r="K9" s="5">
        <v>10808</v>
      </c>
      <c r="L9" s="5">
        <v>11251</v>
      </c>
      <c r="M9" s="5">
        <v>11164</v>
      </c>
      <c r="N9" s="5">
        <f t="shared" ref="N9:N17" si="3">+BE9-M9-L9-K9</f>
        <v>11639</v>
      </c>
      <c r="O9" s="5">
        <v>11577</v>
      </c>
      <c r="P9" s="5">
        <v>11867</v>
      </c>
      <c r="Q9" s="5">
        <v>12438</v>
      </c>
      <c r="R9" s="5">
        <f t="shared" ref="R9:R17" si="4">+BF9-Q9-P9-O9</f>
        <v>12846</v>
      </c>
      <c r="S9" s="5">
        <v>13140</v>
      </c>
      <c r="T9" s="5">
        <v>13477</v>
      </c>
      <c r="U9" s="20"/>
      <c r="V9" s="20"/>
      <c r="AS9" s="20"/>
      <c r="AT9" s="20"/>
      <c r="AU9" s="20"/>
      <c r="AV9" s="20"/>
      <c r="AW9" s="20"/>
      <c r="AX9" s="20"/>
      <c r="AY9" s="20"/>
      <c r="AZ9" s="20"/>
      <c r="BA9" s="20"/>
      <c r="BB9" s="5">
        <v>31769</v>
      </c>
      <c r="BC9" s="5">
        <v>35316</v>
      </c>
      <c r="BD9" s="5">
        <v>39872</v>
      </c>
      <c r="BE9" s="5">
        <v>44862</v>
      </c>
      <c r="BF9" s="5">
        <v>48728</v>
      </c>
      <c r="BG9" s="20"/>
      <c r="BH9" s="20"/>
      <c r="BI9" s="20"/>
      <c r="BJ9" s="20"/>
      <c r="BK9" s="20"/>
      <c r="BL9" s="20"/>
      <c r="BM9" s="20"/>
    </row>
    <row r="10" spans="1:65" s="19" customFormat="1">
      <c r="B10" t="s">
        <v>110</v>
      </c>
      <c r="C10" s="5">
        <v>5353</v>
      </c>
      <c r="D10" s="5">
        <v>5593</v>
      </c>
      <c r="E10" s="5">
        <v>5220</v>
      </c>
      <c r="F10" s="5">
        <f t="shared" si="1"/>
        <v>6128</v>
      </c>
      <c r="G10" s="5">
        <v>5151</v>
      </c>
      <c r="H10" s="5">
        <v>5514</v>
      </c>
      <c r="I10" s="5">
        <v>5463</v>
      </c>
      <c r="J10" s="5">
        <f t="shared" si="2"/>
        <v>6360</v>
      </c>
      <c r="K10" s="5">
        <v>5674</v>
      </c>
      <c r="L10" s="5">
        <v>6600</v>
      </c>
      <c r="M10" s="5">
        <v>6069</v>
      </c>
      <c r="N10" s="5">
        <f t="shared" si="3"/>
        <v>6389</v>
      </c>
      <c r="O10" s="5">
        <v>5313</v>
      </c>
      <c r="P10" s="5">
        <v>4808</v>
      </c>
      <c r="Q10" s="5">
        <v>5328</v>
      </c>
      <c r="R10" s="5">
        <f t="shared" si="4"/>
        <v>6058</v>
      </c>
      <c r="S10" s="5">
        <v>5567</v>
      </c>
      <c r="T10" s="5">
        <v>5262</v>
      </c>
      <c r="U10" s="20"/>
      <c r="V10" s="20"/>
      <c r="AS10" s="20"/>
      <c r="AT10" s="20"/>
      <c r="AU10" s="20"/>
      <c r="AV10" s="20"/>
      <c r="AW10" s="20"/>
      <c r="AX10" s="20"/>
      <c r="AY10" s="20"/>
      <c r="AZ10" s="20"/>
      <c r="BA10" s="20"/>
      <c r="BB10" s="5">
        <v>20395</v>
      </c>
      <c r="BC10" s="5">
        <v>22294</v>
      </c>
      <c r="BD10" s="5">
        <v>22488</v>
      </c>
      <c r="BE10" s="5">
        <v>24732</v>
      </c>
      <c r="BF10" s="5">
        <v>21507</v>
      </c>
      <c r="BG10" s="20"/>
      <c r="BH10" s="20"/>
      <c r="BI10" s="20"/>
      <c r="BJ10" s="20"/>
      <c r="BK10" s="20"/>
      <c r="BL10" s="20"/>
      <c r="BM10" s="20"/>
    </row>
    <row r="11" spans="1:65" s="19" customFormat="1">
      <c r="B11" t="s">
        <v>412</v>
      </c>
      <c r="C11" s="5">
        <v>2542</v>
      </c>
      <c r="D11" s="5">
        <v>3327</v>
      </c>
      <c r="E11" s="5">
        <v>2349</v>
      </c>
      <c r="F11" s="5">
        <f t="shared" si="1"/>
        <v>3357</v>
      </c>
      <c r="G11" s="5">
        <v>3092</v>
      </c>
      <c r="H11" s="5">
        <v>5031</v>
      </c>
      <c r="I11" s="5">
        <v>3533</v>
      </c>
      <c r="J11" s="5">
        <f t="shared" si="2"/>
        <v>3714</v>
      </c>
      <c r="K11" s="5">
        <v>3593</v>
      </c>
      <c r="L11" s="5">
        <v>5442</v>
      </c>
      <c r="M11" s="5">
        <v>3740</v>
      </c>
      <c r="N11" s="5">
        <f t="shared" si="3"/>
        <v>3455</v>
      </c>
      <c r="O11" s="5">
        <v>3610</v>
      </c>
      <c r="P11" s="5">
        <v>4758</v>
      </c>
      <c r="Q11" s="5">
        <v>3607</v>
      </c>
      <c r="R11" s="5">
        <f t="shared" si="4"/>
        <v>3491</v>
      </c>
      <c r="S11" s="5">
        <v>3919</v>
      </c>
      <c r="T11" s="5">
        <v>7111</v>
      </c>
      <c r="U11" s="20"/>
      <c r="V11" s="20"/>
      <c r="AS11" s="20"/>
      <c r="AT11" s="20"/>
      <c r="AU11" s="20"/>
      <c r="AV11" s="20"/>
      <c r="AW11" s="20"/>
      <c r="AX11" s="20"/>
      <c r="AY11" s="20"/>
      <c r="AZ11" s="20"/>
      <c r="BA11" s="20"/>
      <c r="BB11" s="5">
        <v>11386</v>
      </c>
      <c r="BC11" s="5">
        <v>11575</v>
      </c>
      <c r="BD11" s="5">
        <v>15370</v>
      </c>
      <c r="BE11" s="5">
        <v>16230</v>
      </c>
      <c r="BF11" s="5">
        <v>15466</v>
      </c>
      <c r="BG11" s="20"/>
      <c r="BH11" s="20"/>
      <c r="BI11" s="20"/>
      <c r="BJ11" s="20"/>
      <c r="BK11" s="20"/>
      <c r="BL11" s="20"/>
      <c r="BM11" s="20"/>
    </row>
    <row r="12" spans="1:65" s="19" customFormat="1">
      <c r="B12" t="s">
        <v>87</v>
      </c>
      <c r="C12" s="5">
        <v>1909</v>
      </c>
      <c r="D12" s="5">
        <v>2102</v>
      </c>
      <c r="E12" s="5">
        <v>2050</v>
      </c>
      <c r="F12" s="5">
        <f t="shared" si="1"/>
        <v>2016</v>
      </c>
      <c r="G12" s="5">
        <v>2206</v>
      </c>
      <c r="H12" s="5">
        <v>2577</v>
      </c>
      <c r="I12" s="5">
        <v>2562</v>
      </c>
      <c r="J12" s="5">
        <f t="shared" si="2"/>
        <v>2944</v>
      </c>
      <c r="K12" s="5">
        <v>3136</v>
      </c>
      <c r="L12" s="5">
        <v>3531</v>
      </c>
      <c r="M12" s="5">
        <v>3437</v>
      </c>
      <c r="N12" s="5">
        <f t="shared" si="3"/>
        <v>3712</v>
      </c>
      <c r="O12" s="5">
        <v>3628</v>
      </c>
      <c r="P12" s="5">
        <v>3833</v>
      </c>
      <c r="Q12" s="5">
        <v>3697</v>
      </c>
      <c r="R12" s="5">
        <f t="shared" si="4"/>
        <v>3987</v>
      </c>
      <c r="S12" s="5">
        <v>3913</v>
      </c>
      <c r="T12" s="5">
        <v>4195</v>
      </c>
      <c r="U12" s="20"/>
      <c r="V12" s="20"/>
      <c r="AS12" s="20"/>
      <c r="AT12" s="20"/>
      <c r="AU12" s="20"/>
      <c r="AV12" s="20"/>
      <c r="AW12" s="20"/>
      <c r="AX12" s="20"/>
      <c r="AY12" s="20"/>
      <c r="AZ12" s="20"/>
      <c r="BA12" s="20"/>
      <c r="BB12" s="5">
        <v>6754</v>
      </c>
      <c r="BC12" s="5">
        <v>8077</v>
      </c>
      <c r="BD12" s="5">
        <v>10289</v>
      </c>
      <c r="BE12" s="5">
        <v>13816</v>
      </c>
      <c r="BF12" s="5">
        <v>15145</v>
      </c>
      <c r="BG12" s="20"/>
      <c r="BH12" s="20"/>
      <c r="BI12" s="20"/>
      <c r="BJ12" s="20"/>
      <c r="BK12" s="20"/>
      <c r="BL12" s="20"/>
      <c r="BM12" s="20"/>
    </row>
    <row r="13" spans="1:65" s="19" customFormat="1">
      <c r="B13" t="s">
        <v>458</v>
      </c>
      <c r="C13" s="5">
        <v>1991</v>
      </c>
      <c r="D13" s="5">
        <v>2163</v>
      </c>
      <c r="E13" s="5">
        <v>1986</v>
      </c>
      <c r="F13" s="5">
        <f t="shared" si="1"/>
        <v>1600</v>
      </c>
      <c r="G13" s="5">
        <v>1943</v>
      </c>
      <c r="H13" s="5">
        <v>2386</v>
      </c>
      <c r="I13" s="5">
        <v>2401</v>
      </c>
      <c r="J13" s="5">
        <f t="shared" si="2"/>
        <v>2537</v>
      </c>
      <c r="K13" s="5">
        <v>2656</v>
      </c>
      <c r="L13" s="5">
        <v>3064</v>
      </c>
      <c r="M13" s="5">
        <v>2945</v>
      </c>
      <c r="N13" s="5">
        <f t="shared" si="3"/>
        <v>2926</v>
      </c>
      <c r="O13" s="5">
        <v>2913</v>
      </c>
      <c r="P13" s="5">
        <v>3209</v>
      </c>
      <c r="Q13" s="5">
        <v>3045</v>
      </c>
      <c r="R13" s="5">
        <f t="shared" si="4"/>
        <v>3041</v>
      </c>
      <c r="S13" s="5">
        <v>3053</v>
      </c>
      <c r="T13" s="5">
        <v>3220</v>
      </c>
      <c r="U13" s="20"/>
      <c r="V13" s="20"/>
      <c r="AS13" s="20"/>
      <c r="AT13" s="20"/>
      <c r="AU13" s="20"/>
      <c r="AV13" s="20"/>
      <c r="AW13" s="20"/>
      <c r="AX13" s="20"/>
      <c r="AY13" s="20"/>
      <c r="AZ13" s="20"/>
      <c r="BA13" s="20"/>
      <c r="BB13" s="5">
        <v>7628</v>
      </c>
      <c r="BC13" s="5">
        <v>7740</v>
      </c>
      <c r="BD13" s="5">
        <v>9267</v>
      </c>
      <c r="BE13" s="5">
        <v>11591</v>
      </c>
      <c r="BF13" s="5">
        <v>12208</v>
      </c>
      <c r="BG13" s="20"/>
      <c r="BH13" s="20"/>
      <c r="BI13" s="20"/>
      <c r="BJ13" s="20"/>
      <c r="BK13" s="20"/>
      <c r="BL13" s="20"/>
      <c r="BM13" s="20"/>
    </row>
    <row r="14" spans="1:65" s="19" customFormat="1">
      <c r="B14" t="s">
        <v>459</v>
      </c>
      <c r="C14" s="5">
        <v>1545</v>
      </c>
      <c r="D14" s="5">
        <v>1612</v>
      </c>
      <c r="E14" s="5">
        <v>1633</v>
      </c>
      <c r="F14" s="5">
        <f t="shared" si="1"/>
        <v>1619</v>
      </c>
      <c r="G14" s="5">
        <v>1637</v>
      </c>
      <c r="H14" s="5">
        <v>1695</v>
      </c>
      <c r="I14" s="5">
        <v>1803</v>
      </c>
      <c r="J14" s="5">
        <f t="shared" si="2"/>
        <v>1808</v>
      </c>
      <c r="K14" s="5">
        <v>1791</v>
      </c>
      <c r="L14" s="5">
        <v>1823</v>
      </c>
      <c r="M14" s="5">
        <v>1891</v>
      </c>
      <c r="N14" s="5">
        <f t="shared" si="3"/>
        <v>1902</v>
      </c>
      <c r="O14" s="5">
        <v>1929</v>
      </c>
      <c r="P14" s="5">
        <v>1907</v>
      </c>
      <c r="Q14" s="5">
        <v>2007</v>
      </c>
      <c r="R14" s="5">
        <f t="shared" si="4"/>
        <v>1879</v>
      </c>
      <c r="S14" s="5">
        <v>1944</v>
      </c>
      <c r="T14" s="5">
        <v>1917</v>
      </c>
      <c r="U14" s="20"/>
      <c r="V14" s="20"/>
      <c r="AS14" s="20"/>
      <c r="AT14" s="20"/>
      <c r="AU14" s="20"/>
      <c r="AV14" s="20"/>
      <c r="AW14" s="20"/>
      <c r="AX14" s="20"/>
      <c r="AY14" s="20"/>
      <c r="AZ14" s="20"/>
      <c r="BA14" s="20"/>
      <c r="BB14" s="5">
        <v>6124</v>
      </c>
      <c r="BC14" s="5">
        <v>6409</v>
      </c>
      <c r="BD14" s="5">
        <v>6943</v>
      </c>
      <c r="BE14" s="5">
        <v>7407</v>
      </c>
      <c r="BF14" s="5">
        <v>7722</v>
      </c>
      <c r="BG14" s="20"/>
      <c r="BH14" s="20"/>
      <c r="BI14" s="20"/>
      <c r="BJ14" s="20"/>
      <c r="BK14" s="20"/>
      <c r="BL14" s="20"/>
      <c r="BM14" s="20"/>
    </row>
    <row r="15" spans="1:65" s="19" customFormat="1">
      <c r="B15" t="s">
        <v>111</v>
      </c>
      <c r="C15" s="5">
        <v>855</v>
      </c>
      <c r="D15" s="5">
        <v>959</v>
      </c>
      <c r="E15" s="5">
        <v>961</v>
      </c>
      <c r="F15" s="5">
        <f t="shared" si="1"/>
        <v>993</v>
      </c>
      <c r="G15" s="5">
        <v>1032</v>
      </c>
      <c r="H15" s="5">
        <v>1143</v>
      </c>
      <c r="I15" s="5">
        <v>1125</v>
      </c>
      <c r="J15" s="5">
        <f t="shared" si="2"/>
        <v>3843</v>
      </c>
      <c r="K15" s="5">
        <v>1175</v>
      </c>
      <c r="L15" s="5">
        <v>1357</v>
      </c>
      <c r="M15" s="5">
        <v>1233</v>
      </c>
      <c r="N15" s="5">
        <f t="shared" si="3"/>
        <v>3541</v>
      </c>
      <c r="O15" s="5">
        <v>1260</v>
      </c>
      <c r="P15" s="5">
        <v>1302</v>
      </c>
      <c r="Q15" s="5">
        <v>1428</v>
      </c>
      <c r="R15" s="5">
        <f t="shared" si="4"/>
        <v>1531</v>
      </c>
      <c r="S15" s="5">
        <v>1540</v>
      </c>
      <c r="T15" s="5">
        <v>1576</v>
      </c>
      <c r="U15" s="20"/>
      <c r="V15" s="20"/>
      <c r="AS15" s="20"/>
      <c r="AT15" s="20"/>
      <c r="AU15" s="20"/>
      <c r="AV15" s="20"/>
      <c r="AW15" s="20"/>
      <c r="AX15" s="20"/>
      <c r="AY15" s="20"/>
      <c r="AZ15" s="20"/>
      <c r="BA15" s="20"/>
      <c r="BB15" s="5">
        <v>3070</v>
      </c>
      <c r="BC15" s="5">
        <v>3768</v>
      </c>
      <c r="BD15" s="5">
        <v>7143</v>
      </c>
      <c r="BE15" s="5">
        <v>7306</v>
      </c>
      <c r="BF15" s="5">
        <v>5521</v>
      </c>
      <c r="BG15" s="20"/>
      <c r="BH15" s="20"/>
      <c r="BI15" s="20"/>
      <c r="BJ15" s="20"/>
      <c r="BK15" s="20"/>
      <c r="BL15" s="20"/>
      <c r="BM15" s="20"/>
    </row>
    <row r="16" spans="1:65" s="19" customFormat="1">
      <c r="B16" t="s">
        <v>460</v>
      </c>
      <c r="C16" s="5">
        <v>1202</v>
      </c>
      <c r="D16" s="5">
        <v>2048</v>
      </c>
      <c r="E16" s="5">
        <v>1412</v>
      </c>
      <c r="F16" s="5">
        <f t="shared" si="1"/>
        <v>1795</v>
      </c>
      <c r="G16" s="5">
        <v>1620</v>
      </c>
      <c r="H16" s="5">
        <v>2120</v>
      </c>
      <c r="I16" s="5">
        <v>1599</v>
      </c>
      <c r="J16" s="5">
        <f t="shared" si="2"/>
        <v>-1585</v>
      </c>
      <c r="K16" s="5">
        <v>1414</v>
      </c>
      <c r="L16" s="5">
        <v>2285</v>
      </c>
      <c r="M16" s="5">
        <v>1835</v>
      </c>
      <c r="N16" s="5">
        <f>+BE16-M16-L16-K16</f>
        <v>-847</v>
      </c>
      <c r="O16" s="5">
        <v>1448</v>
      </c>
      <c r="P16" s="5">
        <v>1430</v>
      </c>
      <c r="Q16" s="5">
        <v>1282</v>
      </c>
      <c r="R16" s="5">
        <f t="shared" si="4"/>
        <v>1277</v>
      </c>
      <c r="S16" s="5">
        <v>1125</v>
      </c>
      <c r="T16" s="5">
        <v>1298</v>
      </c>
      <c r="U16" s="20"/>
      <c r="V16" s="20"/>
      <c r="AS16" s="20"/>
      <c r="AT16" s="20"/>
      <c r="AU16" s="20"/>
      <c r="AV16" s="20"/>
      <c r="AW16" s="20"/>
      <c r="AX16" s="20"/>
      <c r="AY16" s="20"/>
      <c r="AZ16" s="20"/>
      <c r="BA16" s="20"/>
      <c r="BB16" s="5">
        <v>6095</v>
      </c>
      <c r="BC16" s="5">
        <v>6457</v>
      </c>
      <c r="BD16" s="5">
        <v>3754</v>
      </c>
      <c r="BE16" s="5">
        <v>4687</v>
      </c>
      <c r="BF16" s="5">
        <v>5437</v>
      </c>
      <c r="BG16" s="20"/>
      <c r="BH16" s="20"/>
      <c r="BI16" s="20"/>
      <c r="BJ16" s="20"/>
      <c r="BK16" s="20"/>
      <c r="BL16" s="20"/>
      <c r="BM16" s="20"/>
    </row>
    <row r="17" spans="2:65" s="19" customFormat="1">
      <c r="B17" t="s">
        <v>28</v>
      </c>
      <c r="C17" s="5">
        <v>0</v>
      </c>
      <c r="D17" s="5">
        <v>0</v>
      </c>
      <c r="E17" s="5">
        <v>0</v>
      </c>
      <c r="F17" s="5">
        <f t="shared" si="1"/>
        <v>0</v>
      </c>
      <c r="G17" s="5">
        <v>0</v>
      </c>
      <c r="H17" s="5">
        <v>0</v>
      </c>
      <c r="I17" s="5">
        <v>0</v>
      </c>
      <c r="J17" s="5">
        <f t="shared" si="2"/>
        <v>373</v>
      </c>
      <c r="K17" s="5">
        <v>0</v>
      </c>
      <c r="L17" s="5">
        <v>0</v>
      </c>
      <c r="M17" s="5">
        <v>0</v>
      </c>
      <c r="N17" s="5">
        <f t="shared" si="3"/>
        <v>289</v>
      </c>
      <c r="O17" s="5">
        <v>56</v>
      </c>
      <c r="P17" s="5">
        <v>39</v>
      </c>
      <c r="Q17" s="5">
        <v>0</v>
      </c>
      <c r="R17" s="5">
        <f t="shared" si="4"/>
        <v>116</v>
      </c>
      <c r="S17" s="5">
        <v>8</v>
      </c>
      <c r="T17" s="5">
        <v>11</v>
      </c>
      <c r="U17" s="20"/>
      <c r="V17" s="20"/>
      <c r="AS17" s="20"/>
      <c r="AT17" s="20"/>
      <c r="AU17" s="20"/>
      <c r="AV17" s="20"/>
      <c r="AW17" s="20"/>
      <c r="AX17" s="20"/>
      <c r="AY17" s="20"/>
      <c r="AZ17" s="20"/>
      <c r="BA17" s="20"/>
      <c r="BB17" s="5">
        <v>0</v>
      </c>
      <c r="BC17" s="5">
        <v>0</v>
      </c>
      <c r="BD17" s="5">
        <v>373</v>
      </c>
      <c r="BE17" s="5">
        <v>289</v>
      </c>
      <c r="BF17" s="5">
        <v>211</v>
      </c>
      <c r="BG17" s="20"/>
      <c r="BH17" s="20"/>
      <c r="BI17" s="20"/>
      <c r="BJ17" s="20"/>
      <c r="BK17" s="20"/>
      <c r="BL17" s="20"/>
      <c r="BM17" s="20"/>
    </row>
    <row r="18" spans="2:65" s="19" customFormat="1">
      <c r="B18"/>
      <c r="C18" s="20"/>
      <c r="D18" s="20"/>
      <c r="E18" s="20"/>
      <c r="F18" s="20"/>
      <c r="G18" s="20"/>
      <c r="H18" s="20"/>
      <c r="I18" s="20"/>
      <c r="J18" s="20"/>
      <c r="K18" s="20"/>
      <c r="L18" s="21"/>
      <c r="M18" s="21"/>
      <c r="N18" s="21"/>
      <c r="O18" s="5"/>
      <c r="P18" s="5"/>
      <c r="Q18" s="5"/>
      <c r="R18" s="21"/>
      <c r="S18" s="5"/>
      <c r="T18" s="5"/>
      <c r="U18" s="20"/>
      <c r="V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5"/>
      <c r="BE18" s="5"/>
      <c r="BF18" s="5"/>
      <c r="BG18" s="20"/>
      <c r="BH18" s="20"/>
      <c r="BI18" s="20"/>
      <c r="BJ18" s="20"/>
      <c r="BK18" s="20"/>
      <c r="BL18" s="20"/>
      <c r="BM18" s="20"/>
    </row>
    <row r="19" spans="2:65" s="19" customFormat="1">
      <c r="B19"/>
      <c r="C19" s="20"/>
      <c r="D19" s="20"/>
      <c r="E19" s="20"/>
      <c r="F19" s="20"/>
      <c r="G19" s="20"/>
      <c r="H19" s="20"/>
      <c r="I19" s="20"/>
      <c r="J19" s="20"/>
      <c r="K19" s="20"/>
      <c r="L19" s="21"/>
      <c r="M19" s="21"/>
      <c r="N19" s="21"/>
      <c r="O19" s="21"/>
      <c r="P19" s="21">
        <f>P7/L7-1</f>
        <v>0.2262443438914028</v>
      </c>
      <c r="Q19" s="21">
        <f>Q7/M7-1</f>
        <v>0.21794871794871784</v>
      </c>
      <c r="R19" s="21">
        <f>R7/N7-1</f>
        <v>0.20717131474103589</v>
      </c>
      <c r="S19" s="20"/>
      <c r="T19" s="5"/>
      <c r="U19" s="20"/>
      <c r="V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1"/>
      <c r="BG19" s="20"/>
      <c r="BH19" s="20"/>
      <c r="BI19" s="20"/>
      <c r="BJ19" s="20"/>
      <c r="BK19" s="20"/>
      <c r="BL19" s="20"/>
      <c r="BM19" s="20"/>
    </row>
    <row r="20" spans="2:65">
      <c r="B20" t="s">
        <v>87</v>
      </c>
      <c r="N20" s="2">
        <f>+J20+768</f>
        <v>768</v>
      </c>
      <c r="O20" s="2"/>
      <c r="P20" s="2"/>
      <c r="Q20" s="2"/>
      <c r="R20" s="2">
        <v>950</v>
      </c>
      <c r="S20" s="2"/>
      <c r="T20" s="2"/>
      <c r="U20" s="2"/>
      <c r="V20" s="2"/>
      <c r="BF20" s="21">
        <v>0.27</v>
      </c>
    </row>
    <row r="21" spans="2:65">
      <c r="B21" s="19" t="s">
        <v>153</v>
      </c>
      <c r="G21" s="2">
        <v>45.3</v>
      </c>
      <c r="H21" s="2">
        <v>47.5</v>
      </c>
      <c r="I21" s="2">
        <v>50.2</v>
      </c>
      <c r="J21" s="2">
        <v>51.9</v>
      </c>
      <c r="K21" s="37">
        <v>54.1</v>
      </c>
      <c r="L21" s="37">
        <v>56.4</v>
      </c>
      <c r="M21" s="37">
        <v>58.4</v>
      </c>
      <c r="N21" s="37">
        <v>59.7</v>
      </c>
      <c r="O21" s="37">
        <v>61.3</v>
      </c>
      <c r="P21" s="37">
        <v>63.2</v>
      </c>
      <c r="Q21" s="37">
        <v>65.400000000000006</v>
      </c>
      <c r="R21" s="37">
        <v>67</v>
      </c>
      <c r="S21" s="37">
        <v>76.7</v>
      </c>
      <c r="T21" s="37">
        <v>78.400000000000006</v>
      </c>
      <c r="U21" s="2"/>
      <c r="V21" s="2"/>
    </row>
    <row r="22" spans="2:65">
      <c r="O22" s="2"/>
      <c r="P22" s="2"/>
      <c r="Q22" s="2"/>
      <c r="R22" s="2"/>
      <c r="S22" s="2"/>
      <c r="T22" s="2"/>
      <c r="U22" s="2"/>
      <c r="V22" s="2"/>
    </row>
    <row r="23" spans="2:65">
      <c r="B23" s="19" t="s">
        <v>412</v>
      </c>
      <c r="O23" s="2"/>
      <c r="P23" s="2"/>
      <c r="Q23" s="2"/>
      <c r="R23" s="9">
        <v>0.02</v>
      </c>
      <c r="S23" s="2"/>
      <c r="T23" s="2"/>
      <c r="U23" s="2"/>
      <c r="V23" s="2"/>
    </row>
    <row r="24" spans="2:65">
      <c r="O24" s="2"/>
      <c r="P24" s="2"/>
      <c r="Q24" s="2"/>
      <c r="R24" s="2"/>
      <c r="S24" s="2"/>
      <c r="T24" s="2"/>
      <c r="U24" s="2"/>
      <c r="V24" s="2"/>
    </row>
    <row r="25" spans="2:65" s="4" customFormat="1">
      <c r="B25" s="4" t="s">
        <v>69</v>
      </c>
      <c r="C25" s="5">
        <v>11077</v>
      </c>
      <c r="D25" s="5">
        <v>11826</v>
      </c>
      <c r="E25" s="5">
        <v>11743</v>
      </c>
      <c r="F25" s="5">
        <v>11752</v>
      </c>
      <c r="G25" s="5">
        <v>12319</v>
      </c>
      <c r="H25" s="5">
        <v>13353</v>
      </c>
      <c r="I25" s="5">
        <v>13552</v>
      </c>
      <c r="J25" s="5">
        <v>14691</v>
      </c>
      <c r="K25" s="5">
        <v>15039</v>
      </c>
      <c r="L25" s="5">
        <v>15936</v>
      </c>
      <c r="M25" s="5">
        <v>15789</v>
      </c>
      <c r="N25" s="5">
        <v>16600</v>
      </c>
      <c r="O25" s="4">
        <v>16465</v>
      </c>
      <c r="P25" s="4">
        <v>17002</v>
      </c>
      <c r="Q25" s="4">
        <v>17516</v>
      </c>
      <c r="R25" s="4">
        <v>18291</v>
      </c>
      <c r="S25" s="4">
        <v>18592</v>
      </c>
      <c r="T25" s="4">
        <v>19249</v>
      </c>
      <c r="AA25" s="4">
        <v>1401</v>
      </c>
      <c r="AB25" s="4">
        <v>2253</v>
      </c>
      <c r="AC25" s="4">
        <v>2927</v>
      </c>
      <c r="BC25" s="5"/>
      <c r="BD25" s="5">
        <f>SUM(G25:J25)</f>
        <v>53915</v>
      </c>
      <c r="BE25" s="5">
        <f>SUM(K25:N25)</f>
        <v>63364</v>
      </c>
      <c r="BF25" s="5">
        <f>SUM(O25:R25)</f>
        <v>69274</v>
      </c>
    </row>
    <row r="26" spans="2:65" s="4" customFormat="1">
      <c r="B26" s="4" t="s">
        <v>68</v>
      </c>
      <c r="C26" s="5">
        <v>10845</v>
      </c>
      <c r="D26" s="5">
        <v>11869</v>
      </c>
      <c r="E26" s="5">
        <v>12281</v>
      </c>
      <c r="F26" s="5">
        <v>13371</v>
      </c>
      <c r="G26" s="5">
        <v>12986</v>
      </c>
      <c r="H26" s="5">
        <v>14601</v>
      </c>
      <c r="I26" s="5">
        <v>15118</v>
      </c>
      <c r="J26" s="5">
        <v>17375</v>
      </c>
      <c r="K26" s="5">
        <v>16912</v>
      </c>
      <c r="L26" s="5">
        <v>18327</v>
      </c>
      <c r="M26" s="5">
        <v>18987</v>
      </c>
      <c r="N26" s="5">
        <v>20804</v>
      </c>
      <c r="O26" s="4">
        <v>20325</v>
      </c>
      <c r="P26" s="4">
        <v>21508</v>
      </c>
      <c r="Q26" s="4">
        <v>22081</v>
      </c>
      <c r="R26" s="4">
        <v>23993</v>
      </c>
      <c r="S26" s="4">
        <v>24259</v>
      </c>
      <c r="T26" s="4">
        <v>25880</v>
      </c>
      <c r="BC26" s="5"/>
      <c r="BD26" s="5">
        <f>SUM(G26:J26)</f>
        <v>60080</v>
      </c>
      <c r="BE26" s="5">
        <f t="shared" ref="BE26:BE33" si="5">SUM(K26:N26)</f>
        <v>75030</v>
      </c>
      <c r="BF26" s="5">
        <f>SUM(O26:R26)</f>
        <v>87907</v>
      </c>
    </row>
    <row r="27" spans="2:65" s="4" customFormat="1">
      <c r="B27" s="4" t="s">
        <v>70</v>
      </c>
      <c r="C27" s="5">
        <v>11133</v>
      </c>
      <c r="D27" s="5">
        <v>13211</v>
      </c>
      <c r="E27" s="5">
        <v>10997</v>
      </c>
      <c r="F27" s="5">
        <v>12910</v>
      </c>
      <c r="G27" s="5">
        <v>11849</v>
      </c>
      <c r="H27" s="5">
        <v>15122</v>
      </c>
      <c r="I27" s="5">
        <v>13036</v>
      </c>
      <c r="J27" s="5">
        <v>14086</v>
      </c>
      <c r="K27" s="5">
        <v>13366</v>
      </c>
      <c r="L27" s="5">
        <v>17465</v>
      </c>
      <c r="M27" s="5">
        <v>14584</v>
      </c>
      <c r="N27" s="5">
        <v>14461</v>
      </c>
      <c r="O27" s="4">
        <v>13332</v>
      </c>
      <c r="P27" s="4">
        <v>14237</v>
      </c>
      <c r="Q27" s="4">
        <v>13260</v>
      </c>
      <c r="R27" s="4">
        <v>13905</v>
      </c>
      <c r="S27" s="4">
        <v>13666</v>
      </c>
      <c r="T27" s="4">
        <v>16891</v>
      </c>
      <c r="AA27" s="4">
        <v>1104</v>
      </c>
      <c r="AB27" s="4">
        <v>1267</v>
      </c>
      <c r="AC27" s="4">
        <v>1519</v>
      </c>
      <c r="BC27" s="5"/>
      <c r="BD27" s="5">
        <f>SUM(G27:J27)</f>
        <v>54093</v>
      </c>
      <c r="BE27" s="5">
        <f t="shared" si="5"/>
        <v>59876</v>
      </c>
      <c r="BF27" s="5">
        <f>SUM(O27:R27)</f>
        <v>54734</v>
      </c>
    </row>
    <row r="29" spans="2:65" s="4" customFormat="1">
      <c r="B29" s="4" t="s">
        <v>17</v>
      </c>
      <c r="C29" s="5">
        <v>15768</v>
      </c>
      <c r="D29" s="5">
        <v>18255</v>
      </c>
      <c r="E29" s="5">
        <v>15871</v>
      </c>
      <c r="F29" s="5">
        <v>18147</v>
      </c>
      <c r="G29" s="5">
        <v>15803</v>
      </c>
      <c r="H29" s="5">
        <v>19460</v>
      </c>
      <c r="I29" s="5">
        <v>16873</v>
      </c>
      <c r="J29" s="5">
        <v>18938</v>
      </c>
      <c r="K29" s="5">
        <v>16631</v>
      </c>
      <c r="L29" s="5">
        <v>20779</v>
      </c>
      <c r="M29" s="5">
        <v>17366</v>
      </c>
      <c r="N29" s="5">
        <v>17956</v>
      </c>
      <c r="O29" s="4">
        <v>15741</v>
      </c>
      <c r="P29" s="4">
        <v>16517</v>
      </c>
      <c r="Q29" s="4">
        <v>15588</v>
      </c>
      <c r="R29" s="4">
        <v>16853</v>
      </c>
      <c r="S29" s="4">
        <v>15535</v>
      </c>
      <c r="T29" s="4">
        <v>18941</v>
      </c>
      <c r="U29" s="4">
        <f t="shared" ref="U29:U30" si="6">Q29*1.05</f>
        <v>16367.400000000001</v>
      </c>
      <c r="V29" s="4">
        <f t="shared" ref="V29:V30" si="7">R29*1.05</f>
        <v>17695.650000000001</v>
      </c>
      <c r="AY29" s="4">
        <v>61502</v>
      </c>
      <c r="AZ29" s="4">
        <v>63811</v>
      </c>
      <c r="BA29" s="4">
        <v>64497</v>
      </c>
      <c r="BB29" s="4">
        <v>66069</v>
      </c>
      <c r="BC29" s="5">
        <v>68041</v>
      </c>
      <c r="BD29" s="5">
        <f>SUM(G29:J29)</f>
        <v>71074</v>
      </c>
      <c r="BE29" s="5">
        <f t="shared" si="5"/>
        <v>72732</v>
      </c>
      <c r="BF29" s="5">
        <f>SUM(O29:R29)</f>
        <v>64699</v>
      </c>
      <c r="BG29" s="5">
        <f>+BF29*1.03</f>
        <v>66639.97</v>
      </c>
      <c r="BH29" s="5">
        <f t="shared" ref="BH29:BM29" si="8">+BG29*1.03</f>
        <v>68639.169099999999</v>
      </c>
      <c r="BI29" s="5">
        <f t="shared" si="8"/>
        <v>70698.344173000005</v>
      </c>
      <c r="BJ29" s="5">
        <f t="shared" si="8"/>
        <v>72819.294498190007</v>
      </c>
      <c r="BK29" s="5">
        <f t="shared" si="8"/>
        <v>75003.873333135707</v>
      </c>
      <c r="BL29" s="5">
        <f t="shared" si="8"/>
        <v>77253.989533129774</v>
      </c>
      <c r="BM29" s="5">
        <f t="shared" si="8"/>
        <v>79571.609219123668</v>
      </c>
    </row>
    <row r="30" spans="2:65" s="4" customFormat="1">
      <c r="B30" s="4" t="s">
        <v>18</v>
      </c>
      <c r="C30" s="5">
        <v>17287</v>
      </c>
      <c r="D30" s="5">
        <v>18651</v>
      </c>
      <c r="E30" s="5">
        <v>19150</v>
      </c>
      <c r="F30" s="5">
        <v>19886</v>
      </c>
      <c r="G30" s="5">
        <v>21351</v>
      </c>
      <c r="H30" s="5">
        <v>23616</v>
      </c>
      <c r="I30" s="5">
        <v>24833</v>
      </c>
      <c r="J30" s="5">
        <v>27214</v>
      </c>
      <c r="K30" s="5">
        <v>28686</v>
      </c>
      <c r="L30" s="5">
        <v>30949</v>
      </c>
      <c r="M30" s="5">
        <v>31994</v>
      </c>
      <c r="N30" s="5">
        <v>33909</v>
      </c>
      <c r="O30" s="4">
        <v>34381</v>
      </c>
      <c r="P30" s="4">
        <v>36230</v>
      </c>
      <c r="Q30" s="4">
        <v>37269</v>
      </c>
      <c r="R30" s="4">
        <v>39336</v>
      </c>
      <c r="S30" s="4">
        <v>40982</v>
      </c>
      <c r="T30" s="4">
        <v>43079</v>
      </c>
      <c r="U30" s="4">
        <f t="shared" si="6"/>
        <v>39132.450000000004</v>
      </c>
      <c r="V30" s="4">
        <f t="shared" si="7"/>
        <v>41302.800000000003</v>
      </c>
      <c r="AY30" s="4">
        <v>23818</v>
      </c>
      <c r="AZ30" s="4">
        <v>32760</v>
      </c>
      <c r="BA30" s="4">
        <v>45863</v>
      </c>
      <c r="BB30" s="4">
        <v>59774</v>
      </c>
      <c r="BC30" s="5">
        <v>74974</v>
      </c>
      <c r="BD30" s="5">
        <f>SUM(G30:J30)</f>
        <v>97014</v>
      </c>
      <c r="BE30" s="5">
        <f t="shared" si="5"/>
        <v>125538</v>
      </c>
      <c r="BF30" s="5">
        <f>SUM(O30:R30)</f>
        <v>147216</v>
      </c>
      <c r="BG30" s="5">
        <f>+BF30*1.15</f>
        <v>169298.4</v>
      </c>
      <c r="BH30" s="5">
        <f>+BG30*1.1</f>
        <v>186228.24000000002</v>
      </c>
      <c r="BI30" s="5">
        <f t="shared" ref="BI30:BM30" si="9">+BH30*1.1</f>
        <v>204851.06400000004</v>
      </c>
      <c r="BJ30" s="5">
        <f t="shared" si="9"/>
        <v>225336.17040000006</v>
      </c>
      <c r="BK30" s="5">
        <f t="shared" si="9"/>
        <v>247869.78744000007</v>
      </c>
      <c r="BL30" s="5">
        <f t="shared" si="9"/>
        <v>272656.76618400012</v>
      </c>
      <c r="BM30" s="5">
        <f t="shared" si="9"/>
        <v>299922.44280240015</v>
      </c>
    </row>
    <row r="31" spans="2:65" s="6" customFormat="1">
      <c r="B31" s="6" t="s">
        <v>8</v>
      </c>
      <c r="C31" s="7">
        <f t="shared" ref="C31:D31" si="10">C29+C30</f>
        <v>33055</v>
      </c>
      <c r="D31" s="7">
        <f t="shared" si="10"/>
        <v>36906</v>
      </c>
      <c r="E31" s="7">
        <f t="shared" ref="E31" si="11">E29+E30</f>
        <v>35021</v>
      </c>
      <c r="F31" s="7">
        <f t="shared" ref="F31:G31" si="12">F29+F30</f>
        <v>38033</v>
      </c>
      <c r="G31" s="7">
        <f t="shared" si="12"/>
        <v>37154</v>
      </c>
      <c r="H31" s="7">
        <f t="shared" ref="H31:L31" si="13">H29+H30</f>
        <v>43076</v>
      </c>
      <c r="I31" s="7">
        <f t="shared" si="13"/>
        <v>41706</v>
      </c>
      <c r="J31" s="7">
        <f t="shared" si="13"/>
        <v>46152</v>
      </c>
      <c r="K31" s="7">
        <f t="shared" si="13"/>
        <v>45317</v>
      </c>
      <c r="L31" s="7">
        <f t="shared" si="13"/>
        <v>51728</v>
      </c>
      <c r="M31" s="7">
        <f>M29+M30</f>
        <v>49360</v>
      </c>
      <c r="N31" s="7">
        <f t="shared" ref="N31:V31" si="14">N29+N30</f>
        <v>51865</v>
      </c>
      <c r="O31" s="7">
        <f t="shared" si="14"/>
        <v>50122</v>
      </c>
      <c r="P31" s="7">
        <f>P29+P30</f>
        <v>52747</v>
      </c>
      <c r="Q31" s="7">
        <f>Q29+Q30</f>
        <v>52857</v>
      </c>
      <c r="R31" s="7">
        <f t="shared" si="14"/>
        <v>56189</v>
      </c>
      <c r="S31" s="7">
        <f t="shared" si="14"/>
        <v>56517</v>
      </c>
      <c r="T31" s="7">
        <f>T29+T30</f>
        <v>62020</v>
      </c>
      <c r="U31" s="7">
        <f t="shared" si="14"/>
        <v>55499.850000000006</v>
      </c>
      <c r="V31" s="7">
        <f t="shared" si="14"/>
        <v>58998.450000000004</v>
      </c>
      <c r="Y31" s="6">
        <v>1183</v>
      </c>
      <c r="Z31" s="6">
        <v>1843</v>
      </c>
      <c r="AA31" s="6">
        <v>2759</v>
      </c>
      <c r="AB31" s="6">
        <v>3753</v>
      </c>
      <c r="AC31" s="6">
        <v>4649</v>
      </c>
      <c r="AD31" s="6">
        <v>5937</v>
      </c>
      <c r="AE31" s="6">
        <v>8671</v>
      </c>
      <c r="AF31" s="6">
        <v>11358</v>
      </c>
      <c r="AG31" s="6">
        <v>14484</v>
      </c>
      <c r="AH31" s="6">
        <v>19747</v>
      </c>
      <c r="AI31" s="6">
        <v>22956</v>
      </c>
      <c r="AJ31" s="6">
        <v>25296</v>
      </c>
      <c r="AK31" s="6">
        <v>28365</v>
      </c>
      <c r="AL31" s="6">
        <v>32187</v>
      </c>
      <c r="AM31" s="6">
        <v>36835</v>
      </c>
      <c r="AN31" s="6">
        <v>39788</v>
      </c>
      <c r="AO31" s="6">
        <v>44282</v>
      </c>
      <c r="AP31" s="6">
        <v>51122</v>
      </c>
      <c r="AQ31" s="6">
        <v>60420</v>
      </c>
      <c r="AR31" s="6">
        <v>58437</v>
      </c>
      <c r="AS31" s="7">
        <v>62484</v>
      </c>
      <c r="AT31" s="7">
        <v>69943</v>
      </c>
      <c r="AU31" s="7">
        <v>73723</v>
      </c>
      <c r="AV31" s="7">
        <v>77849</v>
      </c>
      <c r="AW31" s="7">
        <v>86833</v>
      </c>
      <c r="AX31" s="7">
        <v>93580</v>
      </c>
      <c r="AY31" s="7">
        <f>AY29+AY30</f>
        <v>85320</v>
      </c>
      <c r="AZ31" s="7">
        <f t="shared" ref="AZ31:BF31" si="15">+AZ30+AZ29</f>
        <v>96571</v>
      </c>
      <c r="BA31" s="7">
        <f t="shared" si="15"/>
        <v>110360</v>
      </c>
      <c r="BB31" s="7">
        <f t="shared" si="15"/>
        <v>125843</v>
      </c>
      <c r="BC31" s="7">
        <f t="shared" si="15"/>
        <v>143015</v>
      </c>
      <c r="BD31" s="7">
        <f t="shared" si="15"/>
        <v>168088</v>
      </c>
      <c r="BE31" s="7">
        <f t="shared" si="15"/>
        <v>198270</v>
      </c>
      <c r="BF31" s="7">
        <f t="shared" si="15"/>
        <v>211915</v>
      </c>
      <c r="BG31" s="7">
        <f t="shared" ref="BG31:BM31" si="16">+BG30+BG29</f>
        <v>235938.37</v>
      </c>
      <c r="BH31" s="7">
        <f t="shared" si="16"/>
        <v>254867.40910000002</v>
      </c>
      <c r="BI31" s="7">
        <f t="shared" si="16"/>
        <v>275549.40817300003</v>
      </c>
      <c r="BJ31" s="7">
        <f t="shared" si="16"/>
        <v>298155.46489819005</v>
      </c>
      <c r="BK31" s="7">
        <f t="shared" si="16"/>
        <v>322873.66077313578</v>
      </c>
      <c r="BL31" s="7">
        <f t="shared" si="16"/>
        <v>349910.75571712991</v>
      </c>
      <c r="BM31" s="7">
        <f t="shared" si="16"/>
        <v>379494.05202152382</v>
      </c>
    </row>
    <row r="32" spans="2:65" s="4" customFormat="1">
      <c r="B32" s="4" t="s">
        <v>19</v>
      </c>
      <c r="C32" s="5">
        <v>3305</v>
      </c>
      <c r="D32" s="5">
        <v>4966</v>
      </c>
      <c r="E32" s="5">
        <v>3376</v>
      </c>
      <c r="F32" s="5">
        <v>4370</v>
      </c>
      <c r="G32" s="5">
        <v>3597</v>
      </c>
      <c r="H32" s="5">
        <v>6058</v>
      </c>
      <c r="I32" s="5">
        <v>4277</v>
      </c>
      <c r="J32" s="5">
        <v>4287</v>
      </c>
      <c r="K32" s="5">
        <v>3792</v>
      </c>
      <c r="L32" s="5">
        <v>6331</v>
      </c>
      <c r="M32" s="5">
        <v>4584</v>
      </c>
      <c r="N32" s="5">
        <v>4357</v>
      </c>
      <c r="O32" s="4">
        <v>4302</v>
      </c>
      <c r="P32" s="4">
        <v>5690</v>
      </c>
      <c r="Q32" s="4">
        <v>3941</v>
      </c>
      <c r="R32" s="4">
        <v>3871</v>
      </c>
      <c r="S32" s="4">
        <v>3531</v>
      </c>
      <c r="T32" s="4">
        <v>5964</v>
      </c>
      <c r="U32" s="4">
        <f t="shared" ref="U32:V32" si="17">U29*0.25</f>
        <v>4091.8500000000004</v>
      </c>
      <c r="V32" s="4">
        <f t="shared" si="17"/>
        <v>4423.9125000000004</v>
      </c>
      <c r="AY32" s="4">
        <v>17880</v>
      </c>
      <c r="AZ32" s="4">
        <v>15175</v>
      </c>
      <c r="BA32" s="4">
        <v>15420</v>
      </c>
      <c r="BB32" s="4">
        <v>16273</v>
      </c>
      <c r="BC32" s="5">
        <v>16017</v>
      </c>
      <c r="BD32" s="5">
        <f>SUM(G32:J32)</f>
        <v>18219</v>
      </c>
      <c r="BE32" s="5">
        <f t="shared" si="5"/>
        <v>19064</v>
      </c>
      <c r="BF32" s="5">
        <f>SUM(O32:R32)</f>
        <v>17804</v>
      </c>
      <c r="BG32" s="5">
        <f>BG29*0.25</f>
        <v>16659.9925</v>
      </c>
      <c r="BH32" s="5">
        <f t="shared" ref="BH32:BM32" si="18">BH29*0.25</f>
        <v>17159.792275</v>
      </c>
      <c r="BI32" s="5">
        <f t="shared" si="18"/>
        <v>17674.586043250001</v>
      </c>
      <c r="BJ32" s="5">
        <f t="shared" si="18"/>
        <v>18204.823624547502</v>
      </c>
      <c r="BK32" s="5">
        <f t="shared" si="18"/>
        <v>18750.968333283927</v>
      </c>
      <c r="BL32" s="5">
        <f t="shared" si="18"/>
        <v>19313.497383282443</v>
      </c>
      <c r="BM32" s="5">
        <f t="shared" si="18"/>
        <v>19892.902304780917</v>
      </c>
    </row>
    <row r="33" spans="2:123" s="4" customFormat="1">
      <c r="B33" s="4" t="s">
        <v>20</v>
      </c>
      <c r="C33" s="5">
        <v>7101</v>
      </c>
      <c r="D33" s="5">
        <v>7392</v>
      </c>
      <c r="E33" s="5">
        <v>7599</v>
      </c>
      <c r="F33" s="5">
        <v>7969</v>
      </c>
      <c r="G33" s="5">
        <v>7405</v>
      </c>
      <c r="H33" s="5">
        <v>8136</v>
      </c>
      <c r="I33" s="5">
        <v>8768</v>
      </c>
      <c r="J33" s="5">
        <v>9704</v>
      </c>
      <c r="K33" s="5">
        <v>9854</v>
      </c>
      <c r="L33" s="5">
        <v>10629</v>
      </c>
      <c r="M33" s="5">
        <v>11031</v>
      </c>
      <c r="N33" s="5">
        <v>12072</v>
      </c>
      <c r="O33" s="4">
        <v>11150</v>
      </c>
      <c r="P33" s="4">
        <v>11798</v>
      </c>
      <c r="Q33" s="4">
        <v>12187</v>
      </c>
      <c r="R33" s="4">
        <v>12924</v>
      </c>
      <c r="S33" s="4">
        <v>12771</v>
      </c>
      <c r="T33" s="4">
        <v>13659</v>
      </c>
      <c r="U33" s="4">
        <f t="shared" ref="U33:V33" si="19">U30*0.35</f>
        <v>13696.3575</v>
      </c>
      <c r="V33" s="4">
        <f t="shared" si="19"/>
        <v>14455.98</v>
      </c>
      <c r="AY33" s="4">
        <v>14900</v>
      </c>
      <c r="AZ33" s="4">
        <v>19086</v>
      </c>
      <c r="BA33" s="4">
        <v>22933</v>
      </c>
      <c r="BB33" s="4">
        <v>26637</v>
      </c>
      <c r="BC33" s="5">
        <v>30061</v>
      </c>
      <c r="BD33" s="5">
        <f>SUM(G33:J33)</f>
        <v>34013</v>
      </c>
      <c r="BE33" s="5">
        <f t="shared" si="5"/>
        <v>43586</v>
      </c>
      <c r="BF33" s="5">
        <f>SUM(O33:R33)</f>
        <v>48059</v>
      </c>
      <c r="BG33" s="5">
        <f>BG30*0.35</f>
        <v>59254.439999999995</v>
      </c>
      <c r="BH33" s="5">
        <f t="shared" ref="BH33:BM33" si="20">BH30*0.35</f>
        <v>65179.884000000005</v>
      </c>
      <c r="BI33" s="5">
        <f t="shared" si="20"/>
        <v>71697.872400000007</v>
      </c>
      <c r="BJ33" s="5">
        <f t="shared" si="20"/>
        <v>78867.659640000013</v>
      </c>
      <c r="BK33" s="5">
        <f t="shared" si="20"/>
        <v>86754.425604000018</v>
      </c>
      <c r="BL33" s="5">
        <f t="shared" si="20"/>
        <v>95429.868164400032</v>
      </c>
      <c r="BM33" s="5">
        <f t="shared" si="20"/>
        <v>104972.85498084004</v>
      </c>
    </row>
    <row r="34" spans="2:123" s="4" customFormat="1">
      <c r="B34" s="4" t="s">
        <v>21</v>
      </c>
      <c r="C34" s="5">
        <f>+C32+C33</f>
        <v>10406</v>
      </c>
      <c r="D34" s="5">
        <f>+D32+D33</f>
        <v>12358</v>
      </c>
      <c r="E34" s="5">
        <f>+E32+E33</f>
        <v>10975</v>
      </c>
      <c r="F34" s="5">
        <f t="shared" ref="F34" si="21">F32+F33</f>
        <v>12339</v>
      </c>
      <c r="G34" s="5">
        <f t="shared" ref="G34:H34" si="22">G32+G33</f>
        <v>11002</v>
      </c>
      <c r="H34" s="5">
        <f t="shared" si="22"/>
        <v>14194</v>
      </c>
      <c r="I34" s="5">
        <f>I32+I33</f>
        <v>13045</v>
      </c>
      <c r="J34" s="5">
        <f t="shared" ref="J34:M34" si="23">J32+J33</f>
        <v>13991</v>
      </c>
      <c r="K34" s="5">
        <f t="shared" si="23"/>
        <v>13646</v>
      </c>
      <c r="L34" s="5">
        <f t="shared" si="23"/>
        <v>16960</v>
      </c>
      <c r="M34" s="5">
        <f t="shared" si="23"/>
        <v>15615</v>
      </c>
      <c r="N34" s="5">
        <f t="shared" ref="N34" si="24">N32+N33</f>
        <v>16429</v>
      </c>
      <c r="O34" s="5">
        <f>O32+O33</f>
        <v>15452</v>
      </c>
      <c r="P34" s="5">
        <f>P32+P33</f>
        <v>17488</v>
      </c>
      <c r="Q34" s="5">
        <f>Q32+Q33</f>
        <v>16128</v>
      </c>
      <c r="R34" s="5">
        <f>R32+R33</f>
        <v>16795</v>
      </c>
      <c r="S34" s="4">
        <f>+S33+S32</f>
        <v>16302</v>
      </c>
      <c r="T34" s="4">
        <f>+T32+T33</f>
        <v>19623</v>
      </c>
      <c r="U34" s="4">
        <f t="shared" ref="U34:V34" si="25">+U31-U35</f>
        <v>17204.953500000003</v>
      </c>
      <c r="V34" s="4">
        <f t="shared" si="25"/>
        <v>18289.519500000002</v>
      </c>
      <c r="Y34" s="4">
        <v>253</v>
      </c>
      <c r="Z34" s="4">
        <v>362</v>
      </c>
      <c r="AA34" s="4">
        <v>467</v>
      </c>
      <c r="AB34" s="4">
        <v>633</v>
      </c>
      <c r="AC34" s="4">
        <v>763</v>
      </c>
      <c r="AD34" s="4">
        <v>877</v>
      </c>
      <c r="AE34" s="4">
        <v>1188</v>
      </c>
      <c r="AF34" s="4">
        <v>1085</v>
      </c>
      <c r="AG34" s="4">
        <v>1197</v>
      </c>
      <c r="AH34" s="4">
        <v>2814</v>
      </c>
      <c r="AI34" s="4">
        <v>3002</v>
      </c>
      <c r="AJ34" s="4">
        <v>3455</v>
      </c>
      <c r="AK34" s="4">
        <v>5191</v>
      </c>
      <c r="AL34" s="4">
        <v>5686</v>
      </c>
      <c r="AM34" s="4">
        <v>6716</v>
      </c>
      <c r="AN34" s="4">
        <v>6200</v>
      </c>
      <c r="AO34" s="4">
        <v>7650</v>
      </c>
      <c r="AP34" s="4">
        <v>10693</v>
      </c>
      <c r="AQ34" s="4">
        <v>11598</v>
      </c>
      <c r="AR34" s="4">
        <v>12155</v>
      </c>
      <c r="AS34" s="5">
        <v>12395</v>
      </c>
      <c r="AT34" s="5">
        <v>15577</v>
      </c>
      <c r="AU34" s="5">
        <v>17530</v>
      </c>
      <c r="AV34" s="5">
        <v>20249</v>
      </c>
      <c r="AW34" s="5">
        <v>26934</v>
      </c>
      <c r="AX34" s="5">
        <v>33038</v>
      </c>
      <c r="AY34" s="5">
        <f t="shared" ref="AY34" si="26">AY32+AY33</f>
        <v>32780</v>
      </c>
      <c r="AZ34" s="5">
        <f t="shared" ref="AZ34:BA34" si="27">AZ32+AZ33</f>
        <v>34261</v>
      </c>
      <c r="BA34" s="5">
        <f t="shared" si="27"/>
        <v>38353</v>
      </c>
      <c r="BB34" s="5">
        <f t="shared" ref="BB34:BC34" si="28">BB32+BB33</f>
        <v>42910</v>
      </c>
      <c r="BC34" s="5">
        <f t="shared" si="28"/>
        <v>46078</v>
      </c>
      <c r="BD34" s="5">
        <f t="shared" ref="BD34:BE34" si="29">BD32+BD33</f>
        <v>52232</v>
      </c>
      <c r="BE34" s="5">
        <f t="shared" si="29"/>
        <v>62650</v>
      </c>
      <c r="BF34" s="5">
        <f>BF32+BF33</f>
        <v>65863</v>
      </c>
      <c r="BG34" s="5">
        <f>+BG31-BG35</f>
        <v>77859.662099999987</v>
      </c>
      <c r="BH34" s="5">
        <f>+BH31-BH35</f>
        <v>84106.245002999989</v>
      </c>
      <c r="BI34" s="5">
        <f t="shared" ref="BI34:BM34" si="30">+BI31-BI35</f>
        <v>90931.304697090003</v>
      </c>
      <c r="BJ34" s="5">
        <f t="shared" si="30"/>
        <v>98391.303416402719</v>
      </c>
      <c r="BK34" s="5">
        <f t="shared" si="30"/>
        <v>106548.30805513478</v>
      </c>
      <c r="BL34" s="5">
        <f t="shared" si="30"/>
        <v>115470.54938665286</v>
      </c>
      <c r="BM34" s="5">
        <f t="shared" si="30"/>
        <v>125233.03716710286</v>
      </c>
    </row>
    <row r="35" spans="2:123" s="4" customFormat="1">
      <c r="B35" s="4" t="s">
        <v>22</v>
      </c>
      <c r="C35" s="5">
        <f>+C31-C34</f>
        <v>22649</v>
      </c>
      <c r="D35" s="5">
        <f>+D31-D34</f>
        <v>24548</v>
      </c>
      <c r="E35" s="5">
        <f>+E31-E34</f>
        <v>24046</v>
      </c>
      <c r="F35" s="5">
        <f t="shared" ref="F35" si="31">F31-F34</f>
        <v>25694</v>
      </c>
      <c r="G35" s="5">
        <f t="shared" ref="G35:H35" si="32">G31-G34</f>
        <v>26152</v>
      </c>
      <c r="H35" s="5">
        <f t="shared" si="32"/>
        <v>28882</v>
      </c>
      <c r="I35" s="5">
        <f>I31-I34</f>
        <v>28661</v>
      </c>
      <c r="J35" s="5">
        <f t="shared" ref="J35:M35" si="33">J31-J34</f>
        <v>32161</v>
      </c>
      <c r="K35" s="5">
        <f t="shared" si="33"/>
        <v>31671</v>
      </c>
      <c r="L35" s="5">
        <f t="shared" si="33"/>
        <v>34768</v>
      </c>
      <c r="M35" s="5">
        <f t="shared" si="33"/>
        <v>33745</v>
      </c>
      <c r="N35" s="5">
        <f t="shared" ref="N35" si="34">N31-N34</f>
        <v>35436</v>
      </c>
      <c r="O35" s="5">
        <f>O31-O34</f>
        <v>34670</v>
      </c>
      <c r="P35" s="5">
        <f>P31-P34</f>
        <v>35259</v>
      </c>
      <c r="Q35" s="5">
        <f>Q31-Q34</f>
        <v>36729</v>
      </c>
      <c r="R35" s="5">
        <f>R31-R34</f>
        <v>39394</v>
      </c>
      <c r="S35" s="4">
        <f>+S31-S34</f>
        <v>40215</v>
      </c>
      <c r="T35" s="4">
        <f>+T31-T34</f>
        <v>42397</v>
      </c>
      <c r="U35" s="4">
        <f t="shared" ref="U35:V35" si="35">+U31*0.69</f>
        <v>38294.896500000003</v>
      </c>
      <c r="V35" s="4">
        <f t="shared" si="35"/>
        <v>40708.930500000002</v>
      </c>
      <c r="Y35" s="4">
        <f t="shared" ref="Y35:AE35" si="36">Y31-Y34</f>
        <v>930</v>
      </c>
      <c r="Z35" s="4">
        <f t="shared" si="36"/>
        <v>1481</v>
      </c>
      <c r="AA35" s="4">
        <f t="shared" si="36"/>
        <v>2292</v>
      </c>
      <c r="AB35" s="4">
        <f t="shared" si="36"/>
        <v>3120</v>
      </c>
      <c r="AC35" s="4">
        <f t="shared" si="36"/>
        <v>3886</v>
      </c>
      <c r="AD35" s="4">
        <f t="shared" si="36"/>
        <v>5060</v>
      </c>
      <c r="AE35" s="4">
        <f t="shared" si="36"/>
        <v>7483</v>
      </c>
      <c r="AF35" s="4">
        <f t="shared" ref="AF35" si="37">AF31-AF34</f>
        <v>10273</v>
      </c>
      <c r="AG35" s="4">
        <f t="shared" ref="AG35:AX35" si="38">AG31-AG34</f>
        <v>13287</v>
      </c>
      <c r="AH35" s="4">
        <f t="shared" si="38"/>
        <v>16933</v>
      </c>
      <c r="AI35" s="4">
        <f t="shared" si="38"/>
        <v>19954</v>
      </c>
      <c r="AJ35" s="4">
        <f t="shared" si="38"/>
        <v>21841</v>
      </c>
      <c r="AK35" s="4">
        <f t="shared" si="38"/>
        <v>23174</v>
      </c>
      <c r="AL35" s="4">
        <f t="shared" si="38"/>
        <v>26501</v>
      </c>
      <c r="AM35" s="4">
        <f t="shared" si="38"/>
        <v>30119</v>
      </c>
      <c r="AN35" s="4">
        <f t="shared" si="38"/>
        <v>33588</v>
      </c>
      <c r="AO35" s="4">
        <f t="shared" si="38"/>
        <v>36632</v>
      </c>
      <c r="AP35" s="4">
        <f t="shared" si="38"/>
        <v>40429</v>
      </c>
      <c r="AQ35" s="4">
        <f t="shared" si="38"/>
        <v>48822</v>
      </c>
      <c r="AR35" s="4">
        <f t="shared" si="38"/>
        <v>46282</v>
      </c>
      <c r="AS35" s="4">
        <f t="shared" si="38"/>
        <v>50089</v>
      </c>
      <c r="AT35" s="4">
        <f t="shared" si="38"/>
        <v>54366</v>
      </c>
      <c r="AU35" s="4">
        <f t="shared" si="38"/>
        <v>56193</v>
      </c>
      <c r="AV35" s="4">
        <f t="shared" si="38"/>
        <v>57600</v>
      </c>
      <c r="AW35" s="4">
        <f t="shared" si="38"/>
        <v>59899</v>
      </c>
      <c r="AX35" s="4">
        <f t="shared" si="38"/>
        <v>60542</v>
      </c>
      <c r="AY35" s="5">
        <f t="shared" ref="AY35" si="39">AY31-AY34</f>
        <v>52540</v>
      </c>
      <c r="AZ35" s="5">
        <f t="shared" ref="AZ35:BA35" si="40">AZ31-AZ34</f>
        <v>62310</v>
      </c>
      <c r="BA35" s="5">
        <f t="shared" si="40"/>
        <v>72007</v>
      </c>
      <c r="BB35" s="5">
        <f t="shared" ref="BB35:BC35" si="41">BB31-BB34</f>
        <v>82933</v>
      </c>
      <c r="BC35" s="5">
        <f t="shared" si="41"/>
        <v>96937</v>
      </c>
      <c r="BD35" s="5">
        <f t="shared" ref="BD35:BE35" si="42">BD31-BD34</f>
        <v>115856</v>
      </c>
      <c r="BE35" s="5">
        <f t="shared" si="42"/>
        <v>135620</v>
      </c>
      <c r="BF35" s="5">
        <f>BF31-BF34</f>
        <v>146052</v>
      </c>
      <c r="BG35" s="5">
        <f t="shared" ref="BG35:BM35" si="43">+BG31*0.67</f>
        <v>158078.70790000001</v>
      </c>
      <c r="BH35" s="5">
        <f t="shared" si="43"/>
        <v>170761.16409700003</v>
      </c>
      <c r="BI35" s="5">
        <f t="shared" si="43"/>
        <v>184618.10347591003</v>
      </c>
      <c r="BJ35" s="5">
        <f t="shared" si="43"/>
        <v>199764.16148178733</v>
      </c>
      <c r="BK35" s="5">
        <f t="shared" si="43"/>
        <v>216325.352718001</v>
      </c>
      <c r="BL35" s="5">
        <f t="shared" si="43"/>
        <v>234440.20633047706</v>
      </c>
      <c r="BM35" s="5">
        <f t="shared" si="43"/>
        <v>254261.01485442097</v>
      </c>
    </row>
    <row r="36" spans="2:123" s="4" customFormat="1">
      <c r="B36" s="4" t="s">
        <v>25</v>
      </c>
      <c r="C36" s="5">
        <v>4565</v>
      </c>
      <c r="D36" s="5">
        <v>4603</v>
      </c>
      <c r="E36" s="5">
        <v>4887</v>
      </c>
      <c r="F36" s="5">
        <v>5214</v>
      </c>
      <c r="G36" s="5">
        <v>4926</v>
      </c>
      <c r="H36" s="5">
        <v>4899</v>
      </c>
      <c r="I36" s="5">
        <v>5204</v>
      </c>
      <c r="J36" s="5">
        <v>5687</v>
      </c>
      <c r="K36" s="5">
        <v>5599</v>
      </c>
      <c r="L36" s="5">
        <v>5758</v>
      </c>
      <c r="M36" s="5">
        <v>6306</v>
      </c>
      <c r="N36" s="5">
        <v>6849</v>
      </c>
      <c r="O36" s="4">
        <v>6628</v>
      </c>
      <c r="P36" s="4">
        <v>6844</v>
      </c>
      <c r="Q36" s="4">
        <v>6984</v>
      </c>
      <c r="R36" s="4">
        <v>6739</v>
      </c>
      <c r="S36" s="4">
        <v>6659</v>
      </c>
      <c r="T36" s="4">
        <v>7142</v>
      </c>
      <c r="U36" s="4">
        <f t="shared" ref="U36:U38" si="44">Q36*1.01</f>
        <v>7053.84</v>
      </c>
      <c r="V36" s="4">
        <f t="shared" ref="V36:V38" si="45">R36*1.01</f>
        <v>6806.39</v>
      </c>
      <c r="Y36" s="4">
        <v>181</v>
      </c>
      <c r="Z36" s="4">
        <v>235</v>
      </c>
      <c r="AA36" s="4">
        <v>352</v>
      </c>
      <c r="AB36" s="4">
        <v>470</v>
      </c>
      <c r="AC36" s="4">
        <v>610</v>
      </c>
      <c r="AD36" s="4">
        <v>860</v>
      </c>
      <c r="AE36" s="4">
        <v>1432</v>
      </c>
      <c r="AF36" s="4">
        <v>1925</v>
      </c>
      <c r="AG36" s="4">
        <v>2502</v>
      </c>
      <c r="AH36" s="4">
        <v>2970</v>
      </c>
      <c r="AI36" s="4">
        <v>3775</v>
      </c>
      <c r="AJ36" s="4">
        <v>4379</v>
      </c>
      <c r="AK36" s="4">
        <v>4307</v>
      </c>
      <c r="AL36" s="4">
        <v>4659</v>
      </c>
      <c r="AM36" s="4">
        <v>7779</v>
      </c>
      <c r="AN36" s="4">
        <v>6184</v>
      </c>
      <c r="AO36" s="4">
        <v>6584</v>
      </c>
      <c r="AP36" s="4">
        <v>7121</v>
      </c>
      <c r="AQ36" s="4">
        <v>8164</v>
      </c>
      <c r="AR36" s="4">
        <v>9010</v>
      </c>
      <c r="AS36" s="4">
        <v>8714</v>
      </c>
      <c r="AT36" s="4">
        <v>9043</v>
      </c>
      <c r="AU36" s="4">
        <v>9811</v>
      </c>
      <c r="AV36" s="4">
        <v>10411</v>
      </c>
      <c r="AW36" s="4">
        <v>11381</v>
      </c>
      <c r="AX36" s="4">
        <v>12046</v>
      </c>
      <c r="AY36" s="4">
        <v>11988</v>
      </c>
      <c r="AZ36" s="4">
        <v>13037</v>
      </c>
      <c r="BA36" s="4">
        <v>14726</v>
      </c>
      <c r="BB36" s="4">
        <v>16876</v>
      </c>
      <c r="BC36" s="5">
        <v>19269</v>
      </c>
      <c r="BD36" s="5">
        <f>SUM(G36:J36)</f>
        <v>20716</v>
      </c>
      <c r="BE36" s="5">
        <f t="shared" ref="BE36:BE38" si="46">SUM(K36:N36)</f>
        <v>24512</v>
      </c>
      <c r="BF36" s="5">
        <f t="shared" ref="BF36:BF38" si="47">SUM(O36:R36)</f>
        <v>27195</v>
      </c>
      <c r="BG36" s="5">
        <f>+BF36*1.03</f>
        <v>28010.850000000002</v>
      </c>
      <c r="BH36" s="5">
        <f t="shared" ref="BH36:BM36" si="48">+BG36*1.03</f>
        <v>28851.175500000001</v>
      </c>
      <c r="BI36" s="5">
        <f t="shared" si="48"/>
        <v>29716.710765000003</v>
      </c>
      <c r="BJ36" s="5">
        <f t="shared" si="48"/>
        <v>30608.212087950003</v>
      </c>
      <c r="BK36" s="5">
        <f t="shared" si="48"/>
        <v>31526.458450588503</v>
      </c>
      <c r="BL36" s="5">
        <f t="shared" si="48"/>
        <v>32472.25220410616</v>
      </c>
      <c r="BM36" s="5">
        <f t="shared" si="48"/>
        <v>33446.419770229346</v>
      </c>
    </row>
    <row r="37" spans="2:123" s="4" customFormat="1">
      <c r="B37" s="4" t="s">
        <v>26</v>
      </c>
      <c r="C37" s="5">
        <v>4337</v>
      </c>
      <c r="D37" s="5">
        <v>4933</v>
      </c>
      <c r="E37" s="5">
        <v>4911</v>
      </c>
      <c r="F37" s="5">
        <v>5417</v>
      </c>
      <c r="G37" s="5">
        <v>4231</v>
      </c>
      <c r="H37" s="5">
        <v>4947</v>
      </c>
      <c r="I37" s="5">
        <v>5082</v>
      </c>
      <c r="J37" s="5">
        <v>5857</v>
      </c>
      <c r="K37" s="5">
        <v>4547</v>
      </c>
      <c r="L37" s="5">
        <v>5379</v>
      </c>
      <c r="M37" s="5">
        <v>5595</v>
      </c>
      <c r="N37" s="5">
        <v>6304</v>
      </c>
      <c r="O37" s="4">
        <v>5126</v>
      </c>
      <c r="P37" s="4">
        <v>5679</v>
      </c>
      <c r="Q37" s="4">
        <v>5750</v>
      </c>
      <c r="R37" s="4">
        <v>6204</v>
      </c>
      <c r="S37" s="4">
        <v>5187</v>
      </c>
      <c r="T37" s="4">
        <v>6246</v>
      </c>
      <c r="U37" s="4">
        <f t="shared" si="44"/>
        <v>5807.5</v>
      </c>
      <c r="V37" s="4">
        <f t="shared" si="45"/>
        <v>6266.04</v>
      </c>
      <c r="Y37" s="4">
        <v>317</v>
      </c>
      <c r="Z37" s="4">
        <v>534</v>
      </c>
      <c r="AA37" s="4">
        <v>854</v>
      </c>
      <c r="AB37" s="4">
        <v>1205</v>
      </c>
      <c r="AC37" s="4">
        <v>1384</v>
      </c>
      <c r="AD37" s="4">
        <v>1895</v>
      </c>
      <c r="AE37" s="4">
        <v>2657</v>
      </c>
      <c r="AF37" s="4">
        <v>2856</v>
      </c>
      <c r="AG37" s="4">
        <v>3412</v>
      </c>
      <c r="AH37" s="4">
        <v>3231</v>
      </c>
      <c r="AI37" s="4">
        <v>4141</v>
      </c>
      <c r="AJ37" s="4">
        <v>4885</v>
      </c>
      <c r="AK37" s="4">
        <v>5407</v>
      </c>
      <c r="AL37" s="4">
        <v>6521</v>
      </c>
      <c r="AM37" s="4">
        <v>8309</v>
      </c>
      <c r="AN37" s="4">
        <v>8677</v>
      </c>
      <c r="AO37" s="4">
        <v>9818</v>
      </c>
      <c r="AP37" s="4">
        <v>11455</v>
      </c>
      <c r="AQ37" s="4">
        <v>13039</v>
      </c>
      <c r="AR37" s="4">
        <v>12879</v>
      </c>
      <c r="AS37" s="4">
        <v>13214</v>
      </c>
      <c r="AT37" s="4">
        <v>13940</v>
      </c>
      <c r="AU37" s="4">
        <v>13857</v>
      </c>
      <c r="AV37" s="4">
        <v>15276</v>
      </c>
      <c r="AW37" s="4">
        <v>15811</v>
      </c>
      <c r="AX37" s="4">
        <v>15713</v>
      </c>
      <c r="AY37" s="4">
        <v>14697</v>
      </c>
      <c r="AZ37" s="4">
        <v>15461</v>
      </c>
      <c r="BA37" s="4">
        <v>17469</v>
      </c>
      <c r="BB37" s="4">
        <v>18213</v>
      </c>
      <c r="BC37" s="5">
        <v>19598</v>
      </c>
      <c r="BD37" s="5">
        <f>SUM(G37:J37)</f>
        <v>20117</v>
      </c>
      <c r="BE37" s="5">
        <f t="shared" si="46"/>
        <v>21825</v>
      </c>
      <c r="BF37" s="5">
        <f t="shared" si="47"/>
        <v>22759</v>
      </c>
      <c r="BG37" s="5">
        <f>+BF37*1.03</f>
        <v>23441.77</v>
      </c>
      <c r="BH37" s="5">
        <f t="shared" ref="BH37:BM37" si="49">+BG37*1.03</f>
        <v>24145.023100000002</v>
      </c>
      <c r="BI37" s="5">
        <f t="shared" si="49"/>
        <v>24869.373793000002</v>
      </c>
      <c r="BJ37" s="5">
        <f t="shared" si="49"/>
        <v>25615.455006790002</v>
      </c>
      <c r="BK37" s="5">
        <f t="shared" si="49"/>
        <v>26383.918656993701</v>
      </c>
      <c r="BL37" s="5">
        <f t="shared" si="49"/>
        <v>27175.436216703514</v>
      </c>
      <c r="BM37" s="5">
        <f t="shared" si="49"/>
        <v>27990.699303204619</v>
      </c>
    </row>
    <row r="38" spans="2:123" s="4" customFormat="1">
      <c r="B38" s="4" t="s">
        <v>27</v>
      </c>
      <c r="C38" s="5">
        <v>1061</v>
      </c>
      <c r="D38" s="5">
        <v>1121</v>
      </c>
      <c r="E38" s="5">
        <v>1273</v>
      </c>
      <c r="F38" s="5">
        <v>1656</v>
      </c>
      <c r="G38" s="5">
        <v>1119</v>
      </c>
      <c r="H38" s="5">
        <v>1139</v>
      </c>
      <c r="I38" s="5">
        <v>1327</v>
      </c>
      <c r="J38" s="5">
        <v>1522</v>
      </c>
      <c r="K38" s="5">
        <v>1287</v>
      </c>
      <c r="L38" s="5">
        <v>1384</v>
      </c>
      <c r="M38" s="5">
        <v>1480</v>
      </c>
      <c r="N38" s="5">
        <v>1749</v>
      </c>
      <c r="O38" s="4">
        <v>1398</v>
      </c>
      <c r="P38" s="4">
        <v>2337</v>
      </c>
      <c r="Q38" s="4">
        <v>1643</v>
      </c>
      <c r="R38" s="4">
        <v>2197</v>
      </c>
      <c r="S38" s="4">
        <v>1474</v>
      </c>
      <c r="T38" s="4">
        <v>1977</v>
      </c>
      <c r="U38" s="4">
        <f t="shared" si="44"/>
        <v>1659.43</v>
      </c>
      <c r="V38" s="4">
        <f t="shared" si="45"/>
        <v>2218.9699999999998</v>
      </c>
      <c r="Y38" s="4">
        <v>39</v>
      </c>
      <c r="Z38" s="4">
        <v>62</v>
      </c>
      <c r="AA38" s="4">
        <v>90</v>
      </c>
      <c r="AB38" s="4">
        <v>119</v>
      </c>
      <c r="AC38" s="4">
        <v>166</v>
      </c>
      <c r="AD38" s="4">
        <v>267</v>
      </c>
      <c r="AE38" s="4">
        <v>316</v>
      </c>
      <c r="AF38" s="4">
        <v>362</v>
      </c>
      <c r="AG38" s="4">
        <v>433</v>
      </c>
      <c r="AH38" s="4">
        <v>689</v>
      </c>
      <c r="AI38" s="4">
        <v>1009</v>
      </c>
      <c r="AJ38" s="4">
        <v>857</v>
      </c>
      <c r="AK38" s="4">
        <v>1550</v>
      </c>
      <c r="AL38" s="4">
        <v>2104</v>
      </c>
      <c r="AM38" s="4">
        <v>4997</v>
      </c>
      <c r="AN38" s="4">
        <v>4166</v>
      </c>
      <c r="AO38" s="4">
        <v>3758</v>
      </c>
      <c r="AP38" s="4">
        <v>3329</v>
      </c>
      <c r="AQ38" s="4">
        <v>5127</v>
      </c>
      <c r="AR38" s="4">
        <v>3700</v>
      </c>
      <c r="AS38" s="4">
        <v>4004</v>
      </c>
      <c r="AT38" s="4">
        <v>4222</v>
      </c>
      <c r="AU38" s="4">
        <v>4569</v>
      </c>
      <c r="AV38" s="4">
        <v>5149</v>
      </c>
      <c r="AW38" s="4">
        <v>4821</v>
      </c>
      <c r="AX38" s="4">
        <v>4611</v>
      </c>
      <c r="AY38" s="4">
        <v>4563</v>
      </c>
      <c r="AZ38" s="4">
        <v>4481</v>
      </c>
      <c r="BA38" s="4">
        <v>4754</v>
      </c>
      <c r="BB38" s="4">
        <v>4885</v>
      </c>
      <c r="BC38" s="5">
        <v>5111</v>
      </c>
      <c r="BD38" s="5">
        <f>SUM(G38:J38)</f>
        <v>5107</v>
      </c>
      <c r="BE38" s="5">
        <f t="shared" si="46"/>
        <v>5900</v>
      </c>
      <c r="BF38" s="5">
        <f t="shared" si="47"/>
        <v>7575</v>
      </c>
      <c r="BG38" s="5">
        <f>+BF38*1.03</f>
        <v>7802.25</v>
      </c>
      <c r="BH38" s="5">
        <f t="shared" ref="BH38:BM38" si="50">+BG38*1.03</f>
        <v>8036.3175000000001</v>
      </c>
      <c r="BI38" s="5">
        <f t="shared" si="50"/>
        <v>8277.4070250000004</v>
      </c>
      <c r="BJ38" s="5">
        <f t="shared" si="50"/>
        <v>8525.729235750001</v>
      </c>
      <c r="BK38" s="5">
        <f t="shared" si="50"/>
        <v>8781.5011128225015</v>
      </c>
      <c r="BL38" s="5">
        <f t="shared" si="50"/>
        <v>9044.9461462071758</v>
      </c>
      <c r="BM38" s="5">
        <f t="shared" si="50"/>
        <v>9316.2945305933918</v>
      </c>
    </row>
    <row r="39" spans="2:123" s="4" customFormat="1">
      <c r="B39" s="4" t="s">
        <v>23</v>
      </c>
      <c r="C39" s="5">
        <f t="shared" ref="C39:D39" si="51">SUM(C36:C38)</f>
        <v>9963</v>
      </c>
      <c r="D39" s="5">
        <f t="shared" si="51"/>
        <v>10657</v>
      </c>
      <c r="E39" s="5">
        <f t="shared" ref="E39:F39" si="52">SUM(E36:E38)</f>
        <v>11071</v>
      </c>
      <c r="F39" s="5">
        <f t="shared" si="52"/>
        <v>12287</v>
      </c>
      <c r="G39" s="5">
        <f t="shared" ref="G39:L39" si="53">SUM(G36:G38)</f>
        <v>10276</v>
      </c>
      <c r="H39" s="5">
        <f t="shared" si="53"/>
        <v>10985</v>
      </c>
      <c r="I39" s="5">
        <f t="shared" si="53"/>
        <v>11613</v>
      </c>
      <c r="J39" s="5">
        <f t="shared" si="53"/>
        <v>13066</v>
      </c>
      <c r="K39" s="5">
        <f t="shared" si="53"/>
        <v>11433</v>
      </c>
      <c r="L39" s="5">
        <f t="shared" si="53"/>
        <v>12521</v>
      </c>
      <c r="M39" s="5">
        <f>SUM(M36:M38)</f>
        <v>13381</v>
      </c>
      <c r="N39" s="5">
        <f t="shared" ref="N39:O39" si="54">SUM(N36:N38)</f>
        <v>14902</v>
      </c>
      <c r="O39" s="5">
        <f t="shared" si="54"/>
        <v>13152</v>
      </c>
      <c r="P39" s="5">
        <f>SUM(P36:P38)</f>
        <v>14860</v>
      </c>
      <c r="Q39" s="5">
        <f t="shared" ref="Q39:R39" si="55">SUM(Q36:Q38)</f>
        <v>14377</v>
      </c>
      <c r="R39" s="5">
        <f t="shared" si="55"/>
        <v>15140</v>
      </c>
      <c r="S39" s="5">
        <f t="shared" ref="S39:U39" si="56">SUM(S36:S38)</f>
        <v>13320</v>
      </c>
      <c r="T39" s="5">
        <f t="shared" si="56"/>
        <v>15365</v>
      </c>
      <c r="U39" s="5">
        <f t="shared" si="56"/>
        <v>14520.77</v>
      </c>
      <c r="V39" s="5">
        <f t="shared" ref="V39" si="57">SUM(V36:V38)</f>
        <v>15291.4</v>
      </c>
      <c r="W39" s="5"/>
      <c r="X39" s="5"/>
      <c r="Y39" s="5">
        <f t="shared" ref="Y39:Z39" si="58">Y36+Y37+Y38</f>
        <v>537</v>
      </c>
      <c r="Z39" s="5">
        <f t="shared" si="58"/>
        <v>831</v>
      </c>
      <c r="AA39" s="5">
        <f>AA36+AA37+AA38</f>
        <v>1296</v>
      </c>
      <c r="AB39" s="5">
        <f>AB36+AB37+AB38</f>
        <v>1794</v>
      </c>
      <c r="AC39" s="5">
        <f>AC36+AC37+AC38</f>
        <v>2160</v>
      </c>
      <c r="AD39" s="5">
        <f>AD36+AD37+AD38</f>
        <v>3022</v>
      </c>
      <c r="AE39" s="5">
        <f>AE36+AE37+AE38</f>
        <v>4405</v>
      </c>
      <c r="AF39" s="5">
        <f t="shared" ref="AF39" si="59">AF36+AF37+AF38</f>
        <v>5143</v>
      </c>
      <c r="AG39" s="5">
        <f t="shared" ref="AG39:AX39" si="60">AG36+AG37+AG38</f>
        <v>6347</v>
      </c>
      <c r="AH39" s="5">
        <f t="shared" si="60"/>
        <v>6890</v>
      </c>
      <c r="AI39" s="5">
        <f t="shared" si="60"/>
        <v>8925</v>
      </c>
      <c r="AJ39" s="5">
        <f t="shared" si="60"/>
        <v>10121</v>
      </c>
      <c r="AK39" s="5">
        <f t="shared" si="60"/>
        <v>11264</v>
      </c>
      <c r="AL39" s="5">
        <f t="shared" si="60"/>
        <v>13284</v>
      </c>
      <c r="AM39" s="5">
        <f t="shared" si="60"/>
        <v>21085</v>
      </c>
      <c r="AN39" s="5">
        <f t="shared" si="60"/>
        <v>19027</v>
      </c>
      <c r="AO39" s="5">
        <f t="shared" si="60"/>
        <v>20160</v>
      </c>
      <c r="AP39" s="5">
        <f t="shared" si="60"/>
        <v>21905</v>
      </c>
      <c r="AQ39" s="5">
        <f t="shared" si="60"/>
        <v>26330</v>
      </c>
      <c r="AR39" s="5">
        <f t="shared" si="60"/>
        <v>25589</v>
      </c>
      <c r="AS39" s="5">
        <f t="shared" si="60"/>
        <v>25932</v>
      </c>
      <c r="AT39" s="5">
        <f t="shared" si="60"/>
        <v>27205</v>
      </c>
      <c r="AU39" s="5">
        <f t="shared" si="60"/>
        <v>28237</v>
      </c>
      <c r="AV39" s="5">
        <f t="shared" si="60"/>
        <v>30836</v>
      </c>
      <c r="AW39" s="5">
        <f t="shared" si="60"/>
        <v>32013</v>
      </c>
      <c r="AX39" s="5">
        <f t="shared" si="60"/>
        <v>32370</v>
      </c>
      <c r="AY39" s="5">
        <f t="shared" ref="AY39:AZ39" si="61">SUM(AY36:AY38)</f>
        <v>31248</v>
      </c>
      <c r="AZ39" s="5">
        <f t="shared" si="61"/>
        <v>32979</v>
      </c>
      <c r="BA39" s="5">
        <f t="shared" ref="BA39:BB39" si="62">SUM(BA36:BA38)</f>
        <v>36949</v>
      </c>
      <c r="BB39" s="5">
        <f t="shared" si="62"/>
        <v>39974</v>
      </c>
      <c r="BC39" s="5">
        <f t="shared" ref="BC39" si="63">SUM(BC36:BC38)</f>
        <v>43978</v>
      </c>
      <c r="BD39" s="5">
        <f t="shared" ref="BD39:BF39" si="64">SUM(BD36:BD38)</f>
        <v>45940</v>
      </c>
      <c r="BE39" s="5">
        <f t="shared" si="64"/>
        <v>52237</v>
      </c>
      <c r="BF39" s="5">
        <f t="shared" si="64"/>
        <v>57529</v>
      </c>
      <c r="BG39" s="5">
        <f t="shared" ref="BG39" si="65">SUM(BG36:BG38)</f>
        <v>59254.87</v>
      </c>
      <c r="BH39" s="5">
        <f t="shared" ref="BH39" si="66">SUM(BH36:BH38)</f>
        <v>61032.516100000001</v>
      </c>
      <c r="BI39" s="5">
        <f t="shared" ref="BI39" si="67">SUM(BI36:BI38)</f>
        <v>62863.491583000003</v>
      </c>
      <c r="BJ39" s="5">
        <f t="shared" ref="BJ39" si="68">SUM(BJ36:BJ38)</f>
        <v>64749.39633049001</v>
      </c>
      <c r="BK39" s="5">
        <f t="shared" ref="BK39" si="69">SUM(BK36:BK38)</f>
        <v>66691.878220404702</v>
      </c>
      <c r="BL39" s="5">
        <f t="shared" ref="BL39" si="70">SUM(BL36:BL38)</f>
        <v>68692.634567016852</v>
      </c>
      <c r="BM39" s="5">
        <f t="shared" ref="BM39" si="71">SUM(BM36:BM38)</f>
        <v>70753.413604027359</v>
      </c>
    </row>
    <row r="40" spans="2:123" s="4" customFormat="1">
      <c r="B40" s="4" t="s">
        <v>24</v>
      </c>
      <c r="C40" s="5">
        <f t="shared" ref="C40:D40" si="72">C35-C39</f>
        <v>12686</v>
      </c>
      <c r="D40" s="5">
        <f t="shared" si="72"/>
        <v>13891</v>
      </c>
      <c r="E40" s="5">
        <f t="shared" ref="E40:F40" si="73">E35-E39</f>
        <v>12975</v>
      </c>
      <c r="F40" s="5">
        <f t="shared" si="73"/>
        <v>13407</v>
      </c>
      <c r="G40" s="5">
        <f t="shared" ref="G40:L40" si="74">G35-G39</f>
        <v>15876</v>
      </c>
      <c r="H40" s="5">
        <f t="shared" si="74"/>
        <v>17897</v>
      </c>
      <c r="I40" s="5">
        <f t="shared" si="74"/>
        <v>17048</v>
      </c>
      <c r="J40" s="5">
        <f t="shared" si="74"/>
        <v>19095</v>
      </c>
      <c r="K40" s="5">
        <f t="shared" si="74"/>
        <v>20238</v>
      </c>
      <c r="L40" s="5">
        <f t="shared" si="74"/>
        <v>22247</v>
      </c>
      <c r="M40" s="5">
        <f>M35-M39</f>
        <v>20364</v>
      </c>
      <c r="N40" s="5">
        <f t="shared" ref="N40:O40" si="75">N35-N39</f>
        <v>20534</v>
      </c>
      <c r="O40" s="5">
        <f t="shared" si="75"/>
        <v>21518</v>
      </c>
      <c r="P40" s="5">
        <f>P35-P39</f>
        <v>20399</v>
      </c>
      <c r="Q40" s="5">
        <f>Q35-Q39</f>
        <v>22352</v>
      </c>
      <c r="R40" s="5">
        <f t="shared" ref="R40:U40" si="76">R35-R39</f>
        <v>24254</v>
      </c>
      <c r="S40" s="5">
        <f t="shared" si="76"/>
        <v>26895</v>
      </c>
      <c r="T40" s="5">
        <f t="shared" si="76"/>
        <v>27032</v>
      </c>
      <c r="U40" s="5">
        <f t="shared" si="76"/>
        <v>23774.126500000002</v>
      </c>
      <c r="V40" s="5">
        <f t="shared" ref="V40" si="77">V35-V39</f>
        <v>25417.530500000001</v>
      </c>
      <c r="W40" s="5"/>
      <c r="X40" s="5"/>
      <c r="Y40" s="5">
        <f t="shared" ref="Y40:Z40" si="78">Y35-Y39</f>
        <v>393</v>
      </c>
      <c r="Z40" s="5">
        <f t="shared" si="78"/>
        <v>650</v>
      </c>
      <c r="AA40" s="5">
        <f>AA35-AA39</f>
        <v>996</v>
      </c>
      <c r="AB40" s="5">
        <f>AB35-AB39</f>
        <v>1326</v>
      </c>
      <c r="AC40" s="5">
        <f>AC35-AC39</f>
        <v>1726</v>
      </c>
      <c r="AD40" s="5">
        <f>AD35-AD39</f>
        <v>2038</v>
      </c>
      <c r="AE40" s="5">
        <f>AE35-AE39</f>
        <v>3078</v>
      </c>
      <c r="AF40" s="5">
        <f t="shared" ref="AF40" si="79">AF35-AF39</f>
        <v>5130</v>
      </c>
      <c r="AG40" s="5">
        <f t="shared" ref="AG40:AX40" si="80">AG35-AG39</f>
        <v>6940</v>
      </c>
      <c r="AH40" s="5">
        <f t="shared" si="80"/>
        <v>10043</v>
      </c>
      <c r="AI40" s="5">
        <f t="shared" si="80"/>
        <v>11029</v>
      </c>
      <c r="AJ40" s="5">
        <f t="shared" si="80"/>
        <v>11720</v>
      </c>
      <c r="AK40" s="5">
        <f t="shared" si="80"/>
        <v>11910</v>
      </c>
      <c r="AL40" s="5">
        <f t="shared" si="80"/>
        <v>13217</v>
      </c>
      <c r="AM40" s="5">
        <f t="shared" si="80"/>
        <v>9034</v>
      </c>
      <c r="AN40" s="5">
        <f t="shared" si="80"/>
        <v>14561</v>
      </c>
      <c r="AO40" s="5">
        <f t="shared" si="80"/>
        <v>16472</v>
      </c>
      <c r="AP40" s="5">
        <f t="shared" si="80"/>
        <v>18524</v>
      </c>
      <c r="AQ40" s="5">
        <f t="shared" si="80"/>
        <v>22492</v>
      </c>
      <c r="AR40" s="5">
        <f t="shared" si="80"/>
        <v>20693</v>
      </c>
      <c r="AS40" s="5">
        <f t="shared" si="80"/>
        <v>24157</v>
      </c>
      <c r="AT40" s="5">
        <f t="shared" si="80"/>
        <v>27161</v>
      </c>
      <c r="AU40" s="5">
        <f t="shared" si="80"/>
        <v>27956</v>
      </c>
      <c r="AV40" s="5">
        <f t="shared" si="80"/>
        <v>26764</v>
      </c>
      <c r="AW40" s="5">
        <f t="shared" si="80"/>
        <v>27886</v>
      </c>
      <c r="AX40" s="5">
        <f t="shared" si="80"/>
        <v>28172</v>
      </c>
      <c r="AY40" s="5">
        <f t="shared" ref="AY40:AZ40" si="81">AY35-AY39</f>
        <v>21292</v>
      </c>
      <c r="AZ40" s="5">
        <f t="shared" si="81"/>
        <v>29331</v>
      </c>
      <c r="BA40" s="5">
        <f t="shared" ref="BA40:BB40" si="82">BA35-BA39</f>
        <v>35058</v>
      </c>
      <c r="BB40" s="5">
        <f t="shared" si="82"/>
        <v>42959</v>
      </c>
      <c r="BC40" s="5">
        <f t="shared" ref="BC40" si="83">BC35-BC39</f>
        <v>52959</v>
      </c>
      <c r="BD40" s="5">
        <f t="shared" ref="BD40:BF40" si="84">BD35-BD39</f>
        <v>69916</v>
      </c>
      <c r="BE40" s="5">
        <f t="shared" si="84"/>
        <v>83383</v>
      </c>
      <c r="BF40" s="5">
        <f t="shared" si="84"/>
        <v>88523</v>
      </c>
      <c r="BG40" s="5">
        <f t="shared" ref="BG40" si="85">BG35-BG39</f>
        <v>98823.837900000013</v>
      </c>
      <c r="BH40" s="5">
        <f t="shared" ref="BH40" si="86">BH35-BH39</f>
        <v>109728.64799700002</v>
      </c>
      <c r="BI40" s="5">
        <f t="shared" ref="BI40" si="87">BI35-BI39</f>
        <v>121754.61189291003</v>
      </c>
      <c r="BJ40" s="5">
        <f t="shared" ref="BJ40" si="88">BJ35-BJ39</f>
        <v>135014.76515129732</v>
      </c>
      <c r="BK40" s="5">
        <f t="shared" ref="BK40" si="89">BK35-BK39</f>
        <v>149633.4744975963</v>
      </c>
      <c r="BL40" s="5">
        <f t="shared" ref="BL40" si="90">BL35-BL39</f>
        <v>165747.5717634602</v>
      </c>
      <c r="BM40" s="5">
        <f t="shared" ref="BM40" si="91">BM35-BM39</f>
        <v>183507.60125039361</v>
      </c>
    </row>
    <row r="41" spans="2:123">
      <c r="B41" s="4" t="s">
        <v>28</v>
      </c>
      <c r="C41" s="2">
        <v>0</v>
      </c>
      <c r="D41" s="2">
        <v>194</v>
      </c>
      <c r="E41" s="2">
        <v>-132</v>
      </c>
      <c r="F41" s="2">
        <v>15</v>
      </c>
      <c r="G41" s="2">
        <v>248</v>
      </c>
      <c r="H41" s="2">
        <v>440</v>
      </c>
      <c r="I41" s="2">
        <v>188</v>
      </c>
      <c r="J41" s="2">
        <v>310</v>
      </c>
      <c r="K41" s="2">
        <v>286</v>
      </c>
      <c r="L41" s="2">
        <v>268</v>
      </c>
      <c r="M41" s="2">
        <v>-174</v>
      </c>
      <c r="N41" s="2">
        <v>-47</v>
      </c>
      <c r="O41" s="4">
        <v>54</v>
      </c>
      <c r="P41" s="4">
        <v>-60</v>
      </c>
      <c r="Q41" s="4">
        <v>321</v>
      </c>
      <c r="R41" s="4">
        <v>473</v>
      </c>
      <c r="S41" s="4">
        <v>389</v>
      </c>
      <c r="T41" s="4">
        <v>-506</v>
      </c>
      <c r="U41" s="4">
        <f t="shared" ref="U41:V41" si="92">T41</f>
        <v>-506</v>
      </c>
      <c r="V41" s="4">
        <f t="shared" si="92"/>
        <v>-506</v>
      </c>
      <c r="Y41">
        <f>31-14</f>
        <v>17</v>
      </c>
      <c r="Z41">
        <f>37-16</f>
        <v>21</v>
      </c>
      <c r="AA41">
        <f>56-11</f>
        <v>45</v>
      </c>
      <c r="AB41">
        <f>82-7</f>
        <v>75</v>
      </c>
      <c r="AC41">
        <f>102-16</f>
        <v>86</v>
      </c>
      <c r="AD41">
        <f>191-16</f>
        <v>175</v>
      </c>
      <c r="AE41">
        <f>320-19</f>
        <v>301</v>
      </c>
      <c r="AF41">
        <f>443-259</f>
        <v>184</v>
      </c>
      <c r="AG41">
        <f>703-230</f>
        <v>473</v>
      </c>
      <c r="AH41" s="4">
        <f>1803-115</f>
        <v>1688</v>
      </c>
      <c r="AI41" s="4">
        <f>3182-92</f>
        <v>3090</v>
      </c>
      <c r="AJ41" s="4">
        <v>-36</v>
      </c>
      <c r="AK41" s="4">
        <v>-305</v>
      </c>
      <c r="AL41" s="4">
        <v>1577</v>
      </c>
      <c r="AM41" s="4">
        <v>3187</v>
      </c>
      <c r="AN41" s="4">
        <v>2067</v>
      </c>
      <c r="AO41" s="4">
        <v>1790</v>
      </c>
      <c r="AP41" s="4">
        <v>1577</v>
      </c>
      <c r="AQ41" s="4">
        <v>1322</v>
      </c>
      <c r="AR41" s="4">
        <v>-542</v>
      </c>
      <c r="AS41" s="4">
        <v>915</v>
      </c>
      <c r="AT41" s="4">
        <v>910</v>
      </c>
      <c r="AU41" s="4">
        <v>504</v>
      </c>
      <c r="AV41" s="4">
        <v>288</v>
      </c>
      <c r="AW41" s="4">
        <v>61</v>
      </c>
      <c r="AX41" s="4">
        <v>346</v>
      </c>
      <c r="AY41" s="4">
        <v>-431</v>
      </c>
      <c r="AZ41" s="4">
        <v>876</v>
      </c>
      <c r="BA41" s="4">
        <v>1416</v>
      </c>
      <c r="BB41" s="4">
        <v>729</v>
      </c>
      <c r="BC41" s="2">
        <v>77</v>
      </c>
      <c r="BD41" s="5">
        <f>SUM(G41:J41)</f>
        <v>1186</v>
      </c>
      <c r="BE41" s="5">
        <f t="shared" ref="BE41" si="93">SUM(K41:N41)</f>
        <v>333</v>
      </c>
      <c r="BF41" s="5">
        <f t="shared" ref="BF41:BM41" si="94">+BE61*$BP$49</f>
        <v>618.66999999999996</v>
      </c>
      <c r="BG41" s="5">
        <f>+BF61*$BP$49</f>
        <v>1376.3741950000001</v>
      </c>
      <c r="BH41" s="5">
        <f t="shared" si="94"/>
        <v>2187.9959129695003</v>
      </c>
      <c r="BI41" s="5">
        <f t="shared" si="94"/>
        <v>3139.2873862042411</v>
      </c>
      <c r="BJ41" s="5">
        <f t="shared" si="94"/>
        <v>4200.8855300767127</v>
      </c>
      <c r="BK41" s="5">
        <f t="shared" si="94"/>
        <v>5384.2185608683922</v>
      </c>
      <c r="BL41" s="5">
        <f t="shared" si="94"/>
        <v>6701.8689518653418</v>
      </c>
      <c r="BM41" s="5">
        <f t="shared" si="94"/>
        <v>8167.6891979456086</v>
      </c>
    </row>
    <row r="42" spans="2:123">
      <c r="B42" s="4" t="s">
        <v>29</v>
      </c>
      <c r="C42" s="5">
        <f t="shared" ref="C42:D42" si="95">C40+C41</f>
        <v>12686</v>
      </c>
      <c r="D42" s="5">
        <f t="shared" si="95"/>
        <v>14085</v>
      </c>
      <c r="E42" s="5">
        <f t="shared" ref="E42:F42" si="96">E40+E41</f>
        <v>12843</v>
      </c>
      <c r="F42" s="5">
        <f t="shared" si="96"/>
        <v>13422</v>
      </c>
      <c r="G42" s="5">
        <f>G40+G41</f>
        <v>16124</v>
      </c>
      <c r="H42" s="5">
        <f t="shared" ref="H42:V42" si="97">H40+H41</f>
        <v>18337</v>
      </c>
      <c r="I42" s="5">
        <f t="shared" si="97"/>
        <v>17236</v>
      </c>
      <c r="J42" s="5">
        <f t="shared" si="97"/>
        <v>19405</v>
      </c>
      <c r="K42" s="5">
        <f t="shared" si="97"/>
        <v>20524</v>
      </c>
      <c r="L42" s="5">
        <f t="shared" si="97"/>
        <v>22515</v>
      </c>
      <c r="M42" s="5">
        <f t="shared" si="97"/>
        <v>20190</v>
      </c>
      <c r="N42" s="5">
        <f t="shared" si="97"/>
        <v>20487</v>
      </c>
      <c r="O42" s="5">
        <f t="shared" si="97"/>
        <v>21572</v>
      </c>
      <c r="P42" s="5">
        <f t="shared" si="97"/>
        <v>20339</v>
      </c>
      <c r="Q42" s="5">
        <f t="shared" si="97"/>
        <v>22673</v>
      </c>
      <c r="R42" s="5">
        <f t="shared" si="97"/>
        <v>24727</v>
      </c>
      <c r="S42" s="5">
        <f t="shared" si="97"/>
        <v>27284</v>
      </c>
      <c r="T42" s="5">
        <f t="shared" si="97"/>
        <v>26526</v>
      </c>
      <c r="U42" s="5">
        <f t="shared" si="97"/>
        <v>23268.126500000002</v>
      </c>
      <c r="V42" s="5">
        <f t="shared" si="97"/>
        <v>24911.530500000001</v>
      </c>
      <c r="Y42" s="4">
        <f t="shared" ref="Y42:Z42" si="98">Y41+Y40</f>
        <v>410</v>
      </c>
      <c r="Z42" s="4">
        <f t="shared" si="98"/>
        <v>671</v>
      </c>
      <c r="AA42" s="4">
        <f>AA41+AA40</f>
        <v>1041</v>
      </c>
      <c r="AB42" s="4">
        <f>AB41+AB40</f>
        <v>1401</v>
      </c>
      <c r="AC42" s="4">
        <f>AC41+AC40</f>
        <v>1812</v>
      </c>
      <c r="AD42" s="4">
        <f>AD41+AD40</f>
        <v>2213</v>
      </c>
      <c r="AE42" s="4">
        <f>AE41+AE40</f>
        <v>3379</v>
      </c>
      <c r="AF42" s="4">
        <f t="shared" ref="AF42" si="99">AF41+AF40</f>
        <v>5314</v>
      </c>
      <c r="AG42" s="4">
        <f t="shared" ref="AG42:AX42" si="100">AG41+AG40</f>
        <v>7413</v>
      </c>
      <c r="AH42" s="4">
        <f t="shared" si="100"/>
        <v>11731</v>
      </c>
      <c r="AI42" s="4">
        <f t="shared" si="100"/>
        <v>14119</v>
      </c>
      <c r="AJ42" s="4">
        <f t="shared" si="100"/>
        <v>11684</v>
      </c>
      <c r="AK42" s="4">
        <f t="shared" si="100"/>
        <v>11605</v>
      </c>
      <c r="AL42" s="4">
        <f t="shared" si="100"/>
        <v>14794</v>
      </c>
      <c r="AM42" s="4">
        <f t="shared" si="100"/>
        <v>12221</v>
      </c>
      <c r="AN42" s="4">
        <f t="shared" si="100"/>
        <v>16628</v>
      </c>
      <c r="AO42" s="4">
        <f t="shared" si="100"/>
        <v>18262</v>
      </c>
      <c r="AP42" s="4">
        <f t="shared" si="100"/>
        <v>20101</v>
      </c>
      <c r="AQ42" s="4">
        <f t="shared" si="100"/>
        <v>23814</v>
      </c>
      <c r="AR42" s="4">
        <f t="shared" si="100"/>
        <v>20151</v>
      </c>
      <c r="AS42" s="4">
        <f t="shared" si="100"/>
        <v>25072</v>
      </c>
      <c r="AT42" s="4">
        <f t="shared" si="100"/>
        <v>28071</v>
      </c>
      <c r="AU42" s="4">
        <f t="shared" si="100"/>
        <v>28460</v>
      </c>
      <c r="AV42" s="4">
        <f t="shared" si="100"/>
        <v>27052</v>
      </c>
      <c r="AW42" s="4">
        <f t="shared" si="100"/>
        <v>27947</v>
      </c>
      <c r="AX42" s="4">
        <f t="shared" si="100"/>
        <v>28518</v>
      </c>
      <c r="AY42" s="4">
        <f>+AY40+AY41</f>
        <v>20861</v>
      </c>
      <c r="AZ42" s="4">
        <f>+AZ40+AZ41</f>
        <v>30207</v>
      </c>
      <c r="BA42" s="4">
        <f>+BA40+BA41</f>
        <v>36474</v>
      </c>
      <c r="BB42" s="4">
        <f>+BB40+BB41</f>
        <v>43688</v>
      </c>
      <c r="BC42" s="5">
        <f>+BC40+BC41</f>
        <v>53036</v>
      </c>
      <c r="BD42" s="5">
        <f t="shared" ref="BD42:BF42" si="101">+BD40+BD41</f>
        <v>71102</v>
      </c>
      <c r="BE42" s="5">
        <f t="shared" si="101"/>
        <v>83716</v>
      </c>
      <c r="BF42" s="5">
        <f t="shared" si="101"/>
        <v>89141.67</v>
      </c>
      <c r="BG42" s="5">
        <f t="shared" ref="BG42" si="102">+BG40+BG41</f>
        <v>100200.21209500001</v>
      </c>
      <c r="BH42" s="5">
        <f t="shared" ref="BH42" si="103">+BH40+BH41</f>
        <v>111916.64390996953</v>
      </c>
      <c r="BI42" s="5">
        <f t="shared" ref="BI42" si="104">+BI40+BI41</f>
        <v>124893.89927911428</v>
      </c>
      <c r="BJ42" s="5">
        <f t="shared" ref="BJ42" si="105">+BJ40+BJ41</f>
        <v>139215.65068137404</v>
      </c>
      <c r="BK42" s="5">
        <f t="shared" ref="BK42" si="106">+BK40+BK41</f>
        <v>155017.69305846468</v>
      </c>
      <c r="BL42" s="5">
        <f t="shared" ref="BL42" si="107">+BL40+BL41</f>
        <v>172449.44071532556</v>
      </c>
      <c r="BM42" s="5">
        <f t="shared" ref="BM42" si="108">+BM40+BM41</f>
        <v>191675.29044833922</v>
      </c>
    </row>
    <row r="43" spans="2:123" s="4" customFormat="1">
      <c r="B43" s="4" t="s">
        <v>30</v>
      </c>
      <c r="C43" s="5">
        <v>2008</v>
      </c>
      <c r="D43" s="5">
        <v>2436</v>
      </c>
      <c r="E43" s="5">
        <v>2091</v>
      </c>
      <c r="F43" s="5">
        <v>2220</v>
      </c>
      <c r="G43" s="5">
        <v>2231</v>
      </c>
      <c r="H43" s="5">
        <v>2874</v>
      </c>
      <c r="I43" s="5">
        <v>1779</v>
      </c>
      <c r="J43" s="5">
        <v>2947</v>
      </c>
      <c r="K43" s="5">
        <v>19</v>
      </c>
      <c r="L43" s="5">
        <v>3750</v>
      </c>
      <c r="M43" s="5">
        <v>3462</v>
      </c>
      <c r="N43" s="5">
        <v>3747</v>
      </c>
      <c r="O43" s="4">
        <v>4016</v>
      </c>
      <c r="P43" s="4">
        <v>3914</v>
      </c>
      <c r="Q43" s="4">
        <v>4374</v>
      </c>
      <c r="R43" s="4">
        <v>4646</v>
      </c>
      <c r="S43" s="4">
        <v>4993</v>
      </c>
      <c r="T43" s="4">
        <v>4656</v>
      </c>
      <c r="U43" s="4">
        <f t="shared" ref="U43:V43" si="109">U42*0.2</f>
        <v>4653.6253000000006</v>
      </c>
      <c r="V43" s="4">
        <f t="shared" si="109"/>
        <v>4982.3061000000007</v>
      </c>
      <c r="Y43" s="4">
        <v>131</v>
      </c>
      <c r="Z43" s="4">
        <v>208</v>
      </c>
      <c r="AA43" s="4">
        <v>333</v>
      </c>
      <c r="AB43" s="4">
        <v>448</v>
      </c>
      <c r="AC43" s="4">
        <v>576</v>
      </c>
      <c r="AD43" s="4">
        <v>714</v>
      </c>
      <c r="AE43" s="4">
        <v>1184</v>
      </c>
      <c r="AF43" s="4">
        <v>1860</v>
      </c>
      <c r="AG43" s="4">
        <f>2627+28</f>
        <v>2655</v>
      </c>
      <c r="AH43" s="4">
        <v>4106</v>
      </c>
      <c r="AI43" s="4">
        <v>4854</v>
      </c>
      <c r="AJ43" s="4">
        <v>3804</v>
      </c>
      <c r="AK43" s="4">
        <v>3684</v>
      </c>
      <c r="AL43" s="4">
        <v>4733</v>
      </c>
      <c r="AM43" s="4">
        <v>4028</v>
      </c>
      <c r="AN43" s="4">
        <v>4374</v>
      </c>
      <c r="AO43" s="4">
        <v>5663</v>
      </c>
      <c r="AP43" s="4">
        <v>6036</v>
      </c>
      <c r="AQ43" s="4">
        <v>6133</v>
      </c>
      <c r="AR43" s="4">
        <v>5252</v>
      </c>
      <c r="AS43" s="4">
        <v>6253</v>
      </c>
      <c r="AT43" s="4">
        <v>4921</v>
      </c>
      <c r="AU43" s="4">
        <v>5289</v>
      </c>
      <c r="AV43" s="4">
        <v>5189</v>
      </c>
      <c r="AW43" s="4">
        <v>5746</v>
      </c>
      <c r="AX43" s="4">
        <v>6314</v>
      </c>
      <c r="AY43" s="4">
        <v>2953</v>
      </c>
      <c r="AZ43" s="4">
        <v>4412</v>
      </c>
      <c r="BA43" s="4">
        <v>19903</v>
      </c>
      <c r="BB43" s="4">
        <v>4448</v>
      </c>
      <c r="BC43" s="5">
        <v>8755</v>
      </c>
      <c r="BD43" s="5">
        <f>SUM(G43:J43)</f>
        <v>9831</v>
      </c>
      <c r="BE43" s="5">
        <f t="shared" ref="BE43" si="110">SUM(K43:N43)</f>
        <v>10978</v>
      </c>
      <c r="BF43" s="5">
        <f>+BF42*0.15</f>
        <v>13371.2505</v>
      </c>
      <c r="BG43" s="5">
        <f>+BG42*0.19</f>
        <v>19038.040298050004</v>
      </c>
      <c r="BH43" s="5">
        <f t="shared" ref="BH43:BM43" si="111">+BH42*0.15</f>
        <v>16787.496586495428</v>
      </c>
      <c r="BI43" s="5">
        <f t="shared" si="111"/>
        <v>18734.08489186714</v>
      </c>
      <c r="BJ43" s="5">
        <f t="shared" si="111"/>
        <v>20882.347602206104</v>
      </c>
      <c r="BK43" s="5">
        <f t="shared" si="111"/>
        <v>23252.653958769701</v>
      </c>
      <c r="BL43" s="5">
        <f t="shared" si="111"/>
        <v>25867.416107298832</v>
      </c>
      <c r="BM43" s="5">
        <f t="shared" si="111"/>
        <v>28751.293567250883</v>
      </c>
    </row>
    <row r="44" spans="2:123" s="4" customFormat="1">
      <c r="B44" s="4" t="s">
        <v>31</v>
      </c>
      <c r="C44" s="5">
        <f t="shared" ref="C44:D44" si="112">C42-C43</f>
        <v>10678</v>
      </c>
      <c r="D44" s="5">
        <f t="shared" si="112"/>
        <v>11649</v>
      </c>
      <c r="E44" s="5">
        <f t="shared" ref="E44:F44" si="113">E42-E43</f>
        <v>10752</v>
      </c>
      <c r="F44" s="5">
        <f t="shared" si="113"/>
        <v>11202</v>
      </c>
      <c r="G44" s="5">
        <f>G42-G43</f>
        <v>13893</v>
      </c>
      <c r="H44" s="5">
        <f t="shared" ref="H44:V44" si="114">H42-H43</f>
        <v>15463</v>
      </c>
      <c r="I44" s="5">
        <f t="shared" si="114"/>
        <v>15457</v>
      </c>
      <c r="J44" s="5">
        <f t="shared" si="114"/>
        <v>16458</v>
      </c>
      <c r="K44" s="5">
        <f t="shared" si="114"/>
        <v>20505</v>
      </c>
      <c r="L44" s="5">
        <f t="shared" si="114"/>
        <v>18765</v>
      </c>
      <c r="M44" s="5">
        <f t="shared" si="114"/>
        <v>16728</v>
      </c>
      <c r="N44" s="5">
        <f t="shared" si="114"/>
        <v>16740</v>
      </c>
      <c r="O44" s="5">
        <f t="shared" si="114"/>
        <v>17556</v>
      </c>
      <c r="P44" s="5">
        <f t="shared" si="114"/>
        <v>16425</v>
      </c>
      <c r="Q44" s="5">
        <f>Q42-Q43</f>
        <v>18299</v>
      </c>
      <c r="R44" s="5">
        <f t="shared" si="114"/>
        <v>20081</v>
      </c>
      <c r="S44" s="5">
        <f t="shared" si="114"/>
        <v>22291</v>
      </c>
      <c r="T44" s="5">
        <f t="shared" si="114"/>
        <v>21870</v>
      </c>
      <c r="U44" s="5">
        <f t="shared" si="114"/>
        <v>18614.501200000002</v>
      </c>
      <c r="V44" s="5">
        <f t="shared" si="114"/>
        <v>19929.224399999999</v>
      </c>
      <c r="Y44" s="4">
        <f t="shared" ref="Y44:Z44" si="115">Y42-Y43</f>
        <v>279</v>
      </c>
      <c r="Z44" s="4">
        <f t="shared" si="115"/>
        <v>463</v>
      </c>
      <c r="AA44" s="4">
        <f>AA42-AA43</f>
        <v>708</v>
      </c>
      <c r="AB44" s="4">
        <f>AB42-AB43</f>
        <v>953</v>
      </c>
      <c r="AC44" s="4">
        <f>AC42-AC43</f>
        <v>1236</v>
      </c>
      <c r="AD44" s="4">
        <f>AD42-AD43</f>
        <v>1499</v>
      </c>
      <c r="AE44" s="4">
        <f>AE42-AE43</f>
        <v>2195</v>
      </c>
      <c r="AF44" s="4">
        <f t="shared" ref="AF44" si="116">AF42-AF43</f>
        <v>3454</v>
      </c>
      <c r="AG44" s="4">
        <f t="shared" ref="AG44:AX44" si="117">AG42-AG43</f>
        <v>4758</v>
      </c>
      <c r="AH44" s="4">
        <f t="shared" si="117"/>
        <v>7625</v>
      </c>
      <c r="AI44" s="4">
        <f t="shared" si="117"/>
        <v>9265</v>
      </c>
      <c r="AJ44" s="4">
        <f t="shared" si="117"/>
        <v>7880</v>
      </c>
      <c r="AK44" s="4">
        <f t="shared" si="117"/>
        <v>7921</v>
      </c>
      <c r="AL44" s="4">
        <f t="shared" si="117"/>
        <v>10061</v>
      </c>
      <c r="AM44" s="4">
        <f t="shared" si="117"/>
        <v>8193</v>
      </c>
      <c r="AN44" s="4">
        <f t="shared" si="117"/>
        <v>12254</v>
      </c>
      <c r="AO44" s="4">
        <f t="shared" si="117"/>
        <v>12599</v>
      </c>
      <c r="AP44" s="4">
        <f t="shared" si="117"/>
        <v>14065</v>
      </c>
      <c r="AQ44" s="4">
        <f t="shared" si="117"/>
        <v>17681</v>
      </c>
      <c r="AR44" s="4">
        <f t="shared" si="117"/>
        <v>14899</v>
      </c>
      <c r="AS44" s="4">
        <f t="shared" si="117"/>
        <v>18819</v>
      </c>
      <c r="AT44" s="4">
        <f t="shared" si="117"/>
        <v>23150</v>
      </c>
      <c r="AU44" s="4">
        <f t="shared" si="117"/>
        <v>23171</v>
      </c>
      <c r="AV44" s="4">
        <f t="shared" si="117"/>
        <v>21863</v>
      </c>
      <c r="AW44" s="4">
        <f t="shared" si="117"/>
        <v>22201</v>
      </c>
      <c r="AX44" s="4">
        <f t="shared" si="117"/>
        <v>22204</v>
      </c>
      <c r="AY44" s="4">
        <f>+AY42-AY43</f>
        <v>17908</v>
      </c>
      <c r="AZ44" s="4">
        <f>+AZ42-AZ43</f>
        <v>25795</v>
      </c>
      <c r="BA44" s="4">
        <f>+BA42-BA43</f>
        <v>16571</v>
      </c>
      <c r="BB44" s="4">
        <f>+BB42-BB43</f>
        <v>39240</v>
      </c>
      <c r="BC44" s="4">
        <f>+BC42-BC43</f>
        <v>44281</v>
      </c>
      <c r="BD44" s="4">
        <f t="shared" ref="BD44:BF44" si="118">+BD42-BD43</f>
        <v>61271</v>
      </c>
      <c r="BE44" s="4">
        <f t="shared" si="118"/>
        <v>72738</v>
      </c>
      <c r="BF44" s="4">
        <f t="shared" si="118"/>
        <v>75770.419500000004</v>
      </c>
      <c r="BG44" s="4">
        <f t="shared" ref="BG44" si="119">+BG42-BG43</f>
        <v>81162.171796950002</v>
      </c>
      <c r="BH44" s="4">
        <f t="shared" ref="BH44" si="120">+BH42-BH43</f>
        <v>95129.147323474099</v>
      </c>
      <c r="BI44" s="4">
        <f t="shared" ref="BI44" si="121">+BI42-BI43</f>
        <v>106159.81438724714</v>
      </c>
      <c r="BJ44" s="4">
        <f t="shared" ref="BJ44" si="122">+BJ42-BJ43</f>
        <v>118333.30307916793</v>
      </c>
      <c r="BK44" s="4">
        <f t="shared" ref="BK44" si="123">+BK42-BK43</f>
        <v>131765.03909969499</v>
      </c>
      <c r="BL44" s="4">
        <f t="shared" ref="BL44" si="124">+BL42-BL43</f>
        <v>146582.02460802672</v>
      </c>
      <c r="BM44" s="4">
        <f t="shared" ref="BM44" si="125">+BM42-BM43</f>
        <v>162923.99688108833</v>
      </c>
      <c r="BN44" s="4">
        <f>+BM44*(1+$BP$47)</f>
        <v>162923.99688108833</v>
      </c>
      <c r="BO44" s="4">
        <f t="shared" ref="BO44:DS44" si="126">+BN44*(1+$BP$47)</f>
        <v>162923.99688108833</v>
      </c>
      <c r="BP44" s="4">
        <f t="shared" si="126"/>
        <v>162923.99688108833</v>
      </c>
      <c r="BQ44" s="4">
        <f t="shared" si="126"/>
        <v>162923.99688108833</v>
      </c>
      <c r="BR44" s="4">
        <f t="shared" si="126"/>
        <v>162923.99688108833</v>
      </c>
      <c r="BS44" s="4">
        <f t="shared" si="126"/>
        <v>162923.99688108833</v>
      </c>
      <c r="BT44" s="4">
        <f t="shared" si="126"/>
        <v>162923.99688108833</v>
      </c>
      <c r="BU44" s="4">
        <f t="shared" si="126"/>
        <v>162923.99688108833</v>
      </c>
      <c r="BV44" s="4">
        <f t="shared" si="126"/>
        <v>162923.99688108833</v>
      </c>
      <c r="BW44" s="4">
        <f t="shared" si="126"/>
        <v>162923.99688108833</v>
      </c>
      <c r="BX44" s="4">
        <f t="shared" si="126"/>
        <v>162923.99688108833</v>
      </c>
      <c r="BY44" s="4">
        <f t="shared" si="126"/>
        <v>162923.99688108833</v>
      </c>
      <c r="BZ44" s="4">
        <f t="shared" si="126"/>
        <v>162923.99688108833</v>
      </c>
      <c r="CA44" s="4">
        <f t="shared" si="126"/>
        <v>162923.99688108833</v>
      </c>
      <c r="CB44" s="4">
        <f t="shared" si="126"/>
        <v>162923.99688108833</v>
      </c>
      <c r="CC44" s="4">
        <f t="shared" si="126"/>
        <v>162923.99688108833</v>
      </c>
      <c r="CD44" s="4">
        <f t="shared" si="126"/>
        <v>162923.99688108833</v>
      </c>
      <c r="CE44" s="4">
        <f t="shared" si="126"/>
        <v>162923.99688108833</v>
      </c>
      <c r="CF44" s="4">
        <f t="shared" si="126"/>
        <v>162923.99688108833</v>
      </c>
      <c r="CG44" s="4">
        <f t="shared" si="126"/>
        <v>162923.99688108833</v>
      </c>
      <c r="CH44" s="4">
        <f t="shared" si="126"/>
        <v>162923.99688108833</v>
      </c>
      <c r="CI44" s="4">
        <f t="shared" si="126"/>
        <v>162923.99688108833</v>
      </c>
      <c r="CJ44" s="4">
        <f t="shared" si="126"/>
        <v>162923.99688108833</v>
      </c>
      <c r="CK44" s="4">
        <f t="shared" si="126"/>
        <v>162923.99688108833</v>
      </c>
      <c r="CL44" s="4">
        <f t="shared" si="126"/>
        <v>162923.99688108833</v>
      </c>
      <c r="CM44" s="4">
        <f t="shared" si="126"/>
        <v>162923.99688108833</v>
      </c>
      <c r="CN44" s="4">
        <f t="shared" si="126"/>
        <v>162923.99688108833</v>
      </c>
      <c r="CO44" s="4">
        <f t="shared" si="126"/>
        <v>162923.99688108833</v>
      </c>
      <c r="CP44" s="4">
        <f t="shared" si="126"/>
        <v>162923.99688108833</v>
      </c>
      <c r="CQ44" s="4">
        <f t="shared" si="126"/>
        <v>162923.99688108833</v>
      </c>
      <c r="CR44" s="4">
        <f t="shared" si="126"/>
        <v>162923.99688108833</v>
      </c>
      <c r="CS44" s="4">
        <f t="shared" si="126"/>
        <v>162923.99688108833</v>
      </c>
      <c r="CT44" s="4">
        <f t="shared" si="126"/>
        <v>162923.99688108833</v>
      </c>
      <c r="CU44" s="4">
        <f t="shared" si="126"/>
        <v>162923.99688108833</v>
      </c>
      <c r="CV44" s="4">
        <f t="shared" si="126"/>
        <v>162923.99688108833</v>
      </c>
      <c r="CW44" s="4">
        <f t="shared" si="126"/>
        <v>162923.99688108833</v>
      </c>
      <c r="CX44" s="4">
        <f t="shared" si="126"/>
        <v>162923.99688108833</v>
      </c>
      <c r="CY44" s="4">
        <f t="shared" si="126"/>
        <v>162923.99688108833</v>
      </c>
      <c r="CZ44" s="4">
        <f t="shared" si="126"/>
        <v>162923.99688108833</v>
      </c>
      <c r="DA44" s="4">
        <f t="shared" si="126"/>
        <v>162923.99688108833</v>
      </c>
      <c r="DB44" s="4">
        <f t="shared" si="126"/>
        <v>162923.99688108833</v>
      </c>
      <c r="DC44" s="4">
        <f t="shared" si="126"/>
        <v>162923.99688108833</v>
      </c>
      <c r="DD44" s="4">
        <f t="shared" si="126"/>
        <v>162923.99688108833</v>
      </c>
      <c r="DE44" s="4">
        <f t="shared" si="126"/>
        <v>162923.99688108833</v>
      </c>
      <c r="DF44" s="4">
        <f t="shared" si="126"/>
        <v>162923.99688108833</v>
      </c>
      <c r="DG44" s="4">
        <f t="shared" si="126"/>
        <v>162923.99688108833</v>
      </c>
      <c r="DH44" s="4">
        <f t="shared" si="126"/>
        <v>162923.99688108833</v>
      </c>
      <c r="DI44" s="4">
        <f t="shared" si="126"/>
        <v>162923.99688108833</v>
      </c>
      <c r="DJ44" s="4">
        <f t="shared" si="126"/>
        <v>162923.99688108833</v>
      </c>
      <c r="DK44" s="4">
        <f t="shared" si="126"/>
        <v>162923.99688108833</v>
      </c>
      <c r="DL44" s="4">
        <f t="shared" si="126"/>
        <v>162923.99688108833</v>
      </c>
      <c r="DM44" s="4">
        <f t="shared" si="126"/>
        <v>162923.99688108833</v>
      </c>
      <c r="DN44" s="4">
        <f t="shared" si="126"/>
        <v>162923.99688108833</v>
      </c>
      <c r="DO44" s="4">
        <f t="shared" si="126"/>
        <v>162923.99688108833</v>
      </c>
      <c r="DP44" s="4">
        <f t="shared" si="126"/>
        <v>162923.99688108833</v>
      </c>
      <c r="DQ44" s="4">
        <f t="shared" si="126"/>
        <v>162923.99688108833</v>
      </c>
      <c r="DR44" s="4">
        <f t="shared" si="126"/>
        <v>162923.99688108833</v>
      </c>
      <c r="DS44" s="4">
        <f t="shared" si="126"/>
        <v>162923.99688108833</v>
      </c>
    </row>
    <row r="45" spans="2:123" s="3" customFormat="1">
      <c r="B45" s="6" t="s">
        <v>33</v>
      </c>
      <c r="C45" s="8">
        <f t="shared" ref="C45:D45" si="127">C44/C46</f>
        <v>1.3849546044098573</v>
      </c>
      <c r="D45" s="8">
        <f t="shared" si="127"/>
        <v>1.5146274866727343</v>
      </c>
      <c r="E45" s="8">
        <f t="shared" ref="E45:F45" si="128">E44/E46</f>
        <v>1.4009120521172638</v>
      </c>
      <c r="F45" s="8">
        <f t="shared" si="128"/>
        <v>1.4643137254901961</v>
      </c>
      <c r="G45" s="8">
        <f t="shared" ref="G45:L45" si="129">G44/G46</f>
        <v>1.8191698310855047</v>
      </c>
      <c r="H45" s="8">
        <f t="shared" si="129"/>
        <v>2.0303308823529411</v>
      </c>
      <c r="I45" s="8">
        <f t="shared" si="129"/>
        <v>2.0346189285244174</v>
      </c>
      <c r="J45" s="8">
        <f t="shared" si="129"/>
        <v>2.1709537000395724</v>
      </c>
      <c r="K45" s="8">
        <f t="shared" si="129"/>
        <v>2.7097925201532971</v>
      </c>
      <c r="L45" s="8">
        <f t="shared" si="129"/>
        <v>2.4837855724685638</v>
      </c>
      <c r="M45" s="8">
        <f>M44/M46</f>
        <v>2.2203344836740113</v>
      </c>
      <c r="N45" s="8">
        <f>N44/N46</f>
        <v>2.2302158273381294</v>
      </c>
      <c r="O45" s="8">
        <f>O44/O46</f>
        <v>2.3454909819639278</v>
      </c>
      <c r="P45" s="8">
        <f t="shared" ref="P45:V45" si="130">P44/P46</f>
        <v>2.1979124849458049</v>
      </c>
      <c r="Q45" s="8">
        <f>Q44/Q46</f>
        <v>2.4516345123258305</v>
      </c>
      <c r="R45" s="8">
        <f t="shared" si="130"/>
        <v>2.6892995848399623</v>
      </c>
      <c r="S45" s="8">
        <f t="shared" si="130"/>
        <v>2.9872688287322435</v>
      </c>
      <c r="T45" s="8">
        <f t="shared" si="130"/>
        <v>2.9284949116229244</v>
      </c>
      <c r="U45" s="8">
        <f t="shared" si="130"/>
        <v>2.4925684520621321</v>
      </c>
      <c r="V45" s="8">
        <f t="shared" si="130"/>
        <v>2.6686160149973217</v>
      </c>
      <c r="Y45" s="11">
        <f t="shared" ref="Y45:Z45" si="131">Y44/Y46</f>
        <v>0.51955307262569828</v>
      </c>
      <c r="Z45" s="11">
        <f t="shared" si="131"/>
        <v>0.82238010657193605</v>
      </c>
      <c r="AA45" s="11">
        <f>AA44/AA46</f>
        <v>1.2040816326530612</v>
      </c>
      <c r="AB45" s="11">
        <f>AB44/AB46</f>
        <v>1.5726072607260726</v>
      </c>
      <c r="AC45" s="11">
        <f>AC44/AC46</f>
        <v>2.0262295081967214</v>
      </c>
      <c r="AD45" s="11">
        <f>AD44/AD46</f>
        <v>2.3907496012759171</v>
      </c>
      <c r="AE45" s="11">
        <f>AE44/AE46</f>
        <v>3.4296875</v>
      </c>
      <c r="AF45" s="11">
        <f t="shared" ref="AF45" si="132">AF44/AF46</f>
        <v>2.6326219512195124</v>
      </c>
      <c r="AG45" s="11">
        <f t="shared" ref="AG45:AX45" si="133">AG44/AG46</f>
        <v>1.7747109287579261</v>
      </c>
      <c r="AH45" s="11">
        <f t="shared" si="133"/>
        <v>1.4924642787238207</v>
      </c>
      <c r="AI45" s="11">
        <f t="shared" si="133"/>
        <v>1.7537384062085937</v>
      </c>
      <c r="AJ45" s="11">
        <f t="shared" si="133"/>
        <v>1.4137064944384643</v>
      </c>
      <c r="AK45" s="11">
        <f t="shared" si="133"/>
        <v>1.4264361606338916</v>
      </c>
      <c r="AL45" s="11">
        <f t="shared" si="133"/>
        <v>0.92455430986950926</v>
      </c>
      <c r="AM45" s="11">
        <f t="shared" si="133"/>
        <v>0.75206535707729028</v>
      </c>
      <c r="AN45" s="11">
        <f t="shared" si="133"/>
        <v>1.123601687144691</v>
      </c>
      <c r="AO45" s="11">
        <f t="shared" si="133"/>
        <v>1.1963726141866868</v>
      </c>
      <c r="AP45" s="11">
        <f t="shared" si="133"/>
        <v>1.4227189965607931</v>
      </c>
      <c r="AQ45" s="11">
        <f t="shared" si="133"/>
        <v>1.867053854276663</v>
      </c>
      <c r="AR45" s="11">
        <f t="shared" si="133"/>
        <v>1.6561805246776344</v>
      </c>
      <c r="AS45" s="11">
        <f t="shared" si="133"/>
        <v>2.1080990254284755</v>
      </c>
      <c r="AT45" s="11">
        <f t="shared" si="133"/>
        <v>2.6940532991970207</v>
      </c>
      <c r="AU45" s="11">
        <f t="shared" si="133"/>
        <v>2.724077122031507</v>
      </c>
      <c r="AV45" s="11">
        <f t="shared" si="133"/>
        <v>2.581227863046045</v>
      </c>
      <c r="AW45" s="11">
        <f t="shared" si="133"/>
        <v>2.6432908679604714</v>
      </c>
      <c r="AX45" s="11">
        <f t="shared" si="133"/>
        <v>2.6900896535013326</v>
      </c>
      <c r="AY45" s="11">
        <f>+AY44/AY46</f>
        <v>2.2348683389492074</v>
      </c>
      <c r="AZ45" s="11">
        <f>+AZ44/AZ46</f>
        <v>3.2935393258426968</v>
      </c>
      <c r="BA45" s="11">
        <f>+BA44/BA46</f>
        <v>2.126122658455222</v>
      </c>
      <c r="BB45" s="11">
        <f>+BB44/BB46</f>
        <v>5.0612666064749128</v>
      </c>
      <c r="BC45" s="11">
        <f>+BC44/BC46</f>
        <v>5.7635038396459715</v>
      </c>
      <c r="BD45" s="11">
        <f t="shared" ref="BD45:BF45" si="134">+BD44/BD46</f>
        <v>8.0537609674345241</v>
      </c>
      <c r="BE45" s="11">
        <f t="shared" si="134"/>
        <v>9.6463099263974534</v>
      </c>
      <c r="BF45" s="11">
        <f t="shared" si="134"/>
        <v>10.140241493526046</v>
      </c>
      <c r="BG45" s="11">
        <f t="shared" ref="BG45" si="135">+BG44/BG46</f>
        <v>10.870176360670998</v>
      </c>
      <c r="BH45" s="11">
        <f t="shared" ref="BH45" si="136">+BH44/BH46</f>
        <v>12.740795195000883</v>
      </c>
      <c r="BI45" s="11">
        <f t="shared" ref="BI45" si="137">+BI44/BI46</f>
        <v>14.218149653418219</v>
      </c>
      <c r="BJ45" s="11">
        <f t="shared" ref="BJ45" si="138">+BJ44/BJ46</f>
        <v>15.848563996406339</v>
      </c>
      <c r="BK45" s="11">
        <f t="shared" ref="BK45" si="139">+BK44/BK46</f>
        <v>17.647497368203975</v>
      </c>
      <c r="BL45" s="11">
        <f t="shared" ref="BL45" si="140">+BL44/BL46</f>
        <v>19.631959366239432</v>
      </c>
      <c r="BM45" s="11">
        <f t="shared" ref="BM45" si="141">+BM44/BM46</f>
        <v>21.820665222137325</v>
      </c>
    </row>
    <row r="46" spans="2:123" s="4" customFormat="1">
      <c r="B46" s="4" t="s">
        <v>32</v>
      </c>
      <c r="C46" s="5">
        <v>7710</v>
      </c>
      <c r="D46" s="5">
        <v>7691</v>
      </c>
      <c r="E46" s="5">
        <v>7675</v>
      </c>
      <c r="F46" s="5">
        <v>7650</v>
      </c>
      <c r="G46" s="5">
        <v>7637</v>
      </c>
      <c r="H46" s="5">
        <v>7616</v>
      </c>
      <c r="I46" s="5">
        <v>7597</v>
      </c>
      <c r="J46" s="5">
        <v>7581</v>
      </c>
      <c r="K46" s="5">
        <v>7567</v>
      </c>
      <c r="L46" s="5">
        <v>7555</v>
      </c>
      <c r="M46" s="5">
        <v>7534</v>
      </c>
      <c r="N46" s="5">
        <v>7506</v>
      </c>
      <c r="O46" s="4">
        <v>7485</v>
      </c>
      <c r="P46" s="4">
        <v>7473</v>
      </c>
      <c r="Q46" s="4">
        <v>7464</v>
      </c>
      <c r="R46" s="4">
        <v>7467</v>
      </c>
      <c r="S46" s="4">
        <v>7462</v>
      </c>
      <c r="T46" s="4">
        <v>7468</v>
      </c>
      <c r="U46" s="4">
        <f t="shared" ref="U46:V46" si="142">T46</f>
        <v>7468</v>
      </c>
      <c r="V46" s="4">
        <f t="shared" si="142"/>
        <v>7468</v>
      </c>
      <c r="Y46" s="4">
        <v>537</v>
      </c>
      <c r="Z46" s="4">
        <v>563</v>
      </c>
      <c r="AA46" s="4">
        <v>588</v>
      </c>
      <c r="AB46" s="4">
        <v>606</v>
      </c>
      <c r="AC46" s="4">
        <v>610</v>
      </c>
      <c r="AD46" s="4">
        <v>627</v>
      </c>
      <c r="AE46" s="4">
        <v>640</v>
      </c>
      <c r="AF46" s="4">
        <v>1312</v>
      </c>
      <c r="AG46" s="4">
        <v>2681</v>
      </c>
      <c r="AH46" s="4">
        <v>5109</v>
      </c>
      <c r="AI46" s="4">
        <v>5283</v>
      </c>
      <c r="AJ46" s="4">
        <v>5574</v>
      </c>
      <c r="AK46" s="4">
        <v>5553</v>
      </c>
      <c r="AL46" s="4">
        <v>10882</v>
      </c>
      <c r="AM46" s="4">
        <v>10894</v>
      </c>
      <c r="AN46" s="4">
        <v>10906</v>
      </c>
      <c r="AO46" s="4">
        <v>10531</v>
      </c>
      <c r="AP46" s="4">
        <v>9886</v>
      </c>
      <c r="AQ46" s="4">
        <v>9470</v>
      </c>
      <c r="AR46" s="4">
        <v>8996</v>
      </c>
      <c r="AS46" s="4">
        <v>8927</v>
      </c>
      <c r="AT46" s="4">
        <v>8593</v>
      </c>
      <c r="AU46" s="4">
        <v>8506</v>
      </c>
      <c r="AV46" s="4">
        <v>8470</v>
      </c>
      <c r="AW46" s="4">
        <v>8399</v>
      </c>
      <c r="AX46" s="4">
        <v>8254</v>
      </c>
      <c r="AY46" s="4">
        <v>8013</v>
      </c>
      <c r="AZ46" s="4">
        <v>7832</v>
      </c>
      <c r="BA46" s="4">
        <v>7794</v>
      </c>
      <c r="BB46" s="4">
        <v>7753</v>
      </c>
      <c r="BC46" s="5">
        <v>7683</v>
      </c>
      <c r="BD46" s="5">
        <f>AVERAGE(G46:J46)</f>
        <v>7607.75</v>
      </c>
      <c r="BE46" s="5">
        <f>AVERAGE(K46:N46)</f>
        <v>7540.5</v>
      </c>
      <c r="BF46" s="5">
        <f>AVERAGE(O46:R46)</f>
        <v>7472.25</v>
      </c>
      <c r="BG46" s="5">
        <f>AVERAGE(S46:V46)</f>
        <v>7466.5</v>
      </c>
      <c r="BH46" s="5">
        <f t="shared" ref="BH46:BM46" si="143">+BG46</f>
        <v>7466.5</v>
      </c>
      <c r="BI46" s="5">
        <f t="shared" si="143"/>
        <v>7466.5</v>
      </c>
      <c r="BJ46" s="5">
        <f t="shared" si="143"/>
        <v>7466.5</v>
      </c>
      <c r="BK46" s="5">
        <f t="shared" si="143"/>
        <v>7466.5</v>
      </c>
      <c r="BL46" s="5">
        <f t="shared" si="143"/>
        <v>7466.5</v>
      </c>
      <c r="BM46" s="5">
        <f t="shared" si="143"/>
        <v>7466.5</v>
      </c>
    </row>
    <row r="47" spans="2:123">
      <c r="O47" s="2"/>
      <c r="BG47" s="2"/>
      <c r="BH47" s="2"/>
      <c r="BI47" s="2"/>
      <c r="BJ47" s="2"/>
      <c r="BK47" s="2"/>
      <c r="BL47" s="2"/>
      <c r="BM47" s="2"/>
      <c r="BO47" t="s">
        <v>98</v>
      </c>
      <c r="BP47" s="12">
        <v>0</v>
      </c>
    </row>
    <row r="48" spans="2:123" s="3" customFormat="1">
      <c r="B48" s="6" t="s">
        <v>34</v>
      </c>
      <c r="C48" s="10"/>
      <c r="D48" s="10"/>
      <c r="E48" s="10"/>
      <c r="F48" s="10"/>
      <c r="G48" s="10">
        <f t="shared" ref="G48:K48" si="144">G31/C31-1</f>
        <v>0.12400544546967174</v>
      </c>
      <c r="H48" s="10">
        <f t="shared" si="144"/>
        <v>0.16718148810491518</v>
      </c>
      <c r="I48" s="10">
        <f t="shared" si="144"/>
        <v>0.19088546871876866</v>
      </c>
      <c r="J48" s="10">
        <f t="shared" si="144"/>
        <v>0.21347251071437956</v>
      </c>
      <c r="K48" s="10">
        <f t="shared" si="144"/>
        <v>0.21970716477364483</v>
      </c>
      <c r="L48" s="10">
        <f t="shared" ref="L48" si="145">L31/H31-1</f>
        <v>0.2008543040208004</v>
      </c>
      <c r="M48" s="10">
        <f>M31/I31-1</f>
        <v>0.18352275451973332</v>
      </c>
      <c r="N48" s="10">
        <f t="shared" ref="N48:O48" si="146">N31/J31-1</f>
        <v>0.12378661813139202</v>
      </c>
      <c r="O48" s="10">
        <f t="shared" si="146"/>
        <v>0.1060308493501334</v>
      </c>
      <c r="P48" s="10">
        <f t="shared" ref="P48" si="147">P31/L31-1</f>
        <v>1.9699195793380753E-2</v>
      </c>
      <c r="Q48" s="10">
        <f>Q31/M31-1</f>
        <v>7.0846839546191198E-2</v>
      </c>
      <c r="R48" s="10">
        <f>R31/N31-1</f>
        <v>8.3370288248336921E-2</v>
      </c>
      <c r="S48" s="10">
        <f t="shared" ref="S48:V48" si="148">S31/O31-1</f>
        <v>0.12758868361198683</v>
      </c>
      <c r="T48" s="10">
        <f t="shared" si="148"/>
        <v>0.17580146738203117</v>
      </c>
      <c r="U48" s="10">
        <f t="shared" si="148"/>
        <v>5.0000000000000044E-2</v>
      </c>
      <c r="V48" s="10">
        <f t="shared" si="148"/>
        <v>5.0000000000000044E-2</v>
      </c>
      <c r="Z48" s="18">
        <f t="shared" ref="Z48:AZ48" si="149">Z31/Y31-1</f>
        <v>0.55790363482671168</v>
      </c>
      <c r="AA48" s="18">
        <f t="shared" si="149"/>
        <v>0.49701573521432452</v>
      </c>
      <c r="AB48" s="18">
        <f t="shared" si="149"/>
        <v>0.36027546212395789</v>
      </c>
      <c r="AC48" s="18">
        <f t="shared" si="149"/>
        <v>0.23874233946176382</v>
      </c>
      <c r="AD48" s="18">
        <f t="shared" si="149"/>
        <v>0.27704882770488282</v>
      </c>
      <c r="AE48" s="18">
        <f t="shared" si="149"/>
        <v>0.46050193700522146</v>
      </c>
      <c r="AF48" s="18">
        <f t="shared" si="149"/>
        <v>0.30988351977857231</v>
      </c>
      <c r="AG48" s="18">
        <f t="shared" si="149"/>
        <v>0.27522451135763348</v>
      </c>
      <c r="AH48" s="18">
        <f t="shared" si="149"/>
        <v>0.36336647334990335</v>
      </c>
      <c r="AI48" s="18">
        <f t="shared" si="149"/>
        <v>0.16250569706790907</v>
      </c>
      <c r="AJ48" s="18">
        <f t="shared" si="149"/>
        <v>0.10193413486670155</v>
      </c>
      <c r="AK48" s="18">
        <f t="shared" si="149"/>
        <v>0.12132352941176472</v>
      </c>
      <c r="AL48" s="18">
        <f t="shared" si="149"/>
        <v>0.13474352194606021</v>
      </c>
      <c r="AM48" s="18">
        <f t="shared" si="149"/>
        <v>0.14440612669711372</v>
      </c>
      <c r="AN48" s="18">
        <f t="shared" si="149"/>
        <v>8.0168318175648068E-2</v>
      </c>
      <c r="AO48" s="18">
        <f t="shared" si="149"/>
        <v>0.11294862772695291</v>
      </c>
      <c r="AP48" s="18">
        <f t="shared" si="149"/>
        <v>0.15446456799602548</v>
      </c>
      <c r="AQ48" s="18">
        <f t="shared" si="149"/>
        <v>0.18187864324556946</v>
      </c>
      <c r="AR48" s="18">
        <f t="shared" si="149"/>
        <v>-3.2820258192651441E-2</v>
      </c>
      <c r="AS48" s="18">
        <f t="shared" si="149"/>
        <v>6.9254068484008391E-2</v>
      </c>
      <c r="AT48" s="18">
        <f t="shared" si="149"/>
        <v>0.11937455988733126</v>
      </c>
      <c r="AU48" s="18">
        <f t="shared" si="149"/>
        <v>5.4044007263057026E-2</v>
      </c>
      <c r="AV48" s="18">
        <f t="shared" si="149"/>
        <v>5.5966252051598442E-2</v>
      </c>
      <c r="AW48" s="18">
        <f t="shared" si="149"/>
        <v>0.11540289534868786</v>
      </c>
      <c r="AX48" s="18">
        <f t="shared" si="149"/>
        <v>7.7700874091647165E-2</v>
      </c>
      <c r="AY48" s="18">
        <f t="shared" si="149"/>
        <v>-8.8266723658901425E-2</v>
      </c>
      <c r="AZ48" s="18">
        <f t="shared" si="149"/>
        <v>0.1318682606657291</v>
      </c>
      <c r="BA48" s="10">
        <f t="shared" ref="BA48:BE48" si="150">+BA31/AZ31-1</f>
        <v>0.14278613662486661</v>
      </c>
      <c r="BB48" s="10">
        <f t="shared" si="150"/>
        <v>0.14029539688292858</v>
      </c>
      <c r="BC48" s="10">
        <f t="shared" si="150"/>
        <v>0.13645574247276371</v>
      </c>
      <c r="BD48" s="10">
        <f t="shared" si="150"/>
        <v>0.17531727441177503</v>
      </c>
      <c r="BE48" s="10">
        <f t="shared" si="150"/>
        <v>0.17956070629670173</v>
      </c>
      <c r="BF48" s="10">
        <f>+BF31/BE31-1</f>
        <v>6.8820295556564215E-2</v>
      </c>
      <c r="BG48" s="10">
        <f t="shared" ref="BG48:BM48" si="151">+BG31/BF31-1</f>
        <v>0.11336323525942005</v>
      </c>
      <c r="BH48" s="10">
        <f t="shared" si="151"/>
        <v>8.0228744057187606E-2</v>
      </c>
      <c r="BI48" s="10">
        <f t="shared" si="151"/>
        <v>8.1148072819640982E-2</v>
      </c>
      <c r="BJ48" s="10">
        <f t="shared" si="151"/>
        <v>8.2039939316425947E-2</v>
      </c>
      <c r="BK48" s="10">
        <f t="shared" si="151"/>
        <v>8.2903715628308783E-2</v>
      </c>
      <c r="BL48" s="10">
        <f t="shared" si="151"/>
        <v>8.3738930203388406E-2</v>
      </c>
      <c r="BM48" s="10">
        <f t="shared" si="151"/>
        <v>8.4545261387475756E-2</v>
      </c>
      <c r="BO48" s="3" t="s">
        <v>97</v>
      </c>
      <c r="BP48" s="13">
        <v>7.0000000000000007E-2</v>
      </c>
    </row>
    <row r="49" spans="2:68" s="3" customFormat="1">
      <c r="B49" s="6" t="s">
        <v>104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>
        <v>0.16</v>
      </c>
      <c r="P49" s="18">
        <v>7.0000000000000007E-2</v>
      </c>
      <c r="Q49" s="18">
        <v>0.1</v>
      </c>
      <c r="R49" s="18">
        <v>0.1</v>
      </c>
      <c r="BA49" s="10"/>
      <c r="BB49" s="10"/>
      <c r="BC49" s="10"/>
      <c r="BD49" s="10"/>
      <c r="BE49" s="10"/>
      <c r="BF49" s="10">
        <v>0.11</v>
      </c>
      <c r="BG49" s="10"/>
      <c r="BH49" s="10"/>
      <c r="BI49" s="10"/>
      <c r="BJ49" s="10"/>
      <c r="BK49" s="10"/>
      <c r="BL49" s="10"/>
      <c r="BM49" s="10"/>
      <c r="BO49" t="s">
        <v>99</v>
      </c>
      <c r="BP49" s="12">
        <v>0.01</v>
      </c>
    </row>
    <row r="50" spans="2:68" s="3" customFormat="1">
      <c r="B50" s="6" t="s">
        <v>158</v>
      </c>
      <c r="C50" s="10"/>
      <c r="D50" s="10"/>
      <c r="E50" s="10"/>
      <c r="F50" s="10"/>
      <c r="G50" s="10"/>
      <c r="H50" s="10"/>
      <c r="I50" s="10"/>
      <c r="J50" s="18"/>
      <c r="K50" s="18"/>
      <c r="L50" s="18"/>
      <c r="M50" s="18">
        <f t="shared" ref="M50" si="152">M76/I76-1</f>
        <v>0.12477838234395056</v>
      </c>
      <c r="N50" s="18">
        <f t="shared" ref="N50" si="153">N76/J76-1</f>
        <v>9.666749733807567E-2</v>
      </c>
      <c r="O50" s="18">
        <f t="shared" ref="O50:P50" si="154">O76/K76-1</f>
        <v>7.5508960136535519E-2</v>
      </c>
      <c r="P50" s="18">
        <f t="shared" si="154"/>
        <v>7.7701324485300205E-2</v>
      </c>
      <c r="Q50" s="18">
        <f>Q76/M76-1</f>
        <v>7.6231112077399743E-2</v>
      </c>
      <c r="R50" s="18">
        <f>R76/N76-1</f>
        <v>0.11165509833085441</v>
      </c>
      <c r="S50" s="18">
        <f>S76/O76-1</f>
        <v>0.11507072905331883</v>
      </c>
      <c r="T50" s="18">
        <f>T76/P76-1</f>
        <v>0.16171200726795543</v>
      </c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O50"/>
      <c r="BP50" s="12"/>
    </row>
    <row r="51" spans="2:68" s="3" customFormat="1">
      <c r="B51" s="6" t="s">
        <v>415</v>
      </c>
      <c r="C51" s="10"/>
      <c r="D51" s="10"/>
      <c r="E51" s="10"/>
      <c r="F51" s="10"/>
      <c r="G51" s="12">
        <f t="shared" ref="G51:J53" si="155">G25/C25-1</f>
        <v>0.11212422135957389</v>
      </c>
      <c r="H51" s="12">
        <f t="shared" si="155"/>
        <v>0.12912227295788936</v>
      </c>
      <c r="I51" s="12">
        <f t="shared" si="155"/>
        <v>0.15404922081239891</v>
      </c>
      <c r="J51" s="12">
        <f t="shared" si="155"/>
        <v>0.25008509189925121</v>
      </c>
      <c r="K51" s="12">
        <f t="shared" ref="K51:K53" si="156">K25/G25-1</f>
        <v>0.22079714262521311</v>
      </c>
      <c r="L51" s="12">
        <f t="shared" ref="L51:L53" si="157">L25/H25-1</f>
        <v>0.19343967647719618</v>
      </c>
      <c r="M51" s="12">
        <f t="shared" ref="M51:M53" si="158">M25/I25-1</f>
        <v>0.16506788665879579</v>
      </c>
      <c r="N51" s="12">
        <f t="shared" ref="N51" si="159">N25/J25-1</f>
        <v>0.12994350282485878</v>
      </c>
      <c r="O51" s="12">
        <f t="shared" ref="O51" si="160">O25/K25-1</f>
        <v>9.4820134317441296E-2</v>
      </c>
      <c r="P51" s="12">
        <f t="shared" ref="P51" si="161">P25/L25-1</f>
        <v>6.6892570281124497E-2</v>
      </c>
      <c r="Q51" s="12">
        <f t="shared" ref="Q51:T51" si="162">Q25/M25-1</f>
        <v>0.10937994806510853</v>
      </c>
      <c r="R51" s="12">
        <f t="shared" si="162"/>
        <v>0.10186746987951811</v>
      </c>
      <c r="S51" s="12">
        <f t="shared" si="162"/>
        <v>0.12918311569996965</v>
      </c>
      <c r="T51" s="12">
        <f t="shared" si="162"/>
        <v>0.13216092224444176</v>
      </c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O51"/>
      <c r="BP51" s="12"/>
    </row>
    <row r="52" spans="2:68" s="3" customFormat="1">
      <c r="B52" s="6" t="s">
        <v>413</v>
      </c>
      <c r="C52" s="10"/>
      <c r="D52" s="10"/>
      <c r="E52" s="10"/>
      <c r="F52" s="10"/>
      <c r="G52" s="12">
        <f t="shared" si="155"/>
        <v>0.19741816505301979</v>
      </c>
      <c r="H52" s="12">
        <f t="shared" si="155"/>
        <v>0.23017945909512183</v>
      </c>
      <c r="I52" s="12">
        <f t="shared" si="155"/>
        <v>0.23100724696685937</v>
      </c>
      <c r="J52" s="12">
        <f t="shared" si="155"/>
        <v>0.29945404233041661</v>
      </c>
      <c r="K52" s="12">
        <f t="shared" si="156"/>
        <v>0.30232558139534893</v>
      </c>
      <c r="L52" s="12">
        <f t="shared" si="157"/>
        <v>0.25518800082186144</v>
      </c>
      <c r="M52" s="12">
        <f t="shared" si="158"/>
        <v>0.25592009525069459</v>
      </c>
      <c r="N52" s="12">
        <f t="shared" ref="N52:Q52" si="163">N26/J26-1</f>
        <v>0.19735251798561149</v>
      </c>
      <c r="O52" s="12">
        <f t="shared" si="163"/>
        <v>0.20180936613055822</v>
      </c>
      <c r="P52" s="12">
        <f t="shared" si="163"/>
        <v>0.17356905112675292</v>
      </c>
      <c r="Q52" s="12">
        <f t="shared" si="163"/>
        <v>0.16295359983146374</v>
      </c>
      <c r="R52" s="12">
        <f t="shared" ref="R52:T53" si="164">R26/N26-1</f>
        <v>0.15328782926360307</v>
      </c>
      <c r="S52" s="12">
        <f t="shared" si="164"/>
        <v>0.19355473554735547</v>
      </c>
      <c r="T52" s="12">
        <f t="shared" si="164"/>
        <v>0.20327320066951837</v>
      </c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O52"/>
      <c r="BP52" s="12"/>
    </row>
    <row r="53" spans="2:68" s="3" customFormat="1">
      <c r="B53" s="6" t="s">
        <v>414</v>
      </c>
      <c r="C53" s="10"/>
      <c r="D53" s="10"/>
      <c r="E53" s="10"/>
      <c r="F53" s="10"/>
      <c r="G53" s="12">
        <f t="shared" si="155"/>
        <v>6.4313302793496785E-2</v>
      </c>
      <c r="H53" s="12">
        <f t="shared" si="155"/>
        <v>0.14465218378623868</v>
      </c>
      <c r="I53" s="12">
        <f t="shared" si="155"/>
        <v>0.18541420387378382</v>
      </c>
      <c r="J53" s="12">
        <f t="shared" si="155"/>
        <v>9.1092176607281194E-2</v>
      </c>
      <c r="K53" s="12">
        <f t="shared" si="156"/>
        <v>0.12802768166089962</v>
      </c>
      <c r="L53" s="12">
        <f t="shared" si="157"/>
        <v>0.15493982277476515</v>
      </c>
      <c r="M53" s="12">
        <f t="shared" si="158"/>
        <v>0.11874808223381406</v>
      </c>
      <c r="N53" s="12">
        <f t="shared" ref="N53:Q53" si="165">N27/J27-1</f>
        <v>2.6622178049126699E-2</v>
      </c>
      <c r="O53" s="12">
        <f t="shared" si="165"/>
        <v>-2.5437677689660321E-3</v>
      </c>
      <c r="P53" s="12">
        <f t="shared" si="165"/>
        <v>-0.18482679645004296</v>
      </c>
      <c r="Q53" s="12">
        <f t="shared" si="165"/>
        <v>-9.0784421283598427E-2</v>
      </c>
      <c r="R53" s="12">
        <f t="shared" si="164"/>
        <v>-3.8448240094046016E-2</v>
      </c>
      <c r="S53" s="12">
        <f t="shared" si="164"/>
        <v>2.5052505250525048E-2</v>
      </c>
      <c r="T53" s="12">
        <f t="shared" si="164"/>
        <v>0.1864156774601391</v>
      </c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O53"/>
      <c r="BP53" s="12"/>
    </row>
    <row r="54" spans="2:68">
      <c r="B54" s="4" t="s">
        <v>22</v>
      </c>
      <c r="C54" s="9">
        <f t="shared" ref="C54:D54" si="166">C35/C31</f>
        <v>0.6851913477537438</v>
      </c>
      <c r="D54" s="9">
        <f t="shared" si="166"/>
        <v>0.66514929821709212</v>
      </c>
      <c r="E54" s="9">
        <f t="shared" ref="E54:F54" si="167">E35/E31</f>
        <v>0.68661660146769077</v>
      </c>
      <c r="F54" s="9">
        <f t="shared" si="167"/>
        <v>0.67557121447164303</v>
      </c>
      <c r="G54" s="9">
        <f t="shared" ref="G54:H54" si="168">G35/G31</f>
        <v>0.70388114334930285</v>
      </c>
      <c r="H54" s="9">
        <f t="shared" si="168"/>
        <v>0.67048936762930633</v>
      </c>
      <c r="I54" s="9">
        <f>I35/I31</f>
        <v>0.68721526878626582</v>
      </c>
      <c r="J54" s="9">
        <f t="shared" ref="J54:M54" si="169">J35/J31</f>
        <v>0.69684954064829263</v>
      </c>
      <c r="K54" s="9">
        <f t="shared" si="169"/>
        <v>0.6988768012004325</v>
      </c>
      <c r="L54" s="9">
        <f t="shared" si="169"/>
        <v>0.67213114754098358</v>
      </c>
      <c r="M54" s="9">
        <f t="shared" si="169"/>
        <v>0.68365072933549431</v>
      </c>
      <c r="N54" s="9">
        <f t="shared" ref="N54:O54" si="170">N35/N31</f>
        <v>0.68323532247180174</v>
      </c>
      <c r="O54" s="9">
        <f t="shared" si="170"/>
        <v>0.69171222217788597</v>
      </c>
      <c r="P54" s="9">
        <f>P35/P31</f>
        <v>0.66845507801391546</v>
      </c>
      <c r="Q54" s="9">
        <f t="shared" ref="Q54:R54" si="171">Q35/Q31</f>
        <v>0.69487485101311086</v>
      </c>
      <c r="R54" s="9">
        <f t="shared" si="171"/>
        <v>0.70109807969531401</v>
      </c>
      <c r="S54" s="9">
        <f t="shared" ref="S54:V54" si="172">S35/S31</f>
        <v>0.71155581506449384</v>
      </c>
      <c r="T54" s="9">
        <f t="shared" si="172"/>
        <v>0.68360206385037081</v>
      </c>
      <c r="U54" s="9">
        <f t="shared" si="172"/>
        <v>0.69</v>
      </c>
      <c r="V54" s="9">
        <f t="shared" si="172"/>
        <v>0.69</v>
      </c>
      <c r="W54" s="9"/>
      <c r="X54" s="9"/>
      <c r="Y54" s="9">
        <f t="shared" ref="Y54:AD54" si="173">Y35/Y31</f>
        <v>0.78613693998309386</v>
      </c>
      <c r="Z54" s="9">
        <f t="shared" si="173"/>
        <v>0.8035811177428106</v>
      </c>
      <c r="AA54" s="9">
        <f t="shared" si="173"/>
        <v>0.8307357738310982</v>
      </c>
      <c r="AB54" s="9">
        <f t="shared" si="173"/>
        <v>0.83133493205435649</v>
      </c>
      <c r="AC54" s="9">
        <f t="shared" si="173"/>
        <v>0.83587868358786832</v>
      </c>
      <c r="AD54" s="9">
        <f t="shared" si="173"/>
        <v>0.85228229745662798</v>
      </c>
      <c r="AE54" s="9">
        <f t="shared" ref="AE54:AM54" si="174">AE35/AE31</f>
        <v>0.86299158113251062</v>
      </c>
      <c r="AF54" s="9">
        <f t="shared" si="174"/>
        <v>0.90447261841873572</v>
      </c>
      <c r="AG54" s="9">
        <f t="shared" si="174"/>
        <v>0.91735708367854185</v>
      </c>
      <c r="AH54" s="9">
        <f t="shared" si="174"/>
        <v>0.85749734136830913</v>
      </c>
      <c r="AI54" s="9">
        <f t="shared" si="174"/>
        <v>0.86922808851716327</v>
      </c>
      <c r="AJ54" s="9">
        <f t="shared" si="174"/>
        <v>0.86341714104996836</v>
      </c>
      <c r="AK54" s="9">
        <f t="shared" si="174"/>
        <v>0.8169927727833598</v>
      </c>
      <c r="AL54" s="9">
        <f t="shared" si="174"/>
        <v>0.82334482865753256</v>
      </c>
      <c r="AM54" s="9">
        <f t="shared" si="174"/>
        <v>0.81767340844305691</v>
      </c>
      <c r="AN54" s="9">
        <f t="shared" ref="AN54:AW54" si="175">AN35/AN31</f>
        <v>0.84417412285111093</v>
      </c>
      <c r="AO54" s="9">
        <f t="shared" si="175"/>
        <v>0.82724357526760306</v>
      </c>
      <c r="AP54" s="9">
        <f t="shared" si="175"/>
        <v>0.79083369195258402</v>
      </c>
      <c r="AQ54" s="9">
        <f t="shared" si="175"/>
        <v>0.80804369414101296</v>
      </c>
      <c r="AR54" s="9">
        <f t="shared" si="175"/>
        <v>0.79199822030562828</v>
      </c>
      <c r="AS54" s="9">
        <f t="shared" si="175"/>
        <v>0.80162921707957235</v>
      </c>
      <c r="AT54" s="9">
        <f t="shared" si="175"/>
        <v>0.77729007906438097</v>
      </c>
      <c r="AU54" s="9">
        <f t="shared" si="175"/>
        <v>0.76221803236439101</v>
      </c>
      <c r="AV54" s="9">
        <f t="shared" si="175"/>
        <v>0.7398938971598864</v>
      </c>
      <c r="AW54" s="9">
        <f t="shared" si="175"/>
        <v>0.68981838701876019</v>
      </c>
      <c r="AX54" s="9">
        <f t="shared" ref="AX54:AY54" si="176">AX35/AX31</f>
        <v>0.64695447745244705</v>
      </c>
      <c r="AY54" s="9">
        <f t="shared" si="176"/>
        <v>0.61579934364744493</v>
      </c>
      <c r="AZ54" s="9">
        <f t="shared" ref="AZ54:BA54" si="177">AZ35/AZ31</f>
        <v>0.64522475691460168</v>
      </c>
      <c r="BA54" s="9">
        <f t="shared" si="177"/>
        <v>0.65247372236317502</v>
      </c>
      <c r="BB54" s="9">
        <f t="shared" ref="BB54:BF54" si="178">BB35/BB31</f>
        <v>0.65901957200638894</v>
      </c>
      <c r="BC54" s="9">
        <f t="shared" si="178"/>
        <v>0.67781001992797962</v>
      </c>
      <c r="BD54" s="9">
        <f t="shared" si="178"/>
        <v>0.68925800771024703</v>
      </c>
      <c r="BE54" s="9">
        <f t="shared" si="178"/>
        <v>0.68401674484289099</v>
      </c>
      <c r="BF54" s="9">
        <f t="shared" si="178"/>
        <v>0.68920085883491022</v>
      </c>
      <c r="BG54" s="9">
        <f t="shared" ref="BG54:BM54" si="179">BG35/BG31</f>
        <v>0.67</v>
      </c>
      <c r="BH54" s="9">
        <f t="shared" si="179"/>
        <v>0.67</v>
      </c>
      <c r="BI54" s="9">
        <f t="shared" si="179"/>
        <v>0.67</v>
      </c>
      <c r="BJ54" s="9">
        <f t="shared" si="179"/>
        <v>0.67</v>
      </c>
      <c r="BK54" s="9">
        <f t="shared" si="179"/>
        <v>0.67</v>
      </c>
      <c r="BL54" s="9">
        <f t="shared" si="179"/>
        <v>0.67</v>
      </c>
      <c r="BM54" s="9">
        <f t="shared" si="179"/>
        <v>0.67</v>
      </c>
      <c r="BO54" t="s">
        <v>100</v>
      </c>
      <c r="BP54" s="4">
        <f>NPV(BP48,BF44:DS44)+Main!L5-Main!L6</f>
        <v>2006642.4213977153</v>
      </c>
    </row>
    <row r="55" spans="2:68">
      <c r="B55" s="4" t="s">
        <v>455</v>
      </c>
      <c r="C55" s="9">
        <f t="shared" ref="C55" si="180">+C40/C31</f>
        <v>0.38378460142187265</v>
      </c>
      <c r="D55" s="9">
        <f t="shared" ref="D55:E55" si="181">+D40/D31</f>
        <v>0.37638866309001245</v>
      </c>
      <c r="E55" s="9">
        <f t="shared" si="181"/>
        <v>0.37049199051997372</v>
      </c>
      <c r="F55" s="9">
        <f t="shared" ref="F55:I55" si="182">+F40/F31</f>
        <v>0.35250966266137301</v>
      </c>
      <c r="G55" s="9">
        <f t="shared" si="182"/>
        <v>0.42730257845723207</v>
      </c>
      <c r="H55" s="9">
        <f t="shared" si="182"/>
        <v>0.41547497446373849</v>
      </c>
      <c r="I55" s="9">
        <f t="shared" si="182"/>
        <v>0.40876612477820939</v>
      </c>
      <c r="J55" s="9">
        <f t="shared" ref="J55:Q55" si="183">+J40/J31</f>
        <v>0.41374154966198645</v>
      </c>
      <c r="K55" s="9">
        <f t="shared" si="183"/>
        <v>0.44658737339188381</v>
      </c>
      <c r="L55" s="9">
        <f t="shared" si="183"/>
        <v>0.43007655428394681</v>
      </c>
      <c r="M55" s="9">
        <f t="shared" si="183"/>
        <v>0.41256077795786061</v>
      </c>
      <c r="N55" s="9">
        <f t="shared" si="183"/>
        <v>0.3959124650535043</v>
      </c>
      <c r="O55" s="9">
        <f t="shared" si="183"/>
        <v>0.42931247755476637</v>
      </c>
      <c r="P55" s="9">
        <f t="shared" si="183"/>
        <v>0.3867328947617874</v>
      </c>
      <c r="Q55" s="9">
        <f t="shared" si="183"/>
        <v>0.42287681858599618</v>
      </c>
      <c r="R55" s="9">
        <f>+R40/R31</f>
        <v>0.4316503230169606</v>
      </c>
      <c r="S55" s="9">
        <f t="shared" ref="S55:V55" si="184">+S40/S31</f>
        <v>0.47587451563246458</v>
      </c>
      <c r="T55" s="9">
        <f t="shared" si="184"/>
        <v>0.43585940019348596</v>
      </c>
      <c r="U55" s="9">
        <f t="shared" si="184"/>
        <v>0.42836379737963254</v>
      </c>
      <c r="V55" s="9">
        <f t="shared" si="184"/>
        <v>0.43081691976653624</v>
      </c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>
        <f t="shared" ref="AR55:AT55" si="185">AR40/AR31</f>
        <v>0.35410784263394768</v>
      </c>
      <c r="AS55" s="9">
        <f t="shared" si="185"/>
        <v>0.38661097240893672</v>
      </c>
      <c r="AT55" s="9">
        <f t="shared" si="185"/>
        <v>0.38833049769097694</v>
      </c>
      <c r="AU55" s="9">
        <f t="shared" ref="AU55:BE55" si="186">AU40/AU31</f>
        <v>0.37920323372624554</v>
      </c>
      <c r="AV55" s="9">
        <f t="shared" si="186"/>
        <v>0.34379375457616668</v>
      </c>
      <c r="AW55" s="9">
        <f t="shared" si="186"/>
        <v>0.32114518673776099</v>
      </c>
      <c r="AX55" s="9">
        <f t="shared" si="186"/>
        <v>0.30104723231459712</v>
      </c>
      <c r="AY55" s="9">
        <f t="shared" si="186"/>
        <v>0.24955461790904829</v>
      </c>
      <c r="AZ55" s="9">
        <f t="shared" si="186"/>
        <v>0.30372472067183731</v>
      </c>
      <c r="BA55" s="9">
        <f t="shared" si="186"/>
        <v>0.31766944545125048</v>
      </c>
      <c r="BB55" s="9">
        <f t="shared" si="186"/>
        <v>0.3413698020549415</v>
      </c>
      <c r="BC55" s="9">
        <f t="shared" si="186"/>
        <v>0.37030381428521486</v>
      </c>
      <c r="BD55" s="9">
        <f t="shared" si="186"/>
        <v>0.41594878872971303</v>
      </c>
      <c r="BE55" s="9">
        <f t="shared" si="186"/>
        <v>0.4205527815604983</v>
      </c>
      <c r="BF55" s="9">
        <f>BF40/BF31</f>
        <v>0.41772880636104098</v>
      </c>
      <c r="BG55" s="9">
        <f t="shared" ref="BG55:BM55" si="187">BG40/BG31</f>
        <v>0.41885445720422676</v>
      </c>
      <c r="BH55" s="9">
        <f t="shared" si="187"/>
        <v>0.43053228494172352</v>
      </c>
      <c r="BI55" s="9">
        <f t="shared" si="187"/>
        <v>0.44186127163251976</v>
      </c>
      <c r="BJ55" s="9">
        <f t="shared" si="187"/>
        <v>0.45283344109557166</v>
      </c>
      <c r="BK55" s="9">
        <f t="shared" si="187"/>
        <v>0.46344280341509458</v>
      </c>
      <c r="BL55" s="9">
        <f t="shared" si="187"/>
        <v>0.47368527275981076</v>
      </c>
      <c r="BM55" s="9">
        <f t="shared" si="187"/>
        <v>0.48355857034614491</v>
      </c>
      <c r="BP55" s="4"/>
    </row>
    <row r="56" spans="2:68">
      <c r="B56" s="4" t="s">
        <v>89</v>
      </c>
      <c r="C56" s="9">
        <f t="shared" ref="C56:D56" si="188">+C43/C42</f>
        <v>0.15828472331704241</v>
      </c>
      <c r="D56" s="9">
        <f t="shared" si="188"/>
        <v>0.17294994675186368</v>
      </c>
      <c r="E56" s="9">
        <f t="shared" ref="E56:F56" si="189">+E43/E42</f>
        <v>0.16281242700303666</v>
      </c>
      <c r="F56" s="9">
        <f t="shared" si="189"/>
        <v>0.16540008940545373</v>
      </c>
      <c r="G56" s="9">
        <f>+G43/G42</f>
        <v>0.13836516993301909</v>
      </c>
      <c r="H56" s="9">
        <f t="shared" ref="H56:O56" si="190">+H43/H42</f>
        <v>0.15673228990565524</v>
      </c>
      <c r="I56" s="9">
        <f t="shared" si="190"/>
        <v>0.10321420283128337</v>
      </c>
      <c r="J56" s="9">
        <f t="shared" si="190"/>
        <v>0.15186807523834064</v>
      </c>
      <c r="K56" s="9">
        <f t="shared" si="190"/>
        <v>9.2574546871954783E-4</v>
      </c>
      <c r="L56" s="9">
        <f t="shared" si="190"/>
        <v>0.16655562958027981</v>
      </c>
      <c r="M56" s="9">
        <f t="shared" si="190"/>
        <v>0.17147102526002972</v>
      </c>
      <c r="N56" s="9">
        <f t="shared" si="190"/>
        <v>0.18289647093278666</v>
      </c>
      <c r="O56" s="9">
        <f t="shared" si="190"/>
        <v>0.18616725384758021</v>
      </c>
      <c r="P56" s="9">
        <f>+P43/P42</f>
        <v>0.19243817296818919</v>
      </c>
      <c r="Q56" s="9">
        <f t="shared" ref="Q56:R56" si="191">+Q43/Q42</f>
        <v>0.19291668504388479</v>
      </c>
      <c r="R56" s="9">
        <f t="shared" si="191"/>
        <v>0.18789177821814212</v>
      </c>
      <c r="S56" s="9">
        <f t="shared" ref="S56:V56" si="192">+S43/S42</f>
        <v>0.18300102624248643</v>
      </c>
      <c r="T56" s="9">
        <f t="shared" si="192"/>
        <v>0.17552589911784663</v>
      </c>
      <c r="U56" s="9">
        <f t="shared" si="192"/>
        <v>0.2</v>
      </c>
      <c r="V56" s="9">
        <f t="shared" si="192"/>
        <v>0.2</v>
      </c>
      <c r="W56" s="9"/>
      <c r="X56" s="9"/>
      <c r="Y56" s="9">
        <f t="shared" ref="Y56:AD56" si="193">+Y43/Y42</f>
        <v>0.31951219512195123</v>
      </c>
      <c r="Z56" s="9">
        <f t="shared" si="193"/>
        <v>0.30998509687034276</v>
      </c>
      <c r="AA56" s="9">
        <f t="shared" si="193"/>
        <v>0.31988472622478387</v>
      </c>
      <c r="AB56" s="9">
        <f t="shared" si="193"/>
        <v>0.31977159172019987</v>
      </c>
      <c r="AC56" s="9">
        <f t="shared" si="193"/>
        <v>0.31788079470198677</v>
      </c>
      <c r="AD56" s="9">
        <f t="shared" si="193"/>
        <v>0.32263895164934481</v>
      </c>
      <c r="AE56" s="9">
        <f t="shared" ref="AE56:AM56" si="194">+AE43/AE42</f>
        <v>0.35039952648712636</v>
      </c>
      <c r="AF56" s="9">
        <f t="shared" si="194"/>
        <v>0.35001881821603315</v>
      </c>
      <c r="AG56" s="9">
        <f t="shared" si="194"/>
        <v>0.35815459328207205</v>
      </c>
      <c r="AH56" s="9">
        <f t="shared" si="194"/>
        <v>0.35001278663370555</v>
      </c>
      <c r="AI56" s="9">
        <f t="shared" si="194"/>
        <v>0.34379205326156242</v>
      </c>
      <c r="AJ56" s="9">
        <f t="shared" si="194"/>
        <v>0.32557343375556319</v>
      </c>
      <c r="AK56" s="9">
        <f t="shared" si="194"/>
        <v>0.31744937526928046</v>
      </c>
      <c r="AL56" s="9">
        <f t="shared" si="194"/>
        <v>0.31992699743139108</v>
      </c>
      <c r="AM56" s="9">
        <f t="shared" si="194"/>
        <v>0.32959659602323871</v>
      </c>
      <c r="AN56" s="9">
        <f t="shared" ref="AN56:AW56" si="195">+AN43/AN42</f>
        <v>0.26305027664180902</v>
      </c>
      <c r="AO56" s="9">
        <f t="shared" si="195"/>
        <v>0.31009747015660938</v>
      </c>
      <c r="AP56" s="9">
        <f t="shared" si="195"/>
        <v>0.30028356798169248</v>
      </c>
      <c r="AQ56" s="9">
        <f t="shared" si="195"/>
        <v>0.25753758293440832</v>
      </c>
      <c r="AR56" s="9">
        <f t="shared" si="195"/>
        <v>0.26063222668850183</v>
      </c>
      <c r="AS56" s="9">
        <f t="shared" si="195"/>
        <v>0.24940172303765157</v>
      </c>
      <c r="AT56" s="9">
        <f t="shared" si="195"/>
        <v>0.17530547540166008</v>
      </c>
      <c r="AU56" s="9">
        <f t="shared" si="195"/>
        <v>0.18583977512297961</v>
      </c>
      <c r="AV56" s="9">
        <f t="shared" si="195"/>
        <v>0.19181576223569421</v>
      </c>
      <c r="AW56" s="9">
        <f t="shared" si="195"/>
        <v>0.20560346369914481</v>
      </c>
      <c r="AX56" s="9">
        <f t="shared" ref="AX56:AY56" si="196">+AX43/AX42</f>
        <v>0.22140402552773686</v>
      </c>
      <c r="AY56" s="9">
        <f t="shared" si="196"/>
        <v>0.1415560136139207</v>
      </c>
      <c r="AZ56" s="9">
        <f t="shared" ref="AZ56:BA56" si="197">+AZ43/AZ42</f>
        <v>0.14605886052901645</v>
      </c>
      <c r="BA56" s="9">
        <f t="shared" si="197"/>
        <v>0.5456763722103416</v>
      </c>
      <c r="BB56" s="9">
        <f t="shared" ref="BB56:BF56" si="198">+BB43/BB42</f>
        <v>0.10181285478850027</v>
      </c>
      <c r="BC56" s="9">
        <f t="shared" si="198"/>
        <v>0.16507655177615205</v>
      </c>
      <c r="BD56" s="9">
        <f t="shared" si="198"/>
        <v>0.13826615285083402</v>
      </c>
      <c r="BE56" s="9">
        <f t="shared" si="198"/>
        <v>0.13113383343685794</v>
      </c>
      <c r="BF56" s="9">
        <f t="shared" si="198"/>
        <v>0.15</v>
      </c>
      <c r="BG56" s="9">
        <f t="shared" ref="BG56:BM56" si="199">+BG43/BG42</f>
        <v>0.19000000000000003</v>
      </c>
      <c r="BH56" s="9">
        <f t="shared" si="199"/>
        <v>0.15</v>
      </c>
      <c r="BI56" s="9">
        <f t="shared" si="199"/>
        <v>0.15</v>
      </c>
      <c r="BJ56" s="9">
        <f t="shared" si="199"/>
        <v>0.15</v>
      </c>
      <c r="BK56" s="9">
        <f t="shared" si="199"/>
        <v>0.15</v>
      </c>
      <c r="BL56" s="9">
        <f t="shared" si="199"/>
        <v>0.15</v>
      </c>
      <c r="BM56" s="9">
        <f t="shared" si="199"/>
        <v>0.15</v>
      </c>
      <c r="BO56" t="s">
        <v>105</v>
      </c>
      <c r="BP56" s="1">
        <f>+BP54/Main!L3</f>
        <v>270.05714867265237</v>
      </c>
    </row>
    <row r="57" spans="2:68">
      <c r="B57" s="4" t="s">
        <v>156</v>
      </c>
      <c r="C57" s="9">
        <f t="shared" ref="C57" si="200">(C29-C32)/C29</f>
        <v>0.79039827498731607</v>
      </c>
      <c r="D57" s="9">
        <f t="shared" ref="D57:E57" si="201">(D29-D32)/D29</f>
        <v>0.72796494111202414</v>
      </c>
      <c r="E57" s="9">
        <f t="shared" si="201"/>
        <v>0.78728498519311951</v>
      </c>
      <c r="F57" s="9">
        <f t="shared" ref="F57:I57" si="202">(F29-F32)/F29</f>
        <v>0.75918884664131814</v>
      </c>
      <c r="G57" s="9">
        <f t="shared" si="202"/>
        <v>0.77238499019173579</v>
      </c>
      <c r="H57" s="9">
        <f t="shared" si="202"/>
        <v>0.68869475847893113</v>
      </c>
      <c r="I57" s="9">
        <f t="shared" si="202"/>
        <v>0.74651810584958223</v>
      </c>
      <c r="J57" s="9">
        <f t="shared" ref="J57:L57" si="203">(J29-J32)/J29</f>
        <v>0.7736297391488014</v>
      </c>
      <c r="K57" s="9">
        <f t="shared" si="203"/>
        <v>0.77199206301485179</v>
      </c>
      <c r="L57" s="9">
        <f t="shared" si="203"/>
        <v>0.69531738774724483</v>
      </c>
      <c r="M57" s="9">
        <f t="shared" ref="M57:O57" si="204">(M29-M32)/M29</f>
        <v>0.73603593228146957</v>
      </c>
      <c r="N57" s="9">
        <f t="shared" si="204"/>
        <v>0.75735130318556476</v>
      </c>
      <c r="O57" s="9">
        <f t="shared" si="204"/>
        <v>0.72670097198399086</v>
      </c>
      <c r="P57" s="9">
        <f>(P29-P32)/P29</f>
        <v>0.65550644790216139</v>
      </c>
      <c r="Q57" s="9">
        <f t="shared" ref="Q57:V57" si="205">(Q29-Q32)/Q29</f>
        <v>0.74717731588401337</v>
      </c>
      <c r="R57" s="9">
        <f t="shared" si="205"/>
        <v>0.77030795704028954</v>
      </c>
      <c r="S57" s="9">
        <f t="shared" si="205"/>
        <v>0.77270679111683294</v>
      </c>
      <c r="T57" s="9">
        <f t="shared" si="205"/>
        <v>0.68512750118789922</v>
      </c>
      <c r="U57" s="9">
        <f t="shared" si="205"/>
        <v>0.75</v>
      </c>
      <c r="V57" s="9">
        <f t="shared" si="205"/>
        <v>0.75</v>
      </c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>
        <f t="shared" ref="AY57" si="206">(AY29-AY32)/AY29</f>
        <v>0.70927774706513613</v>
      </c>
      <c r="AZ57" s="9">
        <f t="shared" ref="AZ57:BM57" si="207">(AZ29-AZ32)/AZ29</f>
        <v>0.76218833743398473</v>
      </c>
      <c r="BA57" s="9">
        <f t="shared" si="207"/>
        <v>0.76091911251686128</v>
      </c>
      <c r="BB57" s="9">
        <f t="shared" si="207"/>
        <v>0.75369689264254036</v>
      </c>
      <c r="BC57" s="9">
        <f t="shared" si="207"/>
        <v>0.76459781602269217</v>
      </c>
      <c r="BD57" s="9">
        <f t="shared" si="207"/>
        <v>0.74366153586402906</v>
      </c>
      <c r="BE57" s="9">
        <f t="shared" si="207"/>
        <v>0.73788703734257277</v>
      </c>
      <c r="BF57" s="9">
        <f t="shared" si="207"/>
        <v>0.72481800336944935</v>
      </c>
      <c r="BG57" s="9">
        <f t="shared" si="207"/>
        <v>0.75</v>
      </c>
      <c r="BH57" s="9">
        <f t="shared" si="207"/>
        <v>0.75</v>
      </c>
      <c r="BI57" s="9">
        <f t="shared" si="207"/>
        <v>0.75</v>
      </c>
      <c r="BJ57" s="9">
        <f t="shared" si="207"/>
        <v>0.75</v>
      </c>
      <c r="BK57" s="9">
        <f t="shared" si="207"/>
        <v>0.75</v>
      </c>
      <c r="BL57" s="9">
        <f t="shared" si="207"/>
        <v>0.75</v>
      </c>
      <c r="BM57" s="9">
        <f t="shared" si="207"/>
        <v>0.75</v>
      </c>
      <c r="BP57" s="1"/>
    </row>
    <row r="58" spans="2:68">
      <c r="B58" s="4" t="s">
        <v>157</v>
      </c>
      <c r="C58" s="9">
        <f t="shared" ref="C58" si="208">(C30-C33)/C30</f>
        <v>0.58922890032972752</v>
      </c>
      <c r="D58" s="9">
        <f t="shared" ref="D58:E58" si="209">(D30-D33)/D30</f>
        <v>0.60366736368023166</v>
      </c>
      <c r="E58" s="9">
        <f t="shared" si="209"/>
        <v>0.60318537859007837</v>
      </c>
      <c r="F58" s="9">
        <f t="shared" ref="F58:K58" si="210">(F30-F33)/F30</f>
        <v>0.59926581514633415</v>
      </c>
      <c r="G58" s="9">
        <f t="shared" si="210"/>
        <v>0.65317783710364852</v>
      </c>
      <c r="H58" s="9">
        <f t="shared" si="210"/>
        <v>0.65548780487804881</v>
      </c>
      <c r="I58" s="9">
        <f t="shared" si="210"/>
        <v>0.64692143518704948</v>
      </c>
      <c r="J58" s="9">
        <f t="shared" si="210"/>
        <v>0.64341882854413168</v>
      </c>
      <c r="K58" s="9">
        <f t="shared" si="210"/>
        <v>0.65648748518441047</v>
      </c>
      <c r="L58" s="9">
        <f t="shared" ref="L58:O58" si="211">(L30-L33)/L30</f>
        <v>0.65656402468577335</v>
      </c>
      <c r="M58" s="9">
        <f t="shared" si="211"/>
        <v>0.65521660311308372</v>
      </c>
      <c r="N58" s="9">
        <f t="shared" si="211"/>
        <v>0.64398832168450859</v>
      </c>
      <c r="O58" s="9">
        <f t="shared" si="211"/>
        <v>0.67569296995433525</v>
      </c>
      <c r="P58" s="9">
        <f>(P30-P33)/P30</f>
        <v>0.67435826662986476</v>
      </c>
      <c r="Q58" s="9">
        <f t="shared" ref="Q58:V58" si="212">(Q30-Q33)/Q30</f>
        <v>0.67299900721779493</v>
      </c>
      <c r="R58" s="9">
        <f t="shared" si="212"/>
        <v>0.67144600366076879</v>
      </c>
      <c r="S58" s="9">
        <f t="shared" si="212"/>
        <v>0.68837538431506518</v>
      </c>
      <c r="T58" s="9">
        <f t="shared" si="212"/>
        <v>0.68293135866663568</v>
      </c>
      <c r="U58" s="9">
        <f t="shared" si="212"/>
        <v>0.65000000000000013</v>
      </c>
      <c r="V58" s="9">
        <f t="shared" si="212"/>
        <v>0.65</v>
      </c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>
        <f t="shared" ref="AY58" si="213">(AY30-AY33)/AY30</f>
        <v>0.37442270551683599</v>
      </c>
      <c r="AZ58" s="9">
        <f t="shared" ref="AZ58:BM58" si="214">(AZ30-AZ33)/AZ30</f>
        <v>0.41739926739926742</v>
      </c>
      <c r="BA58" s="9">
        <f t="shared" si="214"/>
        <v>0.4999672938970412</v>
      </c>
      <c r="BB58" s="9">
        <f t="shared" si="214"/>
        <v>0.55437146585471941</v>
      </c>
      <c r="BC58" s="9">
        <f t="shared" si="214"/>
        <v>0.59904766985888447</v>
      </c>
      <c r="BD58" s="9">
        <f t="shared" si="214"/>
        <v>0.64940111736450412</v>
      </c>
      <c r="BE58" s="9">
        <f t="shared" si="214"/>
        <v>0.65280632159186858</v>
      </c>
      <c r="BF58" s="9">
        <f t="shared" si="214"/>
        <v>0.67354771220519505</v>
      </c>
      <c r="BG58" s="9">
        <f t="shared" si="214"/>
        <v>0.65</v>
      </c>
      <c r="BH58" s="9">
        <f t="shared" si="214"/>
        <v>0.65</v>
      </c>
      <c r="BI58" s="9">
        <f t="shared" si="214"/>
        <v>0.64999999999999991</v>
      </c>
      <c r="BJ58" s="9">
        <f t="shared" si="214"/>
        <v>0.65</v>
      </c>
      <c r="BK58" s="9">
        <f t="shared" si="214"/>
        <v>0.65</v>
      </c>
      <c r="BL58" s="9">
        <f t="shared" si="214"/>
        <v>0.65</v>
      </c>
      <c r="BM58" s="9">
        <f t="shared" si="214"/>
        <v>0.65</v>
      </c>
      <c r="BP58" s="1"/>
    </row>
    <row r="59" spans="2:68">
      <c r="B59" s="4" t="s">
        <v>411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>
        <v>0.35</v>
      </c>
      <c r="O59" s="9">
        <v>0.16</v>
      </c>
      <c r="P59" s="9">
        <v>0.04</v>
      </c>
      <c r="Q59" s="9">
        <v>0.12</v>
      </c>
      <c r="R59" s="9">
        <v>-0.01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P59" s="1"/>
    </row>
    <row r="61" spans="2:68">
      <c r="B61" t="s">
        <v>82</v>
      </c>
      <c r="G61" s="5">
        <f t="shared" ref="G61:H61" si="215">+G62-G73</f>
        <v>77528</v>
      </c>
      <c r="H61" s="5">
        <f t="shared" si="215"/>
        <v>75239</v>
      </c>
      <c r="I61" s="5">
        <f t="shared" ref="I61:V61" si="216">+I62-I73</f>
        <v>72744</v>
      </c>
      <c r="J61" s="5">
        <f t="shared" si="216"/>
        <v>78172</v>
      </c>
      <c r="K61" s="5">
        <f t="shared" si="216"/>
        <v>83720</v>
      </c>
      <c r="L61" s="5">
        <f t="shared" si="216"/>
        <v>79105</v>
      </c>
      <c r="M61" s="5">
        <f t="shared" si="216"/>
        <v>61674</v>
      </c>
      <c r="N61" s="5">
        <f t="shared" si="216"/>
        <v>61867</v>
      </c>
      <c r="O61" s="5">
        <f t="shared" si="216"/>
        <v>65479</v>
      </c>
      <c r="P61" s="5">
        <f t="shared" si="216"/>
        <v>58489</v>
      </c>
      <c r="Q61" s="5">
        <f t="shared" si="216"/>
        <v>65632</v>
      </c>
      <c r="R61" s="5">
        <f t="shared" si="216"/>
        <v>73904</v>
      </c>
      <c r="S61" s="5">
        <f t="shared" si="216"/>
        <v>83872</v>
      </c>
      <c r="T61" s="5">
        <f t="shared" si="216"/>
        <v>20165</v>
      </c>
      <c r="U61" s="5">
        <f t="shared" si="216"/>
        <v>0</v>
      </c>
      <c r="V61" s="5">
        <f t="shared" si="216"/>
        <v>0</v>
      </c>
      <c r="AC61" s="4">
        <f t="shared" ref="AC61:AQ61" si="217">AC62</f>
        <v>3614</v>
      </c>
      <c r="AD61" s="4">
        <f t="shared" si="217"/>
        <v>4750</v>
      </c>
      <c r="AE61" s="4">
        <f t="shared" si="217"/>
        <v>6940</v>
      </c>
      <c r="AF61" s="4">
        <f t="shared" si="217"/>
        <v>11312</v>
      </c>
      <c r="AG61" s="4">
        <f t="shared" si="217"/>
        <v>18630</v>
      </c>
      <c r="AH61" s="4">
        <f t="shared" si="217"/>
        <v>31608</v>
      </c>
      <c r="AI61" s="4">
        <f t="shared" si="217"/>
        <v>41524</v>
      </c>
      <c r="AJ61" s="4">
        <f t="shared" si="217"/>
        <v>45741</v>
      </c>
      <c r="AK61" s="4">
        <f t="shared" si="217"/>
        <v>52843</v>
      </c>
      <c r="AL61" s="4">
        <f t="shared" si="217"/>
        <v>62740</v>
      </c>
      <c r="AM61" s="4">
        <f t="shared" si="217"/>
        <v>72802</v>
      </c>
      <c r="AN61" s="4">
        <f t="shared" si="217"/>
        <v>48755</v>
      </c>
      <c r="AO61" s="4">
        <f t="shared" si="217"/>
        <v>43393</v>
      </c>
      <c r="AP61" s="4">
        <f t="shared" si="217"/>
        <v>33528</v>
      </c>
      <c r="AQ61" s="4">
        <f t="shared" si="217"/>
        <v>30250</v>
      </c>
      <c r="AR61" s="4">
        <f t="shared" ref="AR61:AW61" si="218">AR62-AR73</f>
        <v>30634</v>
      </c>
      <c r="AS61" s="4">
        <f t="shared" si="218"/>
        <v>38603</v>
      </c>
      <c r="AT61" s="4">
        <f t="shared" si="218"/>
        <v>51716</v>
      </c>
      <c r="AU61" s="4">
        <f t="shared" si="218"/>
        <v>60872</v>
      </c>
      <c r="AV61" s="4">
        <f t="shared" si="218"/>
        <v>72266</v>
      </c>
      <c r="AW61" s="4">
        <f t="shared" si="218"/>
        <v>77661</v>
      </c>
      <c r="BE61" s="5">
        <f>+N61</f>
        <v>61867</v>
      </c>
      <c r="BF61" s="5">
        <f t="shared" ref="BF61:BM61" si="219">+BE61+BF44</f>
        <v>137637.41950000002</v>
      </c>
      <c r="BG61" s="5">
        <f t="shared" si="219"/>
        <v>218799.59129695001</v>
      </c>
      <c r="BH61" s="5">
        <f t="shared" si="219"/>
        <v>313928.73862042412</v>
      </c>
      <c r="BI61" s="5">
        <f t="shared" si="219"/>
        <v>420088.55300767126</v>
      </c>
      <c r="BJ61" s="5">
        <f t="shared" si="219"/>
        <v>538421.85608683922</v>
      </c>
      <c r="BK61" s="5">
        <f t="shared" si="219"/>
        <v>670186.89518653415</v>
      </c>
      <c r="BL61" s="5">
        <f t="shared" si="219"/>
        <v>816768.91979456088</v>
      </c>
      <c r="BM61" s="5">
        <f t="shared" si="219"/>
        <v>979692.91667564923</v>
      </c>
    </row>
    <row r="62" spans="2:68" s="4" customFormat="1">
      <c r="B62" s="4" t="s">
        <v>3</v>
      </c>
      <c r="C62" s="5"/>
      <c r="D62" s="5"/>
      <c r="E62" s="5"/>
      <c r="F62" s="5"/>
      <c r="G62" s="5">
        <f>137977+3103</f>
        <v>141080</v>
      </c>
      <c r="H62" s="5">
        <f>131968+3794</f>
        <v>135762</v>
      </c>
      <c r="I62" s="5">
        <f>125407+5395</f>
        <v>130802</v>
      </c>
      <c r="J62" s="5">
        <f>130334+5984</f>
        <v>136318</v>
      </c>
      <c r="K62" s="5">
        <f>130615+6393</f>
        <v>137008</v>
      </c>
      <c r="L62" s="5">
        <f>125369+6994</f>
        <v>132363</v>
      </c>
      <c r="M62" s="5">
        <f>104693+6907</f>
        <v>111600</v>
      </c>
      <c r="N62" s="5">
        <f>104757+6891</f>
        <v>111648</v>
      </c>
      <c r="O62" s="4">
        <f>107262+6839</f>
        <v>114101</v>
      </c>
      <c r="P62" s="4">
        <f>99508+7097</f>
        <v>106605</v>
      </c>
      <c r="Q62" s="4">
        <f>104427+9415</f>
        <v>113842</v>
      </c>
      <c r="R62" s="4">
        <f>111262+9879</f>
        <v>121141</v>
      </c>
      <c r="S62" s="4">
        <f>143951+11423</f>
        <v>155374</v>
      </c>
      <c r="T62" s="4">
        <f>81017+13367</f>
        <v>94384</v>
      </c>
      <c r="AC62" s="4">
        <f>3614</f>
        <v>3614</v>
      </c>
      <c r="AD62" s="4">
        <v>4750</v>
      </c>
      <c r="AE62" s="4">
        <v>6940</v>
      </c>
      <c r="AF62" s="4">
        <f>8966+2346</f>
        <v>11312</v>
      </c>
      <c r="AG62" s="4">
        <f>13927+4703</f>
        <v>18630</v>
      </c>
      <c r="AH62" s="4">
        <f>17236+14372</f>
        <v>31608</v>
      </c>
      <c r="AI62" s="4">
        <f>4846+18952+17726</f>
        <v>41524</v>
      </c>
      <c r="AJ62" s="4">
        <f>3922+27678+14141</f>
        <v>45741</v>
      </c>
      <c r="AK62" s="4">
        <f>3016+35636+14191</f>
        <v>52843</v>
      </c>
      <c r="AL62" s="4">
        <f>6438+42610+13692</f>
        <v>62740</v>
      </c>
      <c r="AM62" s="4">
        <f>60592+12210</f>
        <v>72802</v>
      </c>
      <c r="AN62" s="4">
        <f>4851+32900+11004</f>
        <v>48755</v>
      </c>
      <c r="AO62" s="4">
        <f>34161+9232</f>
        <v>43393</v>
      </c>
      <c r="AP62" s="4">
        <f>23411+10117</f>
        <v>33528</v>
      </c>
      <c r="AQ62" s="4">
        <f>23662+6588</f>
        <v>30250</v>
      </c>
      <c r="AR62" s="4">
        <f>31447+4933</f>
        <v>36380</v>
      </c>
      <c r="AS62" s="4">
        <f>36788+7754</f>
        <v>44542</v>
      </c>
      <c r="AT62" s="4">
        <f>52772+10865</f>
        <v>63637</v>
      </c>
      <c r="AU62" s="4">
        <f>63040+9776</f>
        <v>72816</v>
      </c>
      <c r="AV62" s="4">
        <f>77022+10844</f>
        <v>87866</v>
      </c>
      <c r="AW62" s="4">
        <f>85709+14597</f>
        <v>100306</v>
      </c>
      <c r="BC62" s="5"/>
      <c r="BD62" s="5"/>
      <c r="BE62" s="5"/>
      <c r="BF62" s="5"/>
    </row>
    <row r="63" spans="2:68" s="4" customFormat="1">
      <c r="B63" s="4" t="s">
        <v>35</v>
      </c>
      <c r="C63" s="5"/>
      <c r="D63" s="5"/>
      <c r="E63" s="5"/>
      <c r="F63" s="5"/>
      <c r="G63" s="5">
        <v>22851</v>
      </c>
      <c r="H63" s="5">
        <v>27312</v>
      </c>
      <c r="I63" s="5">
        <v>26322</v>
      </c>
      <c r="J63" s="5">
        <v>38043</v>
      </c>
      <c r="K63" s="5">
        <v>27349</v>
      </c>
      <c r="L63" s="5">
        <v>33520</v>
      </c>
      <c r="M63" s="5">
        <v>32613</v>
      </c>
      <c r="N63" s="5">
        <v>44261</v>
      </c>
      <c r="O63" s="4">
        <v>31279</v>
      </c>
      <c r="P63" s="4">
        <v>35833</v>
      </c>
      <c r="Q63" s="4">
        <v>37420</v>
      </c>
      <c r="R63" s="4">
        <v>48688</v>
      </c>
      <c r="S63" s="4">
        <v>36953</v>
      </c>
      <c r="T63" s="4">
        <v>42831</v>
      </c>
      <c r="AC63" s="4">
        <v>475</v>
      </c>
      <c r="AD63" s="4">
        <v>581</v>
      </c>
      <c r="AE63" s="4">
        <v>639</v>
      </c>
      <c r="AF63" s="4">
        <v>980</v>
      </c>
      <c r="AG63" s="4">
        <v>1460</v>
      </c>
      <c r="AH63" s="4">
        <v>2245</v>
      </c>
      <c r="AI63" s="4">
        <v>3250</v>
      </c>
      <c r="AJ63" s="4">
        <v>3671</v>
      </c>
      <c r="AK63" s="4">
        <v>5129</v>
      </c>
      <c r="AL63" s="4">
        <v>5196</v>
      </c>
      <c r="AM63" s="4">
        <v>5890</v>
      </c>
      <c r="AN63" s="4">
        <v>7180</v>
      </c>
      <c r="AO63" s="4">
        <v>9316</v>
      </c>
      <c r="AP63" s="4">
        <v>11338</v>
      </c>
      <c r="AQ63" s="4">
        <v>13589</v>
      </c>
      <c r="AR63" s="4">
        <v>11192</v>
      </c>
      <c r="AS63" s="4">
        <v>13014</v>
      </c>
      <c r="AT63" s="4">
        <v>14987</v>
      </c>
      <c r="AU63" s="4">
        <v>15780</v>
      </c>
      <c r="AV63" s="4">
        <v>17486</v>
      </c>
      <c r="AW63" s="4">
        <v>19544</v>
      </c>
      <c r="BC63" s="5"/>
      <c r="BD63" s="5"/>
      <c r="BE63" s="5"/>
      <c r="BF63" s="5"/>
    </row>
    <row r="64" spans="2:68" s="4" customFormat="1">
      <c r="B64" s="4" t="s">
        <v>36</v>
      </c>
      <c r="C64" s="5"/>
      <c r="D64" s="5"/>
      <c r="E64" s="5"/>
      <c r="F64" s="5"/>
      <c r="G64" s="5">
        <v>2705</v>
      </c>
      <c r="H64" s="5">
        <v>1924</v>
      </c>
      <c r="I64" s="5">
        <v>2245</v>
      </c>
      <c r="J64" s="5">
        <v>2636</v>
      </c>
      <c r="K64" s="5">
        <v>3411</v>
      </c>
      <c r="L64" s="5">
        <v>3019</v>
      </c>
      <c r="M64" s="5">
        <v>3296</v>
      </c>
      <c r="N64" s="5">
        <v>3742</v>
      </c>
      <c r="O64" s="4">
        <v>4268</v>
      </c>
      <c r="P64" s="4">
        <v>2980</v>
      </c>
      <c r="Q64" s="4">
        <v>2877</v>
      </c>
      <c r="R64" s="4">
        <v>2500</v>
      </c>
      <c r="S64" s="4">
        <v>3000</v>
      </c>
      <c r="T64" s="4">
        <v>1615</v>
      </c>
      <c r="AC64" s="4">
        <v>102</v>
      </c>
      <c r="AD64" s="4">
        <v>88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673</v>
      </c>
      <c r="AL64" s="4">
        <v>640</v>
      </c>
      <c r="AM64" s="4">
        <v>421</v>
      </c>
      <c r="AN64" s="4">
        <v>491</v>
      </c>
      <c r="AO64" s="4">
        <v>1478</v>
      </c>
      <c r="AP64" s="4">
        <v>1127</v>
      </c>
      <c r="AQ64" s="4">
        <v>985</v>
      </c>
      <c r="AR64" s="4">
        <v>717</v>
      </c>
      <c r="AS64" s="4">
        <v>740</v>
      </c>
      <c r="AT64" s="4">
        <v>1372</v>
      </c>
      <c r="AU64" s="4">
        <v>1137</v>
      </c>
      <c r="AV64" s="4">
        <v>1938</v>
      </c>
      <c r="AW64" s="4">
        <v>2660</v>
      </c>
      <c r="BC64" s="5"/>
      <c r="BD64" s="5"/>
      <c r="BE64" s="5"/>
      <c r="BF64" s="5"/>
    </row>
    <row r="65" spans="2:58" s="4" customFormat="1">
      <c r="B65" s="4" t="s">
        <v>37</v>
      </c>
      <c r="C65" s="5"/>
      <c r="D65" s="5"/>
      <c r="E65" s="5"/>
      <c r="F65" s="5"/>
      <c r="G65" s="5">
        <v>13544</v>
      </c>
      <c r="H65" s="5">
        <v>12769</v>
      </c>
      <c r="I65" s="5">
        <v>11640</v>
      </c>
      <c r="J65" s="5">
        <v>13393</v>
      </c>
      <c r="K65" s="5">
        <v>12951</v>
      </c>
      <c r="L65" s="5">
        <v>12280</v>
      </c>
      <c r="M65" s="5">
        <v>13320</v>
      </c>
      <c r="N65" s="5">
        <v>16924</v>
      </c>
      <c r="O65" s="4">
        <v>18003</v>
      </c>
      <c r="P65" s="4">
        <v>19502</v>
      </c>
      <c r="Q65" s="4">
        <v>19165</v>
      </c>
      <c r="R65" s="4">
        <v>21807</v>
      </c>
      <c r="S65" s="4">
        <v>23682</v>
      </c>
      <c r="T65" s="4">
        <v>21930</v>
      </c>
      <c r="AC65" s="4">
        <v>121</v>
      </c>
      <c r="AD65" s="4">
        <v>201</v>
      </c>
      <c r="AE65" s="4">
        <v>260</v>
      </c>
      <c r="AF65" s="4">
        <v>427</v>
      </c>
      <c r="AG65" s="4">
        <v>502</v>
      </c>
      <c r="AH65" s="4">
        <v>752</v>
      </c>
      <c r="AI65" s="4">
        <f>1552+1708</f>
        <v>3260</v>
      </c>
      <c r="AJ65" s="4">
        <f>1949+2417</f>
        <v>4366</v>
      </c>
      <c r="AK65" s="4">
        <f>2112+2010</f>
        <v>4122</v>
      </c>
      <c r="AL65" s="4">
        <f>2506+1583</f>
        <v>4089</v>
      </c>
      <c r="AM65" s="4">
        <f>2097+1566</f>
        <v>3663</v>
      </c>
      <c r="AN65" s="4">
        <f>1701+1614</f>
        <v>3315</v>
      </c>
      <c r="AO65" s="4">
        <f>1940+2115</f>
        <v>4055</v>
      </c>
      <c r="AP65" s="4">
        <f>1899+2393</f>
        <v>4292</v>
      </c>
      <c r="AQ65" s="4">
        <f>2017+2989</f>
        <v>5006</v>
      </c>
      <c r="AR65" s="4">
        <f>2213+3711</f>
        <v>5924</v>
      </c>
      <c r="AS65" s="4">
        <f>2184+2950</f>
        <v>5134</v>
      </c>
      <c r="AT65" s="4">
        <f>2467+3320</f>
        <v>5787</v>
      </c>
      <c r="AU65" s="4">
        <f>2035+3092</f>
        <v>5127</v>
      </c>
      <c r="AV65" s="4">
        <f>1632+3388</f>
        <v>5020</v>
      </c>
      <c r="AW65" s="4">
        <f>1941+4392</f>
        <v>6333</v>
      </c>
      <c r="BC65" s="5"/>
      <c r="BD65" s="5"/>
      <c r="BE65" s="5"/>
      <c r="BF65" s="5"/>
    </row>
    <row r="66" spans="2:58" s="4" customFormat="1">
      <c r="B66" s="4" t="s">
        <v>38</v>
      </c>
      <c r="C66" s="5"/>
      <c r="D66" s="5"/>
      <c r="E66" s="5"/>
      <c r="F66" s="5"/>
      <c r="G66" s="5">
        <v>47927</v>
      </c>
      <c r="H66" s="5">
        <v>51737</v>
      </c>
      <c r="I66" s="5">
        <v>54945</v>
      </c>
      <c r="J66" s="5">
        <v>59715</v>
      </c>
      <c r="K66" s="5">
        <v>63772</v>
      </c>
      <c r="L66" s="5">
        <v>67214</v>
      </c>
      <c r="M66" s="5">
        <v>70298</v>
      </c>
      <c r="N66" s="5">
        <v>74398</v>
      </c>
      <c r="O66" s="4">
        <v>77037</v>
      </c>
      <c r="P66" s="4">
        <v>82755</v>
      </c>
      <c r="Q66" s="4">
        <v>88132</v>
      </c>
      <c r="R66" s="4">
        <v>95641</v>
      </c>
      <c r="S66" s="4">
        <v>102502</v>
      </c>
      <c r="T66" s="4">
        <v>112308</v>
      </c>
      <c r="AC66" s="4">
        <v>930</v>
      </c>
      <c r="AD66" s="4">
        <v>1192</v>
      </c>
      <c r="AE66" s="4">
        <v>1326</v>
      </c>
      <c r="AF66" s="4">
        <v>1465</v>
      </c>
      <c r="AG66" s="4">
        <v>1505</v>
      </c>
      <c r="AH66" s="4">
        <v>1611</v>
      </c>
      <c r="AI66" s="4">
        <v>1903</v>
      </c>
      <c r="AJ66" s="4">
        <v>2309</v>
      </c>
      <c r="AK66" s="4">
        <v>2268</v>
      </c>
      <c r="AL66" s="4">
        <v>2223</v>
      </c>
      <c r="AM66" s="4">
        <v>2326</v>
      </c>
      <c r="AN66" s="4">
        <v>2346</v>
      </c>
      <c r="AO66" s="4">
        <v>3044</v>
      </c>
      <c r="AP66" s="4">
        <v>4350</v>
      </c>
      <c r="AQ66" s="4">
        <v>6242</v>
      </c>
      <c r="AR66" s="4">
        <v>7535</v>
      </c>
      <c r="AS66" s="4">
        <v>7630</v>
      </c>
      <c r="AT66" s="4">
        <v>8162</v>
      </c>
      <c r="AU66" s="4">
        <v>8269</v>
      </c>
      <c r="AV66" s="4">
        <v>9991</v>
      </c>
      <c r="AW66" s="4">
        <v>13011</v>
      </c>
      <c r="BC66" s="5"/>
      <c r="BD66" s="5"/>
      <c r="BE66" s="5"/>
      <c r="BF66" s="5"/>
    </row>
    <row r="67" spans="2:58" s="4" customFormat="1">
      <c r="B67" s="4" t="s">
        <v>39</v>
      </c>
      <c r="C67" s="5"/>
      <c r="D67" s="5"/>
      <c r="E67" s="5"/>
      <c r="F67" s="5"/>
      <c r="G67" s="5">
        <v>9047</v>
      </c>
      <c r="H67" s="5">
        <v>10298</v>
      </c>
      <c r="I67" s="5">
        <v>10673</v>
      </c>
      <c r="J67" s="5">
        <v>11088</v>
      </c>
      <c r="K67" s="5">
        <v>11575</v>
      </c>
      <c r="L67" s="5">
        <v>12354</v>
      </c>
      <c r="M67" s="5">
        <v>12916</v>
      </c>
      <c r="N67" s="5">
        <v>13148</v>
      </c>
      <c r="O67" s="4">
        <v>13347</v>
      </c>
      <c r="P67" s="4">
        <v>13624</v>
      </c>
      <c r="Q67" s="4">
        <v>13879</v>
      </c>
      <c r="R67" s="4">
        <v>14346</v>
      </c>
      <c r="S67" s="4">
        <v>15435</v>
      </c>
      <c r="T67" s="4">
        <v>16398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BC67" s="5"/>
      <c r="BD67" s="5"/>
      <c r="BE67" s="5"/>
      <c r="BF67" s="5"/>
    </row>
    <row r="68" spans="2:58" s="4" customFormat="1">
      <c r="B68" s="4" t="s">
        <v>40</v>
      </c>
      <c r="C68" s="5"/>
      <c r="D68" s="5"/>
      <c r="E68" s="5"/>
      <c r="F68" s="5"/>
      <c r="G68" s="5">
        <f>43890+6923</f>
        <v>50813</v>
      </c>
      <c r="H68" s="5">
        <f>44219+6555</f>
        <v>50774</v>
      </c>
      <c r="I68" s="5">
        <f>49698+8127</f>
        <v>57825</v>
      </c>
      <c r="J68" s="5">
        <f>49711+7800</f>
        <v>57511</v>
      </c>
      <c r="K68" s="5">
        <f>50455+7794</f>
        <v>58249</v>
      </c>
      <c r="L68" s="5">
        <f>50921+7462</f>
        <v>58383</v>
      </c>
      <c r="M68" s="5">
        <f>67371+11348</f>
        <v>78719</v>
      </c>
      <c r="N68" s="5">
        <f>67524+11298</f>
        <v>78822</v>
      </c>
      <c r="O68" s="4">
        <f>67459+10808</f>
        <v>78267</v>
      </c>
      <c r="P68" s="4">
        <f>67905+10354</f>
        <v>78259</v>
      </c>
      <c r="Q68" s="4">
        <f>67940+9879</f>
        <v>77819</v>
      </c>
      <c r="R68" s="4">
        <f>67886+9366</f>
        <v>77252</v>
      </c>
      <c r="S68" s="4">
        <f>67790+8895</f>
        <v>76685</v>
      </c>
      <c r="T68" s="4">
        <f>118931+29896</f>
        <v>148827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f>1426+243</f>
        <v>1669</v>
      </c>
      <c r="AL68" s="4">
        <f>3128+384</f>
        <v>3512</v>
      </c>
      <c r="AM68" s="4">
        <f>3115+569</f>
        <v>3684</v>
      </c>
      <c r="AN68" s="4">
        <f>3309+499</f>
        <v>3808</v>
      </c>
      <c r="AO68" s="4">
        <f>3866+539</f>
        <v>4405</v>
      </c>
      <c r="AP68" s="4">
        <f>4760+878</f>
        <v>5638</v>
      </c>
      <c r="AQ68" s="4">
        <f>12108+1973</f>
        <v>14081</v>
      </c>
      <c r="AR68" s="4">
        <f>12503+1759</f>
        <v>14262</v>
      </c>
      <c r="AS68" s="4">
        <f>12394+1158</f>
        <v>13552</v>
      </c>
      <c r="AT68" s="4">
        <f>12581+744</f>
        <v>13325</v>
      </c>
      <c r="AU68" s="4">
        <f>13452+3170</f>
        <v>16622</v>
      </c>
      <c r="AV68" s="4">
        <f>14655+3083</f>
        <v>17738</v>
      </c>
      <c r="AW68" s="4">
        <f>20127+6981</f>
        <v>27108</v>
      </c>
      <c r="BC68" s="5"/>
      <c r="BD68" s="5"/>
      <c r="BE68" s="5"/>
      <c r="BF68" s="5"/>
    </row>
    <row r="69" spans="2:58" s="4" customFormat="1">
      <c r="B69" s="4" t="s">
        <v>42</v>
      </c>
      <c r="C69" s="5"/>
      <c r="D69" s="5"/>
      <c r="E69" s="5"/>
      <c r="F69" s="5"/>
      <c r="G69" s="5">
        <v>13034</v>
      </c>
      <c r="H69" s="5">
        <v>13561</v>
      </c>
      <c r="I69" s="5">
        <v>14427</v>
      </c>
      <c r="J69" s="5">
        <v>15075</v>
      </c>
      <c r="K69" s="5">
        <v>21103</v>
      </c>
      <c r="L69" s="5">
        <v>21256</v>
      </c>
      <c r="M69" s="5">
        <v>21845</v>
      </c>
      <c r="N69" s="5">
        <v>21897</v>
      </c>
      <c r="O69" s="4">
        <v>23482</v>
      </c>
      <c r="P69" s="4">
        <v>24994</v>
      </c>
      <c r="Q69" s="4">
        <v>26954</v>
      </c>
      <c r="R69" s="4">
        <v>30601</v>
      </c>
      <c r="S69" s="4">
        <v>32154</v>
      </c>
      <c r="T69" s="4">
        <v>32265</v>
      </c>
      <c r="AC69" s="4">
        <v>121</v>
      </c>
      <c r="AD69" s="4">
        <v>398</v>
      </c>
      <c r="AE69" s="4">
        <v>928</v>
      </c>
      <c r="AF69" s="4">
        <v>203</v>
      </c>
      <c r="AG69" s="4">
        <v>260</v>
      </c>
      <c r="AH69" s="4">
        <v>940</v>
      </c>
      <c r="AI69" s="4">
        <v>2213</v>
      </c>
      <c r="AJ69" s="4">
        <v>3170</v>
      </c>
      <c r="AK69" s="4">
        <v>942</v>
      </c>
      <c r="AL69" s="4">
        <v>1171</v>
      </c>
      <c r="AM69" s="4">
        <f>1829+1774</f>
        <v>3603</v>
      </c>
      <c r="AN69" s="4">
        <f>3621+1299</f>
        <v>4920</v>
      </c>
      <c r="AO69" s="4">
        <f>2611+1295</f>
        <v>3906</v>
      </c>
      <c r="AP69" s="4">
        <f>1389+1509</f>
        <v>2898</v>
      </c>
      <c r="AQ69" s="4">
        <f>949+1691</f>
        <v>2640</v>
      </c>
      <c r="AR69" s="4">
        <f>279+1599</f>
        <v>1878</v>
      </c>
      <c r="AS69" s="4">
        <v>1501</v>
      </c>
      <c r="AT69" s="4">
        <f>1434</f>
        <v>1434</v>
      </c>
      <c r="AU69" s="4">
        <v>1520</v>
      </c>
      <c r="AV69" s="4">
        <v>2392</v>
      </c>
      <c r="AW69" s="4">
        <v>3422</v>
      </c>
      <c r="BC69" s="5"/>
      <c r="BD69" s="5"/>
      <c r="BE69" s="5"/>
      <c r="BF69" s="5"/>
    </row>
    <row r="70" spans="2:58" s="6" customFormat="1">
      <c r="B70" s="6" t="s">
        <v>41</v>
      </c>
      <c r="C70" s="7"/>
      <c r="D70" s="7"/>
      <c r="E70" s="7"/>
      <c r="F70" s="7"/>
      <c r="G70" s="7">
        <f t="shared" ref="G70:H70" si="220">SUM(G62:G69)</f>
        <v>301001</v>
      </c>
      <c r="H70" s="7">
        <f t="shared" si="220"/>
        <v>304137</v>
      </c>
      <c r="I70" s="7">
        <f t="shared" ref="I70:K70" si="221">SUM(I62:I69)</f>
        <v>308879</v>
      </c>
      <c r="J70" s="7">
        <f t="shared" si="221"/>
        <v>333779</v>
      </c>
      <c r="K70" s="7">
        <f t="shared" si="221"/>
        <v>335418</v>
      </c>
      <c r="L70" s="7">
        <f t="shared" ref="L70" si="222">SUM(L62:L69)</f>
        <v>340389</v>
      </c>
      <c r="M70" s="7">
        <f t="shared" ref="M70:T70" si="223">SUM(M62:M69)</f>
        <v>344607</v>
      </c>
      <c r="N70" s="7">
        <f t="shared" si="223"/>
        <v>364840</v>
      </c>
      <c r="O70" s="7">
        <f t="shared" si="223"/>
        <v>359784</v>
      </c>
      <c r="P70" s="7">
        <f t="shared" si="223"/>
        <v>364552</v>
      </c>
      <c r="Q70" s="7">
        <f t="shared" si="223"/>
        <v>380088</v>
      </c>
      <c r="R70" s="7">
        <f t="shared" si="223"/>
        <v>411976</v>
      </c>
      <c r="S70" s="7">
        <f t="shared" si="223"/>
        <v>445785</v>
      </c>
      <c r="T70" s="7">
        <f t="shared" si="223"/>
        <v>470558</v>
      </c>
      <c r="U70" s="7"/>
      <c r="V70" s="7"/>
      <c r="AC70" s="6">
        <f t="shared" ref="AC70:AW70" si="224">SUM(AC62:AC69)</f>
        <v>5363</v>
      </c>
      <c r="AD70" s="6">
        <f t="shared" si="224"/>
        <v>7210</v>
      </c>
      <c r="AE70" s="6">
        <f t="shared" si="224"/>
        <v>10093</v>
      </c>
      <c r="AF70" s="6">
        <f t="shared" si="224"/>
        <v>14387</v>
      </c>
      <c r="AG70" s="6">
        <f t="shared" si="224"/>
        <v>22357</v>
      </c>
      <c r="AH70" s="6">
        <f t="shared" si="224"/>
        <v>37156</v>
      </c>
      <c r="AI70" s="6">
        <f t="shared" si="224"/>
        <v>52150</v>
      </c>
      <c r="AJ70" s="6">
        <f t="shared" si="224"/>
        <v>59257</v>
      </c>
      <c r="AK70" s="6">
        <f t="shared" si="224"/>
        <v>67646</v>
      </c>
      <c r="AL70" s="6">
        <f t="shared" si="224"/>
        <v>79571</v>
      </c>
      <c r="AM70" s="6">
        <f t="shared" si="224"/>
        <v>92389</v>
      </c>
      <c r="AN70" s="6">
        <f t="shared" si="224"/>
        <v>70815</v>
      </c>
      <c r="AO70" s="6">
        <f t="shared" si="224"/>
        <v>69597</v>
      </c>
      <c r="AP70" s="6">
        <f t="shared" si="224"/>
        <v>63171</v>
      </c>
      <c r="AQ70" s="6">
        <f t="shared" si="224"/>
        <v>72793</v>
      </c>
      <c r="AR70" s="6">
        <f t="shared" si="224"/>
        <v>77888</v>
      </c>
      <c r="AS70" s="6">
        <f t="shared" si="224"/>
        <v>86113</v>
      </c>
      <c r="AT70" s="6">
        <f t="shared" si="224"/>
        <v>108704</v>
      </c>
      <c r="AU70" s="6">
        <f t="shared" si="224"/>
        <v>121271</v>
      </c>
      <c r="AV70" s="6">
        <f t="shared" si="224"/>
        <v>142431</v>
      </c>
      <c r="AW70" s="6">
        <f t="shared" si="224"/>
        <v>172384</v>
      </c>
      <c r="BC70" s="7"/>
      <c r="BD70" s="7"/>
      <c r="BE70" s="7"/>
      <c r="BF70" s="7"/>
    </row>
    <row r="71" spans="2:58">
      <c r="AG71" t="s">
        <v>269</v>
      </c>
    </row>
    <row r="72" spans="2:58" s="4" customFormat="1">
      <c r="B72" s="4" t="s">
        <v>43</v>
      </c>
      <c r="C72" s="5"/>
      <c r="D72" s="5"/>
      <c r="E72" s="5"/>
      <c r="F72" s="5"/>
      <c r="G72" s="5">
        <v>12509</v>
      </c>
      <c r="H72" s="5">
        <v>12770</v>
      </c>
      <c r="I72" s="5">
        <v>13412</v>
      </c>
      <c r="J72" s="5">
        <v>15163</v>
      </c>
      <c r="K72" s="5">
        <v>14832</v>
      </c>
      <c r="L72" s="5">
        <v>15314</v>
      </c>
      <c r="M72" s="5">
        <v>16085</v>
      </c>
      <c r="N72" s="5">
        <v>19000</v>
      </c>
      <c r="O72" s="4">
        <v>16609</v>
      </c>
      <c r="P72" s="4">
        <v>15354</v>
      </c>
      <c r="Q72" s="4">
        <v>15305</v>
      </c>
      <c r="R72" s="4">
        <v>18095</v>
      </c>
      <c r="S72" s="4">
        <v>19307</v>
      </c>
      <c r="T72" s="4">
        <v>17695</v>
      </c>
      <c r="AC72" s="4">
        <v>324</v>
      </c>
      <c r="AD72" s="4">
        <v>563</v>
      </c>
      <c r="AE72" s="4">
        <v>808</v>
      </c>
      <c r="AF72" s="4">
        <v>721</v>
      </c>
      <c r="AG72" s="4">
        <v>759</v>
      </c>
      <c r="AH72" s="4">
        <v>874</v>
      </c>
      <c r="AI72" s="4">
        <v>1083</v>
      </c>
      <c r="AJ72" s="4">
        <v>1188</v>
      </c>
      <c r="AK72" s="4">
        <v>1208</v>
      </c>
      <c r="AL72" s="4">
        <v>1573</v>
      </c>
      <c r="AM72" s="4">
        <v>1717</v>
      </c>
      <c r="AN72" s="4">
        <v>2086</v>
      </c>
      <c r="AO72" s="4">
        <v>2909</v>
      </c>
      <c r="AP72" s="4">
        <v>3247</v>
      </c>
      <c r="AQ72" s="4">
        <v>4034</v>
      </c>
      <c r="AR72" s="4">
        <f>3324</f>
        <v>3324</v>
      </c>
      <c r="AS72" s="4">
        <v>4025</v>
      </c>
      <c r="AT72" s="4">
        <v>4197</v>
      </c>
      <c r="AU72" s="4">
        <v>4175</v>
      </c>
      <c r="AV72" s="4">
        <v>4828</v>
      </c>
      <c r="AW72" s="4">
        <v>7432</v>
      </c>
      <c r="BC72" s="5"/>
      <c r="BD72" s="5"/>
      <c r="BE72" s="5"/>
      <c r="BF72" s="5"/>
    </row>
    <row r="73" spans="2:58" s="4" customFormat="1">
      <c r="B73" s="4" t="s">
        <v>4</v>
      </c>
      <c r="C73" s="5"/>
      <c r="D73" s="5"/>
      <c r="E73" s="5"/>
      <c r="F73" s="5"/>
      <c r="G73" s="5">
        <f>6497+57055</f>
        <v>63552</v>
      </c>
      <c r="H73" s="5">
        <f>5387+55136</f>
        <v>60523</v>
      </c>
      <c r="I73" s="5">
        <f>8051+50007</f>
        <v>58058</v>
      </c>
      <c r="J73" s="5">
        <f>8072+50074</f>
        <v>58146</v>
      </c>
      <c r="K73" s="5">
        <f>3249+50039</f>
        <v>53288</v>
      </c>
      <c r="L73" s="5">
        <f>4998+48260</f>
        <v>53258</v>
      </c>
      <c r="M73" s="5">
        <f>1749+48177</f>
        <v>49926</v>
      </c>
      <c r="N73" s="5">
        <f>2749+47032</f>
        <v>49781</v>
      </c>
      <c r="O73" s="4">
        <f>3248+45374</f>
        <v>48622</v>
      </c>
      <c r="P73" s="4">
        <f>3997+44119</f>
        <v>48116</v>
      </c>
      <c r="Q73" s="4">
        <f>6245+41965</f>
        <v>48210</v>
      </c>
      <c r="R73" s="4">
        <f>5247+41990</f>
        <v>47237</v>
      </c>
      <c r="S73" s="4">
        <f>25808+41946+3748</f>
        <v>71502</v>
      </c>
      <c r="T73" s="4">
        <f>27041+44928+2250</f>
        <v>74219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f>2000+3746</f>
        <v>5746</v>
      </c>
      <c r="AS73" s="4">
        <f>1000+4939</f>
        <v>5939</v>
      </c>
      <c r="AT73" s="4">
        <v>11921</v>
      </c>
      <c r="AU73" s="4">
        <f>1231+10713</f>
        <v>11944</v>
      </c>
      <c r="AV73" s="4">
        <f>2999+12601</f>
        <v>15600</v>
      </c>
      <c r="AW73" s="4">
        <f>2000+20645</f>
        <v>22645</v>
      </c>
      <c r="BC73" s="5"/>
      <c r="BD73" s="5"/>
      <c r="BE73" s="5"/>
      <c r="BF73" s="5"/>
    </row>
    <row r="74" spans="2:58" s="4" customFormat="1">
      <c r="B74" s="4" t="s">
        <v>45</v>
      </c>
      <c r="C74" s="5"/>
      <c r="D74" s="5"/>
      <c r="E74" s="5"/>
      <c r="F74" s="5"/>
      <c r="G74" s="5">
        <v>5714</v>
      </c>
      <c r="H74" s="5">
        <v>6838</v>
      </c>
      <c r="I74" s="5">
        <v>8032</v>
      </c>
      <c r="J74" s="5">
        <v>10057</v>
      </c>
      <c r="K74" s="5">
        <v>6894</v>
      </c>
      <c r="L74" s="5">
        <v>7782</v>
      </c>
      <c r="M74" s="5">
        <v>9067</v>
      </c>
      <c r="N74" s="5">
        <v>10661</v>
      </c>
      <c r="O74" s="4">
        <v>7405</v>
      </c>
      <c r="P74" s="4">
        <v>9030</v>
      </c>
      <c r="Q74" s="4">
        <v>10411</v>
      </c>
      <c r="R74" s="4">
        <v>11009</v>
      </c>
      <c r="S74" s="4">
        <v>6990</v>
      </c>
      <c r="T74" s="4">
        <v>8813</v>
      </c>
      <c r="AC74" s="4">
        <v>96</v>
      </c>
      <c r="AD74" s="4">
        <v>130</v>
      </c>
      <c r="AE74" s="4">
        <v>202</v>
      </c>
      <c r="AF74" s="4">
        <v>336</v>
      </c>
      <c r="AG74" s="4">
        <v>359</v>
      </c>
      <c r="AH74" s="4">
        <v>396</v>
      </c>
      <c r="AI74" s="4">
        <v>557</v>
      </c>
      <c r="AJ74" s="4">
        <v>742</v>
      </c>
      <c r="AK74" s="4">
        <v>1145</v>
      </c>
      <c r="AL74" s="4">
        <v>1416</v>
      </c>
      <c r="AM74" s="4">
        <v>1339</v>
      </c>
      <c r="AN74" s="4">
        <v>1662</v>
      </c>
      <c r="AO74" s="4">
        <v>1938</v>
      </c>
      <c r="AP74" s="4">
        <v>2325</v>
      </c>
      <c r="AQ74" s="4">
        <v>2934</v>
      </c>
      <c r="AR74" s="4">
        <v>3156</v>
      </c>
      <c r="AS74" s="4">
        <v>3283</v>
      </c>
      <c r="AT74" s="4">
        <v>3575</v>
      </c>
      <c r="AU74" s="4">
        <v>3875</v>
      </c>
      <c r="AV74" s="4">
        <v>4117</v>
      </c>
      <c r="AW74" s="4">
        <v>4797</v>
      </c>
      <c r="BC74" s="5"/>
      <c r="BD74" s="5"/>
      <c r="BE74" s="5"/>
      <c r="BF74" s="5"/>
    </row>
    <row r="75" spans="2:58" s="4" customFormat="1">
      <c r="B75" s="4" t="s">
        <v>30</v>
      </c>
      <c r="C75" s="5"/>
      <c r="D75" s="5"/>
      <c r="E75" s="5"/>
      <c r="F75" s="5"/>
      <c r="G75" s="5">
        <f>2384+28204+187</f>
        <v>30775</v>
      </c>
      <c r="H75" s="5">
        <f>1562+174+26701</f>
        <v>28437</v>
      </c>
      <c r="I75" s="5">
        <f>2165+27157+173</f>
        <v>29495</v>
      </c>
      <c r="J75" s="5">
        <f>2174+27190+198</f>
        <v>29562</v>
      </c>
      <c r="K75" s="5">
        <f>6272+25715+212</f>
        <v>32199</v>
      </c>
      <c r="L75" s="5">
        <f>3731+26121+199</f>
        <v>30051</v>
      </c>
      <c r="M75" s="5">
        <f>4646+26483+304</f>
        <v>31433</v>
      </c>
      <c r="N75" s="5">
        <f>4067+26069+230</f>
        <v>30366</v>
      </c>
      <c r="O75" s="4">
        <f>6729+23712</f>
        <v>30441</v>
      </c>
      <c r="P75" s="4">
        <f>3553+289+24169</f>
        <v>28011</v>
      </c>
      <c r="Q75" s="4">
        <f>4163+25000+302</f>
        <v>29465</v>
      </c>
      <c r="R75" s="4">
        <f>4152+25560+433</f>
        <v>30145</v>
      </c>
      <c r="S75" s="4">
        <f>470+22983+8035</f>
        <v>31488</v>
      </c>
      <c r="T75" s="4">
        <f>5787+2548+25890</f>
        <v>34225</v>
      </c>
      <c r="AC75" s="4">
        <v>305</v>
      </c>
      <c r="AD75" s="4">
        <v>410</v>
      </c>
      <c r="AE75" s="4">
        <v>484</v>
      </c>
      <c r="AF75" s="4">
        <v>466</v>
      </c>
      <c r="AG75" s="4">
        <v>915</v>
      </c>
      <c r="AH75" s="4">
        <v>1607</v>
      </c>
      <c r="AI75" s="4">
        <v>585</v>
      </c>
      <c r="AJ75" s="4">
        <v>1468</v>
      </c>
      <c r="AK75" s="4">
        <v>2022</v>
      </c>
      <c r="AL75" s="4">
        <v>2044</v>
      </c>
      <c r="AM75" s="4">
        <v>3478</v>
      </c>
      <c r="AN75" s="4">
        <f>2020</f>
        <v>2020</v>
      </c>
      <c r="AO75" s="4">
        <v>1557</v>
      </c>
      <c r="AP75" s="4">
        <v>1040</v>
      </c>
      <c r="AQ75" s="4">
        <v>3248</v>
      </c>
      <c r="AR75" s="4">
        <f>725</f>
        <v>725</v>
      </c>
      <c r="AS75" s="4">
        <v>1074</v>
      </c>
      <c r="AT75" s="4">
        <v>580</v>
      </c>
      <c r="AU75" s="4">
        <v>789</v>
      </c>
      <c r="AV75" s="4">
        <v>592</v>
      </c>
      <c r="AW75" s="4">
        <f>782+2728</f>
        <v>3510</v>
      </c>
      <c r="BC75" s="5"/>
      <c r="BD75" s="5"/>
      <c r="BE75" s="5"/>
      <c r="BF75" s="5"/>
    </row>
    <row r="76" spans="2:58" s="4" customFormat="1">
      <c r="B76" s="4" t="s">
        <v>44</v>
      </c>
      <c r="C76" s="5"/>
      <c r="D76" s="5"/>
      <c r="E76" s="5"/>
      <c r="F76" s="5"/>
      <c r="G76" s="5">
        <f>33476+2829</f>
        <v>36305</v>
      </c>
      <c r="H76" s="5">
        <f>30402+2985</f>
        <v>33387</v>
      </c>
      <c r="I76" s="5">
        <f>30083+2631</f>
        <v>32714</v>
      </c>
      <c r="J76" s="5">
        <f>41525+2616</f>
        <v>44141</v>
      </c>
      <c r="K76" s="5">
        <f>2550+38465</f>
        <v>41015</v>
      </c>
      <c r="L76" s="5">
        <f>2768+34001</f>
        <v>36769</v>
      </c>
      <c r="M76" s="5">
        <f>34027+2769</f>
        <v>36796</v>
      </c>
      <c r="N76" s="5">
        <f>45538+2870</f>
        <v>48408</v>
      </c>
      <c r="O76" s="4">
        <f>41340+2549+223</f>
        <v>44112</v>
      </c>
      <c r="P76" s="4">
        <f>2644+36982</f>
        <v>39626</v>
      </c>
      <c r="Q76" s="4">
        <f>2698+36903</f>
        <v>39601</v>
      </c>
      <c r="R76" s="4">
        <f>2912+50901</f>
        <v>53813</v>
      </c>
      <c r="S76" s="4">
        <f>46429+2759</f>
        <v>49188</v>
      </c>
      <c r="T76" s="4">
        <f>2966+43068</f>
        <v>46034</v>
      </c>
      <c r="AC76" s="4">
        <v>0</v>
      </c>
      <c r="AD76" s="4">
        <v>0</v>
      </c>
      <c r="AE76" s="4">
        <v>560</v>
      </c>
      <c r="AF76" s="4">
        <v>1418</v>
      </c>
      <c r="AG76" s="4">
        <v>2888</v>
      </c>
      <c r="AH76" s="4">
        <v>4239</v>
      </c>
      <c r="AI76" s="4">
        <v>4816</v>
      </c>
      <c r="AJ76" s="4">
        <v>5614</v>
      </c>
      <c r="AK76" s="4">
        <f>5920+1823</f>
        <v>7743</v>
      </c>
      <c r="AL76" s="4">
        <f>7225+1790</f>
        <v>9015</v>
      </c>
      <c r="AM76" s="4">
        <f>6514+1663</f>
        <v>8177</v>
      </c>
      <c r="AN76" s="4">
        <f>7502+1665</f>
        <v>9167</v>
      </c>
      <c r="AO76" s="4">
        <f>9138+1764</f>
        <v>10902</v>
      </c>
      <c r="AP76" s="4">
        <f>10779+1867</f>
        <v>12646</v>
      </c>
      <c r="AQ76" s="4">
        <f>13397+1900</f>
        <v>15297</v>
      </c>
      <c r="AR76" s="4">
        <f>13003+1281</f>
        <v>14284</v>
      </c>
      <c r="AS76" s="4">
        <f>13652+1178</f>
        <v>14830</v>
      </c>
      <c r="AT76" s="4">
        <f>15722+1398</f>
        <v>17120</v>
      </c>
      <c r="AU76" s="4">
        <f>18653+1406</f>
        <v>20059</v>
      </c>
      <c r="AV76" s="4">
        <f>20639+1760</f>
        <v>22399</v>
      </c>
      <c r="AW76" s="4">
        <f>23150+2008</f>
        <v>25158</v>
      </c>
      <c r="BC76" s="5"/>
      <c r="BD76" s="5"/>
      <c r="BE76" s="5"/>
      <c r="BF76" s="5"/>
    </row>
    <row r="77" spans="2:58" s="4" customFormat="1">
      <c r="B77" s="4" t="s">
        <v>46</v>
      </c>
      <c r="C77" s="5"/>
      <c r="D77" s="5"/>
      <c r="E77" s="5"/>
      <c r="F77" s="5"/>
      <c r="G77" s="5">
        <v>9476</v>
      </c>
      <c r="H77" s="5">
        <v>10527</v>
      </c>
      <c r="I77" s="5">
        <v>10450</v>
      </c>
      <c r="J77" s="5">
        <v>11666</v>
      </c>
      <c r="K77" s="5">
        <v>10816</v>
      </c>
      <c r="L77" s="5">
        <v>11684</v>
      </c>
      <c r="M77" s="5">
        <v>11865</v>
      </c>
      <c r="N77" s="5">
        <v>13067</v>
      </c>
      <c r="O77" s="4">
        <v>12058</v>
      </c>
      <c r="P77" s="4">
        <v>12802</v>
      </c>
      <c r="Q77" s="4">
        <v>12664</v>
      </c>
      <c r="R77" s="4">
        <v>14745</v>
      </c>
      <c r="S77" s="4">
        <v>14475</v>
      </c>
      <c r="T77" s="4">
        <v>16362</v>
      </c>
      <c r="AC77" s="4">
        <v>188</v>
      </c>
      <c r="AD77" s="4">
        <v>244</v>
      </c>
      <c r="AE77" s="4">
        <v>371</v>
      </c>
      <c r="AF77" s="4">
        <v>669</v>
      </c>
      <c r="AG77" s="4">
        <v>809</v>
      </c>
      <c r="AH77" s="4">
        <v>1602</v>
      </c>
      <c r="AI77" s="4">
        <v>2714</v>
      </c>
      <c r="AJ77" s="4">
        <v>2120</v>
      </c>
      <c r="AK77" s="4">
        <v>2449</v>
      </c>
      <c r="AL77" s="4">
        <v>1716</v>
      </c>
      <c r="AM77" s="4">
        <v>1921</v>
      </c>
      <c r="AN77" s="4">
        <v>3607</v>
      </c>
      <c r="AO77" s="4">
        <v>3783</v>
      </c>
      <c r="AP77" s="4">
        <v>3622</v>
      </c>
      <c r="AQ77" s="4">
        <v>3659</v>
      </c>
      <c r="AR77" s="4">
        <v>3142</v>
      </c>
      <c r="AS77" s="4">
        <v>2931</v>
      </c>
      <c r="AT77" s="4">
        <f>3492</f>
        <v>3492</v>
      </c>
      <c r="AU77" s="4">
        <v>3151</v>
      </c>
      <c r="AV77" s="4">
        <v>3597</v>
      </c>
      <c r="AW77" s="4">
        <v>6906</v>
      </c>
      <c r="BC77" s="5"/>
      <c r="BD77" s="5"/>
      <c r="BE77" s="5"/>
      <c r="BF77" s="5"/>
    </row>
    <row r="78" spans="2:58" s="4" customFormat="1">
      <c r="B78" s="4" t="s">
        <v>39</v>
      </c>
      <c r="C78" s="5"/>
      <c r="D78" s="5"/>
      <c r="E78" s="5"/>
      <c r="F78" s="5"/>
      <c r="G78" s="5">
        <v>7753</v>
      </c>
      <c r="H78" s="5">
        <v>8875</v>
      </c>
      <c r="I78" s="5">
        <v>9272</v>
      </c>
      <c r="J78" s="5">
        <v>9629</v>
      </c>
      <c r="K78" s="5">
        <v>10050</v>
      </c>
      <c r="L78" s="5">
        <v>10774</v>
      </c>
      <c r="M78" s="5">
        <v>11357</v>
      </c>
      <c r="N78" s="5">
        <v>11489</v>
      </c>
      <c r="O78" s="4">
        <v>11660</v>
      </c>
      <c r="P78" s="4">
        <v>11998</v>
      </c>
      <c r="Q78" s="4">
        <v>12312</v>
      </c>
      <c r="R78" s="4">
        <v>12728</v>
      </c>
      <c r="S78" s="4">
        <v>13487</v>
      </c>
      <c r="T78" s="4">
        <v>14155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BC78" s="5"/>
      <c r="BD78" s="5"/>
      <c r="BE78" s="5"/>
      <c r="BF78" s="5"/>
    </row>
    <row r="79" spans="2:58" s="4" customFormat="1">
      <c r="B79" s="4" t="s">
        <v>48</v>
      </c>
      <c r="C79" s="5"/>
      <c r="D79" s="5"/>
      <c r="E79" s="5"/>
      <c r="F79" s="5"/>
      <c r="G79" s="5">
        <v>11525</v>
      </c>
      <c r="H79" s="5">
        <v>12544</v>
      </c>
      <c r="I79" s="5">
        <v>12941</v>
      </c>
      <c r="J79" s="5">
        <v>13427</v>
      </c>
      <c r="K79" s="5">
        <v>14346</v>
      </c>
      <c r="L79" s="5">
        <v>14747</v>
      </c>
      <c r="M79" s="5">
        <v>15154</v>
      </c>
      <c r="N79" s="5">
        <v>15526</v>
      </c>
      <c r="O79" s="4">
        <v>15311</v>
      </c>
      <c r="P79" s="4">
        <v>16479</v>
      </c>
      <c r="Q79" s="4">
        <v>17437</v>
      </c>
      <c r="R79" s="4">
        <v>17981</v>
      </c>
      <c r="S79" s="4">
        <v>18634</v>
      </c>
      <c r="T79" s="4">
        <v>20787</v>
      </c>
      <c r="AC79" s="4">
        <v>0</v>
      </c>
      <c r="AD79" s="4">
        <f>125+405</f>
        <v>530</v>
      </c>
      <c r="AE79" s="4">
        <f>125+635</f>
        <v>760</v>
      </c>
      <c r="AF79" s="4">
        <v>0</v>
      </c>
      <c r="AG79" s="4">
        <v>0</v>
      </c>
      <c r="AH79" s="4">
        <v>0</v>
      </c>
      <c r="AI79" s="4">
        <v>1027</v>
      </c>
      <c r="AJ79" s="4">
        <f>836</f>
        <v>836</v>
      </c>
      <c r="AK79" s="4">
        <f>398+501</f>
        <v>899</v>
      </c>
      <c r="AL79" s="4">
        <f>1731+1056</f>
        <v>2787</v>
      </c>
      <c r="AM79" s="4">
        <v>932</v>
      </c>
      <c r="AN79" s="4">
        <v>4158</v>
      </c>
      <c r="AO79" s="4">
        <f>5287+3117</f>
        <v>8404</v>
      </c>
      <c r="AP79" s="4">
        <f>6453+2741</f>
        <v>9194</v>
      </c>
      <c r="AQ79" s="4">
        <f>4721+2614</f>
        <v>7335</v>
      </c>
      <c r="AR79" s="4">
        <f>1684+6269</f>
        <v>7953</v>
      </c>
      <c r="AS79" s="4">
        <f>7445+229+182</f>
        <v>7856</v>
      </c>
      <c r="AT79" s="4">
        <f>8072+1456+1208</f>
        <v>10736</v>
      </c>
      <c r="AU79" s="4">
        <f>8208+1893+814</f>
        <v>10915</v>
      </c>
      <c r="AV79" s="4">
        <f>10000+1709+645</f>
        <v>12354</v>
      </c>
      <c r="AW79" s="4">
        <f>11594+558</f>
        <v>12152</v>
      </c>
      <c r="BC79" s="5"/>
      <c r="BD79" s="5"/>
      <c r="BE79" s="5"/>
      <c r="BF79" s="5"/>
    </row>
    <row r="80" spans="2:58" s="4" customFormat="1">
      <c r="B80" s="4" t="s">
        <v>47</v>
      </c>
      <c r="C80" s="5"/>
      <c r="D80" s="5"/>
      <c r="E80" s="5"/>
      <c r="F80" s="5"/>
      <c r="G80" s="5">
        <v>123392</v>
      </c>
      <c r="H80" s="5">
        <v>130236</v>
      </c>
      <c r="I80" s="5">
        <v>134505</v>
      </c>
      <c r="J80" s="5">
        <v>141988</v>
      </c>
      <c r="K80" s="5">
        <v>151978</v>
      </c>
      <c r="L80" s="5">
        <v>160010</v>
      </c>
      <c r="M80" s="5">
        <v>162924</v>
      </c>
      <c r="N80" s="5">
        <v>166542</v>
      </c>
      <c r="O80" s="4">
        <v>173566</v>
      </c>
      <c r="P80" s="4">
        <v>183136</v>
      </c>
      <c r="Q80" s="4">
        <v>194683</v>
      </c>
      <c r="R80" s="4">
        <v>206223</v>
      </c>
      <c r="S80" s="4">
        <v>220714</v>
      </c>
      <c r="T80" s="4">
        <v>238268</v>
      </c>
      <c r="AC80" s="4">
        <v>4450</v>
      </c>
      <c r="AD80" s="4">
        <v>5333</v>
      </c>
      <c r="AE80" s="4">
        <v>6908</v>
      </c>
      <c r="AF80" s="4">
        <f>10777</f>
        <v>10777</v>
      </c>
      <c r="AG80" s="4">
        <v>16627</v>
      </c>
      <c r="AH80" s="4">
        <v>28438</v>
      </c>
      <c r="AI80" s="4">
        <v>41368</v>
      </c>
      <c r="AJ80" s="4">
        <v>47289</v>
      </c>
      <c r="AK80" s="4">
        <v>52180</v>
      </c>
      <c r="AL80" s="4">
        <v>61020</v>
      </c>
      <c r="AM80" s="4">
        <v>74825</v>
      </c>
      <c r="AN80" s="4">
        <v>48115</v>
      </c>
      <c r="AO80" s="4">
        <v>40104</v>
      </c>
      <c r="AP80" s="4">
        <v>31097</v>
      </c>
      <c r="AQ80" s="4">
        <v>36286</v>
      </c>
      <c r="AR80" s="4">
        <v>39558</v>
      </c>
      <c r="AS80" s="4">
        <v>46175</v>
      </c>
      <c r="AT80" s="4">
        <v>57083</v>
      </c>
      <c r="AU80" s="4">
        <v>66363</v>
      </c>
      <c r="AV80" s="4">
        <v>78944</v>
      </c>
      <c r="AW80" s="4">
        <v>89784</v>
      </c>
      <c r="BC80" s="5"/>
      <c r="BD80" s="5"/>
      <c r="BE80" s="5"/>
      <c r="BF80" s="5"/>
    </row>
    <row r="81" spans="2:58" s="6" customFormat="1">
      <c r="B81" s="6" t="s">
        <v>71</v>
      </c>
      <c r="C81" s="7"/>
      <c r="D81" s="7"/>
      <c r="E81" s="7"/>
      <c r="F81" s="7"/>
      <c r="G81" s="7">
        <f>SUM(G72:G80)</f>
        <v>301001</v>
      </c>
      <c r="H81" s="7">
        <f t="shared" ref="H81" si="225">SUM(H72:H80)</f>
        <v>304137</v>
      </c>
      <c r="I81" s="7">
        <f t="shared" ref="I81:L81" si="226">SUM(I72:I80)</f>
        <v>308879</v>
      </c>
      <c r="J81" s="7">
        <f t="shared" si="226"/>
        <v>333779</v>
      </c>
      <c r="K81" s="7">
        <f t="shared" si="226"/>
        <v>335418</v>
      </c>
      <c r="L81" s="7">
        <f t="shared" si="226"/>
        <v>340389</v>
      </c>
      <c r="M81" s="7">
        <f t="shared" ref="M81:S81" si="227">SUM(M72:M80)</f>
        <v>344607</v>
      </c>
      <c r="N81" s="7">
        <f t="shared" si="227"/>
        <v>364840</v>
      </c>
      <c r="O81" s="7">
        <f t="shared" si="227"/>
        <v>359784</v>
      </c>
      <c r="P81" s="7">
        <f t="shared" si="227"/>
        <v>364552</v>
      </c>
      <c r="Q81" s="7">
        <f t="shared" si="227"/>
        <v>380088</v>
      </c>
      <c r="R81" s="7">
        <f t="shared" si="227"/>
        <v>411976</v>
      </c>
      <c r="S81" s="7">
        <f t="shared" si="227"/>
        <v>445785</v>
      </c>
      <c r="T81" s="7">
        <f t="shared" ref="T81" si="228">SUM(T72:T80)</f>
        <v>470558</v>
      </c>
      <c r="U81" s="7"/>
      <c r="V81" s="7"/>
      <c r="AC81" s="6">
        <f t="shared" ref="AC81:AW81" si="229">SUM(AC72:AC80)</f>
        <v>5363</v>
      </c>
      <c r="AD81" s="6">
        <f t="shared" si="229"/>
        <v>7210</v>
      </c>
      <c r="AE81" s="6">
        <f t="shared" si="229"/>
        <v>10093</v>
      </c>
      <c r="AF81" s="6">
        <f t="shared" si="229"/>
        <v>14387</v>
      </c>
      <c r="AG81" s="6">
        <f t="shared" si="229"/>
        <v>22357</v>
      </c>
      <c r="AH81" s="6">
        <f t="shared" si="229"/>
        <v>37156</v>
      </c>
      <c r="AI81" s="6">
        <f t="shared" si="229"/>
        <v>52150</v>
      </c>
      <c r="AJ81" s="6">
        <f t="shared" si="229"/>
        <v>59257</v>
      </c>
      <c r="AK81" s="6">
        <f t="shared" si="229"/>
        <v>67646</v>
      </c>
      <c r="AL81" s="6">
        <f t="shared" si="229"/>
        <v>79571</v>
      </c>
      <c r="AM81" s="6">
        <f t="shared" si="229"/>
        <v>92389</v>
      </c>
      <c r="AN81" s="6">
        <f t="shared" si="229"/>
        <v>70815</v>
      </c>
      <c r="AO81" s="6">
        <f t="shared" si="229"/>
        <v>69597</v>
      </c>
      <c r="AP81" s="6">
        <f t="shared" si="229"/>
        <v>63171</v>
      </c>
      <c r="AQ81" s="6">
        <f t="shared" si="229"/>
        <v>72793</v>
      </c>
      <c r="AR81" s="6">
        <f t="shared" si="229"/>
        <v>77888</v>
      </c>
      <c r="AS81" s="6">
        <f t="shared" si="229"/>
        <v>86113</v>
      </c>
      <c r="AT81" s="6">
        <f t="shared" si="229"/>
        <v>108704</v>
      </c>
      <c r="AU81" s="6">
        <f t="shared" si="229"/>
        <v>121271</v>
      </c>
      <c r="AV81" s="6">
        <f t="shared" si="229"/>
        <v>142431</v>
      </c>
      <c r="AW81" s="6">
        <f t="shared" si="229"/>
        <v>172384</v>
      </c>
      <c r="BC81" s="7"/>
      <c r="BD81" s="7"/>
      <c r="BE81" s="7"/>
      <c r="BF81" s="7"/>
    </row>
    <row r="83" spans="2:58" s="4" customFormat="1">
      <c r="B83" s="4" t="s">
        <v>49</v>
      </c>
      <c r="C83" s="5"/>
      <c r="D83" s="5"/>
      <c r="E83" s="5"/>
      <c r="F83" s="5"/>
      <c r="G83" s="5">
        <f t="shared" ref="G83:H83" si="230">G44</f>
        <v>13893</v>
      </c>
      <c r="H83" s="5">
        <f t="shared" si="230"/>
        <v>15463</v>
      </c>
      <c r="I83" s="5">
        <f t="shared" ref="I83:T83" si="231">I44</f>
        <v>15457</v>
      </c>
      <c r="J83" s="5">
        <f t="shared" si="231"/>
        <v>16458</v>
      </c>
      <c r="K83" s="5">
        <f t="shared" si="231"/>
        <v>20505</v>
      </c>
      <c r="L83" s="5">
        <f t="shared" si="231"/>
        <v>18765</v>
      </c>
      <c r="M83" s="5">
        <f t="shared" si="231"/>
        <v>16728</v>
      </c>
      <c r="N83" s="5">
        <f t="shared" si="231"/>
        <v>16740</v>
      </c>
      <c r="O83" s="5">
        <f t="shared" si="231"/>
        <v>17556</v>
      </c>
      <c r="P83" s="5">
        <f t="shared" si="231"/>
        <v>16425</v>
      </c>
      <c r="Q83" s="5">
        <f t="shared" si="231"/>
        <v>18299</v>
      </c>
      <c r="R83" s="5">
        <f t="shared" si="231"/>
        <v>20081</v>
      </c>
      <c r="S83" s="5">
        <f t="shared" si="231"/>
        <v>22291</v>
      </c>
      <c r="T83" s="5">
        <f t="shared" si="231"/>
        <v>21870</v>
      </c>
      <c r="U83" s="5"/>
      <c r="V83" s="5"/>
      <c r="BC83" s="5"/>
      <c r="BD83" s="5"/>
      <c r="BE83" s="5"/>
      <c r="BF83" s="5"/>
    </row>
    <row r="84" spans="2:58" s="4" customFormat="1">
      <c r="B84" s="4" t="s">
        <v>50</v>
      </c>
      <c r="C84" s="5"/>
      <c r="D84" s="5"/>
      <c r="E84" s="5"/>
      <c r="F84" s="5"/>
      <c r="G84" s="5">
        <v>13893</v>
      </c>
      <c r="H84" s="5">
        <v>15463</v>
      </c>
      <c r="I84" s="5">
        <v>15457</v>
      </c>
      <c r="J84" s="5">
        <v>16458</v>
      </c>
      <c r="K84" s="5">
        <v>20505</v>
      </c>
      <c r="L84" s="5">
        <v>18765</v>
      </c>
      <c r="M84" s="5">
        <v>16728</v>
      </c>
      <c r="N84" s="5">
        <v>16740</v>
      </c>
      <c r="O84" s="4">
        <v>17556</v>
      </c>
      <c r="P84" s="4">
        <v>16425</v>
      </c>
      <c r="Q84" s="4">
        <v>18299</v>
      </c>
      <c r="R84" s="4">
        <v>20081</v>
      </c>
      <c r="S84" s="4">
        <v>22291</v>
      </c>
      <c r="T84" s="4">
        <v>21870</v>
      </c>
      <c r="BC84" s="5"/>
      <c r="BD84" s="5"/>
      <c r="BE84" s="5"/>
      <c r="BF84" s="5"/>
    </row>
    <row r="85" spans="2:58" s="4" customFormat="1">
      <c r="B85" s="4" t="s">
        <v>52</v>
      </c>
      <c r="C85" s="5"/>
      <c r="D85" s="5"/>
      <c r="E85" s="5"/>
      <c r="F85" s="5"/>
      <c r="G85" s="5">
        <v>2645</v>
      </c>
      <c r="H85" s="5">
        <v>2761</v>
      </c>
      <c r="I85" s="5">
        <v>2936</v>
      </c>
      <c r="J85" s="5">
        <v>3344</v>
      </c>
      <c r="K85" s="5">
        <v>3212</v>
      </c>
      <c r="L85" s="5">
        <v>3496</v>
      </c>
      <c r="M85" s="5">
        <v>3773</v>
      </c>
      <c r="N85" s="5">
        <v>3979</v>
      </c>
      <c r="O85" s="4">
        <v>2790</v>
      </c>
      <c r="P85" s="4">
        <v>3648</v>
      </c>
      <c r="Q85" s="4">
        <v>3549</v>
      </c>
      <c r="R85" s="4">
        <v>3874</v>
      </c>
      <c r="S85" s="4">
        <v>3921</v>
      </c>
      <c r="T85" s="4">
        <v>5959</v>
      </c>
      <c r="BC85" s="5"/>
      <c r="BD85" s="5"/>
      <c r="BE85" s="5"/>
      <c r="BF85" s="5"/>
    </row>
    <row r="86" spans="2:58" s="4" customFormat="1">
      <c r="B86" s="4" t="s">
        <v>53</v>
      </c>
      <c r="C86" s="5"/>
      <c r="D86" s="5"/>
      <c r="E86" s="5"/>
      <c r="F86" s="5"/>
      <c r="G86" s="5">
        <v>1456</v>
      </c>
      <c r="H86" s="5">
        <v>1566</v>
      </c>
      <c r="I86" s="5">
        <v>1525</v>
      </c>
      <c r="J86" s="5">
        <v>1571</v>
      </c>
      <c r="K86" s="5">
        <v>1702</v>
      </c>
      <c r="L86" s="5">
        <v>1897</v>
      </c>
      <c r="M86" s="5">
        <v>1906</v>
      </c>
      <c r="N86" s="5">
        <v>1997</v>
      </c>
      <c r="O86" s="4">
        <v>2192</v>
      </c>
      <c r="P86" s="4">
        <v>2538</v>
      </c>
      <c r="Q86" s="4">
        <v>2465</v>
      </c>
      <c r="R86" s="4">
        <v>2416</v>
      </c>
      <c r="S86" s="4">
        <v>2507</v>
      </c>
      <c r="T86" s="4">
        <v>2828</v>
      </c>
      <c r="BC86" s="5"/>
      <c r="BD86" s="5"/>
      <c r="BE86" s="5"/>
      <c r="BF86" s="5"/>
    </row>
    <row r="87" spans="2:58" s="4" customFormat="1">
      <c r="B87" s="4" t="s">
        <v>54</v>
      </c>
      <c r="C87" s="5"/>
      <c r="D87" s="5"/>
      <c r="E87" s="5"/>
      <c r="F87" s="5"/>
      <c r="G87" s="5">
        <v>-128</v>
      </c>
      <c r="H87" s="5">
        <v>-354</v>
      </c>
      <c r="I87" s="5">
        <v>-351</v>
      </c>
      <c r="J87" s="5">
        <v>-416</v>
      </c>
      <c r="K87" s="5">
        <v>-364</v>
      </c>
      <c r="L87" s="5">
        <v>-307</v>
      </c>
      <c r="M87" s="5">
        <v>105</v>
      </c>
      <c r="N87" s="5">
        <v>157</v>
      </c>
      <c r="O87" s="4">
        <v>-22</v>
      </c>
      <c r="P87" s="4">
        <v>214</v>
      </c>
      <c r="Q87" s="4">
        <v>-40</v>
      </c>
      <c r="R87" s="4">
        <v>44</v>
      </c>
      <c r="S87" s="4">
        <v>14</v>
      </c>
      <c r="T87" s="4">
        <v>198</v>
      </c>
      <c r="BC87" s="5"/>
      <c r="BD87" s="5"/>
      <c r="BE87" s="5"/>
      <c r="BF87" s="5"/>
    </row>
    <row r="88" spans="2:58" s="4" customFormat="1">
      <c r="B88" s="4" t="s">
        <v>55</v>
      </c>
      <c r="C88" s="5"/>
      <c r="D88" s="5"/>
      <c r="E88" s="5"/>
      <c r="F88" s="5"/>
      <c r="G88" s="5">
        <v>-11</v>
      </c>
      <c r="H88" s="5">
        <v>-17</v>
      </c>
      <c r="I88" s="5">
        <v>-88</v>
      </c>
      <c r="J88" s="5">
        <v>-34</v>
      </c>
      <c r="K88" s="5">
        <v>-5970</v>
      </c>
      <c r="L88" s="5">
        <v>183</v>
      </c>
      <c r="M88" s="5">
        <v>-198</v>
      </c>
      <c r="N88" s="5">
        <v>283</v>
      </c>
      <c r="O88" s="4">
        <v>-1191</v>
      </c>
      <c r="P88" s="4">
        <v>-1305</v>
      </c>
      <c r="Q88" s="4">
        <v>-1675</v>
      </c>
      <c r="R88" s="4">
        <v>-1888</v>
      </c>
      <c r="S88" s="4">
        <v>-568</v>
      </c>
      <c r="T88" s="4">
        <v>-1702</v>
      </c>
      <c r="BC88" s="5"/>
      <c r="BD88" s="5"/>
      <c r="BE88" s="5"/>
      <c r="BF88" s="5"/>
    </row>
    <row r="89" spans="2:58" s="4" customFormat="1">
      <c r="B89" s="4" t="s">
        <v>56</v>
      </c>
      <c r="C89" s="5"/>
      <c r="D89" s="5"/>
      <c r="E89" s="5"/>
      <c r="F89" s="5"/>
      <c r="G89" s="5">
        <f>8843-808-54-62+315-3064-983-2951+244</f>
        <v>1480</v>
      </c>
      <c r="H89" s="5">
        <f>-4008+788+730-1499+33-3227-2368+1755+893</f>
        <v>-6903</v>
      </c>
      <c r="I89" s="5">
        <f>290-329+478-885+833-473+1074+1590+122</f>
        <v>2700</v>
      </c>
      <c r="J89" s="5">
        <f>-11606-388-2086-1013+1617+11397-32+3755+143</f>
        <v>1787</v>
      </c>
      <c r="K89" s="5">
        <f>10486-777+940-598-471-2885+2653-4143+250</f>
        <v>5455</v>
      </c>
      <c r="L89" s="5">
        <f>-5543+394+830-908+235-4343-2057+1745+93</f>
        <v>-9554</v>
      </c>
      <c r="M89" s="5">
        <f>857-279+91-724+520-209+1091+1287+438</f>
        <v>3072</v>
      </c>
      <c r="N89" s="5">
        <f>-12634-461-2570-575+2659+12546-991+3455+44</f>
        <v>1473</v>
      </c>
      <c r="O89" s="4">
        <f>11729-543-332-666-1567-3322+410-4024+188</f>
        <v>1873</v>
      </c>
      <c r="P89" s="4">
        <f>-3164+1305-392-65-2058-5186-2863+1819+257</f>
        <v>-10347</v>
      </c>
      <c r="Q89" s="4">
        <f>-1408+106+1152-554-407-181+1414+1715+6</f>
        <v>1843</v>
      </c>
      <c r="R89" s="4">
        <f>-11244+374-2419-1548+1311+14224+681+2762+102</f>
        <v>4243</v>
      </c>
      <c r="S89" s="4">
        <f>11034-505-796-2013+1214-4126+1425-4106+291</f>
        <v>2418</v>
      </c>
      <c r="T89" s="4">
        <f>-2951+1474+725-1427-2521-5538-1554+1518-26</f>
        <v>-10300</v>
      </c>
      <c r="BC89" s="5"/>
      <c r="BD89" s="5"/>
      <c r="BE89" s="5"/>
      <c r="BF89" s="5"/>
    </row>
    <row r="90" spans="2:58" s="4" customFormat="1">
      <c r="B90" s="4" t="s">
        <v>51</v>
      </c>
      <c r="C90" s="5"/>
      <c r="D90" s="5"/>
      <c r="E90" s="5"/>
      <c r="F90" s="5"/>
      <c r="G90" s="5">
        <f t="shared" ref="G90:H90" si="232">SUM(G84:G89)</f>
        <v>19335</v>
      </c>
      <c r="H90" s="5">
        <f t="shared" si="232"/>
        <v>12516</v>
      </c>
      <c r="I90" s="5">
        <f t="shared" ref="I90:K90" si="233">SUM(I84:I89)</f>
        <v>22179</v>
      </c>
      <c r="J90" s="5">
        <f t="shared" si="233"/>
        <v>22710</v>
      </c>
      <c r="K90" s="5">
        <f t="shared" si="233"/>
        <v>24540</v>
      </c>
      <c r="L90" s="5">
        <f t="shared" ref="L90" si="234">SUM(L84:L89)</f>
        <v>14480</v>
      </c>
      <c r="M90" s="5">
        <f t="shared" ref="M90:Q90" si="235">SUM(M84:M89)</f>
        <v>25386</v>
      </c>
      <c r="N90" s="5">
        <f t="shared" si="235"/>
        <v>24629</v>
      </c>
      <c r="O90" s="5">
        <f t="shared" si="235"/>
        <v>23198</v>
      </c>
      <c r="P90" s="5">
        <f t="shared" si="235"/>
        <v>11173</v>
      </c>
      <c r="Q90" s="5">
        <f t="shared" si="235"/>
        <v>24441</v>
      </c>
      <c r="R90" s="5">
        <f>SUM(R84:R89)</f>
        <v>28770</v>
      </c>
      <c r="S90" s="5">
        <f>SUM(S84:S89)</f>
        <v>30583</v>
      </c>
      <c r="T90" s="5">
        <f>SUM(T84:T89)</f>
        <v>18853</v>
      </c>
      <c r="U90" s="5"/>
      <c r="V90" s="5"/>
      <c r="BC90" s="5"/>
      <c r="BD90" s="5"/>
      <c r="BE90" s="5"/>
      <c r="BF90" s="5"/>
    </row>
    <row r="91" spans="2:58" s="4" customFormat="1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BC91" s="5"/>
      <c r="BD91" s="5"/>
      <c r="BE91" s="5"/>
      <c r="BF91" s="5"/>
    </row>
    <row r="92" spans="2:58" s="4" customFormat="1">
      <c r="B92" s="4" t="s">
        <v>58</v>
      </c>
      <c r="C92" s="5"/>
      <c r="D92" s="5"/>
      <c r="E92" s="5"/>
      <c r="F92" s="5"/>
      <c r="G92" s="5">
        <v>-4907</v>
      </c>
      <c r="H92" s="5">
        <v>-4174</v>
      </c>
      <c r="I92" s="5">
        <v>-5089</v>
      </c>
      <c r="J92" s="5">
        <v>-6452</v>
      </c>
      <c r="K92" s="5">
        <v>-5810</v>
      </c>
      <c r="L92" s="5">
        <v>-5865</v>
      </c>
      <c r="M92" s="5">
        <v>-5340</v>
      </c>
      <c r="N92" s="5">
        <v>-6871</v>
      </c>
      <c r="O92" s="4">
        <v>-6283</v>
      </c>
      <c r="P92" s="4">
        <v>-6274</v>
      </c>
      <c r="Q92" s="4">
        <v>-6607</v>
      </c>
      <c r="R92" s="4">
        <v>-8943</v>
      </c>
      <c r="S92" s="4">
        <v>-9917</v>
      </c>
      <c r="T92" s="4">
        <v>-9735</v>
      </c>
      <c r="BC92" s="5"/>
      <c r="BD92" s="5"/>
      <c r="BE92" s="5"/>
      <c r="BF92" s="5"/>
    </row>
    <row r="93" spans="2:58" s="4" customFormat="1">
      <c r="B93" s="4" t="s">
        <v>59</v>
      </c>
      <c r="C93" s="5"/>
      <c r="D93" s="5"/>
      <c r="E93" s="5"/>
      <c r="F93" s="5"/>
      <c r="G93" s="5">
        <v>-481</v>
      </c>
      <c r="H93" s="5">
        <v>-415</v>
      </c>
      <c r="I93" s="5">
        <v>-7512</v>
      </c>
      <c r="J93" s="5">
        <v>-501</v>
      </c>
      <c r="K93" s="5">
        <v>-1206</v>
      </c>
      <c r="L93" s="5">
        <v>-850</v>
      </c>
      <c r="M93" s="5">
        <v>-18719</v>
      </c>
      <c r="N93" s="5">
        <v>-1263</v>
      </c>
      <c r="O93" s="4">
        <v>-349</v>
      </c>
      <c r="P93" s="4">
        <v>-679</v>
      </c>
      <c r="Q93" s="4">
        <v>-301</v>
      </c>
      <c r="R93" s="4">
        <v>-341</v>
      </c>
      <c r="S93" s="4">
        <v>-1186</v>
      </c>
      <c r="T93" s="4">
        <v>-65029</v>
      </c>
      <c r="BC93" s="5"/>
      <c r="BD93" s="5"/>
      <c r="BE93" s="5"/>
      <c r="BF93" s="5"/>
    </row>
    <row r="94" spans="2:58" s="4" customFormat="1">
      <c r="B94" s="4" t="s">
        <v>60</v>
      </c>
      <c r="C94" s="5"/>
      <c r="D94" s="5"/>
      <c r="E94" s="5"/>
      <c r="F94" s="5"/>
      <c r="G94" s="5">
        <f>-14580+14266+2414</f>
        <v>2100</v>
      </c>
      <c r="H94" s="5">
        <f>-15092+15264+2421</f>
        <v>2593</v>
      </c>
      <c r="I94" s="5">
        <f>-18375+15016+5876</f>
        <v>2517</v>
      </c>
      <c r="J94" s="5">
        <f>-14877+7246+3297</f>
        <v>-4334</v>
      </c>
      <c r="K94" s="5">
        <f>-10309+8862+5630</f>
        <v>4183</v>
      </c>
      <c r="L94" s="5">
        <f>-2505+5253+2895</f>
        <v>5643</v>
      </c>
      <c r="M94" s="5">
        <f>-8723+1099+16693</f>
        <v>9069</v>
      </c>
      <c r="N94" s="5">
        <f>-4919+1237+3225</f>
        <v>-457</v>
      </c>
      <c r="O94" s="4">
        <f>-5013+6662+2711</f>
        <v>4360</v>
      </c>
      <c r="P94" s="4">
        <f>-11599+6928+4775</f>
        <v>104</v>
      </c>
      <c r="Q94" s="4">
        <f>-9063+13154+1239</f>
        <v>5330</v>
      </c>
      <c r="R94" s="4">
        <f>-11976+6766+5629</f>
        <v>419</v>
      </c>
      <c r="S94" s="4">
        <f>-8460+15718+5330</f>
        <v>12588</v>
      </c>
      <c r="T94" s="4">
        <f>-4258+4150+1600</f>
        <v>1492</v>
      </c>
      <c r="BC94" s="5"/>
      <c r="BD94" s="5"/>
      <c r="BE94" s="5"/>
      <c r="BF94" s="5"/>
    </row>
    <row r="95" spans="2:58" s="4" customFormat="1">
      <c r="B95" s="4" t="s">
        <v>28</v>
      </c>
      <c r="C95" s="5"/>
      <c r="D95" s="5"/>
      <c r="E95" s="5"/>
      <c r="F95" s="5"/>
      <c r="G95" s="5">
        <v>-2083</v>
      </c>
      <c r="H95" s="5">
        <v>327</v>
      </c>
      <c r="I95" s="5">
        <v>400</v>
      </c>
      <c r="J95" s="5">
        <v>434</v>
      </c>
      <c r="K95" s="5">
        <v>-417</v>
      </c>
      <c r="L95" s="5">
        <v>-89</v>
      </c>
      <c r="M95" s="5">
        <v>-1181</v>
      </c>
      <c r="N95" s="5">
        <v>-1138</v>
      </c>
      <c r="O95" s="4">
        <v>-860</v>
      </c>
      <c r="P95" s="4">
        <v>-301</v>
      </c>
      <c r="Q95" s="4">
        <v>-1686</v>
      </c>
      <c r="R95" s="4">
        <v>-269</v>
      </c>
      <c r="S95" s="4">
        <v>-982</v>
      </c>
      <c r="T95" s="4">
        <v>1347</v>
      </c>
      <c r="BC95" s="5"/>
      <c r="BD95" s="5"/>
      <c r="BE95" s="5"/>
      <c r="BF95" s="5"/>
    </row>
    <row r="96" spans="2:58" s="4" customFormat="1">
      <c r="B96" s="4" t="s">
        <v>57</v>
      </c>
      <c r="C96" s="5"/>
      <c r="D96" s="5"/>
      <c r="E96" s="5"/>
      <c r="F96" s="5"/>
      <c r="G96" s="5">
        <f t="shared" ref="G96:H96" si="236">SUM(G92:G95)</f>
        <v>-5371</v>
      </c>
      <c r="H96" s="5">
        <f t="shared" si="236"/>
        <v>-1669</v>
      </c>
      <c r="I96" s="5">
        <f t="shared" ref="I96:L96" si="237">SUM(I92:I95)</f>
        <v>-9684</v>
      </c>
      <c r="J96" s="5">
        <f t="shared" si="237"/>
        <v>-10853</v>
      </c>
      <c r="K96" s="5">
        <f t="shared" si="237"/>
        <v>-3250</v>
      </c>
      <c r="L96" s="5">
        <f t="shared" si="237"/>
        <v>-1161</v>
      </c>
      <c r="M96" s="5">
        <f t="shared" ref="M96:T96" si="238">SUM(M92:M95)</f>
        <v>-16171</v>
      </c>
      <c r="N96" s="5">
        <f t="shared" si="238"/>
        <v>-9729</v>
      </c>
      <c r="O96" s="5">
        <f t="shared" si="238"/>
        <v>-3132</v>
      </c>
      <c r="P96" s="5">
        <f t="shared" si="238"/>
        <v>-7150</v>
      </c>
      <c r="Q96" s="5">
        <f t="shared" si="238"/>
        <v>-3264</v>
      </c>
      <c r="R96" s="5">
        <f t="shared" si="238"/>
        <v>-9134</v>
      </c>
      <c r="S96" s="5">
        <f t="shared" si="238"/>
        <v>503</v>
      </c>
      <c r="T96" s="5">
        <f t="shared" si="238"/>
        <v>-71925</v>
      </c>
      <c r="BC96" s="5"/>
      <c r="BD96" s="5"/>
      <c r="BE96" s="5"/>
      <c r="BF96" s="5"/>
    </row>
    <row r="98" spans="2:58" s="4" customFormat="1">
      <c r="B98" s="4" t="s">
        <v>61</v>
      </c>
      <c r="C98" s="5"/>
      <c r="D98" s="5"/>
      <c r="E98" s="5"/>
      <c r="F98" s="5"/>
      <c r="G98" s="5">
        <v>0</v>
      </c>
      <c r="H98" s="5">
        <v>0</v>
      </c>
      <c r="I98" s="5">
        <v>-1754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BC98" s="5"/>
      <c r="BD98" s="5"/>
      <c r="BE98" s="5"/>
      <c r="BF98" s="5"/>
    </row>
    <row r="99" spans="2:58" s="4" customFormat="1">
      <c r="B99" s="4" t="s">
        <v>62</v>
      </c>
      <c r="C99" s="5"/>
      <c r="D99" s="5"/>
      <c r="E99" s="5"/>
      <c r="F99" s="5"/>
      <c r="G99" s="5">
        <v>0</v>
      </c>
      <c r="H99" s="5">
        <v>-3250</v>
      </c>
      <c r="I99" s="5">
        <v>-500</v>
      </c>
      <c r="J99" s="5">
        <v>0</v>
      </c>
      <c r="K99" s="5">
        <v>-4826</v>
      </c>
      <c r="L99" s="5">
        <v>0</v>
      </c>
      <c r="M99" s="5">
        <v>-4197</v>
      </c>
      <c r="N99" s="5">
        <v>0</v>
      </c>
      <c r="O99" s="4">
        <v>-1000</v>
      </c>
      <c r="P99" s="4">
        <v>-750</v>
      </c>
      <c r="Q99" s="4">
        <v>536</v>
      </c>
      <c r="R99" s="4">
        <f>-1000+512</f>
        <v>-488</v>
      </c>
      <c r="S99" s="4">
        <f>-1500+18692+7073</f>
        <v>24265</v>
      </c>
      <c r="T99" s="4">
        <f>-8490+10773-2916</f>
        <v>-633</v>
      </c>
      <c r="BC99" s="5"/>
      <c r="BD99" s="5"/>
      <c r="BE99" s="5"/>
      <c r="BF99" s="5"/>
    </row>
    <row r="100" spans="2:58" s="4" customFormat="1">
      <c r="B100" s="4" t="s">
        <v>63</v>
      </c>
      <c r="C100" s="5"/>
      <c r="D100" s="5"/>
      <c r="E100" s="5"/>
      <c r="F100" s="5"/>
      <c r="G100" s="5">
        <f>545-6743</f>
        <v>-6198</v>
      </c>
      <c r="H100" s="5">
        <f>302-6535</f>
        <v>-6233</v>
      </c>
      <c r="I100" s="5">
        <f>-6930+396</f>
        <v>-6534</v>
      </c>
      <c r="J100" s="5">
        <f>450-7177</f>
        <v>-6727</v>
      </c>
      <c r="K100" s="5">
        <f>612-7684</f>
        <v>-7072</v>
      </c>
      <c r="L100" s="5">
        <f>291-7433</f>
        <v>-7142</v>
      </c>
      <c r="M100" s="5">
        <f>477-8822</f>
        <v>-8345</v>
      </c>
      <c r="N100" s="5">
        <f>-8757+461</f>
        <v>-8296</v>
      </c>
      <c r="O100" s="4">
        <f>575-5573</f>
        <v>-4998</v>
      </c>
      <c r="P100" s="4">
        <f>243-5459</f>
        <v>-5216</v>
      </c>
      <c r="Q100" s="4">
        <f>-5509</f>
        <v>-5509</v>
      </c>
      <c r="R100" s="4">
        <v>-5704</v>
      </c>
      <c r="S100" s="4">
        <f>685-4831</f>
        <v>-4146</v>
      </c>
      <c r="T100" s="4">
        <f>261-4000</f>
        <v>-3739</v>
      </c>
      <c r="BC100" s="5"/>
      <c r="BD100" s="5"/>
      <c r="BE100" s="5"/>
      <c r="BF100" s="5"/>
    </row>
    <row r="101" spans="2:58" s="4" customFormat="1">
      <c r="B101" s="4" t="s">
        <v>64</v>
      </c>
      <c r="C101" s="5"/>
      <c r="D101" s="5"/>
      <c r="E101" s="5"/>
      <c r="F101" s="5"/>
      <c r="G101" s="5">
        <v>-3856</v>
      </c>
      <c r="H101" s="5">
        <v>-4230</v>
      </c>
      <c r="I101" s="5">
        <v>-4221</v>
      </c>
      <c r="J101" s="5">
        <v>-4214</v>
      </c>
      <c r="K101" s="5">
        <v>-4206</v>
      </c>
      <c r="L101" s="5">
        <v>-4652</v>
      </c>
      <c r="M101" s="5">
        <v>-4645</v>
      </c>
      <c r="N101" s="5">
        <v>-4632</v>
      </c>
      <c r="O101" s="4">
        <v>-4621</v>
      </c>
      <c r="P101" s="4">
        <v>-5066</v>
      </c>
      <c r="Q101" s="4">
        <v>-5059</v>
      </c>
      <c r="R101" s="4">
        <v>-5054</v>
      </c>
      <c r="S101" s="4">
        <v>-5051</v>
      </c>
      <c r="T101" s="4">
        <v>-5574</v>
      </c>
      <c r="BC101" s="5"/>
      <c r="BD101" s="5"/>
      <c r="BE101" s="5"/>
      <c r="BF101" s="5"/>
    </row>
    <row r="102" spans="2:58" s="4" customFormat="1">
      <c r="B102" s="4" t="s">
        <v>28</v>
      </c>
      <c r="C102" s="5"/>
      <c r="D102" s="5"/>
      <c r="E102" s="5"/>
      <c r="F102" s="5"/>
      <c r="G102" s="5">
        <v>-235</v>
      </c>
      <c r="H102" s="5">
        <v>79</v>
      </c>
      <c r="I102" s="5">
        <v>-183</v>
      </c>
      <c r="J102" s="5">
        <v>-430</v>
      </c>
      <c r="K102" s="5">
        <v>-172</v>
      </c>
      <c r="L102" s="5">
        <v>-192</v>
      </c>
      <c r="M102" s="5">
        <v>-158</v>
      </c>
      <c r="N102" s="5">
        <v>-341</v>
      </c>
      <c r="O102" s="4">
        <v>-264</v>
      </c>
      <c r="P102" s="4">
        <v>-317</v>
      </c>
      <c r="Q102" s="4">
        <v>-258</v>
      </c>
      <c r="R102" s="4">
        <v>-167</v>
      </c>
      <c r="S102" s="4">
        <v>-307</v>
      </c>
      <c r="T102" s="4">
        <v>-201</v>
      </c>
      <c r="BC102" s="5"/>
      <c r="BD102" s="5"/>
      <c r="BE102" s="5"/>
      <c r="BF102" s="5"/>
    </row>
    <row r="103" spans="2:58" s="4" customFormat="1">
      <c r="B103" s="4" t="s">
        <v>65</v>
      </c>
      <c r="C103" s="5"/>
      <c r="D103" s="5"/>
      <c r="E103" s="5"/>
      <c r="F103" s="5"/>
      <c r="G103" s="5">
        <f t="shared" ref="G103:H103" si="239">SUM(G98:G102)</f>
        <v>-10289</v>
      </c>
      <c r="H103" s="5">
        <f t="shared" si="239"/>
        <v>-13634</v>
      </c>
      <c r="I103" s="5">
        <f t="shared" ref="I103:K103" si="240">SUM(I98:I102)</f>
        <v>-13192</v>
      </c>
      <c r="J103" s="5">
        <f t="shared" si="240"/>
        <v>-11371</v>
      </c>
      <c r="K103" s="5">
        <f t="shared" si="240"/>
        <v>-16276</v>
      </c>
      <c r="L103" s="5">
        <f>SUM(L98:L102)</f>
        <v>-11986</v>
      </c>
      <c r="M103" s="5">
        <f>SUM(M98:M102)</f>
        <v>-17345</v>
      </c>
      <c r="N103" s="5">
        <f>SUM(N98:N102)</f>
        <v>-13269</v>
      </c>
      <c r="O103" s="5">
        <f>SUM(O98:O102)</f>
        <v>-10883</v>
      </c>
      <c r="P103" s="5">
        <f>SUM(P98:P102)</f>
        <v>-11349</v>
      </c>
      <c r="Q103" s="5">
        <f t="shared" ref="Q103:T103" si="241">SUM(Q98:Q102)</f>
        <v>-10290</v>
      </c>
      <c r="R103" s="5">
        <f t="shared" si="241"/>
        <v>-11413</v>
      </c>
      <c r="S103" s="5">
        <f t="shared" si="241"/>
        <v>14761</v>
      </c>
      <c r="T103" s="5">
        <f t="shared" si="241"/>
        <v>-10147</v>
      </c>
      <c r="BC103" s="5"/>
      <c r="BD103" s="5"/>
      <c r="BE103" s="5"/>
      <c r="BF103" s="5"/>
    </row>
    <row r="104" spans="2:58">
      <c r="B104" s="4" t="s">
        <v>66</v>
      </c>
      <c r="G104" s="2">
        <v>-46</v>
      </c>
      <c r="H104" s="2">
        <v>14</v>
      </c>
      <c r="I104" s="2">
        <v>-33</v>
      </c>
      <c r="J104" s="2">
        <v>36</v>
      </c>
      <c r="K104" s="2">
        <v>-73</v>
      </c>
      <c r="L104" s="2">
        <v>106</v>
      </c>
      <c r="M104" s="2">
        <v>24</v>
      </c>
      <c r="N104" s="2">
        <v>-198</v>
      </c>
      <c r="O104" s="4">
        <v>-230</v>
      </c>
      <c r="P104" s="4">
        <v>88</v>
      </c>
      <c r="Q104" s="4">
        <v>29</v>
      </c>
      <c r="R104" s="4">
        <v>-81</v>
      </c>
      <c r="S104" s="4">
        <v>-99</v>
      </c>
      <c r="T104" s="4">
        <v>72</v>
      </c>
    </row>
    <row r="105" spans="2:58">
      <c r="B105" s="4" t="s">
        <v>67</v>
      </c>
      <c r="G105" s="5">
        <f t="shared" ref="G105:H105" si="242">G103+G104+G96+G90</f>
        <v>3629</v>
      </c>
      <c r="H105" s="5">
        <f t="shared" si="242"/>
        <v>-2773</v>
      </c>
      <c r="I105" s="5">
        <f t="shared" ref="I105:K105" si="243">I103+I104+I96+I90</f>
        <v>-730</v>
      </c>
      <c r="J105" s="5">
        <f t="shared" si="243"/>
        <v>522</v>
      </c>
      <c r="K105" s="5">
        <f t="shared" si="243"/>
        <v>4941</v>
      </c>
      <c r="L105" s="5">
        <f>L103+L104+L96+L90</f>
        <v>1439</v>
      </c>
      <c r="M105" s="5">
        <f>M103+M104+M96+M90</f>
        <v>-8106</v>
      </c>
      <c r="N105" s="5">
        <f>N103+N104+N96+N90</f>
        <v>1433</v>
      </c>
      <c r="O105" s="5">
        <f>O103+O104+O96+O90</f>
        <v>8953</v>
      </c>
      <c r="P105" s="5">
        <f>P103+P104+P96+P90</f>
        <v>-7238</v>
      </c>
      <c r="Q105" s="5">
        <f t="shared" ref="Q105:T105" si="244">Q103+Q104+Q96+Q90</f>
        <v>10916</v>
      </c>
      <c r="R105" s="5">
        <f t="shared" si="244"/>
        <v>8142</v>
      </c>
      <c r="S105" s="5">
        <f t="shared" si="244"/>
        <v>45748</v>
      </c>
      <c r="T105" s="5">
        <f t="shared" si="244"/>
        <v>-63147</v>
      </c>
    </row>
    <row r="107" spans="2:58">
      <c r="B107" s="4" t="s">
        <v>72</v>
      </c>
      <c r="G107" s="5">
        <f t="shared" ref="G107:K107" si="245">G90+G92</f>
        <v>14428</v>
      </c>
      <c r="H107" s="5">
        <f t="shared" si="245"/>
        <v>8342</v>
      </c>
      <c r="I107" s="5">
        <f t="shared" si="245"/>
        <v>17090</v>
      </c>
      <c r="J107" s="5">
        <f t="shared" si="245"/>
        <v>16258</v>
      </c>
      <c r="K107" s="5">
        <f t="shared" si="245"/>
        <v>18730</v>
      </c>
      <c r="L107" s="5">
        <f>L90+L92</f>
        <v>8615</v>
      </c>
      <c r="M107" s="5">
        <f t="shared" ref="M107:N107" si="246">M90+M92</f>
        <v>20046</v>
      </c>
      <c r="N107" s="5">
        <f t="shared" si="246"/>
        <v>17758</v>
      </c>
      <c r="O107" s="5">
        <f>O90+O92</f>
        <v>16915</v>
      </c>
      <c r="P107" s="5">
        <f>P90+P92</f>
        <v>4899</v>
      </c>
      <c r="Q107" s="5">
        <f t="shared" ref="Q107:T107" si="247">Q90+Q92</f>
        <v>17834</v>
      </c>
      <c r="R107" s="5">
        <f t="shared" si="247"/>
        <v>19827</v>
      </c>
      <c r="S107" s="5">
        <f t="shared" si="247"/>
        <v>20666</v>
      </c>
      <c r="T107" s="5">
        <f t="shared" si="247"/>
        <v>9118</v>
      </c>
    </row>
    <row r="108" spans="2:58">
      <c r="B108" s="4" t="s">
        <v>103</v>
      </c>
      <c r="K108" s="4">
        <f t="shared" ref="K108:P108" si="248">SUM(H107:K107)</f>
        <v>60420</v>
      </c>
      <c r="L108" s="4">
        <f t="shared" si="248"/>
        <v>60693</v>
      </c>
      <c r="M108" s="4">
        <f t="shared" si="248"/>
        <v>63649</v>
      </c>
      <c r="N108" s="4">
        <f t="shared" si="248"/>
        <v>65149</v>
      </c>
      <c r="O108" s="4">
        <f t="shared" si="248"/>
        <v>63334</v>
      </c>
      <c r="P108" s="4">
        <f t="shared" si="248"/>
        <v>59618</v>
      </c>
      <c r="Q108" s="4">
        <f t="shared" ref="Q108:T108" si="249">SUM(N107:Q107)</f>
        <v>57406</v>
      </c>
      <c r="R108" s="4">
        <f t="shared" si="249"/>
        <v>59475</v>
      </c>
      <c r="S108" s="4">
        <f t="shared" si="249"/>
        <v>63226</v>
      </c>
      <c r="T108" s="4">
        <f t="shared" si="249"/>
        <v>67445</v>
      </c>
    </row>
    <row r="109" spans="2:58">
      <c r="B109" s="4" t="s">
        <v>465</v>
      </c>
      <c r="O109" s="12">
        <f t="shared" ref="O109:T109" si="250">+O108/K108-1</f>
        <v>4.8229063224098034E-2</v>
      </c>
      <c r="P109" s="12">
        <f t="shared" si="250"/>
        <v>-1.7712092004020241E-2</v>
      </c>
      <c r="Q109" s="12">
        <f t="shared" si="250"/>
        <v>-9.8084808873666551E-2</v>
      </c>
      <c r="R109" s="12">
        <f t="shared" si="250"/>
        <v>-8.7092664507513518E-2</v>
      </c>
      <c r="S109" s="12">
        <f t="shared" si="250"/>
        <v>-1.7052452079451275E-3</v>
      </c>
      <c r="T109" s="12">
        <f t="shared" si="250"/>
        <v>0.13128585326579212</v>
      </c>
    </row>
    <row r="110" spans="2:58">
      <c r="B110" s="4" t="s">
        <v>466</v>
      </c>
      <c r="K110" s="4">
        <f t="shared" ref="K110:S110" si="251">SUM(H92:K92)</f>
        <v>-21525</v>
      </c>
      <c r="L110" s="4">
        <f t="shared" si="251"/>
        <v>-23216</v>
      </c>
      <c r="M110" s="4">
        <f t="shared" si="251"/>
        <v>-23467</v>
      </c>
      <c r="N110" s="4">
        <f t="shared" si="251"/>
        <v>-23886</v>
      </c>
      <c r="O110" s="4">
        <f t="shared" si="251"/>
        <v>-24359</v>
      </c>
      <c r="P110" s="4">
        <f t="shared" si="251"/>
        <v>-24768</v>
      </c>
      <c r="Q110" s="4">
        <f t="shared" si="251"/>
        <v>-26035</v>
      </c>
      <c r="R110" s="4">
        <f t="shared" si="251"/>
        <v>-28107</v>
      </c>
      <c r="S110" s="4">
        <f t="shared" si="251"/>
        <v>-31741</v>
      </c>
      <c r="T110" s="4">
        <f>SUM(Q92:T92)</f>
        <v>-35202</v>
      </c>
    </row>
    <row r="111" spans="2:58">
      <c r="B111" s="4" t="s">
        <v>465</v>
      </c>
      <c r="O111" s="12">
        <f t="shared" ref="O111:S111" si="252">+O110/K110-1</f>
        <v>0.13166085946573758</v>
      </c>
      <c r="P111" s="12">
        <f t="shared" si="252"/>
        <v>6.6850447966919413E-2</v>
      </c>
      <c r="Q111" s="12">
        <f t="shared" si="252"/>
        <v>0.10943026377466225</v>
      </c>
      <c r="R111" s="12">
        <f t="shared" si="252"/>
        <v>0.17671439336850048</v>
      </c>
      <c r="S111" s="12">
        <f t="shared" si="252"/>
        <v>0.3030502073155712</v>
      </c>
      <c r="T111" s="12">
        <f>+T110/P110-1</f>
        <v>0.42126937984496116</v>
      </c>
    </row>
    <row r="112" spans="2:58">
      <c r="B112" s="4"/>
      <c r="O112" s="12"/>
      <c r="P112" s="12"/>
      <c r="Q112" s="12"/>
      <c r="R112" s="12"/>
      <c r="S112" s="12"/>
      <c r="T112" s="4"/>
    </row>
    <row r="114" spans="2:51">
      <c r="B114" t="s">
        <v>189</v>
      </c>
      <c r="R114" s="4">
        <v>221000</v>
      </c>
      <c r="Y114" s="4">
        <v>5635</v>
      </c>
      <c r="Z114" s="4">
        <v>8226</v>
      </c>
      <c r="AA114" s="4">
        <v>11542</v>
      </c>
      <c r="AB114" s="4">
        <v>14430</v>
      </c>
      <c r="AC114" s="4">
        <v>15257</v>
      </c>
      <c r="AD114" s="4">
        <v>17801</v>
      </c>
      <c r="AE114" s="4">
        <v>20561</v>
      </c>
      <c r="AF114" s="4">
        <v>22232</v>
      </c>
      <c r="AG114" s="4">
        <v>27055</v>
      </c>
      <c r="AH114" s="4">
        <v>31396</v>
      </c>
      <c r="AI114" s="4">
        <v>39100</v>
      </c>
      <c r="AJ114" s="4">
        <v>47600</v>
      </c>
      <c r="AK114" s="4">
        <v>50500</v>
      </c>
      <c r="AL114" s="4">
        <v>55000</v>
      </c>
      <c r="AM114" s="4">
        <v>57000</v>
      </c>
      <c r="AN114" s="4">
        <v>61000</v>
      </c>
      <c r="AO114" s="4">
        <v>71000</v>
      </c>
      <c r="AP114" s="4">
        <v>79000</v>
      </c>
      <c r="AQ114" s="4">
        <v>91000</v>
      </c>
      <c r="AR114" s="4">
        <v>93000</v>
      </c>
      <c r="AS114" s="4">
        <v>89000</v>
      </c>
      <c r="AT114" s="4">
        <v>90000</v>
      </c>
      <c r="AU114" s="4">
        <v>94000</v>
      </c>
      <c r="AV114" s="4">
        <v>99000</v>
      </c>
      <c r="AW114" s="4">
        <v>128000</v>
      </c>
      <c r="AX114" s="4">
        <v>118000</v>
      </c>
      <c r="AY114" s="4">
        <v>114000</v>
      </c>
    </row>
    <row r="116" spans="2:51">
      <c r="B116" t="s">
        <v>0</v>
      </c>
      <c r="AC116" s="1">
        <f>19715/580</f>
        <v>33.991379310344826</v>
      </c>
      <c r="AD116" s="1">
        <f>34330/589</f>
        <v>58.28522920203735</v>
      </c>
      <c r="AE116" s="1">
        <f>45936/596</f>
        <v>77.073825503355707</v>
      </c>
      <c r="AF116" s="1">
        <f>106179/1212.567</f>
        <v>87.565470609046756</v>
      </c>
      <c r="AG116" s="1">
        <f>171181/2484.635</f>
        <v>68.895833794501002</v>
      </c>
      <c r="AH116" s="1">
        <f>375039/5141</f>
        <v>72.950593269791867</v>
      </c>
      <c r="AI116" s="1">
        <f>302326/5355</f>
        <v>56.456769374416432</v>
      </c>
      <c r="AJ116" s="1">
        <f>258033/5401</f>
        <v>47.775041658952048</v>
      </c>
      <c r="AK116" s="1">
        <f>215553/5378</f>
        <v>40.080513201933805</v>
      </c>
      <c r="AL116" s="11">
        <f>235404/10813</f>
        <v>21.770461481549987</v>
      </c>
      <c r="AM116" s="11">
        <f>252132/10872</f>
        <v>23.190949227373068</v>
      </c>
      <c r="AN116" s="11">
        <f>256094/10712</f>
        <v>23.907206870799104</v>
      </c>
      <c r="AO116" s="11">
        <f>233926/9969</f>
        <v>23.46534256194202</v>
      </c>
      <c r="AP116" s="11">
        <f>251464/9375</f>
        <v>26.822826666666668</v>
      </c>
      <c r="AQ116" s="1">
        <f>287616/9130</f>
        <v>31.502300109529024</v>
      </c>
      <c r="AR116" s="11">
        <f>149769/8910</f>
        <v>16.809090909090909</v>
      </c>
      <c r="AS116" s="1">
        <f>235244/8653</f>
        <v>27.186409337801919</v>
      </c>
      <c r="AT116" s="1">
        <f>208370/8378</f>
        <v>24.87109095249463</v>
      </c>
      <c r="AU116" s="1">
        <f>195333/8383</f>
        <v>23.301085530239771</v>
      </c>
      <c r="AV116" s="1">
        <f>202945/8329</f>
        <v>24.366070356585425</v>
      </c>
      <c r="AW116" s="1">
        <f>284539/8239</f>
        <v>34.535623255249426</v>
      </c>
      <c r="AX116" s="1">
        <f>365312/7997</f>
        <v>45.681130423908968</v>
      </c>
      <c r="AY116" s="1">
        <f>424500/7792</f>
        <v>54.478952772073924</v>
      </c>
    </row>
    <row r="117" spans="2:51">
      <c r="B117" t="s">
        <v>2</v>
      </c>
      <c r="AC117" s="4">
        <f t="shared" ref="AC117:AY117" si="253">AC116*AC46</f>
        <v>20734.741379310344</v>
      </c>
      <c r="AD117" s="4">
        <f t="shared" si="253"/>
        <v>36544.838709677417</v>
      </c>
      <c r="AE117" s="4">
        <f t="shared" si="253"/>
        <v>49327.24832214765</v>
      </c>
      <c r="AF117" s="4">
        <f t="shared" si="253"/>
        <v>114885.89743906935</v>
      </c>
      <c r="AG117" s="4">
        <f t="shared" si="253"/>
        <v>184709.73040305718</v>
      </c>
      <c r="AH117" s="4">
        <f t="shared" si="253"/>
        <v>372704.58101536665</v>
      </c>
      <c r="AI117" s="4">
        <f t="shared" si="253"/>
        <v>298261.112605042</v>
      </c>
      <c r="AJ117" s="4">
        <f t="shared" si="253"/>
        <v>266298.08220699872</v>
      </c>
      <c r="AK117" s="4">
        <f t="shared" si="253"/>
        <v>222567.08981033842</v>
      </c>
      <c r="AL117" s="4">
        <f t="shared" si="253"/>
        <v>236906.16184222695</v>
      </c>
      <c r="AM117" s="4">
        <f t="shared" si="253"/>
        <v>252642.2008830022</v>
      </c>
      <c r="AN117" s="4">
        <f t="shared" si="253"/>
        <v>260731.99813293503</v>
      </c>
      <c r="AO117" s="4">
        <f t="shared" si="253"/>
        <v>247113.52251981141</v>
      </c>
      <c r="AP117" s="4">
        <f t="shared" si="253"/>
        <v>265170.46442666667</v>
      </c>
      <c r="AQ117" s="4">
        <f t="shared" si="253"/>
        <v>298326.78203723987</v>
      </c>
      <c r="AR117" s="4">
        <f t="shared" si="253"/>
        <v>151214.58181818182</v>
      </c>
      <c r="AS117" s="4">
        <f t="shared" si="253"/>
        <v>242693.07615855773</v>
      </c>
      <c r="AT117" s="4">
        <f t="shared" si="253"/>
        <v>213717.28455478634</v>
      </c>
      <c r="AU117" s="4">
        <f t="shared" si="253"/>
        <v>198199.0335202195</v>
      </c>
      <c r="AV117" s="4">
        <f t="shared" si="253"/>
        <v>206380.61592027853</v>
      </c>
      <c r="AW117" s="4">
        <f t="shared" si="253"/>
        <v>290064.69972083991</v>
      </c>
      <c r="AX117" s="4">
        <f t="shared" si="253"/>
        <v>377052.05051894463</v>
      </c>
      <c r="AY117" s="4">
        <f t="shared" si="253"/>
        <v>436539.84856262838</v>
      </c>
    </row>
    <row r="118" spans="2:51">
      <c r="B118" t="s">
        <v>5</v>
      </c>
      <c r="AC118" s="4">
        <f t="shared" ref="AC118:AY118" si="254">AC117-AC61</f>
        <v>17120.741379310344</v>
      </c>
      <c r="AD118" s="4">
        <f t="shared" si="254"/>
        <v>31794.838709677417</v>
      </c>
      <c r="AE118" s="4">
        <f t="shared" si="254"/>
        <v>42387.24832214765</v>
      </c>
      <c r="AF118" s="4">
        <f t="shared" si="254"/>
        <v>103573.89743906935</v>
      </c>
      <c r="AG118" s="4">
        <f t="shared" si="254"/>
        <v>166079.73040305718</v>
      </c>
      <c r="AH118" s="4">
        <f t="shared" si="254"/>
        <v>341096.58101536665</v>
      </c>
      <c r="AI118" s="4">
        <f t="shared" si="254"/>
        <v>256737.112605042</v>
      </c>
      <c r="AJ118" s="4">
        <f t="shared" si="254"/>
        <v>220557.08220699872</v>
      </c>
      <c r="AK118" s="4">
        <f t="shared" si="254"/>
        <v>169724.08981033842</v>
      </c>
      <c r="AL118" s="4">
        <f t="shared" si="254"/>
        <v>174166.16184222695</v>
      </c>
      <c r="AM118" s="4">
        <f t="shared" si="254"/>
        <v>179840.2008830022</v>
      </c>
      <c r="AN118" s="4">
        <f t="shared" si="254"/>
        <v>211976.99813293503</v>
      </c>
      <c r="AO118" s="4">
        <f t="shared" si="254"/>
        <v>203720.52251981141</v>
      </c>
      <c r="AP118" s="4">
        <f t="shared" si="254"/>
        <v>231642.46442666667</v>
      </c>
      <c r="AQ118" s="4">
        <f t="shared" si="254"/>
        <v>268076.78203723987</v>
      </c>
      <c r="AR118" s="4">
        <f t="shared" si="254"/>
        <v>120580.58181818182</v>
      </c>
      <c r="AS118" s="4">
        <f t="shared" si="254"/>
        <v>204090.07615855773</v>
      </c>
      <c r="AT118" s="4">
        <f t="shared" si="254"/>
        <v>162001.28455478634</v>
      </c>
      <c r="AU118" s="4">
        <f t="shared" si="254"/>
        <v>137327.0335202195</v>
      </c>
      <c r="AV118" s="4">
        <f t="shared" si="254"/>
        <v>134114.61592027853</v>
      </c>
      <c r="AW118" s="4">
        <f t="shared" si="254"/>
        <v>212403.69972083991</v>
      </c>
      <c r="AX118" s="4">
        <f t="shared" si="254"/>
        <v>377052.05051894463</v>
      </c>
      <c r="AY118" s="4">
        <f t="shared" si="254"/>
        <v>436539.84856262838</v>
      </c>
    </row>
    <row r="119" spans="2:51">
      <c r="B119" t="s">
        <v>223</v>
      </c>
      <c r="AC119" s="24">
        <f t="shared" ref="AC119:AY119" si="255">AC118/AC44</f>
        <v>13.85173250753264</v>
      </c>
      <c r="AD119" s="24">
        <f t="shared" si="255"/>
        <v>21.21069960618907</v>
      </c>
      <c r="AE119" s="24">
        <f t="shared" si="255"/>
        <v>19.310819281160661</v>
      </c>
      <c r="AF119" s="24">
        <f t="shared" si="255"/>
        <v>29.986652414322336</v>
      </c>
      <c r="AG119" s="24">
        <f t="shared" si="255"/>
        <v>34.905365784585371</v>
      </c>
      <c r="AH119" s="24">
        <f t="shared" si="255"/>
        <v>44.733977838080875</v>
      </c>
      <c r="AI119" s="24">
        <f t="shared" si="255"/>
        <v>27.710427696172907</v>
      </c>
      <c r="AJ119" s="24">
        <f t="shared" si="255"/>
        <v>27.989477437436385</v>
      </c>
      <c r="AK119" s="24">
        <f t="shared" si="255"/>
        <v>21.427103877078451</v>
      </c>
      <c r="AL119" s="24">
        <f t="shared" si="255"/>
        <v>17.311018968514755</v>
      </c>
      <c r="AM119" s="24">
        <f t="shared" si="255"/>
        <v>21.950470021115855</v>
      </c>
      <c r="AN119" s="24">
        <f t="shared" si="255"/>
        <v>17.298596224329607</v>
      </c>
      <c r="AO119" s="24">
        <f t="shared" si="255"/>
        <v>16.16957873798011</v>
      </c>
      <c r="AP119" s="24">
        <f t="shared" si="255"/>
        <v>16.469425128095747</v>
      </c>
      <c r="AQ119" s="24">
        <f t="shared" si="255"/>
        <v>15.161856345073236</v>
      </c>
      <c r="AR119" s="25">
        <f t="shared" si="255"/>
        <v>8.0931996656273455</v>
      </c>
      <c r="AS119" s="25">
        <f t="shared" si="255"/>
        <v>10.844894848746359</v>
      </c>
      <c r="AT119" s="25">
        <f t="shared" si="255"/>
        <v>6.9978956611138807</v>
      </c>
      <c r="AU119" s="25">
        <f t="shared" si="255"/>
        <v>5.9266770325069915</v>
      </c>
      <c r="AV119" s="25">
        <f t="shared" si="255"/>
        <v>6.1343189827689946</v>
      </c>
      <c r="AW119" s="25">
        <f t="shared" si="255"/>
        <v>9.5673032620530574</v>
      </c>
      <c r="AX119" s="25">
        <f t="shared" si="255"/>
        <v>16.98126691222053</v>
      </c>
      <c r="AY119" s="25">
        <f t="shared" si="255"/>
        <v>24.376806374951329</v>
      </c>
    </row>
    <row r="122" spans="2:51">
      <c r="AC122">
        <f>2023-1994</f>
        <v>29</v>
      </c>
      <c r="AD122">
        <v>28</v>
      </c>
      <c r="AE122">
        <v>27</v>
      </c>
      <c r="AF122" s="3">
        <v>26</v>
      </c>
      <c r="AG122" s="3">
        <f>2023-1998</f>
        <v>25</v>
      </c>
      <c r="AH122" s="3">
        <v>24</v>
      </c>
      <c r="AI122" s="3">
        <v>23</v>
      </c>
      <c r="AJ122" s="3">
        <v>22</v>
      </c>
      <c r="AK122" s="3">
        <v>21</v>
      </c>
      <c r="AL122" s="3">
        <v>20</v>
      </c>
      <c r="AM122" s="3">
        <v>19</v>
      </c>
      <c r="AN122" s="3">
        <v>18</v>
      </c>
      <c r="AO122">
        <v>17</v>
      </c>
      <c r="AP122">
        <v>16</v>
      </c>
      <c r="AQ122">
        <v>15</v>
      </c>
      <c r="AR122" s="3">
        <v>14</v>
      </c>
      <c r="AS122">
        <v>13</v>
      </c>
      <c r="AT122">
        <v>12</v>
      </c>
      <c r="AU122">
        <v>11</v>
      </c>
      <c r="AV122">
        <v>10</v>
      </c>
      <c r="AW122">
        <v>9</v>
      </c>
      <c r="AX122">
        <v>8</v>
      </c>
      <c r="AY122">
        <v>7</v>
      </c>
    </row>
    <row r="123" spans="2:51">
      <c r="AC123" s="4">
        <f>AC117*1.17^29</f>
        <v>1968287.8584171364</v>
      </c>
      <c r="AD123" s="4">
        <f>AD117*1.155^28</f>
        <v>2065958.5689269281</v>
      </c>
      <c r="AE123" s="4">
        <f>AE117*1.15^27</f>
        <v>2147477.2858793675</v>
      </c>
      <c r="AF123" s="6">
        <f>AF117*1.12^26</f>
        <v>2187435.7745846231</v>
      </c>
      <c r="AG123" s="6">
        <f>AG117*1.1^25</f>
        <v>2001275.6137996709</v>
      </c>
      <c r="AH123" s="6">
        <f>AH117*1.075^24</f>
        <v>2114306.1490662857</v>
      </c>
      <c r="AI123" s="6">
        <f>AI117*1.09^23</f>
        <v>2164741.7152216784</v>
      </c>
      <c r="AJ123" s="6">
        <f>AJ117*1.1^22</f>
        <v>2167739.6048092404</v>
      </c>
      <c r="AK123" s="6">
        <f>AK117*1.11^21</f>
        <v>1991789.7894720493</v>
      </c>
      <c r="AL123" s="6">
        <f>AL117*1.115^20</f>
        <v>2089650.7367206167</v>
      </c>
      <c r="AM123" s="6">
        <f>AM117*1.115^19</f>
        <v>1998611.4738145093</v>
      </c>
      <c r="AN123" s="6">
        <f>AN117*1.12^18</f>
        <v>2005020.1473098751</v>
      </c>
      <c r="AO123" s="4">
        <f>AO117*1.13^17</f>
        <v>1973467.8274649733</v>
      </c>
      <c r="AP123" s="4">
        <f>AP117*1.135^16</f>
        <v>2011217.0113389471</v>
      </c>
      <c r="AQ123" s="4">
        <f>AQ117*1.135^15</f>
        <v>1993563.9263761484</v>
      </c>
      <c r="AR123" s="6">
        <f>AR117*1.2^14</f>
        <v>1941471.9370539852</v>
      </c>
      <c r="AS123" s="6">
        <f>AS117*1.175^13</f>
        <v>1974920.6566503427</v>
      </c>
      <c r="AT123" s="6">
        <f>AT117*1.21^12</f>
        <v>2105058.1210641512</v>
      </c>
      <c r="AU123" s="6">
        <f>AU117*1.23^11</f>
        <v>1932225.2728441348</v>
      </c>
      <c r="AV123" s="6">
        <f>AV117*1.25^10</f>
        <v>1922069.2656960201</v>
      </c>
      <c r="AW123" s="6">
        <f>AW117*1.24^9</f>
        <v>2010435.0433981232</v>
      </c>
      <c r="AX123" s="6">
        <f>AX117*1.23^8</f>
        <v>1975341.5479007133</v>
      </c>
      <c r="AY123" s="6">
        <f>AY117*1.24^7</f>
        <v>1967776.1368191752</v>
      </c>
    </row>
    <row r="124" spans="2:51">
      <c r="AC124" s="12">
        <v>0.17</v>
      </c>
      <c r="AD124" s="12">
        <v>0.155</v>
      </c>
      <c r="AE124" s="12">
        <v>0.15</v>
      </c>
      <c r="AF124" s="18">
        <v>0.12</v>
      </c>
      <c r="AG124" s="18">
        <v>0.1</v>
      </c>
      <c r="AH124" s="18">
        <v>7.4999999999999997E-2</v>
      </c>
      <c r="AI124" s="18">
        <v>8.5000000000000006E-2</v>
      </c>
      <c r="AJ124" s="18">
        <v>0.1</v>
      </c>
      <c r="AK124" s="18">
        <v>0.11</v>
      </c>
      <c r="AL124" s="18">
        <v>0.115</v>
      </c>
      <c r="AM124" s="18">
        <v>0.115</v>
      </c>
      <c r="AN124" s="18">
        <v>0.12</v>
      </c>
      <c r="AO124" s="12">
        <v>0.13</v>
      </c>
      <c r="AP124" s="12">
        <v>0.13500000000000001</v>
      </c>
      <c r="AQ124" s="12">
        <v>0.13500000000000001</v>
      </c>
      <c r="AR124" s="18">
        <v>0.2</v>
      </c>
      <c r="AS124" s="18">
        <v>0.17499999999999999</v>
      </c>
      <c r="AT124" s="18">
        <v>0.21</v>
      </c>
      <c r="AU124" s="18">
        <v>0.23</v>
      </c>
      <c r="AV124" s="18">
        <v>0.25</v>
      </c>
      <c r="AW124" s="18">
        <v>0.24</v>
      </c>
      <c r="AX124" s="18">
        <v>0.23</v>
      </c>
      <c r="AY124" s="18">
        <v>0.24</v>
      </c>
    </row>
  </sheetData>
  <phoneticPr fontId="6" type="noConversion"/>
  <hyperlinks>
    <hyperlink ref="A1" location="Main!A1" display="Main" xr:uid="{55B5032E-1DFB-40E9-9828-DF68BA8D1ADB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DC88-1EF4-4590-A455-37AEE71F1646}">
  <dimension ref="A1:C12"/>
  <sheetViews>
    <sheetView workbookViewId="0">
      <selection activeCell="B13" sqref="B13"/>
    </sheetView>
  </sheetViews>
  <sheetFormatPr defaultRowHeight="12.75"/>
  <sheetData>
    <row r="1" spans="1:3">
      <c r="A1" t="s">
        <v>6</v>
      </c>
    </row>
    <row r="2" spans="1:3">
      <c r="B2" t="s">
        <v>416</v>
      </c>
      <c r="C2" t="s">
        <v>417</v>
      </c>
    </row>
    <row r="3" spans="1:3">
      <c r="B3" t="s">
        <v>418</v>
      </c>
      <c r="C3" t="s">
        <v>419</v>
      </c>
    </row>
    <row r="4" spans="1:3">
      <c r="B4" t="s">
        <v>420</v>
      </c>
    </row>
    <row r="5" spans="1:3">
      <c r="B5" t="s">
        <v>421</v>
      </c>
      <c r="C5" t="s">
        <v>422</v>
      </c>
    </row>
    <row r="6" spans="1:3">
      <c r="C6" t="s">
        <v>423</v>
      </c>
    </row>
    <row r="7" spans="1:3">
      <c r="B7" t="s">
        <v>424</v>
      </c>
    </row>
    <row r="10" spans="1:3">
      <c r="B10" t="s">
        <v>433</v>
      </c>
    </row>
    <row r="11" spans="1:3">
      <c r="B11" t="s">
        <v>434</v>
      </c>
    </row>
    <row r="12" spans="1:3">
      <c r="B12" t="s">
        <v>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944C-47EF-4E21-AC20-E7AE58C304B3}">
  <dimension ref="A1:C21"/>
  <sheetViews>
    <sheetView workbookViewId="0">
      <selection activeCell="B21" sqref="B21:C21"/>
    </sheetView>
  </sheetViews>
  <sheetFormatPr defaultRowHeight="12.75"/>
  <sheetData>
    <row r="1" spans="1:3">
      <c r="A1" t="s">
        <v>6</v>
      </c>
    </row>
    <row r="2" spans="1:3">
      <c r="B2" t="s">
        <v>425</v>
      </c>
    </row>
    <row r="3" spans="1:3">
      <c r="B3" t="s">
        <v>426</v>
      </c>
    </row>
    <row r="4" spans="1:3">
      <c r="B4" t="s">
        <v>427</v>
      </c>
    </row>
    <row r="5" spans="1:3">
      <c r="B5" t="s">
        <v>428</v>
      </c>
    </row>
    <row r="6" spans="1:3">
      <c r="B6" t="s">
        <v>429</v>
      </c>
    </row>
    <row r="7" spans="1:3">
      <c r="B7" t="s">
        <v>430</v>
      </c>
      <c r="C7" t="s">
        <v>431</v>
      </c>
    </row>
    <row r="9" spans="1:3">
      <c r="B9" t="s">
        <v>111</v>
      </c>
      <c r="C9" t="s">
        <v>432</v>
      </c>
    </row>
    <row r="11" spans="1:3">
      <c r="B11" t="s">
        <v>436</v>
      </c>
    </row>
    <row r="12" spans="1:3">
      <c r="B12" t="s">
        <v>437</v>
      </c>
    </row>
    <row r="14" spans="1:3">
      <c r="B14" t="s">
        <v>438</v>
      </c>
    </row>
    <row r="15" spans="1:3">
      <c r="B15" t="s">
        <v>439</v>
      </c>
      <c r="C15" t="s">
        <v>440</v>
      </c>
    </row>
    <row r="16" spans="1:3">
      <c r="B16" t="s">
        <v>441</v>
      </c>
      <c r="C16" t="s">
        <v>442</v>
      </c>
    </row>
    <row r="17" spans="2:3">
      <c r="B17" t="s">
        <v>443</v>
      </c>
    </row>
    <row r="19" spans="2:3">
      <c r="B19" t="s">
        <v>444</v>
      </c>
      <c r="C19" t="s">
        <v>445</v>
      </c>
    </row>
    <row r="21" spans="2:3">
      <c r="B21" t="s">
        <v>87</v>
      </c>
      <c r="C21" t="s">
        <v>453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BDB3-B62C-4EC0-8511-16D9FC9C39F8}">
  <dimension ref="A1:C14"/>
  <sheetViews>
    <sheetView workbookViewId="0">
      <selection activeCell="B15" sqref="B15"/>
    </sheetView>
  </sheetViews>
  <sheetFormatPr defaultRowHeight="12.75"/>
  <cols>
    <col min="1" max="1" width="5" bestFit="1" customWidth="1"/>
  </cols>
  <sheetData>
    <row r="1" spans="1:3">
      <c r="A1" t="s">
        <v>6</v>
      </c>
    </row>
    <row r="2" spans="1:3">
      <c r="B2" t="s">
        <v>448</v>
      </c>
    </row>
    <row r="3" spans="1:3">
      <c r="B3" t="s">
        <v>449</v>
      </c>
    </row>
    <row r="4" spans="1:3">
      <c r="B4" t="s">
        <v>447</v>
      </c>
    </row>
    <row r="6" spans="1:3">
      <c r="B6" t="s">
        <v>446</v>
      </c>
    </row>
    <row r="9" spans="1:3">
      <c r="B9" t="s">
        <v>450</v>
      </c>
      <c r="C9" t="s">
        <v>451</v>
      </c>
    </row>
    <row r="11" spans="1:3">
      <c r="B11" t="s">
        <v>452</v>
      </c>
    </row>
    <row r="13" spans="1:3">
      <c r="B13" t="s">
        <v>116</v>
      </c>
    </row>
    <row r="14" spans="1:3">
      <c r="B14" t="s">
        <v>454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C874-97B0-43DF-8331-FEE8CF7FFE8C}">
  <dimension ref="B2:M240"/>
  <sheetViews>
    <sheetView topLeftCell="A189" workbookViewId="0">
      <selection activeCell="B243" sqref="B243"/>
    </sheetView>
  </sheetViews>
  <sheetFormatPr defaultRowHeight="12.75"/>
  <sheetData>
    <row r="2" spans="2:13">
      <c r="B2">
        <v>1994</v>
      </c>
    </row>
    <row r="3" spans="2:13">
      <c r="B3" s="22" t="s">
        <v>190</v>
      </c>
      <c r="M3" t="s">
        <v>239</v>
      </c>
    </row>
    <row r="4" spans="2:13">
      <c r="B4" s="22" t="s">
        <v>191</v>
      </c>
    </row>
    <row r="5" spans="2:13">
      <c r="B5" s="22" t="s">
        <v>192</v>
      </c>
    </row>
    <row r="6" spans="2:13">
      <c r="B6" s="22" t="s">
        <v>193</v>
      </c>
    </row>
    <row r="7" spans="2:13">
      <c r="B7" s="22" t="s">
        <v>194</v>
      </c>
    </row>
    <row r="8" spans="2:13">
      <c r="B8" s="22" t="s">
        <v>195</v>
      </c>
    </row>
    <row r="9" spans="2:13">
      <c r="B9" s="22" t="s">
        <v>196</v>
      </c>
    </row>
    <row r="10" spans="2:13">
      <c r="B10" s="22" t="s">
        <v>197</v>
      </c>
    </row>
    <row r="11" spans="2:13">
      <c r="B11" s="22" t="s">
        <v>198</v>
      </c>
    </row>
    <row r="12" spans="2:13">
      <c r="B12" s="22" t="s">
        <v>199</v>
      </c>
    </row>
    <row r="13" spans="2:13">
      <c r="B13" s="22" t="s">
        <v>200</v>
      </c>
    </row>
    <row r="14" spans="2:13">
      <c r="B14" s="22" t="s">
        <v>201</v>
      </c>
    </row>
    <row r="15" spans="2:13">
      <c r="B15" s="23" t="s">
        <v>202</v>
      </c>
    </row>
    <row r="16" spans="2:13">
      <c r="B16" s="22" t="s">
        <v>203</v>
      </c>
    </row>
    <row r="17" spans="2:2">
      <c r="B17" s="22" t="s">
        <v>204</v>
      </c>
    </row>
    <row r="18" spans="2:2">
      <c r="B18" s="22" t="s">
        <v>205</v>
      </c>
    </row>
    <row r="19" spans="2:2">
      <c r="B19" s="22" t="s">
        <v>206</v>
      </c>
    </row>
    <row r="20" spans="2:2">
      <c r="B20" s="22" t="s">
        <v>207</v>
      </c>
    </row>
    <row r="21" spans="2:2">
      <c r="B21" s="22" t="s">
        <v>208</v>
      </c>
    </row>
    <row r="22" spans="2:2">
      <c r="B22" s="22" t="s">
        <v>209</v>
      </c>
    </row>
    <row r="23" spans="2:2">
      <c r="B23" s="22" t="s">
        <v>210</v>
      </c>
    </row>
    <row r="24" spans="2:2">
      <c r="B24" s="22" t="s">
        <v>211</v>
      </c>
    </row>
    <row r="25" spans="2:2">
      <c r="B25" s="22" t="s">
        <v>212</v>
      </c>
    </row>
    <row r="26" spans="2:2">
      <c r="B26" s="22" t="s">
        <v>213</v>
      </c>
    </row>
    <row r="27" spans="2:2">
      <c r="B27" s="22" t="s">
        <v>214</v>
      </c>
    </row>
    <row r="28" spans="2:2">
      <c r="B28" s="22" t="s">
        <v>215</v>
      </c>
    </row>
    <row r="29" spans="2:2">
      <c r="B29" s="22" t="s">
        <v>216</v>
      </c>
    </row>
    <row r="30" spans="2:2">
      <c r="B30" s="22" t="s">
        <v>217</v>
      </c>
    </row>
    <row r="31" spans="2:2">
      <c r="B31" s="22" t="s">
        <v>218</v>
      </c>
    </row>
    <row r="34" spans="2:2">
      <c r="B34">
        <v>1997</v>
      </c>
    </row>
    <row r="35" spans="2:2">
      <c r="B35" s="22" t="s">
        <v>225</v>
      </c>
    </row>
    <row r="36" spans="2:2">
      <c r="B36" s="22" t="s">
        <v>226</v>
      </c>
    </row>
    <row r="37" spans="2:2">
      <c r="B37" s="22" t="s">
        <v>227</v>
      </c>
    </row>
    <row r="38" spans="2:2">
      <c r="B38" s="22" t="s">
        <v>228</v>
      </c>
    </row>
    <row r="39" spans="2:2">
      <c r="B39" s="22" t="s">
        <v>229</v>
      </c>
    </row>
    <row r="40" spans="2:2">
      <c r="B40" s="22" t="s">
        <v>230</v>
      </c>
    </row>
    <row r="41" spans="2:2">
      <c r="B41" s="22" t="s">
        <v>231</v>
      </c>
    </row>
    <row r="42" spans="2:2">
      <c r="B42" s="22" t="s">
        <v>232</v>
      </c>
    </row>
    <row r="43" spans="2:2">
      <c r="B43" s="22" t="s">
        <v>233</v>
      </c>
    </row>
    <row r="44" spans="2:2">
      <c r="B44" s="22" t="s">
        <v>234</v>
      </c>
    </row>
    <row r="45" spans="2:2">
      <c r="B45" s="22" t="s">
        <v>235</v>
      </c>
    </row>
    <row r="46" spans="2:2">
      <c r="B46" s="22" t="s">
        <v>236</v>
      </c>
    </row>
    <row r="47" spans="2:2">
      <c r="B47" s="22" t="s">
        <v>237</v>
      </c>
    </row>
    <row r="48" spans="2:2">
      <c r="B48" s="22" t="s">
        <v>238</v>
      </c>
    </row>
    <row r="53" spans="2:2">
      <c r="B53">
        <v>1998</v>
      </c>
    </row>
    <row r="54" spans="2:2">
      <c r="B54" s="22" t="s">
        <v>240</v>
      </c>
    </row>
    <row r="55" spans="2:2">
      <c r="B55" s="22" t="s">
        <v>241</v>
      </c>
    </row>
    <row r="56" spans="2:2">
      <c r="B56" s="22" t="s">
        <v>242</v>
      </c>
    </row>
    <row r="57" spans="2:2">
      <c r="B57" s="22" t="s">
        <v>243</v>
      </c>
    </row>
    <row r="58" spans="2:2">
      <c r="B58" s="22" t="s">
        <v>244</v>
      </c>
    </row>
    <row r="59" spans="2:2">
      <c r="B59" s="22" t="s">
        <v>245</v>
      </c>
    </row>
    <row r="60" spans="2:2">
      <c r="B60" s="22" t="s">
        <v>246</v>
      </c>
    </row>
    <row r="61" spans="2:2">
      <c r="B61" s="22" t="s">
        <v>247</v>
      </c>
    </row>
    <row r="62" spans="2:2">
      <c r="B62" s="22" t="s">
        <v>248</v>
      </c>
    </row>
    <row r="63" spans="2:2">
      <c r="B63" s="22" t="s">
        <v>241</v>
      </c>
    </row>
    <row r="64" spans="2:2">
      <c r="B64" s="22" t="s">
        <v>249</v>
      </c>
    </row>
    <row r="65" spans="2:2">
      <c r="B65" s="22" t="s">
        <v>250</v>
      </c>
    </row>
    <row r="66" spans="2:2">
      <c r="B66" s="22" t="s">
        <v>251</v>
      </c>
    </row>
    <row r="67" spans="2:2">
      <c r="B67" s="22" t="s">
        <v>252</v>
      </c>
    </row>
    <row r="68" spans="2:2">
      <c r="B68" s="22" t="s">
        <v>253</v>
      </c>
    </row>
    <row r="69" spans="2:2">
      <c r="B69" s="22" t="s">
        <v>254</v>
      </c>
    </row>
    <row r="70" spans="2:2">
      <c r="B70" s="22" t="s">
        <v>255</v>
      </c>
    </row>
    <row r="71" spans="2:2">
      <c r="B71" s="22" t="s">
        <v>256</v>
      </c>
    </row>
    <row r="72" spans="2:2">
      <c r="B72" s="22" t="s">
        <v>257</v>
      </c>
    </row>
    <row r="73" spans="2:2">
      <c r="B73" s="22" t="s">
        <v>258</v>
      </c>
    </row>
    <row r="74" spans="2:2">
      <c r="B74" s="22" t="s">
        <v>259</v>
      </c>
    </row>
    <row r="75" spans="2:2">
      <c r="B75" s="22" t="s">
        <v>260</v>
      </c>
    </row>
    <row r="76" spans="2:2">
      <c r="B76" s="22" t="s">
        <v>261</v>
      </c>
    </row>
    <row r="77" spans="2:2">
      <c r="B77" s="22" t="s">
        <v>262</v>
      </c>
    </row>
    <row r="78" spans="2:2">
      <c r="B78" s="22" t="s">
        <v>263</v>
      </c>
    </row>
    <row r="79" spans="2:2">
      <c r="B79" s="22" t="s">
        <v>264</v>
      </c>
    </row>
    <row r="80" spans="2:2">
      <c r="B80" s="22" t="s">
        <v>265</v>
      </c>
    </row>
    <row r="81" spans="2:2">
      <c r="B81" s="22" t="s">
        <v>266</v>
      </c>
    </row>
    <row r="82" spans="2:2">
      <c r="B82" s="22" t="s">
        <v>267</v>
      </c>
    </row>
    <row r="83" spans="2:2">
      <c r="B83" s="22" t="s">
        <v>268</v>
      </c>
    </row>
    <row r="86" spans="2:2">
      <c r="B86">
        <v>1999</v>
      </c>
    </row>
    <row r="87" spans="2:2">
      <c r="B87" s="22" t="s">
        <v>270</v>
      </c>
    </row>
    <row r="88" spans="2:2">
      <c r="B88" s="22" t="s">
        <v>271</v>
      </c>
    </row>
    <row r="89" spans="2:2">
      <c r="B89" s="22" t="s">
        <v>272</v>
      </c>
    </row>
    <row r="90" spans="2:2">
      <c r="B90" s="22" t="s">
        <v>273</v>
      </c>
    </row>
    <row r="91" spans="2:2">
      <c r="B91" s="22" t="s">
        <v>274</v>
      </c>
    </row>
    <row r="92" spans="2:2">
      <c r="B92" s="22" t="s">
        <v>275</v>
      </c>
    </row>
    <row r="93" spans="2:2">
      <c r="B93" s="22" t="s">
        <v>276</v>
      </c>
    </row>
    <row r="94" spans="2:2">
      <c r="B94" s="22" t="s">
        <v>277</v>
      </c>
    </row>
    <row r="95" spans="2:2">
      <c r="B95" s="22" t="s">
        <v>278</v>
      </c>
    </row>
    <row r="96" spans="2:2">
      <c r="B96" s="22" t="s">
        <v>279</v>
      </c>
    </row>
    <row r="97" spans="2:2">
      <c r="B97" s="22" t="s">
        <v>280</v>
      </c>
    </row>
    <row r="98" spans="2:2">
      <c r="B98" s="22" t="s">
        <v>281</v>
      </c>
    </row>
    <row r="99" spans="2:2">
      <c r="B99" s="22" t="s">
        <v>282</v>
      </c>
    </row>
    <row r="100" spans="2:2">
      <c r="B100" s="22" t="s">
        <v>283</v>
      </c>
    </row>
    <row r="101" spans="2:2">
      <c r="B101" s="22" t="s">
        <v>284</v>
      </c>
    </row>
    <row r="102" spans="2:2">
      <c r="B102" s="22" t="s">
        <v>285</v>
      </c>
    </row>
    <row r="103" spans="2:2">
      <c r="B103" s="22" t="s">
        <v>286</v>
      </c>
    </row>
    <row r="104" spans="2:2">
      <c r="B104" s="22" t="s">
        <v>287</v>
      </c>
    </row>
    <row r="105" spans="2:2">
      <c r="B105" s="22" t="s">
        <v>288</v>
      </c>
    </row>
    <row r="106" spans="2:2">
      <c r="B106" s="22" t="s">
        <v>283</v>
      </c>
    </row>
    <row r="108" spans="2:2">
      <c r="B108">
        <v>2000</v>
      </c>
    </row>
    <row r="109" spans="2:2">
      <c r="B109" s="22" t="s">
        <v>289</v>
      </c>
    </row>
    <row r="110" spans="2:2">
      <c r="B110" s="22" t="s">
        <v>290</v>
      </c>
    </row>
    <row r="111" spans="2:2">
      <c r="B111" s="22" t="s">
        <v>291</v>
      </c>
    </row>
    <row r="112" spans="2:2">
      <c r="B112" s="22" t="s">
        <v>292</v>
      </c>
    </row>
    <row r="113" spans="2:2">
      <c r="B113" s="22" t="s">
        <v>293</v>
      </c>
    </row>
    <row r="114" spans="2:2">
      <c r="B114" s="22" t="s">
        <v>294</v>
      </c>
    </row>
    <row r="115" spans="2:2">
      <c r="B115" s="22" t="s">
        <v>295</v>
      </c>
    </row>
    <row r="116" spans="2:2">
      <c r="B116" s="22" t="s">
        <v>296</v>
      </c>
    </row>
    <row r="117" spans="2:2">
      <c r="B117" s="22" t="s">
        <v>297</v>
      </c>
    </row>
    <row r="118" spans="2:2">
      <c r="B118" s="22" t="s">
        <v>298</v>
      </c>
    </row>
    <row r="119" spans="2:2">
      <c r="B119" s="22" t="s">
        <v>299</v>
      </c>
    </row>
    <row r="120" spans="2:2">
      <c r="B120" s="22" t="s">
        <v>300</v>
      </c>
    </row>
    <row r="121" spans="2:2">
      <c r="B121" s="22" t="s">
        <v>301</v>
      </c>
    </row>
    <row r="122" spans="2:2">
      <c r="B122" s="22" t="s">
        <v>302</v>
      </c>
    </row>
    <row r="123" spans="2:2">
      <c r="B123" s="22" t="s">
        <v>303</v>
      </c>
    </row>
    <row r="124" spans="2:2">
      <c r="B124" s="22" t="s">
        <v>297</v>
      </c>
    </row>
    <row r="125" spans="2:2">
      <c r="B125" s="22" t="s">
        <v>304</v>
      </c>
    </row>
    <row r="126" spans="2:2">
      <c r="B126" s="22" t="s">
        <v>305</v>
      </c>
    </row>
    <row r="127" spans="2:2">
      <c r="B127" s="22" t="s">
        <v>306</v>
      </c>
    </row>
    <row r="128" spans="2:2">
      <c r="B128" s="22" t="s">
        <v>307</v>
      </c>
    </row>
    <row r="129" spans="2:2">
      <c r="B129" s="22" t="s">
        <v>308</v>
      </c>
    </row>
    <row r="130" spans="2:2">
      <c r="B130" s="22" t="s">
        <v>309</v>
      </c>
    </row>
    <row r="131" spans="2:2">
      <c r="B131" s="22" t="s">
        <v>310</v>
      </c>
    </row>
    <row r="132" spans="2:2">
      <c r="B132" s="22" t="s">
        <v>311</v>
      </c>
    </row>
    <row r="133" spans="2:2">
      <c r="B133" s="22" t="s">
        <v>312</v>
      </c>
    </row>
    <row r="134" spans="2:2">
      <c r="B134" s="22" t="s">
        <v>313</v>
      </c>
    </row>
    <row r="135" spans="2:2">
      <c r="B135" s="22" t="s">
        <v>314</v>
      </c>
    </row>
    <row r="136" spans="2:2">
      <c r="B136" s="22" t="s">
        <v>315</v>
      </c>
    </row>
    <row r="137" spans="2:2">
      <c r="B137" s="22" t="s">
        <v>316</v>
      </c>
    </row>
    <row r="138" spans="2:2">
      <c r="B138" s="22" t="s">
        <v>317</v>
      </c>
    </row>
    <row r="139" spans="2:2">
      <c r="B139" s="22" t="s">
        <v>311</v>
      </c>
    </row>
    <row r="140" spans="2:2">
      <c r="B140" s="22" t="s">
        <v>318</v>
      </c>
    </row>
    <row r="141" spans="2:2">
      <c r="B141" s="22" t="s">
        <v>319</v>
      </c>
    </row>
    <row r="142" spans="2:2">
      <c r="B142" s="22" t="s">
        <v>320</v>
      </c>
    </row>
    <row r="143" spans="2:2">
      <c r="B143" s="22" t="s">
        <v>321</v>
      </c>
    </row>
    <row r="144" spans="2:2">
      <c r="B144" s="22" t="s">
        <v>322</v>
      </c>
    </row>
    <row r="145" spans="2:2">
      <c r="B145" s="22" t="s">
        <v>323</v>
      </c>
    </row>
    <row r="146" spans="2:2">
      <c r="B146" s="22" t="s">
        <v>324</v>
      </c>
    </row>
    <row r="147" spans="2:2">
      <c r="B147" s="22" t="s">
        <v>325</v>
      </c>
    </row>
    <row r="150" spans="2:2">
      <c r="B150">
        <v>2001</v>
      </c>
    </row>
    <row r="151" spans="2:2">
      <c r="B151" s="22" t="s">
        <v>326</v>
      </c>
    </row>
    <row r="152" spans="2:2">
      <c r="B152" s="22" t="s">
        <v>327</v>
      </c>
    </row>
    <row r="153" spans="2:2">
      <c r="B153" s="22" t="s">
        <v>328</v>
      </c>
    </row>
    <row r="154" spans="2:2">
      <c r="B154" s="22" t="s">
        <v>329</v>
      </c>
    </row>
    <row r="155" spans="2:2">
      <c r="B155" s="22" t="s">
        <v>330</v>
      </c>
    </row>
    <row r="156" spans="2:2">
      <c r="B156" s="22" t="s">
        <v>331</v>
      </c>
    </row>
    <row r="157" spans="2:2">
      <c r="B157" s="22" t="s">
        <v>332</v>
      </c>
    </row>
    <row r="158" spans="2:2">
      <c r="B158" s="22" t="s">
        <v>333</v>
      </c>
    </row>
    <row r="159" spans="2:2">
      <c r="B159" s="22" t="s">
        <v>334</v>
      </c>
    </row>
    <row r="160" spans="2:2">
      <c r="B160" s="22" t="s">
        <v>335</v>
      </c>
    </row>
    <row r="161" spans="2:2">
      <c r="B161" s="22" t="s">
        <v>336</v>
      </c>
    </row>
    <row r="162" spans="2:2">
      <c r="B162" s="22" t="s">
        <v>337</v>
      </c>
    </row>
    <row r="163" spans="2:2">
      <c r="B163" s="22" t="s">
        <v>338</v>
      </c>
    </row>
    <row r="164" spans="2:2">
      <c r="B164" s="22" t="s">
        <v>339</v>
      </c>
    </row>
    <row r="165" spans="2:2">
      <c r="B165" s="22" t="s">
        <v>340</v>
      </c>
    </row>
    <row r="166" spans="2:2">
      <c r="B166" s="22" t="s">
        <v>341</v>
      </c>
    </row>
    <row r="167" spans="2:2">
      <c r="B167" s="22" t="s">
        <v>342</v>
      </c>
    </row>
    <row r="168" spans="2:2">
      <c r="B168" s="22" t="s">
        <v>343</v>
      </c>
    </row>
    <row r="169" spans="2:2">
      <c r="B169" s="22" t="s">
        <v>344</v>
      </c>
    </row>
    <row r="170" spans="2:2">
      <c r="B170" s="22" t="s">
        <v>345</v>
      </c>
    </row>
    <row r="171" spans="2:2">
      <c r="B171" s="22" t="s">
        <v>346</v>
      </c>
    </row>
    <row r="172" spans="2:2">
      <c r="B172" s="22" t="s">
        <v>347</v>
      </c>
    </row>
    <row r="173" spans="2:2">
      <c r="B173" s="22" t="s">
        <v>348</v>
      </c>
    </row>
    <row r="177" spans="2:6">
      <c r="B177">
        <v>2005</v>
      </c>
    </row>
    <row r="178" spans="2:6">
      <c r="B178" s="26"/>
      <c r="C178" s="27"/>
      <c r="D178" s="26"/>
      <c r="E178" s="27"/>
      <c r="F178" s="26"/>
    </row>
    <row r="179" spans="2:6" ht="13.5" thickBot="1">
      <c r="B179" s="28" t="s">
        <v>349</v>
      </c>
      <c r="C179" s="29" t="s">
        <v>350</v>
      </c>
      <c r="D179" s="30" t="s">
        <v>351</v>
      </c>
      <c r="E179" s="29" t="s">
        <v>350</v>
      </c>
      <c r="F179" s="28" t="s">
        <v>352</v>
      </c>
    </row>
    <row r="180" spans="2:6">
      <c r="B180" s="31" t="s">
        <v>353</v>
      </c>
      <c r="C180" s="32" t="s">
        <v>350</v>
      </c>
      <c r="D180" s="33">
        <v>49</v>
      </c>
      <c r="E180" s="32" t="s">
        <v>350</v>
      </c>
      <c r="F180" s="34" t="s">
        <v>354</v>
      </c>
    </row>
    <row r="181" spans="2:6">
      <c r="B181" s="31" t="s">
        <v>355</v>
      </c>
      <c r="C181" s="32" t="s">
        <v>350</v>
      </c>
      <c r="D181" s="33">
        <v>49</v>
      </c>
      <c r="E181" s="32" t="s">
        <v>350</v>
      </c>
      <c r="F181" s="34" t="s">
        <v>356</v>
      </c>
    </row>
    <row r="182" spans="2:6">
      <c r="B182" s="31" t="s">
        <v>357</v>
      </c>
      <c r="C182" s="32" t="s">
        <v>350</v>
      </c>
      <c r="D182" s="33">
        <v>53</v>
      </c>
      <c r="E182" s="32" t="s">
        <v>350</v>
      </c>
      <c r="F182" s="34" t="s">
        <v>358</v>
      </c>
    </row>
    <row r="183" spans="2:6">
      <c r="B183" s="31" t="s">
        <v>359</v>
      </c>
      <c r="C183" s="32" t="s">
        <v>350</v>
      </c>
      <c r="D183" s="33">
        <v>43</v>
      </c>
      <c r="E183" s="32" t="s">
        <v>350</v>
      </c>
      <c r="F183" s="34" t="s">
        <v>360</v>
      </c>
    </row>
    <row r="184" spans="2:6">
      <c r="B184" s="31" t="s">
        <v>361</v>
      </c>
      <c r="C184" s="32" t="s">
        <v>350</v>
      </c>
      <c r="D184" s="33">
        <v>45</v>
      </c>
      <c r="E184" s="32" t="s">
        <v>350</v>
      </c>
      <c r="F184" s="34" t="s">
        <v>362</v>
      </c>
    </row>
    <row r="185" spans="2:6">
      <c r="B185" s="31" t="s">
        <v>363</v>
      </c>
      <c r="C185" s="32" t="s">
        <v>350</v>
      </c>
      <c r="D185" s="33">
        <v>49</v>
      </c>
      <c r="E185" s="32" t="s">
        <v>350</v>
      </c>
      <c r="F185" s="34" t="s">
        <v>364</v>
      </c>
    </row>
    <row r="186" spans="2:6">
      <c r="B186" s="31" t="s">
        <v>365</v>
      </c>
      <c r="C186" s="32" t="s">
        <v>350</v>
      </c>
      <c r="D186" s="33">
        <v>43</v>
      </c>
      <c r="E186" s="32" t="s">
        <v>350</v>
      </c>
      <c r="F186" s="34" t="s">
        <v>366</v>
      </c>
    </row>
    <row r="187" spans="2:6">
      <c r="B187" s="31" t="s">
        <v>367</v>
      </c>
      <c r="C187" s="32" t="s">
        <v>350</v>
      </c>
      <c r="D187" s="33">
        <v>45</v>
      </c>
      <c r="E187" s="32" t="s">
        <v>350</v>
      </c>
      <c r="F187" s="34" t="s">
        <v>368</v>
      </c>
    </row>
    <row r="188" spans="2:6">
      <c r="B188" s="31" t="s">
        <v>369</v>
      </c>
      <c r="C188" s="32" t="s">
        <v>350</v>
      </c>
      <c r="D188" s="33">
        <v>42</v>
      </c>
      <c r="E188" s="32" t="s">
        <v>350</v>
      </c>
      <c r="F188" s="34" t="s">
        <v>370</v>
      </c>
    </row>
    <row r="189" spans="2:6">
      <c r="B189" s="31" t="s">
        <v>371</v>
      </c>
      <c r="C189" s="32" t="s">
        <v>350</v>
      </c>
      <c r="D189" s="33">
        <v>44</v>
      </c>
      <c r="E189" s="32" t="s">
        <v>350</v>
      </c>
      <c r="F189" s="34" t="s">
        <v>372</v>
      </c>
    </row>
    <row r="190" spans="2:6">
      <c r="B190" s="31" t="s">
        <v>373</v>
      </c>
      <c r="C190" s="32" t="s">
        <v>350</v>
      </c>
      <c r="D190" s="33">
        <v>47</v>
      </c>
      <c r="E190" s="32" t="s">
        <v>350</v>
      </c>
      <c r="F190" s="34" t="s">
        <v>374</v>
      </c>
    </row>
    <row r="191" spans="2:6">
      <c r="B191" s="31" t="s">
        <v>375</v>
      </c>
      <c r="C191" s="32" t="s">
        <v>350</v>
      </c>
      <c r="D191" s="33">
        <v>38</v>
      </c>
      <c r="E191" s="32" t="s">
        <v>350</v>
      </c>
      <c r="F191" s="34" t="s">
        <v>376</v>
      </c>
    </row>
    <row r="192" spans="2:6">
      <c r="B192" s="31" t="s">
        <v>377</v>
      </c>
      <c r="C192" s="32" t="s">
        <v>350</v>
      </c>
      <c r="D192" s="33">
        <v>56</v>
      </c>
      <c r="E192" s="32" t="s">
        <v>350</v>
      </c>
      <c r="F192" s="34" t="s">
        <v>378</v>
      </c>
    </row>
    <row r="193" spans="2:6">
      <c r="B193" s="31" t="s">
        <v>379</v>
      </c>
      <c r="C193" s="32" t="s">
        <v>350</v>
      </c>
      <c r="D193" s="33">
        <v>47</v>
      </c>
      <c r="E193" s="32" t="s">
        <v>350</v>
      </c>
      <c r="F193" s="34" t="s">
        <v>380</v>
      </c>
    </row>
    <row r="194" spans="2:6">
      <c r="B194" s="31" t="s">
        <v>381</v>
      </c>
      <c r="C194" s="32" t="s">
        <v>350</v>
      </c>
      <c r="D194" s="33">
        <v>38</v>
      </c>
      <c r="E194" s="32" t="s">
        <v>350</v>
      </c>
      <c r="F194" s="34" t="s">
        <v>382</v>
      </c>
    </row>
    <row r="195" spans="2:6">
      <c r="B195" s="31" t="s">
        <v>383</v>
      </c>
      <c r="C195" s="32" t="s">
        <v>350</v>
      </c>
      <c r="D195" s="33">
        <v>46</v>
      </c>
      <c r="E195" s="32" t="s">
        <v>350</v>
      </c>
      <c r="F195" s="34" t="s">
        <v>384</v>
      </c>
    </row>
    <row r="199" spans="2:6">
      <c r="B199">
        <v>2006</v>
      </c>
    </row>
    <row r="200" spans="2:6">
      <c r="B200" t="s">
        <v>353</v>
      </c>
    </row>
    <row r="202" spans="2:6">
      <c r="B202" t="s">
        <v>385</v>
      </c>
      <c r="C202">
        <v>50</v>
      </c>
      <c r="D202" t="s">
        <v>385</v>
      </c>
      <c r="E202" t="s">
        <v>386</v>
      </c>
    </row>
    <row r="203" spans="2:6">
      <c r="B203" t="s">
        <v>355</v>
      </c>
    </row>
    <row r="205" spans="2:6">
      <c r="B205" t="s">
        <v>385</v>
      </c>
      <c r="C205">
        <v>50</v>
      </c>
      <c r="D205" t="s">
        <v>385</v>
      </c>
      <c r="E205" t="s">
        <v>356</v>
      </c>
    </row>
    <row r="206" spans="2:6">
      <c r="B206" t="s">
        <v>359</v>
      </c>
    </row>
    <row r="208" spans="2:6">
      <c r="B208" t="s">
        <v>385</v>
      </c>
      <c r="C208">
        <v>44</v>
      </c>
      <c r="D208" t="s">
        <v>385</v>
      </c>
      <c r="E208" t="s">
        <v>387</v>
      </c>
    </row>
    <row r="209" spans="2:5">
      <c r="B209" t="s">
        <v>388</v>
      </c>
    </row>
    <row r="211" spans="2:5">
      <c r="B211" t="s">
        <v>385</v>
      </c>
      <c r="C211">
        <v>46</v>
      </c>
      <c r="D211" t="s">
        <v>385</v>
      </c>
      <c r="E211" t="s">
        <v>389</v>
      </c>
    </row>
    <row r="212" spans="2:5">
      <c r="B212" t="s">
        <v>371</v>
      </c>
    </row>
    <row r="214" spans="2:5">
      <c r="B214" t="s">
        <v>385</v>
      </c>
      <c r="C214">
        <v>45</v>
      </c>
      <c r="D214" t="s">
        <v>385</v>
      </c>
      <c r="E214" t="s">
        <v>390</v>
      </c>
    </row>
    <row r="215" spans="2:5">
      <c r="B215" t="s">
        <v>373</v>
      </c>
    </row>
    <row r="217" spans="2:5">
      <c r="B217" t="s">
        <v>385</v>
      </c>
      <c r="C217">
        <v>48</v>
      </c>
      <c r="D217" t="s">
        <v>385</v>
      </c>
      <c r="E217" t="s">
        <v>391</v>
      </c>
    </row>
    <row r="218" spans="2:5">
      <c r="B218" t="s">
        <v>379</v>
      </c>
    </row>
    <row r="220" spans="2:5">
      <c r="B220" t="s">
        <v>385</v>
      </c>
      <c r="C220">
        <v>48</v>
      </c>
      <c r="D220" t="s">
        <v>385</v>
      </c>
      <c r="E220" t="s">
        <v>392</v>
      </c>
    </row>
    <row r="221" spans="2:5">
      <c r="B221" t="s">
        <v>383</v>
      </c>
    </row>
    <row r="223" spans="2:5">
      <c r="B223" t="s">
        <v>385</v>
      </c>
      <c r="C223">
        <v>47</v>
      </c>
      <c r="D223" t="s">
        <v>385</v>
      </c>
      <c r="E223" t="s">
        <v>393</v>
      </c>
    </row>
    <row r="224" spans="2:5">
      <c r="B224" t="s">
        <v>394</v>
      </c>
    </row>
    <row r="226" spans="2:8">
      <c r="B226" t="s">
        <v>385</v>
      </c>
      <c r="C226">
        <v>41</v>
      </c>
      <c r="D226" t="s">
        <v>385</v>
      </c>
      <c r="E226" t="s">
        <v>395</v>
      </c>
    </row>
    <row r="231" spans="2:8">
      <c r="B231">
        <v>2012</v>
      </c>
    </row>
    <row r="232" spans="2:8">
      <c r="B232" s="31" t="s">
        <v>397</v>
      </c>
      <c r="C232" s="32" t="s">
        <v>350</v>
      </c>
      <c r="D232" s="35"/>
      <c r="E232" s="36">
        <v>56</v>
      </c>
      <c r="F232" s="35" t="s">
        <v>350</v>
      </c>
      <c r="G232" s="32" t="s">
        <v>350</v>
      </c>
      <c r="H232" s="35" t="s">
        <v>356</v>
      </c>
    </row>
    <row r="233" spans="2:8">
      <c r="B233" s="31" t="s">
        <v>388</v>
      </c>
      <c r="C233" s="32" t="s">
        <v>350</v>
      </c>
      <c r="D233" s="35"/>
      <c r="E233" s="36">
        <v>52</v>
      </c>
      <c r="F233" s="35" t="s">
        <v>350</v>
      </c>
      <c r="G233" s="32" t="s">
        <v>350</v>
      </c>
      <c r="H233" s="35" t="s">
        <v>398</v>
      </c>
    </row>
    <row r="234" spans="2:8">
      <c r="B234" s="31" t="s">
        <v>399</v>
      </c>
      <c r="C234" s="32" t="s">
        <v>350</v>
      </c>
      <c r="D234" s="35"/>
      <c r="E234" s="36">
        <v>52</v>
      </c>
      <c r="F234" s="35" t="s">
        <v>350</v>
      </c>
      <c r="G234" s="32" t="s">
        <v>350</v>
      </c>
      <c r="H234" s="35" t="s">
        <v>400</v>
      </c>
    </row>
    <row r="235" spans="2:8">
      <c r="B235" s="31" t="s">
        <v>401</v>
      </c>
      <c r="C235" s="32" t="s">
        <v>350</v>
      </c>
      <c r="D235" s="35"/>
      <c r="E235" s="36">
        <v>49</v>
      </c>
      <c r="F235" s="35" t="s">
        <v>350</v>
      </c>
      <c r="G235" s="32" t="s">
        <v>350</v>
      </c>
      <c r="H235" s="35" t="s">
        <v>402</v>
      </c>
    </row>
    <row r="236" spans="2:8">
      <c r="B236" s="31" t="s">
        <v>377</v>
      </c>
      <c r="C236" s="32" t="s">
        <v>350</v>
      </c>
      <c r="D236" s="35"/>
      <c r="E236" s="36">
        <v>63</v>
      </c>
      <c r="F236" s="35" t="s">
        <v>350</v>
      </c>
      <c r="G236" s="32" t="s">
        <v>350</v>
      </c>
      <c r="H236" s="35" t="s">
        <v>403</v>
      </c>
    </row>
    <row r="237" spans="2:8">
      <c r="B237" s="31" t="s">
        <v>125</v>
      </c>
      <c r="C237" s="32" t="s">
        <v>350</v>
      </c>
      <c r="D237" s="35"/>
      <c r="E237" s="36">
        <v>44</v>
      </c>
      <c r="F237" s="35" t="s">
        <v>350</v>
      </c>
      <c r="G237" s="32" t="s">
        <v>350</v>
      </c>
      <c r="H237" s="35" t="s">
        <v>404</v>
      </c>
    </row>
    <row r="238" spans="2:8">
      <c r="B238" s="31" t="s">
        <v>405</v>
      </c>
      <c r="C238" s="32" t="s">
        <v>350</v>
      </c>
      <c r="D238" s="35"/>
      <c r="E238" s="36">
        <v>46</v>
      </c>
      <c r="F238" s="35" t="s">
        <v>350</v>
      </c>
      <c r="G238" s="32" t="s">
        <v>350</v>
      </c>
      <c r="H238" s="35" t="s">
        <v>406</v>
      </c>
    </row>
    <row r="239" spans="2:8">
      <c r="B239" s="31" t="s">
        <v>407</v>
      </c>
      <c r="C239" s="32" t="s">
        <v>350</v>
      </c>
      <c r="D239" s="35"/>
      <c r="E239" s="36">
        <v>53</v>
      </c>
      <c r="F239" s="35" t="s">
        <v>350</v>
      </c>
      <c r="G239" s="32" t="s">
        <v>350</v>
      </c>
      <c r="H239" s="35" t="s">
        <v>408</v>
      </c>
    </row>
    <row r="240" spans="2:8">
      <c r="B240" s="31" t="s">
        <v>409</v>
      </c>
      <c r="C240" s="32" t="s">
        <v>350</v>
      </c>
      <c r="D240" s="35"/>
      <c r="E240" s="36">
        <v>47</v>
      </c>
      <c r="F240" s="35" t="s">
        <v>350</v>
      </c>
      <c r="G240" s="32" t="s">
        <v>350</v>
      </c>
      <c r="H240" s="35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Azure</vt:lpstr>
      <vt:lpstr>Productivity</vt:lpstr>
      <vt:lpstr>Personal Computing</vt:lpstr>
      <vt:lpstr>Legacy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2022-07-14T12:26:44Z</dcterms:created>
  <dcterms:modified xsi:type="dcterms:W3CDTF">2024-09-13T14:09:57Z</dcterms:modified>
</cp:coreProperties>
</file>