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AC50B14-CF14-4F4E-BD2E-C4340E0D6919}" xr6:coauthVersionLast="47" xr6:coauthVersionMax="47" xr10:uidLastSave="{00000000-0000-0000-0000-000000000000}"/>
  <bookViews>
    <workbookView xWindow="52185" yWindow="1185" windowWidth="23775" windowHeight="15225" activeTab="1" xr2:uid="{DF105585-55F7-489F-BFB3-1F48B85ABA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8" i="2" l="1"/>
  <c r="K85" i="2"/>
  <c r="K86" i="2" s="1"/>
  <c r="K81" i="2"/>
  <c r="K79" i="2"/>
  <c r="K76" i="2"/>
  <c r="K75" i="2"/>
  <c r="K69" i="2"/>
  <c r="K60" i="2"/>
  <c r="K67" i="2" s="1"/>
  <c r="K56" i="2"/>
  <c r="K54" i="2"/>
  <c r="K49" i="2"/>
  <c r="R27" i="2"/>
  <c r="Q27" i="2"/>
  <c r="R41" i="2"/>
  <c r="Q41" i="2"/>
  <c r="R44" i="2"/>
  <c r="R25" i="2"/>
  <c r="R24" i="2"/>
  <c r="Q23" i="2"/>
  <c r="R23" i="2"/>
  <c r="R22" i="2"/>
  <c r="P24" i="2"/>
  <c r="P41" i="2"/>
  <c r="V25" i="2"/>
  <c r="U25" i="2"/>
  <c r="T25" i="2"/>
  <c r="S25" i="2"/>
  <c r="P14" i="2"/>
  <c r="P15" i="2" s="1"/>
  <c r="P16" i="2" s="1"/>
  <c r="P13" i="2"/>
  <c r="P10" i="2"/>
  <c r="P11" i="2" s="1"/>
  <c r="P12" i="2" s="1"/>
  <c r="P88" i="2"/>
  <c r="P86" i="2"/>
  <c r="P85" i="2"/>
  <c r="P81" i="2"/>
  <c r="P79" i="2"/>
  <c r="P78" i="2"/>
  <c r="P76" i="2"/>
  <c r="P75" i="2"/>
  <c r="P67" i="2"/>
  <c r="O67" i="2"/>
  <c r="P60" i="2"/>
  <c r="P56" i="2"/>
  <c r="P54" i="2"/>
  <c r="P49" i="2"/>
  <c r="Q25" i="2"/>
  <c r="Q22" i="2"/>
  <c r="Q24" i="2"/>
  <c r="Q44" i="2"/>
  <c r="P44" i="2"/>
  <c r="P25" i="2"/>
  <c r="P27" i="2" s="1"/>
  <c r="P91" i="2"/>
  <c r="H31" i="2" l="1"/>
  <c r="G31" i="2"/>
  <c r="R30" i="2"/>
  <c r="Q30" i="2"/>
  <c r="R29" i="2"/>
  <c r="Q29" i="2"/>
  <c r="Q28" i="2"/>
  <c r="R28" i="2" s="1"/>
  <c r="Q33" i="2"/>
  <c r="R33" i="2" s="1"/>
  <c r="I31" i="2"/>
  <c r="R40" i="2"/>
  <c r="Q40" i="2"/>
  <c r="P40" i="2"/>
  <c r="N86" i="2"/>
  <c r="N79" i="2"/>
  <c r="N81" i="2" s="1"/>
  <c r="N75" i="2"/>
  <c r="N76" i="2" s="1"/>
  <c r="J60" i="2"/>
  <c r="J67" i="2" s="1"/>
  <c r="N60" i="2"/>
  <c r="N67" i="2" s="1"/>
  <c r="N54" i="2"/>
  <c r="N49" i="2"/>
  <c r="N56" i="2" s="1"/>
  <c r="J54" i="2"/>
  <c r="J49" i="2"/>
  <c r="AE44" i="2"/>
  <c r="AF44" i="2"/>
  <c r="AF25" i="2"/>
  <c r="AE25" i="2"/>
  <c r="AE27" i="2" s="1"/>
  <c r="AD25" i="2"/>
  <c r="N44" i="2"/>
  <c r="O44" i="2"/>
  <c r="O91" i="2"/>
  <c r="R26" i="2"/>
  <c r="Q46" i="2"/>
  <c r="N46" i="2"/>
  <c r="AG30" i="2"/>
  <c r="AH30" i="2" s="1"/>
  <c r="AI30" i="2" s="1"/>
  <c r="AJ30" i="2" s="1"/>
  <c r="AK30" i="2" s="1"/>
  <c r="AL30" i="2" s="1"/>
  <c r="AM30" i="2" s="1"/>
  <c r="AN30" i="2" s="1"/>
  <c r="AO30" i="2" s="1"/>
  <c r="AG29" i="2"/>
  <c r="AH29" i="2" s="1"/>
  <c r="AI29" i="2" s="1"/>
  <c r="AJ29" i="2" s="1"/>
  <c r="AK29" i="2" s="1"/>
  <c r="AL29" i="2" s="1"/>
  <c r="AM29" i="2" s="1"/>
  <c r="AN29" i="2" s="1"/>
  <c r="AO29" i="2" s="1"/>
  <c r="AG28" i="2"/>
  <c r="AH28" i="2" s="1"/>
  <c r="AF31" i="2"/>
  <c r="AE31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J31" i="2"/>
  <c r="J27" i="2"/>
  <c r="J46" i="2" s="1"/>
  <c r="I27" i="2"/>
  <c r="I46" i="2" s="1"/>
  <c r="H27" i="2"/>
  <c r="H46" i="2" s="1"/>
  <c r="N27" i="2"/>
  <c r="M27" i="2"/>
  <c r="M46" i="2" s="1"/>
  <c r="L27" i="2"/>
  <c r="L46" i="2" s="1"/>
  <c r="N31" i="2"/>
  <c r="M31" i="2"/>
  <c r="L31" i="2"/>
  <c r="K31" i="2"/>
  <c r="K41" i="2"/>
  <c r="L40" i="2"/>
  <c r="N41" i="2"/>
  <c r="M41" i="2"/>
  <c r="L41" i="2"/>
  <c r="N40" i="2"/>
  <c r="M40" i="2"/>
  <c r="O24" i="2"/>
  <c r="O13" i="2" s="1"/>
  <c r="N24" i="2"/>
  <c r="N14" i="2" s="1"/>
  <c r="M24" i="2"/>
  <c r="M14" i="2" s="1"/>
  <c r="L24" i="2"/>
  <c r="L14" i="2" s="1"/>
  <c r="K24" i="2"/>
  <c r="K25" i="2" s="1"/>
  <c r="J24" i="2"/>
  <c r="J14" i="2" s="1"/>
  <c r="I24" i="2"/>
  <c r="I14" i="2" s="1"/>
  <c r="H24" i="2"/>
  <c r="H14" i="2" s="1"/>
  <c r="G24" i="2"/>
  <c r="G14" i="2" s="1"/>
  <c r="N10" i="2"/>
  <c r="M10" i="2"/>
  <c r="L10" i="2"/>
  <c r="M11" i="2" s="1"/>
  <c r="J10" i="2"/>
  <c r="I10" i="2"/>
  <c r="H10" i="2"/>
  <c r="O41" i="2"/>
  <c r="M4" i="1"/>
  <c r="M7" i="1" s="1"/>
  <c r="O85" i="2"/>
  <c r="O86" i="2" s="1"/>
  <c r="O78" i="2"/>
  <c r="O79" i="2"/>
  <c r="O75" i="2"/>
  <c r="O76" i="2" s="1"/>
  <c r="O60" i="2"/>
  <c r="O54" i="2"/>
  <c r="O49" i="2"/>
  <c r="O31" i="2"/>
  <c r="R46" i="2" l="1"/>
  <c r="AE32" i="2"/>
  <c r="AE34" i="2" s="1"/>
  <c r="AE36" i="2" s="1"/>
  <c r="AE37" i="2" s="1"/>
  <c r="P31" i="2"/>
  <c r="P32" i="2" s="1"/>
  <c r="P34" i="2" s="1"/>
  <c r="P47" i="2" s="1"/>
  <c r="AF49" i="2"/>
  <c r="J56" i="2"/>
  <c r="AF40" i="2"/>
  <c r="Q31" i="2"/>
  <c r="Q32" i="2" s="1"/>
  <c r="Q34" i="2" s="1"/>
  <c r="Q35" i="2" s="1"/>
  <c r="Q47" i="2" s="1"/>
  <c r="P46" i="2"/>
  <c r="Q26" i="2"/>
  <c r="O25" i="2"/>
  <c r="O10" i="2" s="1"/>
  <c r="O11" i="2" s="1"/>
  <c r="N88" i="2"/>
  <c r="G25" i="2"/>
  <c r="AF27" i="2"/>
  <c r="AF46" i="2" s="1"/>
  <c r="I32" i="2"/>
  <c r="I34" i="2" s="1"/>
  <c r="M13" i="2"/>
  <c r="K14" i="2"/>
  <c r="K15" i="2" s="1"/>
  <c r="N11" i="2"/>
  <c r="Q38" i="2"/>
  <c r="R38" i="2" s="1"/>
  <c r="H32" i="2"/>
  <c r="H34" i="2" s="1"/>
  <c r="H36" i="2" s="1"/>
  <c r="H37" i="2" s="1"/>
  <c r="I47" i="2"/>
  <c r="I36" i="2"/>
  <c r="I37" i="2" s="1"/>
  <c r="L32" i="2"/>
  <c r="L34" i="2" s="1"/>
  <c r="R31" i="2"/>
  <c r="R32" i="2" s="1"/>
  <c r="R34" i="2" s="1"/>
  <c r="R35" i="2" s="1"/>
  <c r="R47" i="2" s="1"/>
  <c r="AE47" i="2"/>
  <c r="AI28" i="2"/>
  <c r="AH31" i="2"/>
  <c r="AG31" i="2"/>
  <c r="M32" i="2"/>
  <c r="M34" i="2" s="1"/>
  <c r="AE46" i="2"/>
  <c r="N32" i="2"/>
  <c r="N34" i="2" s="1"/>
  <c r="K13" i="2"/>
  <c r="L13" i="2"/>
  <c r="K27" i="2"/>
  <c r="K40" i="2"/>
  <c r="AF32" i="2"/>
  <c r="AF34" i="2" s="1"/>
  <c r="J32" i="2"/>
  <c r="J34" i="2" s="1"/>
  <c r="I15" i="2"/>
  <c r="I13" i="2"/>
  <c r="O14" i="2"/>
  <c r="N13" i="2"/>
  <c r="O15" i="2"/>
  <c r="N15" i="2"/>
  <c r="M15" i="2"/>
  <c r="J13" i="2"/>
  <c r="H13" i="2"/>
  <c r="G13" i="2"/>
  <c r="H15" i="2"/>
  <c r="J15" i="2"/>
  <c r="I11" i="2"/>
  <c r="M12" i="2" s="1"/>
  <c r="J11" i="2"/>
  <c r="K10" i="2"/>
  <c r="L11" i="2" s="1"/>
  <c r="O81" i="2"/>
  <c r="O88" i="2" s="1"/>
  <c r="O56" i="2"/>
  <c r="P36" i="2" l="1"/>
  <c r="L15" i="2"/>
  <c r="Q36" i="2"/>
  <c r="Q37" i="2" s="1"/>
  <c r="J36" i="2"/>
  <c r="J37" i="2" s="1"/>
  <c r="J47" i="2"/>
  <c r="N36" i="2"/>
  <c r="N47" i="2"/>
  <c r="G10" i="2"/>
  <c r="H11" i="2" s="1"/>
  <c r="G27" i="2"/>
  <c r="AG38" i="2"/>
  <c r="AH38" i="2" s="1"/>
  <c r="AI38" i="2" s="1"/>
  <c r="AJ38" i="2" s="1"/>
  <c r="L12" i="2"/>
  <c r="N12" i="2"/>
  <c r="M36" i="2"/>
  <c r="M37" i="2" s="1"/>
  <c r="M47" i="2"/>
  <c r="L36" i="2"/>
  <c r="L37" i="2" s="1"/>
  <c r="L47" i="2"/>
  <c r="Q49" i="2"/>
  <c r="R36" i="2"/>
  <c r="R37" i="2" s="1"/>
  <c r="AF36" i="2"/>
  <c r="AF37" i="2" s="1"/>
  <c r="AF47" i="2"/>
  <c r="K32" i="2"/>
  <c r="K34" i="2" s="1"/>
  <c r="K46" i="2"/>
  <c r="O16" i="2"/>
  <c r="AJ28" i="2"/>
  <c r="AI31" i="2"/>
  <c r="M16" i="2"/>
  <c r="O27" i="2"/>
  <c r="AG25" i="2"/>
  <c r="O40" i="2"/>
  <c r="N16" i="2"/>
  <c r="L16" i="2"/>
  <c r="K11" i="2"/>
  <c r="O12" i="2" s="1"/>
  <c r="P37" i="2" l="1"/>
  <c r="P69" i="2"/>
  <c r="K36" i="2"/>
  <c r="K37" i="2" s="1"/>
  <c r="K47" i="2"/>
  <c r="G46" i="2"/>
  <c r="G32" i="2"/>
  <c r="G34" i="2" s="1"/>
  <c r="G36" i="2" s="1"/>
  <c r="G37" i="2" s="1"/>
  <c r="N37" i="2"/>
  <c r="N69" i="2"/>
  <c r="R49" i="2"/>
  <c r="AG49" i="2" s="1"/>
  <c r="AH33" i="2" s="1"/>
  <c r="O32" i="2"/>
  <c r="O34" i="2" s="1"/>
  <c r="O46" i="2"/>
  <c r="AK38" i="2"/>
  <c r="AG40" i="2"/>
  <c r="AH25" i="2"/>
  <c r="AG27" i="2"/>
  <c r="AG46" i="2" s="1"/>
  <c r="AK28" i="2"/>
  <c r="AJ31" i="2"/>
  <c r="O36" i="2" l="1"/>
  <c r="O37" i="2" s="1"/>
  <c r="O47" i="2"/>
  <c r="O69" i="2"/>
  <c r="AL38" i="2"/>
  <c r="AL28" i="2"/>
  <c r="AK31" i="2"/>
  <c r="AG32" i="2"/>
  <c r="AG34" i="2" s="1"/>
  <c r="AI25" i="2"/>
  <c r="AH27" i="2"/>
  <c r="AH46" i="2" s="1"/>
  <c r="AH40" i="2"/>
  <c r="AG26" i="2"/>
  <c r="AG35" i="2" l="1"/>
  <c r="AG47" i="2" s="1"/>
  <c r="AM38" i="2"/>
  <c r="AM28" i="2"/>
  <c r="AL31" i="2"/>
  <c r="AH26" i="2"/>
  <c r="AH32" i="2"/>
  <c r="AH34" i="2" s="1"/>
  <c r="AJ25" i="2"/>
  <c r="AI27" i="2"/>
  <c r="AI46" i="2" s="1"/>
  <c r="AI40" i="2"/>
  <c r="AG36" i="2" l="1"/>
  <c r="AG37" i="2" s="1"/>
  <c r="AH35" i="2"/>
  <c r="AH47" i="2" s="1"/>
  <c r="AN38" i="2"/>
  <c r="AI26" i="2"/>
  <c r="AI32" i="2"/>
  <c r="AK25" i="2"/>
  <c r="AJ27" i="2"/>
  <c r="AJ46" i="2" s="1"/>
  <c r="AJ40" i="2"/>
  <c r="AN28" i="2"/>
  <c r="AM31" i="2"/>
  <c r="AH36" i="2" l="1"/>
  <c r="AO38" i="2"/>
  <c r="AO28" i="2"/>
  <c r="AO31" i="2" s="1"/>
  <c r="AN31" i="2"/>
  <c r="AJ26" i="2"/>
  <c r="AJ32" i="2"/>
  <c r="AL25" i="2"/>
  <c r="AK27" i="2"/>
  <c r="AK46" i="2" s="1"/>
  <c r="AK40" i="2"/>
  <c r="AH49" i="2" l="1"/>
  <c r="AI33" i="2" s="1"/>
  <c r="AH37" i="2"/>
  <c r="AM25" i="2"/>
  <c r="AL27" i="2"/>
  <c r="AL26" i="2" s="1"/>
  <c r="AL40" i="2"/>
  <c r="AK26" i="2"/>
  <c r="AK32" i="2"/>
  <c r="AL32" i="2" l="1"/>
  <c r="AL46" i="2"/>
  <c r="AI34" i="2"/>
  <c r="AN25" i="2"/>
  <c r="AM27" i="2"/>
  <c r="AM26" i="2" s="1"/>
  <c r="AM40" i="2"/>
  <c r="AM32" i="2" l="1"/>
  <c r="AM46" i="2"/>
  <c r="AI35" i="2"/>
  <c r="AI47" i="2" s="1"/>
  <c r="AO25" i="2"/>
  <c r="AN27" i="2"/>
  <c r="AN26" i="2" s="1"/>
  <c r="AN40" i="2"/>
  <c r="AN32" i="2" l="1"/>
  <c r="AN46" i="2"/>
  <c r="AI36" i="2"/>
  <c r="AO40" i="2"/>
  <c r="AO27" i="2"/>
  <c r="AO32" i="2" l="1"/>
  <c r="AO46" i="2"/>
  <c r="AO26" i="2"/>
  <c r="AI37" i="2"/>
  <c r="AI49" i="2"/>
  <c r="AJ33" i="2" s="1"/>
  <c r="AJ34" i="2" l="1"/>
  <c r="AJ35" i="2" l="1"/>
  <c r="AJ47" i="2" s="1"/>
  <c r="AJ36" i="2" l="1"/>
  <c r="AJ37" i="2" s="1"/>
  <c r="AJ49" i="2"/>
  <c r="AK33" i="2" s="1"/>
  <c r="AK34" i="2" l="1"/>
  <c r="AK35" i="2" l="1"/>
  <c r="AK47" i="2" s="1"/>
  <c r="AK36" i="2"/>
  <c r="AK37" i="2" l="1"/>
  <c r="AK49" i="2"/>
  <c r="AL33" i="2" s="1"/>
  <c r="AL34" i="2" l="1"/>
  <c r="AL35" i="2" l="1"/>
  <c r="AL47" i="2" s="1"/>
  <c r="AL36" i="2" l="1"/>
  <c r="AL37" i="2" l="1"/>
  <c r="AL49" i="2"/>
  <c r="AM33" i="2" s="1"/>
  <c r="AM34" i="2" l="1"/>
  <c r="AM35" i="2" l="1"/>
  <c r="AM47" i="2" s="1"/>
  <c r="AM36" i="2" l="1"/>
  <c r="AM37" i="2" l="1"/>
  <c r="AM49" i="2"/>
  <c r="AN33" i="2" s="1"/>
  <c r="AN34" i="2" l="1"/>
  <c r="AN35" i="2" l="1"/>
  <c r="AN47" i="2" s="1"/>
  <c r="AN36" i="2" l="1"/>
  <c r="AN37" i="2" l="1"/>
  <c r="AN49" i="2"/>
  <c r="AO33" i="2" s="1"/>
  <c r="AO34" i="2" l="1"/>
  <c r="AO35" i="2" l="1"/>
  <c r="AO47" i="2" s="1"/>
  <c r="AO36" i="2" l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AT46" i="2" s="1"/>
  <c r="AT50" i="2" s="1"/>
  <c r="AT51" i="2" l="1"/>
  <c r="AO37" i="2"/>
  <c r="AO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tc={0E3DC74B-1EA6-4DE1-9FC1-22223C626216}</author>
    <author>tc={BD43B5D8-C5C9-4E17-8362-9EF57E1B35E5}</author>
    <author>tc={8C543166-7E6A-448B-B7E3-720F51E35135}</author>
    <author>tc={37B1D132-4F99-4BFA-B9DE-FA9D39796D75}</author>
  </authors>
  <commentList>
    <comment ref="N25" authorId="0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O25" authorId="1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P25" authorId="2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Q25" authorId="3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</commentList>
</comments>
</file>

<file path=xl/sharedStrings.xml><?xml version="1.0" encoding="utf-8"?>
<sst xmlns="http://schemas.openxmlformats.org/spreadsheetml/2006/main" count="134" uniqueCount="122">
  <si>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</si>
  <si>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</si>
  <si>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</si>
  <si>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</si>
  <si>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</si>
  <si>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</si>
  <si>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</si>
  <si>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</si>
  <si>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</si>
  <si>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</si>
  <si>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</si>
  <si>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</si>
  <si>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</si>
  <si>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</si>
  <si>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</si>
  <si>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</si>
  <si>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</si>
  <si>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</si>
  <si>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</si>
  <si>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</si>
  <si>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</si>
  <si>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</si>
  <si>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</si>
  <si>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</si>
  <si>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</si>
  <si>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</si>
  <si>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</si>
  <si>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</si>
  <si>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</si>
  <si>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</si>
  <si>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</si>
  <si>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</si>
  <si>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</si>
  <si>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</si>
  <si>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</si>
  <si>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</si>
  <si>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</si>
  <si>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</si>
  <si>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</si>
  <si>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</si>
  <si>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</si>
  <si>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</si>
  <si>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</si>
  <si>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</si>
  <si>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</si>
  <si>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</si>
  <si>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</si>
  <si>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</si>
  <si>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</si>
  <si>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</si>
  <si>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</si>
  <si>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</si>
  <si>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</si>
  <si>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</si>
  <si>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</si>
  <si>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</si>
  <si>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</si>
  <si>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</si>
  <si>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</si>
  <si>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</si>
  <si>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</si>
  <si>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</si>
  <si>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</si>
  <si>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</si>
  <si>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</si>
  <si>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</si>
  <si>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</si>
  <si>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</si>
  <si>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</si>
  <si>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</si>
  <si>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</si>
  <si>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</si>
  <si>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</si>
  <si>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</si>
  <si>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</si>
  <si>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</si>
  <si>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</si>
  <si>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</si>
  <si>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</si>
  <si>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</si>
  <si>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</si>
  <si>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</si>
  <si>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</si>
  <si>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</si>
  <si>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</si>
  <si>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</si>
  <si>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</si>
  <si>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</si>
  <si>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</si>
  <si>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</si>
  <si>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</si>
  <si>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</si>
  <si>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</si>
  <si>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</si>
  <si>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</si>
  <si>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</si>
  <si>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</si>
  <si>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</si>
  <si>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</si>
  <si>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</si>
  <si>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</si>
  <si>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</si>
  <si>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</si>
  <si>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</si>
  <si>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</si>
  <si>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</si>
  <si>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</si>
  <si>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</si>
  <si>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</si>
  <si>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</si>
  <si>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</si>
  <si>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</si>
  <si>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</si>
  <si>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</si>
  <si>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</si>
  <si>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</si>
  <si>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</si>
  <si>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</si>
  <si>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</si>
  <si>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</si>
  <si>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</si>
  <si>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ROW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</si>
</sst>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19050</xdr:rowOff>
    </xdr:from>
    <xdr:to>
      <xdr:col>16</xdr:col>
      <xdr:colOff>19050</xdr:colOff>
      <xdr:row>115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0153650" y="180975"/>
          <a:ext cx="0" cy="18459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28575</xdr:colOff>
      <xdr:row>0</xdr:row>
      <xdr:rowOff>0</xdr:rowOff>
    </xdr:from>
    <xdr:to>
      <xdr:col>32</xdr:col>
      <xdr:colOff>28575</xdr:colOff>
      <xdr:row>53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5" dT="2022-06-12T02:12:46.51" personId="{527D12BE-C9D2-4ADE-8FA6-64C9EAF4387F}" id="{0E3DC74B-1EA6-4DE1-9FC1-22223C626216}">
    <text>Q321: 31.5B-34B guidance</text>
  </threadedComment>
  <threadedComment ref="O25" dT="2022-06-12T01:45:07.26" personId="{527D12BE-C9D2-4ADE-8FA6-64C9EAF4387F}" id="{BD43B5D8-C5C9-4E17-8362-9EF57E1B35E5}">
    <text>Q421 guidance: 27-29B</text>
  </threadedComment>
  <threadedComment ref="P25" dT="2022-06-11T18:28:26.10" personId="{527D12BE-C9D2-4ADE-8FA6-64C9EAF4387F}" id="{8C543166-7E6A-448B-B7E3-720F51E35135}">
    <text>Q122 guidance: 28-30B</text>
  </threadedComment>
  <threadedComment ref="Q25" dT="2022-07-27T23:03:53.04" personId="{527D12BE-C9D2-4ADE-8FA6-64C9EAF4387F}" id="{37B1D132-4F99-4BFA-B9DE-FA9D39796D75}">
    <text>Q222 guidance: 26-28.5B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workbookViewId="0"/>
  </sheetViews>
  <sheetFormatPr defaultRowHeight="12.75" x14ac:dyDescent="0.2"/>
  <cols>
    <col min="2" max="2" width="13" customWidth="1"/>
  </cols>
  <sheetData>
    <row r="1" spans="1:14" x14ac:dyDescent="0.2">
      <c r="A1" t="s">
        <v>0</v>
      </c>
    </row>
    <row r="2" spans="1:14" x14ac:dyDescent="0.2">
      <c r="L2" t="s">
        <v>1</v>
      </c>
      <c r="M2">
        <v>175.57</v>
      </c>
    </row>
    <row r="3" spans="1:14" x14ac:dyDescent="0.2">
      <c r="B3" t="s">
        <v>29</v>
      </c>
      <c r="C3" t="s">
        <v>106</v>
      </c>
      <c r="L3" t="s">
        <v>2</v>
      </c>
      <c r="M3" s="3">
        <v>2742</v>
      </c>
      <c r="N3" s="1" t="s">
        <v>20</v>
      </c>
    </row>
    <row r="4" spans="1:14" x14ac:dyDescent="0.2">
      <c r="B4" t="s">
        <v>30</v>
      </c>
      <c r="C4" t="s">
        <v>105</v>
      </c>
      <c r="L4" t="s">
        <v>3</v>
      </c>
      <c r="M4" s="3">
        <f>+M3*M2</f>
        <v>481412.94</v>
      </c>
    </row>
    <row r="5" spans="1:14" x14ac:dyDescent="0.2">
      <c r="B5" t="s">
        <v>31</v>
      </c>
      <c r="L5" t="s">
        <v>4</v>
      </c>
      <c r="M5" s="3">
        <v>43890</v>
      </c>
      <c r="N5" s="1" t="s">
        <v>20</v>
      </c>
    </row>
    <row r="6" spans="1:14" x14ac:dyDescent="0.2">
      <c r="L6" t="s">
        <v>5</v>
      </c>
      <c r="M6" s="3">
        <v>0</v>
      </c>
      <c r="N6" s="1" t="s">
        <v>20</v>
      </c>
    </row>
    <row r="7" spans="1:14" x14ac:dyDescent="0.2">
      <c r="L7" t="s">
        <v>6</v>
      </c>
      <c r="M7" s="3">
        <f>+M4-M5+M6</f>
        <v>437522.94</v>
      </c>
    </row>
    <row r="8" spans="1:14" x14ac:dyDescent="0.2">
      <c r="B8" s="5" t="s">
        <v>34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90</v>
      </c>
      <c r="M10" s="3">
        <v>1865.970703</v>
      </c>
    </row>
    <row r="11" spans="1:14" x14ac:dyDescent="0.2">
      <c r="L11" t="s">
        <v>91</v>
      </c>
      <c r="M11" s="3">
        <v>366.55794300000002</v>
      </c>
    </row>
    <row r="15" spans="1:14" x14ac:dyDescent="0.2">
      <c r="B15" t="s">
        <v>86</v>
      </c>
    </row>
    <row r="16" spans="1:14" x14ac:dyDescent="0.2">
      <c r="B16" t="s">
        <v>109</v>
      </c>
    </row>
    <row r="17" spans="2:2" x14ac:dyDescent="0.2">
      <c r="B17" t="s">
        <v>87</v>
      </c>
    </row>
    <row r="18" spans="2:2" x14ac:dyDescent="0.2">
      <c r="B18" t="s">
        <v>92</v>
      </c>
    </row>
    <row r="19" spans="2:2" x14ac:dyDescent="0.2">
      <c r="B19" t="s">
        <v>102</v>
      </c>
    </row>
    <row r="24" spans="2:2" x14ac:dyDescent="0.2">
      <c r="B24" t="s">
        <v>88</v>
      </c>
    </row>
    <row r="25" spans="2:2" x14ac:dyDescent="0.2">
      <c r="B25" t="s">
        <v>89</v>
      </c>
    </row>
    <row r="27" spans="2:2" x14ac:dyDescent="0.2">
      <c r="B27" t="s">
        <v>93</v>
      </c>
    </row>
    <row r="28" spans="2:2" x14ac:dyDescent="0.2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CS91"/>
  <sheetViews>
    <sheetView tabSelected="1" workbookViewId="0">
      <pane xSplit="2" ySplit="2" topLeftCell="AF21" activePane="bottomRight" state="frozen"/>
      <selection pane="topRight" activeCell="C1" sqref="C1"/>
      <selection pane="bottomLeft" activeCell="A3" sqref="A3"/>
      <selection pane="bottomRight" activeCell="AT50" sqref="AT50"/>
    </sheetView>
  </sheetViews>
  <sheetFormatPr defaultRowHeight="12.75" x14ac:dyDescent="0.2"/>
  <cols>
    <col min="1" max="1" width="5" bestFit="1" customWidth="1"/>
    <col min="2" max="2" width="19" customWidth="1"/>
    <col min="3" max="21" width="9.140625" style="1"/>
  </cols>
  <sheetData>
    <row r="1" spans="1:41" x14ac:dyDescent="0.2">
      <c r="A1" s="2" t="s">
        <v>7</v>
      </c>
    </row>
    <row r="2" spans="1:41" x14ac:dyDescent="0.2"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117</v>
      </c>
      <c r="T2" s="1" t="s">
        <v>118</v>
      </c>
      <c r="U2" s="1" t="s">
        <v>119</v>
      </c>
      <c r="V2" s="1" t="s">
        <v>120</v>
      </c>
      <c r="Z2">
        <v>2015</v>
      </c>
      <c r="AA2">
        <f>+Z2+1</f>
        <v>2016</v>
      </c>
      <c r="AB2">
        <f t="shared" ref="AB2:AO2" si="0">+AA2+1</f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</row>
    <row r="3" spans="1:41" s="3" customFormat="1" x14ac:dyDescent="0.2">
      <c r="B3" s="3" t="s">
        <v>25</v>
      </c>
      <c r="C3" s="6"/>
      <c r="D3" s="6"/>
      <c r="E3" s="6"/>
      <c r="F3" s="6"/>
      <c r="G3" s="6">
        <v>2360</v>
      </c>
      <c r="H3" s="6">
        <v>2470</v>
      </c>
      <c r="I3" s="6">
        <v>2540</v>
      </c>
      <c r="J3" s="6">
        <v>2600</v>
      </c>
      <c r="K3" s="6">
        <v>2720</v>
      </c>
      <c r="L3" s="6">
        <v>2760</v>
      </c>
      <c r="M3" s="6">
        <v>2810</v>
      </c>
      <c r="N3" s="6">
        <v>2820</v>
      </c>
      <c r="O3" s="6">
        <v>2870</v>
      </c>
      <c r="P3" s="6">
        <v>2880</v>
      </c>
      <c r="Q3" s="6"/>
      <c r="R3" s="6"/>
      <c r="S3" s="6"/>
      <c r="T3" s="6"/>
      <c r="U3" s="6"/>
    </row>
    <row r="4" spans="1:41" s="3" customFormat="1" x14ac:dyDescent="0.2">
      <c r="B4" s="3" t="s">
        <v>26</v>
      </c>
      <c r="C4" s="6"/>
      <c r="D4" s="6"/>
      <c r="E4" s="6"/>
      <c r="F4" s="6"/>
      <c r="G4" s="6">
        <v>2990</v>
      </c>
      <c r="H4" s="6">
        <v>3140</v>
      </c>
      <c r="I4" s="6">
        <v>3210</v>
      </c>
      <c r="J4" s="6">
        <v>3300</v>
      </c>
      <c r="K4" s="6">
        <v>3450</v>
      </c>
      <c r="L4" s="6">
        <v>3510</v>
      </c>
      <c r="M4" s="6">
        <v>3580</v>
      </c>
      <c r="N4" s="6">
        <v>3590</v>
      </c>
      <c r="O4" s="6">
        <v>3640</v>
      </c>
      <c r="P4" s="6">
        <v>3650</v>
      </c>
      <c r="Q4" s="6"/>
      <c r="R4" s="6"/>
      <c r="S4" s="6"/>
      <c r="T4" s="6"/>
      <c r="U4" s="6"/>
    </row>
    <row r="5" spans="1:41" s="3" customFormat="1" x14ac:dyDescent="0.2">
      <c r="B5" s="3" t="s">
        <v>27</v>
      </c>
      <c r="C5" s="6"/>
      <c r="D5" s="6"/>
      <c r="E5" s="6"/>
      <c r="F5" s="6"/>
      <c r="G5" s="6">
        <v>1734</v>
      </c>
      <c r="H5" s="6">
        <v>1785</v>
      </c>
      <c r="I5" s="6">
        <v>1820</v>
      </c>
      <c r="J5" s="6">
        <v>1845</v>
      </c>
      <c r="K5" s="6">
        <v>1878</v>
      </c>
      <c r="L5" s="6">
        <v>1908</v>
      </c>
      <c r="M5" s="6">
        <v>1930</v>
      </c>
      <c r="N5" s="6">
        <v>1929</v>
      </c>
      <c r="O5" s="6">
        <v>1960</v>
      </c>
      <c r="P5" s="6">
        <v>1968</v>
      </c>
      <c r="Q5" s="6"/>
      <c r="R5" s="6"/>
      <c r="S5" s="6"/>
      <c r="T5" s="6"/>
      <c r="U5" s="6"/>
    </row>
    <row r="6" spans="1:41" s="3" customFormat="1" x14ac:dyDescent="0.2">
      <c r="B6" s="3" t="s">
        <v>101</v>
      </c>
      <c r="C6" s="6"/>
      <c r="D6" s="6"/>
      <c r="E6" s="6"/>
      <c r="F6" s="6"/>
      <c r="G6" s="6">
        <v>195</v>
      </c>
      <c r="H6" s="6">
        <v>198</v>
      </c>
      <c r="I6" s="6">
        <v>196</v>
      </c>
      <c r="J6" s="6">
        <v>195</v>
      </c>
      <c r="K6" s="6">
        <v>195</v>
      </c>
      <c r="L6" s="6">
        <v>195</v>
      </c>
      <c r="M6" s="6">
        <v>196</v>
      </c>
      <c r="N6" s="6">
        <v>195</v>
      </c>
      <c r="O6" s="6">
        <v>196</v>
      </c>
      <c r="P6" s="6">
        <v>197</v>
      </c>
      <c r="Q6" s="6"/>
      <c r="R6" s="6"/>
      <c r="S6" s="6"/>
      <c r="T6" s="6"/>
      <c r="U6" s="6"/>
    </row>
    <row r="7" spans="1:41" s="3" customFormat="1" x14ac:dyDescent="0.2">
      <c r="B7" s="3" t="s">
        <v>28</v>
      </c>
      <c r="C7" s="6"/>
      <c r="D7" s="6"/>
      <c r="E7" s="6"/>
      <c r="F7" s="6"/>
      <c r="G7" s="6">
        <v>2603</v>
      </c>
      <c r="H7" s="6">
        <v>2701</v>
      </c>
      <c r="I7" s="6">
        <v>2740</v>
      </c>
      <c r="J7" s="6">
        <v>2797</v>
      </c>
      <c r="K7" s="6">
        <v>2853</v>
      </c>
      <c r="L7" s="6">
        <v>2895</v>
      </c>
      <c r="M7" s="6">
        <v>2910</v>
      </c>
      <c r="N7" s="6">
        <v>2912</v>
      </c>
      <c r="O7" s="6">
        <v>2936</v>
      </c>
      <c r="P7" s="6">
        <v>2934</v>
      </c>
      <c r="Q7" s="6"/>
      <c r="R7" s="6"/>
      <c r="S7" s="6"/>
      <c r="T7" s="6"/>
      <c r="U7" s="6"/>
    </row>
    <row r="8" spans="1:41" s="3" customFormat="1" x14ac:dyDescent="0.2">
      <c r="B8" s="3" t="s">
        <v>101</v>
      </c>
      <c r="C8" s="6"/>
      <c r="D8" s="6"/>
      <c r="E8" s="6"/>
      <c r="F8" s="6"/>
      <c r="G8" s="6">
        <v>253</v>
      </c>
      <c r="H8" s="6">
        <v>256</v>
      </c>
      <c r="I8" s="6">
        <v>255</v>
      </c>
      <c r="J8" s="6">
        <v>258</v>
      </c>
      <c r="K8" s="6">
        <v>259</v>
      </c>
      <c r="L8" s="6">
        <v>259</v>
      </c>
      <c r="M8" s="6">
        <v>261</v>
      </c>
      <c r="N8" s="6">
        <v>262</v>
      </c>
      <c r="O8" s="6">
        <v>263</v>
      </c>
      <c r="P8" s="6">
        <v>264</v>
      </c>
      <c r="Q8" s="6"/>
      <c r="R8" s="6"/>
      <c r="S8" s="6"/>
      <c r="T8" s="6"/>
      <c r="U8" s="6"/>
    </row>
    <row r="9" spans="1:41" s="3" customFormat="1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41" s="3" customFormat="1" x14ac:dyDescent="0.2">
      <c r="B10" s="3" t="s">
        <v>98</v>
      </c>
      <c r="C10" s="6"/>
      <c r="D10" s="6"/>
      <c r="E10" s="6"/>
      <c r="F10" s="6"/>
      <c r="G10" s="9">
        <f t="shared" ref="G10:N10" si="1">+G25/G4</f>
        <v>5.9321070234113709</v>
      </c>
      <c r="H10" s="9">
        <f t="shared" si="1"/>
        <v>5.9512738853503189</v>
      </c>
      <c r="I10" s="9">
        <f t="shared" si="1"/>
        <v>6.6884735202492216</v>
      </c>
      <c r="J10" s="9">
        <f t="shared" si="1"/>
        <v>8.5066666666666659</v>
      </c>
      <c r="K10" s="9">
        <f t="shared" si="1"/>
        <v>7.5857971014492751</v>
      </c>
      <c r="L10" s="9">
        <f t="shared" si="1"/>
        <v>8.2840455840455842</v>
      </c>
      <c r="M10" s="9">
        <f t="shared" si="1"/>
        <v>8.1033519553072626</v>
      </c>
      <c r="N10" s="9">
        <f t="shared" si="1"/>
        <v>9.3791086350974933</v>
      </c>
      <c r="O10" s="9">
        <f>+O25/O4</f>
        <v>7.6670329670329673</v>
      </c>
      <c r="P10" s="9">
        <f>+P25/P4</f>
        <v>7.8964383561643832</v>
      </c>
      <c r="Q10" s="6"/>
      <c r="R10" s="6"/>
      <c r="S10" s="6"/>
      <c r="T10" s="6"/>
      <c r="U10" s="6"/>
    </row>
    <row r="11" spans="1:41" s="3" customFormat="1" x14ac:dyDescent="0.2">
      <c r="B11" s="3" t="s">
        <v>99</v>
      </c>
      <c r="C11" s="6"/>
      <c r="D11" s="6"/>
      <c r="E11" s="6"/>
      <c r="F11" s="6"/>
      <c r="G11" s="9"/>
      <c r="H11" s="9">
        <f t="shared" ref="H11:N11" si="2">AVERAGE(G10:H10)</f>
        <v>5.9416904543808453</v>
      </c>
      <c r="I11" s="9">
        <f t="shared" si="2"/>
        <v>6.3198737027997698</v>
      </c>
      <c r="J11" s="9">
        <f t="shared" si="2"/>
        <v>7.5975700934579438</v>
      </c>
      <c r="K11" s="9">
        <f t="shared" si="2"/>
        <v>8.0462318840579705</v>
      </c>
      <c r="L11" s="9">
        <f t="shared" si="2"/>
        <v>7.9349213427474297</v>
      </c>
      <c r="M11" s="9">
        <f t="shared" si="2"/>
        <v>8.1936987696764234</v>
      </c>
      <c r="N11" s="9">
        <f t="shared" si="2"/>
        <v>8.7412302952023779</v>
      </c>
      <c r="O11" s="9">
        <f>AVERAGE(N10:O10)</f>
        <v>8.5230708010652307</v>
      </c>
      <c r="P11" s="9">
        <f>AVERAGE(O10:P10)</f>
        <v>7.7817356615986757</v>
      </c>
      <c r="Q11" s="6"/>
      <c r="R11" s="6"/>
      <c r="S11" s="6"/>
      <c r="T11" s="6"/>
      <c r="U11" s="6"/>
    </row>
    <row r="12" spans="1:41" s="13" customFormat="1" x14ac:dyDescent="0.2">
      <c r="B12" s="13" t="s">
        <v>100</v>
      </c>
      <c r="C12" s="14"/>
      <c r="D12" s="14"/>
      <c r="E12" s="14"/>
      <c r="F12" s="14"/>
      <c r="G12" s="15"/>
      <c r="H12" s="15"/>
      <c r="I12" s="15"/>
      <c r="J12" s="15"/>
      <c r="K12" s="16"/>
      <c r="L12" s="16">
        <f t="shared" ref="L12:N12" si="3">L11/H11-1</f>
        <v>0.33546528612862403</v>
      </c>
      <c r="M12" s="16">
        <f t="shared" si="3"/>
        <v>0.29649723317200616</v>
      </c>
      <c r="N12" s="16">
        <f t="shared" si="3"/>
        <v>0.15052973354325583</v>
      </c>
      <c r="O12" s="16">
        <f>O11/K11-1</f>
        <v>5.9262388143700218E-2</v>
      </c>
      <c r="P12" s="16">
        <f>P11/L11-1</f>
        <v>-1.9305255154011935E-2</v>
      </c>
      <c r="Q12" s="14"/>
      <c r="R12" s="14"/>
      <c r="S12" s="14"/>
      <c r="T12" s="14"/>
      <c r="U12" s="14"/>
    </row>
    <row r="13" spans="1:41" s="3" customFormat="1" x14ac:dyDescent="0.2">
      <c r="B13" s="3" t="s">
        <v>84</v>
      </c>
      <c r="C13" s="6"/>
      <c r="D13" s="6"/>
      <c r="E13" s="6"/>
      <c r="F13" s="6"/>
      <c r="G13" s="9">
        <f t="shared" ref="G13:N13" si="4">+G24/G4</f>
        <v>5.8327759197324411</v>
      </c>
      <c r="H13" s="9">
        <f t="shared" si="4"/>
        <v>5.834713375796178</v>
      </c>
      <c r="I13" s="9">
        <f t="shared" si="4"/>
        <v>6.6109034267912774</v>
      </c>
      <c r="J13" s="9">
        <f t="shared" si="4"/>
        <v>8.2384848484848483</v>
      </c>
      <c r="K13" s="9">
        <f t="shared" si="4"/>
        <v>7.373623188405797</v>
      </c>
      <c r="L13" s="9">
        <f t="shared" si="4"/>
        <v>8.1424501424501425</v>
      </c>
      <c r="M13" s="9">
        <f t="shared" si="4"/>
        <v>7.8983240223463689</v>
      </c>
      <c r="N13" s="9">
        <f t="shared" si="4"/>
        <v>9.0916434540389979</v>
      </c>
      <c r="O13" s="9">
        <f>+O24/O4</f>
        <v>7.4170329670329673</v>
      </c>
      <c r="P13" s="9">
        <f>+P24/P4</f>
        <v>7.7128767123287671</v>
      </c>
      <c r="Q13" s="6"/>
      <c r="R13" s="6"/>
      <c r="S13" s="6"/>
      <c r="T13" s="6"/>
      <c r="U13" s="6"/>
    </row>
    <row r="14" spans="1:41" s="3" customFormat="1" x14ac:dyDescent="0.2">
      <c r="B14" s="3" t="s">
        <v>85</v>
      </c>
      <c r="C14" s="6"/>
      <c r="D14" s="6"/>
      <c r="E14" s="6"/>
      <c r="F14" s="6"/>
      <c r="G14" s="9">
        <f t="shared" ref="G14:N14" si="5">+G24/G3</f>
        <v>7.3898305084745761</v>
      </c>
      <c r="H14" s="9">
        <f t="shared" si="5"/>
        <v>7.4174089068825912</v>
      </c>
      <c r="I14" s="9">
        <f t="shared" si="5"/>
        <v>8.3547244094488189</v>
      </c>
      <c r="J14" s="9">
        <f t="shared" si="5"/>
        <v>10.456538461538461</v>
      </c>
      <c r="K14" s="9">
        <f t="shared" si="5"/>
        <v>9.3525735294117656</v>
      </c>
      <c r="L14" s="9">
        <f t="shared" si="5"/>
        <v>10.355072463768115</v>
      </c>
      <c r="M14" s="9">
        <f t="shared" si="5"/>
        <v>10.062633451957295</v>
      </c>
      <c r="N14" s="9">
        <f t="shared" si="5"/>
        <v>11.574113475177304</v>
      </c>
      <c r="O14" s="9">
        <f>+O24/O3</f>
        <v>9.4069686411149824</v>
      </c>
      <c r="P14" s="9">
        <f t="shared" ref="P14" si="6">+P24/P3</f>
        <v>9.7750000000000004</v>
      </c>
      <c r="Q14" s="6"/>
      <c r="R14" s="6"/>
      <c r="S14" s="6"/>
      <c r="T14" s="6"/>
      <c r="U14" s="6"/>
    </row>
    <row r="15" spans="1:41" s="3" customFormat="1" x14ac:dyDescent="0.2">
      <c r="B15" s="3" t="s">
        <v>99</v>
      </c>
      <c r="C15" s="6"/>
      <c r="D15" s="6"/>
      <c r="E15" s="6"/>
      <c r="F15" s="6"/>
      <c r="G15" s="9"/>
      <c r="H15" s="9">
        <f t="shared" ref="H15:N15" si="7">AVERAGE(G14:H14)</f>
        <v>7.4036197076785832</v>
      </c>
      <c r="I15" s="9">
        <f t="shared" si="7"/>
        <v>7.8860666581657046</v>
      </c>
      <c r="J15" s="9">
        <f t="shared" si="7"/>
        <v>9.405631435493639</v>
      </c>
      <c r="K15" s="9">
        <f t="shared" si="7"/>
        <v>9.9045559954751141</v>
      </c>
      <c r="L15" s="9">
        <f t="shared" si="7"/>
        <v>9.8538229965899404</v>
      </c>
      <c r="M15" s="9">
        <f t="shared" si="7"/>
        <v>10.208852957862705</v>
      </c>
      <c r="N15" s="9">
        <f t="shared" si="7"/>
        <v>10.818373463567299</v>
      </c>
      <c r="O15" s="9">
        <f>AVERAGE(N14:O14)</f>
        <v>10.490541058146142</v>
      </c>
      <c r="P15" s="9">
        <f t="shared" ref="P15" si="8">AVERAGE(O14:P14)</f>
        <v>9.5909843205574923</v>
      </c>
      <c r="Q15" s="6"/>
      <c r="R15" s="6"/>
      <c r="S15" s="6"/>
      <c r="T15" s="6"/>
      <c r="U15" s="6"/>
    </row>
    <row r="16" spans="1:41" s="13" customFormat="1" x14ac:dyDescent="0.2">
      <c r="B16" s="13" t="s">
        <v>100</v>
      </c>
      <c r="C16" s="14"/>
      <c r="D16" s="14"/>
      <c r="E16" s="14"/>
      <c r="F16" s="14"/>
      <c r="G16" s="14"/>
      <c r="H16" s="14"/>
      <c r="I16" s="14"/>
      <c r="J16" s="14"/>
      <c r="K16" s="14"/>
      <c r="L16" s="16">
        <f t="shared" ref="L16:N16" si="9">L15/H15-1</f>
        <v>0.33094667009573109</v>
      </c>
      <c r="M16" s="16">
        <f t="shared" si="9"/>
        <v>0.29454307202588104</v>
      </c>
      <c r="N16" s="16">
        <f t="shared" si="9"/>
        <v>0.15020172093310546</v>
      </c>
      <c r="O16" s="16">
        <f>O15/K15-1</f>
        <v>5.9163183381338413E-2</v>
      </c>
      <c r="P16" s="16">
        <f>P15/L15-1</f>
        <v>-2.6673776880648981E-2</v>
      </c>
      <c r="Q16" s="14"/>
      <c r="R16" s="14"/>
      <c r="S16" s="14"/>
      <c r="T16" s="14"/>
      <c r="U16" s="14"/>
    </row>
    <row r="17" spans="2:41" s="3" customFormat="1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9"/>
      <c r="P17" s="6"/>
      <c r="Q17" s="6"/>
      <c r="R17" s="6"/>
      <c r="S17" s="6"/>
      <c r="T17" s="6"/>
      <c r="U17" s="6"/>
    </row>
    <row r="18" spans="2:41" s="3" customFormat="1" x14ac:dyDescent="0.2">
      <c r="B18" s="3" t="s">
        <v>121</v>
      </c>
      <c r="C18" s="6"/>
      <c r="D18" s="6"/>
      <c r="E18" s="6"/>
      <c r="F18" s="6"/>
      <c r="G18" s="6">
        <v>1654</v>
      </c>
      <c r="H18" s="6">
        <v>1539</v>
      </c>
      <c r="I18" s="6">
        <v>1980</v>
      </c>
      <c r="J18" s="6">
        <v>2512</v>
      </c>
      <c r="K18" s="6">
        <v>2434</v>
      </c>
      <c r="L18" s="6">
        <v>2857</v>
      </c>
      <c r="M18" s="6">
        <v>2963</v>
      </c>
      <c r="N18" s="6">
        <v>3220</v>
      </c>
      <c r="O18" s="6">
        <v>2949</v>
      </c>
      <c r="P18" s="6">
        <v>3169</v>
      </c>
      <c r="Q18" s="6"/>
      <c r="R18" s="6"/>
      <c r="S18" s="6"/>
      <c r="T18" s="6"/>
      <c r="U18" s="6"/>
    </row>
    <row r="19" spans="2:41" s="3" customFormat="1" x14ac:dyDescent="0.2">
      <c r="B19" s="3" t="s">
        <v>107</v>
      </c>
      <c r="C19" s="6"/>
      <c r="D19" s="6"/>
      <c r="E19" s="6"/>
      <c r="F19" s="6"/>
      <c r="G19" s="6">
        <v>3236</v>
      </c>
      <c r="H19" s="6">
        <v>3312</v>
      </c>
      <c r="I19" s="6">
        <v>4202</v>
      </c>
      <c r="J19" s="6">
        <v>4703</v>
      </c>
      <c r="K19" s="6">
        <v>4735</v>
      </c>
      <c r="L19" s="6">
        <v>5152</v>
      </c>
      <c r="M19" s="6">
        <v>5398</v>
      </c>
      <c r="N19" s="6">
        <v>6183</v>
      </c>
      <c r="O19" s="6">
        <v>5661</v>
      </c>
      <c r="P19" s="6">
        <v>5835</v>
      </c>
      <c r="Q19" s="6"/>
      <c r="R19" s="6"/>
      <c r="S19" s="6"/>
      <c r="T19" s="6"/>
      <c r="U19" s="6"/>
    </row>
    <row r="20" spans="2:41" s="3" customFormat="1" x14ac:dyDescent="0.2">
      <c r="B20" s="3" t="s">
        <v>104</v>
      </c>
      <c r="C20" s="6"/>
      <c r="D20" s="6"/>
      <c r="E20" s="6"/>
      <c r="F20" s="6"/>
      <c r="G20" s="6">
        <v>4171</v>
      </c>
      <c r="H20" s="6">
        <v>4411</v>
      </c>
      <c r="I20" s="6">
        <v>5051</v>
      </c>
      <c r="J20" s="6">
        <v>6822</v>
      </c>
      <c r="K20" s="6">
        <v>6373</v>
      </c>
      <c r="L20" s="6">
        <v>7205</v>
      </c>
      <c r="M20" s="6">
        <v>6821</v>
      </c>
      <c r="N20" s="6">
        <v>8174</v>
      </c>
      <c r="O20" s="6">
        <v>6364</v>
      </c>
      <c r="P20" s="6">
        <v>6360</v>
      </c>
      <c r="Q20" s="6"/>
      <c r="R20" s="6"/>
      <c r="S20" s="6"/>
      <c r="T20" s="6"/>
      <c r="U20" s="6"/>
    </row>
    <row r="21" spans="2:41" s="3" customFormat="1" x14ac:dyDescent="0.2">
      <c r="B21" s="3" t="s">
        <v>103</v>
      </c>
      <c r="C21" s="6"/>
      <c r="D21" s="6"/>
      <c r="E21" s="6"/>
      <c r="F21" s="6"/>
      <c r="G21" s="6">
        <v>8379</v>
      </c>
      <c r="H21" s="6">
        <v>9059</v>
      </c>
      <c r="I21" s="6">
        <v>9988</v>
      </c>
      <c r="J21" s="6">
        <v>13150</v>
      </c>
      <c r="K21" s="6">
        <v>11897</v>
      </c>
      <c r="L21" s="6">
        <v>13366</v>
      </c>
      <c r="M21" s="6">
        <v>13094</v>
      </c>
      <c r="N21" s="6">
        <v>15062</v>
      </c>
      <c r="O21" s="6">
        <v>12024</v>
      </c>
      <c r="P21" s="6">
        <v>12788</v>
      </c>
      <c r="Q21" s="6"/>
      <c r="R21" s="6"/>
      <c r="S21" s="6"/>
      <c r="T21" s="6"/>
      <c r="U21" s="6"/>
    </row>
    <row r="22" spans="2:41" s="3" customFormat="1" x14ac:dyDescent="0.2">
      <c r="B22" s="3" t="s">
        <v>55</v>
      </c>
      <c r="C22" s="6"/>
      <c r="D22" s="6"/>
      <c r="E22" s="6"/>
      <c r="F22" s="6"/>
      <c r="G22" s="6">
        <v>297</v>
      </c>
      <c r="H22" s="6"/>
      <c r="I22" s="6"/>
      <c r="J22" s="6">
        <v>168</v>
      </c>
      <c r="K22" s="6">
        <v>198</v>
      </c>
      <c r="L22" s="6">
        <v>192</v>
      </c>
      <c r="M22" s="6">
        <v>176</v>
      </c>
      <c r="N22" s="6">
        <v>155</v>
      </c>
      <c r="O22" s="6">
        <v>215</v>
      </c>
      <c r="P22" s="6">
        <v>218</v>
      </c>
      <c r="Q22" s="6">
        <f>+P22</f>
        <v>218</v>
      </c>
      <c r="R22" s="6">
        <f>+Q22</f>
        <v>218</v>
      </c>
      <c r="S22" s="6"/>
      <c r="T22" s="6"/>
      <c r="U22" s="6"/>
      <c r="AD22" s="3">
        <v>541</v>
      </c>
      <c r="AE22" s="3">
        <v>657</v>
      </c>
      <c r="AF22" s="3">
        <v>721</v>
      </c>
    </row>
    <row r="23" spans="2:41" s="3" customFormat="1" x14ac:dyDescent="0.2">
      <c r="B23" s="3" t="s">
        <v>83</v>
      </c>
      <c r="C23" s="6"/>
      <c r="D23" s="6"/>
      <c r="E23" s="6"/>
      <c r="F23" s="6"/>
      <c r="G23" s="6"/>
      <c r="H23" s="6"/>
      <c r="I23" s="6"/>
      <c r="J23" s="6">
        <v>717</v>
      </c>
      <c r="K23" s="6">
        <v>534</v>
      </c>
      <c r="L23" s="6">
        <v>305</v>
      </c>
      <c r="M23" s="6">
        <v>558</v>
      </c>
      <c r="N23" s="6">
        <v>877</v>
      </c>
      <c r="O23" s="6">
        <v>695</v>
      </c>
      <c r="P23" s="6">
        <v>452</v>
      </c>
      <c r="Q23" s="6">
        <f>+P23-50</f>
        <v>402</v>
      </c>
      <c r="R23" s="6">
        <f>+N23+100</f>
        <v>977</v>
      </c>
      <c r="S23" s="6"/>
      <c r="T23" s="6"/>
      <c r="U23" s="6"/>
      <c r="AD23" s="3">
        <v>501</v>
      </c>
      <c r="AE23" s="3">
        <v>1139</v>
      </c>
      <c r="AF23" s="3">
        <v>2274</v>
      </c>
    </row>
    <row r="24" spans="2:41" s="3" customFormat="1" x14ac:dyDescent="0.2">
      <c r="B24" s="3" t="s">
        <v>82</v>
      </c>
      <c r="C24" s="6"/>
      <c r="D24" s="6"/>
      <c r="E24" s="6"/>
      <c r="F24" s="6"/>
      <c r="G24" s="6">
        <f>SUM(G18:G21)</f>
        <v>17440</v>
      </c>
      <c r="H24" s="6">
        <f t="shared" ref="H24:P24" si="10">SUM(H18:H21)</f>
        <v>18321</v>
      </c>
      <c r="I24" s="6">
        <f t="shared" si="10"/>
        <v>21221</v>
      </c>
      <c r="J24" s="6">
        <f t="shared" si="10"/>
        <v>27187</v>
      </c>
      <c r="K24" s="6">
        <f t="shared" si="10"/>
        <v>25439</v>
      </c>
      <c r="L24" s="6">
        <f t="shared" si="10"/>
        <v>28580</v>
      </c>
      <c r="M24" s="6">
        <f t="shared" si="10"/>
        <v>28276</v>
      </c>
      <c r="N24" s="6">
        <f t="shared" si="10"/>
        <v>32639</v>
      </c>
      <c r="O24" s="6">
        <f t="shared" si="10"/>
        <v>26998</v>
      </c>
      <c r="P24" s="6">
        <f t="shared" si="10"/>
        <v>28152</v>
      </c>
      <c r="Q24" s="6">
        <f>+M24*0.95</f>
        <v>26862.199999999997</v>
      </c>
      <c r="R24" s="6">
        <f>+N24*1.05</f>
        <v>34270.950000000004</v>
      </c>
      <c r="S24" s="6"/>
      <c r="T24" s="6"/>
      <c r="U24" s="6"/>
      <c r="AD24" s="3">
        <v>69655</v>
      </c>
      <c r="AE24" s="3">
        <v>84169</v>
      </c>
      <c r="AF24" s="3">
        <v>114934</v>
      </c>
    </row>
    <row r="25" spans="2:41" s="7" customFormat="1" x14ac:dyDescent="0.2">
      <c r="B25" s="7" t="s">
        <v>24</v>
      </c>
      <c r="C25" s="8"/>
      <c r="D25" s="8"/>
      <c r="E25" s="8"/>
      <c r="F25" s="8"/>
      <c r="G25" s="8">
        <f>SUM(G22:G24)</f>
        <v>17737</v>
      </c>
      <c r="H25" s="8">
        <v>18687</v>
      </c>
      <c r="I25" s="8">
        <v>21470</v>
      </c>
      <c r="J25" s="8">
        <v>28072</v>
      </c>
      <c r="K25" s="8">
        <f>SUM(K22:K24)</f>
        <v>26171</v>
      </c>
      <c r="L25" s="8">
        <v>29077</v>
      </c>
      <c r="M25" s="8">
        <v>29010</v>
      </c>
      <c r="N25" s="8">
        <v>33671</v>
      </c>
      <c r="O25" s="8">
        <f>SUM(O22:O24)</f>
        <v>27908</v>
      </c>
      <c r="P25" s="8">
        <f>SUM(P22:P24)</f>
        <v>28822</v>
      </c>
      <c r="Q25" s="8">
        <f>SUM(Q22:Q24)</f>
        <v>27482.199999999997</v>
      </c>
      <c r="R25" s="8">
        <f>SUM(R22:R24)</f>
        <v>35465.950000000004</v>
      </c>
      <c r="S25" s="8">
        <f>SUM(S22:S24)</f>
        <v>0</v>
      </c>
      <c r="T25" s="8">
        <f t="shared" ref="T25:V25" si="11">SUM(T22:T24)</f>
        <v>0</v>
      </c>
      <c r="U25" s="8">
        <f t="shared" si="11"/>
        <v>0</v>
      </c>
      <c r="V25" s="8">
        <f t="shared" si="11"/>
        <v>0</v>
      </c>
      <c r="AD25" s="7">
        <f>SUM(AD22:AD24)</f>
        <v>70697</v>
      </c>
      <c r="AE25" s="7">
        <f t="shared" ref="AE25:AF25" si="12">SUM(AE22:AE24)</f>
        <v>85965</v>
      </c>
      <c r="AF25" s="7">
        <f t="shared" si="12"/>
        <v>117929</v>
      </c>
      <c r="AG25" s="7">
        <f>SUM(O25:R25)</f>
        <v>119678.15</v>
      </c>
      <c r="AH25" s="7">
        <f>+AG25*1.03</f>
        <v>123268.4945</v>
      </c>
      <c r="AI25" s="7">
        <f t="shared" ref="AI25:AO25" si="13">+AH25*1.03</f>
        <v>126966.549335</v>
      </c>
      <c r="AJ25" s="7">
        <f t="shared" si="13"/>
        <v>130775.54581505001</v>
      </c>
      <c r="AK25" s="7">
        <f t="shared" si="13"/>
        <v>134698.81218950151</v>
      </c>
      <c r="AL25" s="7">
        <f t="shared" si="13"/>
        <v>138739.77655518655</v>
      </c>
      <c r="AM25" s="7">
        <f t="shared" si="13"/>
        <v>142901.96985184215</v>
      </c>
      <c r="AN25" s="7">
        <f t="shared" si="13"/>
        <v>147189.02894739743</v>
      </c>
      <c r="AO25" s="7">
        <f t="shared" si="13"/>
        <v>151604.69981581936</v>
      </c>
    </row>
    <row r="26" spans="2:41" s="3" customFormat="1" x14ac:dyDescent="0.2">
      <c r="B26" s="3" t="s">
        <v>36</v>
      </c>
      <c r="C26" s="6"/>
      <c r="D26" s="6"/>
      <c r="E26" s="6"/>
      <c r="F26" s="6"/>
      <c r="G26" s="6">
        <v>3459</v>
      </c>
      <c r="H26" s="6">
        <v>3829</v>
      </c>
      <c r="I26" s="6">
        <v>4194</v>
      </c>
      <c r="J26" s="6">
        <v>5210</v>
      </c>
      <c r="K26" s="6">
        <v>5131</v>
      </c>
      <c r="L26" s="6">
        <v>5399</v>
      </c>
      <c r="M26" s="6">
        <v>5771</v>
      </c>
      <c r="N26" s="6">
        <v>6348</v>
      </c>
      <c r="O26" s="6">
        <v>6005</v>
      </c>
      <c r="P26" s="6">
        <v>5192</v>
      </c>
      <c r="Q26" s="6">
        <f t="shared" ref="Q26:R26" si="14">+Q25-Q27</f>
        <v>5771.2619999999988</v>
      </c>
      <c r="R26" s="6">
        <f t="shared" si="14"/>
        <v>7447.8495000000003</v>
      </c>
      <c r="S26" s="6"/>
      <c r="T26" s="6"/>
      <c r="U26" s="6"/>
      <c r="AE26" s="3">
        <v>16692</v>
      </c>
      <c r="AF26" s="3">
        <v>22649</v>
      </c>
      <c r="AG26" s="3">
        <f>+AG25-AG27</f>
        <v>22738.848499999993</v>
      </c>
      <c r="AH26" s="3">
        <f t="shared" ref="AH26:AO26" si="15">+AH25-AH27</f>
        <v>23421.013954999988</v>
      </c>
      <c r="AI26" s="3">
        <f t="shared" si="15"/>
        <v>24123.644373649993</v>
      </c>
      <c r="AJ26" s="3">
        <f t="shared" si="15"/>
        <v>24847.353704859488</v>
      </c>
      <c r="AK26" s="3">
        <f t="shared" si="15"/>
        <v>25592.774316005278</v>
      </c>
      <c r="AL26" s="3">
        <f t="shared" si="15"/>
        <v>26360.557545485441</v>
      </c>
      <c r="AM26" s="3">
        <f t="shared" si="15"/>
        <v>27151.37427185</v>
      </c>
      <c r="AN26" s="3">
        <f t="shared" si="15"/>
        <v>27965.915500005503</v>
      </c>
      <c r="AO26" s="3">
        <f t="shared" si="15"/>
        <v>28804.892965005667</v>
      </c>
    </row>
    <row r="27" spans="2:41" s="3" customFormat="1" x14ac:dyDescent="0.2">
      <c r="B27" s="3" t="s">
        <v>37</v>
      </c>
      <c r="C27" s="6"/>
      <c r="D27" s="6"/>
      <c r="E27" s="6"/>
      <c r="F27" s="6"/>
      <c r="G27" s="6">
        <f t="shared" ref="G27:J27" si="16">+G25-G26</f>
        <v>14278</v>
      </c>
      <c r="H27" s="6">
        <f t="shared" si="16"/>
        <v>14858</v>
      </c>
      <c r="I27" s="6">
        <f t="shared" si="16"/>
        <v>17276</v>
      </c>
      <c r="J27" s="6">
        <f t="shared" si="16"/>
        <v>22862</v>
      </c>
      <c r="K27" s="6">
        <f>+K25-K26</f>
        <v>21040</v>
      </c>
      <c r="L27" s="6">
        <f t="shared" ref="L27:N27" si="17">+L25-L26</f>
        <v>23678</v>
      </c>
      <c r="M27" s="6">
        <f t="shared" si="17"/>
        <v>23239</v>
      </c>
      <c r="N27" s="6">
        <f t="shared" si="17"/>
        <v>27323</v>
      </c>
      <c r="O27" s="6">
        <f>+O25-O26</f>
        <v>21903</v>
      </c>
      <c r="P27" s="6">
        <f>+P25-P26</f>
        <v>23630</v>
      </c>
      <c r="Q27" s="6">
        <f>+Q25*0.79</f>
        <v>21710.937999999998</v>
      </c>
      <c r="R27" s="6">
        <f>+R25*0.79</f>
        <v>28018.100500000004</v>
      </c>
      <c r="S27" s="6"/>
      <c r="T27" s="6"/>
      <c r="U27" s="6"/>
      <c r="AE27" s="3">
        <f>+AE25-AE26</f>
        <v>69273</v>
      </c>
      <c r="AF27" s="3">
        <f t="shared" ref="AF27" si="18">+AF25-AF26</f>
        <v>95280</v>
      </c>
      <c r="AG27" s="3">
        <f>+AG25*0.81</f>
        <v>96939.301500000001</v>
      </c>
      <c r="AH27" s="3">
        <f t="shared" ref="AH27:AO27" si="19">+AH25*0.81</f>
        <v>99847.480545000013</v>
      </c>
      <c r="AI27" s="3">
        <f t="shared" si="19"/>
        <v>102842.90496135001</v>
      </c>
      <c r="AJ27" s="3">
        <f t="shared" si="19"/>
        <v>105928.19211019052</v>
      </c>
      <c r="AK27" s="3">
        <f t="shared" si="19"/>
        <v>109106.03787349623</v>
      </c>
      <c r="AL27" s="3">
        <f t="shared" si="19"/>
        <v>112379.2190097011</v>
      </c>
      <c r="AM27" s="3">
        <f t="shared" si="19"/>
        <v>115750.59557999215</v>
      </c>
      <c r="AN27" s="3">
        <f t="shared" si="19"/>
        <v>119223.11344739192</v>
      </c>
      <c r="AO27" s="3">
        <f t="shared" si="19"/>
        <v>122799.80685081369</v>
      </c>
    </row>
    <row r="28" spans="2:41" s="3" customFormat="1" x14ac:dyDescent="0.2">
      <c r="B28" s="3" t="s">
        <v>38</v>
      </c>
      <c r="C28" s="6"/>
      <c r="D28" s="6"/>
      <c r="E28" s="6"/>
      <c r="F28" s="6"/>
      <c r="G28" s="6">
        <v>4015</v>
      </c>
      <c r="H28" s="6">
        <v>4462</v>
      </c>
      <c r="I28" s="6">
        <v>4763</v>
      </c>
      <c r="J28" s="6">
        <v>5208</v>
      </c>
      <c r="K28" s="6">
        <v>5197</v>
      </c>
      <c r="L28" s="6">
        <v>6096</v>
      </c>
      <c r="M28" s="6">
        <v>6316</v>
      </c>
      <c r="N28" s="6">
        <v>7046</v>
      </c>
      <c r="O28" s="6">
        <v>7707</v>
      </c>
      <c r="P28" s="6">
        <v>8690</v>
      </c>
      <c r="Q28" s="6">
        <f t="shared" ref="Q28:R28" si="20">+P28-50</f>
        <v>8640</v>
      </c>
      <c r="R28" s="6">
        <f t="shared" si="20"/>
        <v>8590</v>
      </c>
      <c r="S28" s="6"/>
      <c r="T28" s="6"/>
      <c r="U28" s="6"/>
      <c r="AE28" s="3">
        <v>18447</v>
      </c>
      <c r="AF28" s="3">
        <v>24655</v>
      </c>
      <c r="AG28" s="3">
        <f>+AF28*0.9</f>
        <v>22189.5</v>
      </c>
      <c r="AH28" s="3">
        <f t="shared" ref="AH28:AO28" si="21">+AG28*0.9</f>
        <v>19970.55</v>
      </c>
      <c r="AI28" s="3">
        <f t="shared" si="21"/>
        <v>17973.494999999999</v>
      </c>
      <c r="AJ28" s="3">
        <f t="shared" si="21"/>
        <v>16176.145499999999</v>
      </c>
      <c r="AK28" s="3">
        <f t="shared" si="21"/>
        <v>14558.530949999998</v>
      </c>
      <c r="AL28" s="3">
        <f t="shared" si="21"/>
        <v>13102.677854999998</v>
      </c>
      <c r="AM28" s="3">
        <f t="shared" si="21"/>
        <v>11792.410069499998</v>
      </c>
      <c r="AN28" s="3">
        <f t="shared" si="21"/>
        <v>10613.169062549998</v>
      </c>
      <c r="AO28" s="3">
        <f t="shared" si="21"/>
        <v>9551.8521562949991</v>
      </c>
    </row>
    <row r="29" spans="2:41" s="3" customFormat="1" x14ac:dyDescent="0.2">
      <c r="B29" s="3" t="s">
        <v>40</v>
      </c>
      <c r="C29" s="6"/>
      <c r="D29" s="6"/>
      <c r="E29" s="6"/>
      <c r="F29" s="6"/>
      <c r="G29" s="6">
        <v>2787</v>
      </c>
      <c r="H29" s="6">
        <v>2840</v>
      </c>
      <c r="I29" s="6">
        <v>2683</v>
      </c>
      <c r="J29" s="6">
        <v>3280</v>
      </c>
      <c r="K29" s="6">
        <v>2843</v>
      </c>
      <c r="L29" s="6">
        <v>3259</v>
      </c>
      <c r="M29" s="6">
        <v>3554</v>
      </c>
      <c r="N29" s="6">
        <v>4387</v>
      </c>
      <c r="O29" s="6">
        <v>3312</v>
      </c>
      <c r="P29" s="6">
        <v>3595</v>
      </c>
      <c r="Q29" s="6">
        <f>+M29</f>
        <v>3554</v>
      </c>
      <c r="R29" s="6">
        <f t="shared" ref="R29" si="22">+N29</f>
        <v>4387</v>
      </c>
      <c r="S29" s="6"/>
      <c r="T29" s="6"/>
      <c r="U29" s="6"/>
      <c r="AE29" s="3">
        <v>11591</v>
      </c>
      <c r="AF29" s="3">
        <v>14043</v>
      </c>
      <c r="AG29" s="3">
        <f>+AF29</f>
        <v>14043</v>
      </c>
      <c r="AH29" s="3">
        <f t="shared" ref="AH29:AO29" si="23">+AG29</f>
        <v>14043</v>
      </c>
      <c r="AI29" s="3">
        <f t="shared" si="23"/>
        <v>14043</v>
      </c>
      <c r="AJ29" s="3">
        <f t="shared" si="23"/>
        <v>14043</v>
      </c>
      <c r="AK29" s="3">
        <f t="shared" si="23"/>
        <v>14043</v>
      </c>
      <c r="AL29" s="3">
        <f t="shared" si="23"/>
        <v>14043</v>
      </c>
      <c r="AM29" s="3">
        <f t="shared" si="23"/>
        <v>14043</v>
      </c>
      <c r="AN29" s="3">
        <f t="shared" si="23"/>
        <v>14043</v>
      </c>
      <c r="AO29" s="3">
        <f t="shared" si="23"/>
        <v>14043</v>
      </c>
    </row>
    <row r="30" spans="2:41" s="3" customFormat="1" x14ac:dyDescent="0.2">
      <c r="B30" s="3" t="s">
        <v>39</v>
      </c>
      <c r="C30" s="6"/>
      <c r="D30" s="6"/>
      <c r="E30" s="6"/>
      <c r="F30" s="6"/>
      <c r="G30" s="6">
        <v>1583</v>
      </c>
      <c r="H30" s="6">
        <v>1593</v>
      </c>
      <c r="I30" s="6">
        <v>1790</v>
      </c>
      <c r="J30" s="6">
        <v>1599</v>
      </c>
      <c r="K30" s="6">
        <v>1622</v>
      </c>
      <c r="L30" s="6">
        <v>1956</v>
      </c>
      <c r="M30" s="6">
        <v>2946</v>
      </c>
      <c r="N30" s="6">
        <v>3305</v>
      </c>
      <c r="O30" s="6">
        <v>2360</v>
      </c>
      <c r="P30" s="6">
        <v>2987</v>
      </c>
      <c r="Q30" s="6">
        <f t="shared" ref="Q30" si="24">+M30</f>
        <v>2946</v>
      </c>
      <c r="R30" s="6">
        <f t="shared" ref="R30" si="25">+N30</f>
        <v>3305</v>
      </c>
      <c r="S30" s="6"/>
      <c r="T30" s="6"/>
      <c r="U30" s="6"/>
      <c r="AE30" s="3">
        <v>6564</v>
      </c>
      <c r="AF30" s="3">
        <v>9829</v>
      </c>
      <c r="AG30" s="3">
        <f t="shared" ref="AG30:AO30" si="26">+AF30</f>
        <v>9829</v>
      </c>
      <c r="AH30" s="3">
        <f t="shared" si="26"/>
        <v>9829</v>
      </c>
      <c r="AI30" s="3">
        <f t="shared" si="26"/>
        <v>9829</v>
      </c>
      <c r="AJ30" s="3">
        <f t="shared" si="26"/>
        <v>9829</v>
      </c>
      <c r="AK30" s="3">
        <f t="shared" si="26"/>
        <v>9829</v>
      </c>
      <c r="AL30" s="3">
        <f t="shared" si="26"/>
        <v>9829</v>
      </c>
      <c r="AM30" s="3">
        <f t="shared" si="26"/>
        <v>9829</v>
      </c>
      <c r="AN30" s="3">
        <f t="shared" si="26"/>
        <v>9829</v>
      </c>
      <c r="AO30" s="3">
        <f t="shared" si="26"/>
        <v>9829</v>
      </c>
    </row>
    <row r="31" spans="2:41" s="3" customFormat="1" x14ac:dyDescent="0.2">
      <c r="B31" s="3" t="s">
        <v>41</v>
      </c>
      <c r="C31" s="6"/>
      <c r="D31" s="6"/>
      <c r="E31" s="6"/>
      <c r="F31" s="6"/>
      <c r="G31" s="6">
        <f t="shared" ref="G31" si="27">+G30+G29+G28</f>
        <v>8385</v>
      </c>
      <c r="H31" s="6">
        <f t="shared" ref="H31" si="28">+H30+H29+H28</f>
        <v>8895</v>
      </c>
      <c r="I31" s="6">
        <f t="shared" ref="I31" si="29">+I30+I29+I28</f>
        <v>9236</v>
      </c>
      <c r="J31" s="6">
        <f t="shared" ref="J31" si="30">+J30+J29+J28</f>
        <v>10087</v>
      </c>
      <c r="K31" s="6">
        <f t="shared" ref="K31:N31" si="31">+K30+K29+K28</f>
        <v>9662</v>
      </c>
      <c r="L31" s="6">
        <f t="shared" si="31"/>
        <v>11311</v>
      </c>
      <c r="M31" s="6">
        <f t="shared" si="31"/>
        <v>12816</v>
      </c>
      <c r="N31" s="6">
        <f t="shared" si="31"/>
        <v>14738</v>
      </c>
      <c r="O31" s="6">
        <f>+O30+O29+O28</f>
        <v>13379</v>
      </c>
      <c r="P31" s="6">
        <f t="shared" ref="P31:R31" si="32">+P30+P29+P28</f>
        <v>15272</v>
      </c>
      <c r="Q31" s="6">
        <f t="shared" si="32"/>
        <v>15140</v>
      </c>
      <c r="R31" s="6">
        <f t="shared" si="32"/>
        <v>16282</v>
      </c>
      <c r="S31" s="6"/>
      <c r="T31" s="6"/>
      <c r="U31" s="6"/>
      <c r="AE31" s="3">
        <f>SUM(AE28:AE30)</f>
        <v>36602</v>
      </c>
      <c r="AF31" s="3">
        <f t="shared" ref="AF31" si="33">SUM(AF28:AF30)</f>
        <v>48527</v>
      </c>
      <c r="AG31" s="3">
        <f t="shared" ref="AG31" si="34">SUM(AG28:AG30)</f>
        <v>46061.5</v>
      </c>
      <c r="AH31" s="3">
        <f t="shared" ref="AH31" si="35">SUM(AH28:AH30)</f>
        <v>43842.55</v>
      </c>
      <c r="AI31" s="3">
        <f t="shared" ref="AI31" si="36">SUM(AI28:AI30)</f>
        <v>41845.494999999995</v>
      </c>
      <c r="AJ31" s="3">
        <f t="shared" ref="AJ31" si="37">SUM(AJ28:AJ30)</f>
        <v>40048.145499999999</v>
      </c>
      <c r="AK31" s="3">
        <f t="shared" ref="AK31" si="38">SUM(AK28:AK30)</f>
        <v>38430.53095</v>
      </c>
      <c r="AL31" s="3">
        <f t="shared" ref="AL31" si="39">SUM(AL28:AL30)</f>
        <v>36974.677855000002</v>
      </c>
      <c r="AM31" s="3">
        <f t="shared" ref="AM31" si="40">SUM(AM28:AM30)</f>
        <v>35664.410069499994</v>
      </c>
      <c r="AN31" s="3">
        <f t="shared" ref="AN31" si="41">SUM(AN28:AN30)</f>
        <v>34485.169062549998</v>
      </c>
      <c r="AO31" s="3">
        <f t="shared" ref="AO31" si="42">SUM(AO28:AO30)</f>
        <v>33423.852156294997</v>
      </c>
    </row>
    <row r="32" spans="2:41" s="3" customFormat="1" x14ac:dyDescent="0.2">
      <c r="B32" s="3" t="s">
        <v>42</v>
      </c>
      <c r="C32" s="6"/>
      <c r="D32" s="6"/>
      <c r="E32" s="6"/>
      <c r="F32" s="6"/>
      <c r="G32" s="6">
        <f t="shared" ref="G32" si="43">+G27-G31</f>
        <v>5893</v>
      </c>
      <c r="H32" s="6">
        <f t="shared" ref="H32" si="44">+H27-H31</f>
        <v>5963</v>
      </c>
      <c r="I32" s="6">
        <f t="shared" ref="I32" si="45">+I27-I31</f>
        <v>8040</v>
      </c>
      <c r="J32" s="6">
        <f t="shared" ref="J32" si="46">+J27-J31</f>
        <v>12775</v>
      </c>
      <c r="K32" s="6">
        <f t="shared" ref="K32:N32" si="47">+K27-K31</f>
        <v>11378</v>
      </c>
      <c r="L32" s="6">
        <f t="shared" si="47"/>
        <v>12367</v>
      </c>
      <c r="M32" s="6">
        <f t="shared" si="47"/>
        <v>10423</v>
      </c>
      <c r="N32" s="6">
        <f t="shared" si="47"/>
        <v>12585</v>
      </c>
      <c r="O32" s="6">
        <f>+O27-O31</f>
        <v>8524</v>
      </c>
      <c r="P32" s="6">
        <f t="shared" ref="P32:R32" si="48">+P27-P31</f>
        <v>8358</v>
      </c>
      <c r="Q32" s="6">
        <f t="shared" si="48"/>
        <v>6570.9379999999983</v>
      </c>
      <c r="R32" s="6">
        <f t="shared" si="48"/>
        <v>11736.100500000004</v>
      </c>
      <c r="S32" s="6"/>
      <c r="T32" s="6"/>
      <c r="U32" s="6"/>
      <c r="AE32" s="3">
        <f>AE27-AE31</f>
        <v>32671</v>
      </c>
      <c r="AF32" s="3">
        <f t="shared" ref="AF32" si="49">AF27-AF31</f>
        <v>46753</v>
      </c>
      <c r="AG32" s="3">
        <f t="shared" ref="AG32" si="50">AG27-AG31</f>
        <v>50877.801500000001</v>
      </c>
      <c r="AH32" s="3">
        <f t="shared" ref="AH32" si="51">AH27-AH31</f>
        <v>56004.93054500001</v>
      </c>
      <c r="AI32" s="3">
        <f t="shared" ref="AI32" si="52">AI27-AI31</f>
        <v>60997.409961350015</v>
      </c>
      <c r="AJ32" s="3">
        <f t="shared" ref="AJ32" si="53">AJ27-AJ31</f>
        <v>65880.046610190519</v>
      </c>
      <c r="AK32" s="3">
        <f t="shared" ref="AK32" si="54">AK27-AK31</f>
        <v>70675.506923496228</v>
      </c>
      <c r="AL32" s="3">
        <f t="shared" ref="AL32" si="55">AL27-AL31</f>
        <v>75404.541154701103</v>
      </c>
      <c r="AM32" s="3">
        <f t="shared" ref="AM32" si="56">AM27-AM31</f>
        <v>80086.185510492156</v>
      </c>
      <c r="AN32" s="3">
        <f t="shared" ref="AN32" si="57">AN27-AN31</f>
        <v>84737.944384841918</v>
      </c>
      <c r="AO32" s="3">
        <f t="shared" ref="AO32" si="58">AO27-AO31</f>
        <v>89375.954694518703</v>
      </c>
    </row>
    <row r="33" spans="2:97" s="3" customFormat="1" x14ac:dyDescent="0.2">
      <c r="B33" s="3" t="s">
        <v>43</v>
      </c>
      <c r="C33" s="6"/>
      <c r="D33" s="6"/>
      <c r="E33" s="6"/>
      <c r="F33" s="6"/>
      <c r="G33" s="6">
        <v>-32</v>
      </c>
      <c r="H33" s="6">
        <v>168</v>
      </c>
      <c r="I33" s="6">
        <v>93</v>
      </c>
      <c r="J33" s="6">
        <v>280</v>
      </c>
      <c r="K33" s="6">
        <v>125</v>
      </c>
      <c r="L33" s="6">
        <v>146</v>
      </c>
      <c r="M33" s="6">
        <v>142</v>
      </c>
      <c r="N33" s="6">
        <v>117</v>
      </c>
      <c r="O33" s="6">
        <v>384</v>
      </c>
      <c r="P33" s="6">
        <v>-172</v>
      </c>
      <c r="Q33" s="6">
        <f t="shared" ref="Q33:R33" si="59">+P33</f>
        <v>-172</v>
      </c>
      <c r="R33" s="6">
        <f t="shared" si="59"/>
        <v>-172</v>
      </c>
      <c r="S33" s="6"/>
      <c r="T33" s="6"/>
      <c r="U33" s="6"/>
      <c r="AE33" s="3">
        <v>509</v>
      </c>
      <c r="AF33" s="3">
        <v>531</v>
      </c>
      <c r="AH33" s="3">
        <f>+AG49*$AT$49</f>
        <v>615.75061185000004</v>
      </c>
      <c r="AI33" s="3">
        <f t="shared" ref="AI33:AO33" si="60">+AH49*$AT$49</f>
        <v>1080.0401973361702</v>
      </c>
      <c r="AJ33" s="3">
        <f t="shared" si="60"/>
        <v>1589.0752886373969</v>
      </c>
      <c r="AK33" s="3">
        <f t="shared" si="60"/>
        <v>2142.3220882077858</v>
      </c>
      <c r="AL33" s="3">
        <f t="shared" si="60"/>
        <v>2739.4282861037586</v>
      </c>
      <c r="AM33" s="3">
        <f t="shared" si="60"/>
        <v>3380.2088355183591</v>
      </c>
      <c r="AN33" s="3">
        <f t="shared" si="60"/>
        <v>4064.6332691556454</v>
      </c>
      <c r="AO33" s="3">
        <f t="shared" si="60"/>
        <v>4792.8144059184251</v>
      </c>
    </row>
    <row r="34" spans="2:97" s="3" customFormat="1" x14ac:dyDescent="0.2">
      <c r="B34" s="3" t="s">
        <v>44</v>
      </c>
      <c r="C34" s="6"/>
      <c r="D34" s="6"/>
      <c r="E34" s="6"/>
      <c r="F34" s="6"/>
      <c r="G34" s="6">
        <f t="shared" ref="G34:N34" si="61">+G32+G33</f>
        <v>5861</v>
      </c>
      <c r="H34" s="6">
        <f t="shared" si="61"/>
        <v>6131</v>
      </c>
      <c r="I34" s="6">
        <f t="shared" si="61"/>
        <v>8133</v>
      </c>
      <c r="J34" s="6">
        <f t="shared" si="61"/>
        <v>13055</v>
      </c>
      <c r="K34" s="6">
        <f t="shared" si="61"/>
        <v>11503</v>
      </c>
      <c r="L34" s="6">
        <f t="shared" si="61"/>
        <v>12513</v>
      </c>
      <c r="M34" s="6">
        <f t="shared" si="61"/>
        <v>10565</v>
      </c>
      <c r="N34" s="6">
        <f t="shared" si="61"/>
        <v>12702</v>
      </c>
      <c r="O34" s="6">
        <f>+O32+O33</f>
        <v>8908</v>
      </c>
      <c r="P34" s="6">
        <f t="shared" ref="P34:R34" si="62">+P32+P33</f>
        <v>8186</v>
      </c>
      <c r="Q34" s="6">
        <f t="shared" si="62"/>
        <v>6398.9379999999983</v>
      </c>
      <c r="R34" s="6">
        <f t="shared" si="62"/>
        <v>11564.100500000004</v>
      </c>
      <c r="S34" s="6"/>
      <c r="T34" s="6"/>
      <c r="U34" s="6"/>
      <c r="AE34" s="3">
        <f>+AE32+AE33</f>
        <v>33180</v>
      </c>
      <c r="AF34" s="3">
        <f t="shared" ref="AF34" si="63">+AF32+AF33</f>
        <v>47284</v>
      </c>
      <c r="AG34" s="3">
        <f t="shared" ref="AG34" si="64">+AG32+AG33</f>
        <v>50877.801500000001</v>
      </c>
      <c r="AH34" s="3">
        <f t="shared" ref="AH34" si="65">+AH32+AH33</f>
        <v>56620.681156850012</v>
      </c>
      <c r="AI34" s="3">
        <f t="shared" ref="AI34" si="66">+AI32+AI33</f>
        <v>62077.450158686188</v>
      </c>
      <c r="AJ34" s="3">
        <f t="shared" ref="AJ34" si="67">+AJ32+AJ33</f>
        <v>67469.121898827914</v>
      </c>
      <c r="AK34" s="3">
        <f t="shared" ref="AK34" si="68">+AK32+AK33</f>
        <v>72817.829011704016</v>
      </c>
      <c r="AL34" s="3">
        <f t="shared" ref="AL34" si="69">+AL32+AL33</f>
        <v>78143.969440804867</v>
      </c>
      <c r="AM34" s="3">
        <f t="shared" ref="AM34" si="70">+AM32+AM33</f>
        <v>83466.394346010522</v>
      </c>
      <c r="AN34" s="3">
        <f t="shared" ref="AN34" si="71">+AN32+AN33</f>
        <v>88802.577653997563</v>
      </c>
      <c r="AO34" s="3">
        <f t="shared" ref="AO34" si="72">+AO32+AO33</f>
        <v>94168.76910043713</v>
      </c>
    </row>
    <row r="35" spans="2:97" s="3" customFormat="1" x14ac:dyDescent="0.2">
      <c r="B35" s="3" t="s">
        <v>45</v>
      </c>
      <c r="C35" s="6"/>
      <c r="D35" s="6"/>
      <c r="E35" s="6"/>
      <c r="F35" s="6"/>
      <c r="G35" s="6">
        <v>959</v>
      </c>
      <c r="H35" s="6">
        <v>953</v>
      </c>
      <c r="I35" s="6">
        <v>287</v>
      </c>
      <c r="J35" s="6">
        <v>1836</v>
      </c>
      <c r="K35" s="6">
        <v>2006</v>
      </c>
      <c r="L35" s="6">
        <v>2119</v>
      </c>
      <c r="M35" s="6">
        <v>1371</v>
      </c>
      <c r="N35" s="6">
        <v>2417</v>
      </c>
      <c r="O35" s="6">
        <v>1443</v>
      </c>
      <c r="P35" s="6">
        <v>1499</v>
      </c>
      <c r="Q35" s="6">
        <f t="shared" ref="Q35:R35" si="73">+Q34*0.19</f>
        <v>1215.7982199999997</v>
      </c>
      <c r="R35" s="6">
        <f t="shared" si="73"/>
        <v>2197.1790950000009</v>
      </c>
      <c r="S35" s="6"/>
      <c r="T35" s="6"/>
      <c r="U35" s="6"/>
      <c r="AE35" s="3">
        <v>4034</v>
      </c>
      <c r="AF35" s="3">
        <v>7914</v>
      </c>
      <c r="AG35" s="3">
        <f>+AG34*0.18</f>
        <v>9158.0042699999995</v>
      </c>
      <c r="AH35" s="3">
        <f t="shared" ref="AH35:AO35" si="74">+AH34*0.18</f>
        <v>10191.722608233002</v>
      </c>
      <c r="AI35" s="3">
        <f t="shared" si="74"/>
        <v>11173.941028563513</v>
      </c>
      <c r="AJ35" s="3">
        <f t="shared" si="74"/>
        <v>12144.441941789024</v>
      </c>
      <c r="AK35" s="3">
        <f t="shared" si="74"/>
        <v>13107.209222106723</v>
      </c>
      <c r="AL35" s="3">
        <f t="shared" si="74"/>
        <v>14065.914499344875</v>
      </c>
      <c r="AM35" s="3">
        <f t="shared" si="74"/>
        <v>15023.950982281893</v>
      </c>
      <c r="AN35" s="3">
        <f t="shared" si="74"/>
        <v>15984.463977719561</v>
      </c>
      <c r="AO35" s="3">
        <f t="shared" si="74"/>
        <v>16950.378438078682</v>
      </c>
    </row>
    <row r="36" spans="2:97" s="3" customFormat="1" x14ac:dyDescent="0.2">
      <c r="B36" s="3" t="s">
        <v>46</v>
      </c>
      <c r="C36" s="6"/>
      <c r="D36" s="6"/>
      <c r="E36" s="6"/>
      <c r="F36" s="6"/>
      <c r="G36" s="6">
        <f t="shared" ref="G36:H36" si="75">+G34-G35</f>
        <v>4902</v>
      </c>
      <c r="H36" s="6">
        <f t="shared" si="75"/>
        <v>5178</v>
      </c>
      <c r="I36" s="6">
        <f t="shared" ref="I36:N36" si="76">+I34-I35</f>
        <v>7846</v>
      </c>
      <c r="J36" s="6">
        <f t="shared" si="76"/>
        <v>11219</v>
      </c>
      <c r="K36" s="6">
        <f t="shared" si="76"/>
        <v>9497</v>
      </c>
      <c r="L36" s="6">
        <f t="shared" si="76"/>
        <v>10394</v>
      </c>
      <c r="M36" s="6">
        <f t="shared" si="76"/>
        <v>9194</v>
      </c>
      <c r="N36" s="6">
        <f t="shared" si="76"/>
        <v>10285</v>
      </c>
      <c r="O36" s="6">
        <f>+O34-O35</f>
        <v>7465</v>
      </c>
      <c r="P36" s="6">
        <f t="shared" ref="P36:R36" si="77">+P34-P35</f>
        <v>6687</v>
      </c>
      <c r="Q36" s="6">
        <f t="shared" si="77"/>
        <v>5183.1397799999986</v>
      </c>
      <c r="R36" s="6">
        <f t="shared" si="77"/>
        <v>9366.9214050000028</v>
      </c>
      <c r="S36" s="6"/>
      <c r="T36" s="6"/>
      <c r="U36" s="6"/>
      <c r="AE36" s="3">
        <f>+AE34-AE35</f>
        <v>29146</v>
      </c>
      <c r="AF36" s="3">
        <f t="shared" ref="AF36" si="78">+AF34-AF35</f>
        <v>39370</v>
      </c>
      <c r="AG36" s="3">
        <f t="shared" ref="AG36" si="79">+AG34-AG35</f>
        <v>41719.797230000004</v>
      </c>
      <c r="AH36" s="3">
        <f t="shared" ref="AH36" si="80">+AH34-AH35</f>
        <v>46428.958548617011</v>
      </c>
      <c r="AI36" s="3">
        <f t="shared" ref="AI36" si="81">+AI34-AI35</f>
        <v>50903.509130122678</v>
      </c>
      <c r="AJ36" s="3">
        <f t="shared" ref="AJ36" si="82">+AJ34-AJ35</f>
        <v>55324.67995703889</v>
      </c>
      <c r="AK36" s="3">
        <f t="shared" ref="AK36" si="83">+AK34-AK35</f>
        <v>59710.619789597295</v>
      </c>
      <c r="AL36" s="3">
        <f t="shared" ref="AL36" si="84">+AL34-AL35</f>
        <v>64078.054941459995</v>
      </c>
      <c r="AM36" s="3">
        <f t="shared" ref="AM36" si="85">+AM34-AM35</f>
        <v>68442.443363728627</v>
      </c>
      <c r="AN36" s="3">
        <f t="shared" ref="AN36" si="86">+AN34-AN35</f>
        <v>72818.113676278008</v>
      </c>
      <c r="AO36" s="3">
        <f t="shared" ref="AO36" si="87">+AO34-AO35</f>
        <v>77218.390662358448</v>
      </c>
      <c r="AP36" s="3">
        <f>+AO36*(1+$AT$48)</f>
        <v>73357.471129240526</v>
      </c>
      <c r="AQ36" s="3">
        <f t="shared" ref="AQ36:CS36" si="88">+AP36*(1+$AT$48)</f>
        <v>69689.597572778497</v>
      </c>
      <c r="AR36" s="3">
        <f t="shared" si="88"/>
        <v>66205.117694139568</v>
      </c>
      <c r="AS36" s="3">
        <f t="shared" si="88"/>
        <v>62894.861809432587</v>
      </c>
      <c r="AT36" s="3">
        <f t="shared" si="88"/>
        <v>59750.118718960955</v>
      </c>
      <c r="AU36" s="3">
        <f t="shared" si="88"/>
        <v>56762.612783012904</v>
      </c>
      <c r="AV36" s="3">
        <f t="shared" si="88"/>
        <v>53924.48214386226</v>
      </c>
      <c r="AW36" s="3">
        <f t="shared" si="88"/>
        <v>51228.258036669147</v>
      </c>
      <c r="AX36" s="3">
        <f t="shared" si="88"/>
        <v>48666.84513483569</v>
      </c>
      <c r="AY36" s="3">
        <f t="shared" si="88"/>
        <v>46233.502878093903</v>
      </c>
      <c r="AZ36" s="3">
        <f t="shared" si="88"/>
        <v>43921.827734189203</v>
      </c>
      <c r="BA36" s="3">
        <f t="shared" si="88"/>
        <v>41725.736347479738</v>
      </c>
      <c r="BB36" s="3">
        <f t="shared" si="88"/>
        <v>39639.449530105747</v>
      </c>
      <c r="BC36" s="3">
        <f t="shared" si="88"/>
        <v>37657.477053600458</v>
      </c>
      <c r="BD36" s="3">
        <f t="shared" si="88"/>
        <v>35774.603200920435</v>
      </c>
      <c r="BE36" s="3">
        <f t="shared" si="88"/>
        <v>33985.873040874409</v>
      </c>
      <c r="BF36" s="3">
        <f t="shared" si="88"/>
        <v>32286.579388830687</v>
      </c>
      <c r="BG36" s="3">
        <f t="shared" si="88"/>
        <v>30672.250419389151</v>
      </c>
      <c r="BH36" s="3">
        <f t="shared" si="88"/>
        <v>29138.637898419693</v>
      </c>
      <c r="BI36" s="3">
        <f t="shared" si="88"/>
        <v>27681.706003498708</v>
      </c>
      <c r="BJ36" s="3">
        <f t="shared" si="88"/>
        <v>26297.62070332377</v>
      </c>
      <c r="BK36" s="3">
        <f t="shared" si="88"/>
        <v>24982.739668157581</v>
      </c>
      <c r="BL36" s="3">
        <f t="shared" si="88"/>
        <v>23733.602684749701</v>
      </c>
      <c r="BM36" s="3">
        <f t="shared" si="88"/>
        <v>22546.922550512216</v>
      </c>
      <c r="BN36" s="3">
        <f t="shared" si="88"/>
        <v>21419.576422986604</v>
      </c>
      <c r="BO36" s="3">
        <f t="shared" si="88"/>
        <v>20348.597601837271</v>
      </c>
      <c r="BP36" s="3">
        <f t="shared" si="88"/>
        <v>19331.167721745405</v>
      </c>
      <c r="BQ36" s="3">
        <f t="shared" si="88"/>
        <v>18364.609335658133</v>
      </c>
      <c r="BR36" s="3">
        <f t="shared" si="88"/>
        <v>17446.378868875225</v>
      </c>
      <c r="BS36" s="3">
        <f t="shared" si="88"/>
        <v>16574.059925431462</v>
      </c>
      <c r="BT36" s="3">
        <f t="shared" si="88"/>
        <v>15745.356929159889</v>
      </c>
      <c r="BU36" s="3">
        <f t="shared" si="88"/>
        <v>14958.089082701894</v>
      </c>
      <c r="BV36" s="3">
        <f t="shared" si="88"/>
        <v>14210.184628566798</v>
      </c>
      <c r="BW36" s="3">
        <f t="shared" si="88"/>
        <v>13499.675397138457</v>
      </c>
      <c r="BX36" s="3">
        <f t="shared" si="88"/>
        <v>12824.691627281534</v>
      </c>
      <c r="BY36" s="3">
        <f t="shared" si="88"/>
        <v>12183.457045917457</v>
      </c>
      <c r="BZ36" s="3">
        <f t="shared" si="88"/>
        <v>11574.284193621585</v>
      </c>
      <c r="CA36" s="3">
        <f t="shared" si="88"/>
        <v>10995.569983940504</v>
      </c>
      <c r="CB36" s="3">
        <f t="shared" si="88"/>
        <v>10445.791484743479</v>
      </c>
      <c r="CC36" s="3">
        <f t="shared" si="88"/>
        <v>9923.5019105063038</v>
      </c>
      <c r="CD36" s="3">
        <f t="shared" si="88"/>
        <v>9427.3268149809883</v>
      </c>
      <c r="CE36" s="3">
        <f t="shared" si="88"/>
        <v>8955.9604742319389</v>
      </c>
      <c r="CF36" s="3">
        <f t="shared" si="88"/>
        <v>8508.1624505203417</v>
      </c>
      <c r="CG36" s="3">
        <f t="shared" si="88"/>
        <v>8082.7543279943238</v>
      </c>
      <c r="CH36" s="3">
        <f t="shared" si="88"/>
        <v>7678.6166115946071</v>
      </c>
      <c r="CI36" s="3">
        <f t="shared" si="88"/>
        <v>7294.6857810148767</v>
      </c>
      <c r="CJ36" s="3">
        <f t="shared" si="88"/>
        <v>6929.9514919641324</v>
      </c>
      <c r="CK36" s="3">
        <f t="shared" si="88"/>
        <v>6583.4539173659259</v>
      </c>
      <c r="CL36" s="3">
        <f t="shared" si="88"/>
        <v>6254.2812214976293</v>
      </c>
      <c r="CM36" s="3">
        <f t="shared" si="88"/>
        <v>5941.5671604227473</v>
      </c>
      <c r="CN36" s="3">
        <f t="shared" si="88"/>
        <v>5644.48880240161</v>
      </c>
      <c r="CO36" s="3">
        <f t="shared" si="88"/>
        <v>5362.2643622815294</v>
      </c>
      <c r="CP36" s="3">
        <f t="shared" si="88"/>
        <v>5094.1511441674529</v>
      </c>
      <c r="CQ36" s="3">
        <f t="shared" si="88"/>
        <v>4839.4435869590798</v>
      </c>
      <c r="CR36" s="3">
        <f t="shared" si="88"/>
        <v>4597.4714076111259</v>
      </c>
      <c r="CS36" s="3">
        <f t="shared" si="88"/>
        <v>4367.597837230569</v>
      </c>
    </row>
    <row r="37" spans="2:97" x14ac:dyDescent="0.2">
      <c r="B37" s="3" t="s">
        <v>47</v>
      </c>
      <c r="G37" s="9">
        <f t="shared" ref="G37:H37" si="89">+G36/G38</f>
        <v>1.7092050209205021</v>
      </c>
      <c r="H37" s="9">
        <f t="shared" si="89"/>
        <v>1.7985411601250434</v>
      </c>
      <c r="I37" s="9">
        <f t="shared" ref="I37:N37" si="90">+I36/I38</f>
        <v>2.7139398132134209</v>
      </c>
      <c r="J37" s="9">
        <f t="shared" si="90"/>
        <v>3.882006920415225</v>
      </c>
      <c r="K37" s="9">
        <f t="shared" si="90"/>
        <v>3.2952810548230396</v>
      </c>
      <c r="L37" s="9">
        <f t="shared" si="90"/>
        <v>3.6127911018421965</v>
      </c>
      <c r="M37" s="9">
        <f t="shared" si="90"/>
        <v>3.2158097236796084</v>
      </c>
      <c r="N37" s="9">
        <f t="shared" si="90"/>
        <v>3.6745266166488033</v>
      </c>
      <c r="O37" s="9">
        <f>+O36/O38</f>
        <v>2.7224653537563821</v>
      </c>
      <c r="P37" s="9">
        <f t="shared" ref="P37:R37" si="91">+P36/P38</f>
        <v>2.4647991153704387</v>
      </c>
      <c r="Q37" s="9">
        <f t="shared" si="91"/>
        <v>1.9104827792112047</v>
      </c>
      <c r="R37" s="9">
        <f t="shared" si="91"/>
        <v>3.4526064891264294</v>
      </c>
      <c r="S37" s="9"/>
      <c r="T37" s="9"/>
      <c r="U37" s="9"/>
      <c r="AE37" s="17">
        <f>+AE36/AE38</f>
        <v>10.092105263157896</v>
      </c>
      <c r="AF37" s="17">
        <f t="shared" ref="AF37" si="92">+AF36/AF38</f>
        <v>13.770549143057012</v>
      </c>
      <c r="AG37" s="17">
        <f t="shared" ref="AG37" si="93">+AG36/AG38</f>
        <v>15.336751118463377</v>
      </c>
      <c r="AH37" s="17">
        <f t="shared" ref="AH37" si="94">+AH36/AH38</f>
        <v>17.067901313709037</v>
      </c>
      <c r="AI37" s="17">
        <f t="shared" ref="AI37" si="95">+AI36/AI38</f>
        <v>18.712805488511233</v>
      </c>
      <c r="AJ37" s="17">
        <f t="shared" ref="AJ37" si="96">+AJ36/AJ38</f>
        <v>20.338086557132208</v>
      </c>
      <c r="AK37" s="17">
        <f t="shared" ref="AK37" si="97">+AK36/AK38</f>
        <v>21.950416244682398</v>
      </c>
      <c r="AL37" s="17">
        <f t="shared" ref="AL37" si="98">+AL36/AL38</f>
        <v>23.555943366036207</v>
      </c>
      <c r="AM37" s="17">
        <f t="shared" ref="AM37" si="99">+AM36/AM38</f>
        <v>25.16035046915858</v>
      </c>
      <c r="AN37" s="17">
        <f t="shared" ref="AN37" si="100">+AN36/AN38</f>
        <v>26.768904944868307</v>
      </c>
      <c r="AO37" s="17">
        <f t="shared" ref="AO37" si="101">+AO36/AO38</f>
        <v>28.386505160319253</v>
      </c>
    </row>
    <row r="38" spans="2:97" s="3" customFormat="1" x14ac:dyDescent="0.2">
      <c r="B38" s="3" t="s">
        <v>2</v>
      </c>
      <c r="C38" s="6"/>
      <c r="D38" s="6"/>
      <c r="E38" s="6"/>
      <c r="F38" s="6"/>
      <c r="G38" s="6">
        <v>2868</v>
      </c>
      <c r="H38" s="6">
        <v>2879</v>
      </c>
      <c r="I38" s="6">
        <v>2891</v>
      </c>
      <c r="J38" s="6">
        <v>2890</v>
      </c>
      <c r="K38" s="6">
        <v>2882</v>
      </c>
      <c r="L38" s="6">
        <v>2877</v>
      </c>
      <c r="M38" s="6">
        <v>2859</v>
      </c>
      <c r="N38" s="6">
        <v>2799</v>
      </c>
      <c r="O38" s="6">
        <v>2742</v>
      </c>
      <c r="P38" s="6">
        <v>2713</v>
      </c>
      <c r="Q38" s="6">
        <f>+P38</f>
        <v>2713</v>
      </c>
      <c r="R38" s="6">
        <f>+Q38</f>
        <v>2713</v>
      </c>
      <c r="S38" s="6"/>
      <c r="T38" s="6"/>
      <c r="U38" s="6"/>
      <c r="AE38" s="3">
        <v>2888</v>
      </c>
      <c r="AF38" s="3">
        <v>2859</v>
      </c>
      <c r="AG38" s="3">
        <f>AVERAGE(O38:R38)</f>
        <v>2720.25</v>
      </c>
      <c r="AH38" s="3">
        <f t="shared" ref="AH38:AO38" si="102">+AG38</f>
        <v>2720.25</v>
      </c>
      <c r="AI38" s="3">
        <f t="shared" si="102"/>
        <v>2720.25</v>
      </c>
      <c r="AJ38" s="3">
        <f t="shared" si="102"/>
        <v>2720.25</v>
      </c>
      <c r="AK38" s="3">
        <f t="shared" si="102"/>
        <v>2720.25</v>
      </c>
      <c r="AL38" s="3">
        <f t="shared" si="102"/>
        <v>2720.25</v>
      </c>
      <c r="AM38" s="3">
        <f t="shared" si="102"/>
        <v>2720.25</v>
      </c>
      <c r="AN38" s="3">
        <f t="shared" si="102"/>
        <v>2720.25</v>
      </c>
      <c r="AO38" s="3">
        <f t="shared" si="102"/>
        <v>2720.25</v>
      </c>
    </row>
    <row r="39" spans="2:97" x14ac:dyDescent="0.2">
      <c r="O39" s="6"/>
    </row>
    <row r="40" spans="2:97" s="4" customFormat="1" x14ac:dyDescent="0.2">
      <c r="B40" s="7" t="s">
        <v>48</v>
      </c>
      <c r="C40" s="12"/>
      <c r="D40" s="12"/>
      <c r="E40" s="12"/>
      <c r="F40" s="12"/>
      <c r="G40" s="12"/>
      <c r="H40" s="12"/>
      <c r="I40" s="12"/>
      <c r="J40" s="12"/>
      <c r="K40" s="11">
        <f t="shared" ref="K40" si="103">+K25/G25-1</f>
        <v>0.47550318543158365</v>
      </c>
      <c r="L40" s="11">
        <f>+L25/H25-1</f>
        <v>0.5560014983678494</v>
      </c>
      <c r="M40" s="11">
        <f t="shared" ref="M40:N40" si="104">+M25/I25-1</f>
        <v>0.35118770377270603</v>
      </c>
      <c r="N40" s="11">
        <f t="shared" si="104"/>
        <v>0.19945141065830718</v>
      </c>
      <c r="O40" s="11">
        <f>+O25/K25-1</f>
        <v>6.6371174200450911E-2</v>
      </c>
      <c r="P40" s="11">
        <f t="shared" ref="P40:R40" si="105">+P25/L25-1</f>
        <v>-8.7698180692643568E-3</v>
      </c>
      <c r="Q40" s="11">
        <f t="shared" si="105"/>
        <v>-5.2664598414340014E-2</v>
      </c>
      <c r="R40" s="11">
        <f t="shared" si="105"/>
        <v>5.3308485046479337E-2</v>
      </c>
      <c r="S40" s="11"/>
      <c r="T40" s="11"/>
      <c r="U40" s="11"/>
      <c r="AF40" s="18">
        <f>+AF25/AE25-1</f>
        <v>0.37182574303495608</v>
      </c>
      <c r="AG40" s="18">
        <f>+AG25/AF25-1</f>
        <v>1.4832229561855037E-2</v>
      </c>
      <c r="AH40" s="18">
        <f t="shared" ref="AH40:AO40" si="106">+AH25/AG25-1</f>
        <v>3.0000000000000027E-2</v>
      </c>
      <c r="AI40" s="18">
        <f t="shared" si="106"/>
        <v>3.0000000000000027E-2</v>
      </c>
      <c r="AJ40" s="18">
        <f t="shared" si="106"/>
        <v>3.0000000000000027E-2</v>
      </c>
      <c r="AK40" s="18">
        <f t="shared" si="106"/>
        <v>3.0000000000000027E-2</v>
      </c>
      <c r="AL40" s="18">
        <f t="shared" si="106"/>
        <v>3.0000000000000027E-2</v>
      </c>
      <c r="AM40" s="18">
        <f t="shared" si="106"/>
        <v>3.0000000000000027E-2</v>
      </c>
      <c r="AN40" s="18">
        <f t="shared" si="106"/>
        <v>3.0000000000000027E-2</v>
      </c>
      <c r="AO40" s="18">
        <f t="shared" si="106"/>
        <v>3.0000000000000027E-2</v>
      </c>
    </row>
    <row r="41" spans="2:97" s="4" customFormat="1" x14ac:dyDescent="0.2">
      <c r="B41" s="7" t="s">
        <v>95</v>
      </c>
      <c r="C41" s="12"/>
      <c r="D41" s="12"/>
      <c r="E41" s="12"/>
      <c r="F41" s="12"/>
      <c r="G41" s="12"/>
      <c r="H41" s="12"/>
      <c r="I41" s="12"/>
      <c r="J41" s="12"/>
      <c r="K41" s="11">
        <f t="shared" ref="K41" si="107">+K21/G21-1</f>
        <v>0.41985917173887088</v>
      </c>
      <c r="L41" s="11">
        <f t="shared" ref="L41:N41" si="108">+L21/H21-1</f>
        <v>0.47543879015343848</v>
      </c>
      <c r="M41" s="11">
        <f t="shared" si="108"/>
        <v>0.31097316780136164</v>
      </c>
      <c r="N41" s="11">
        <f t="shared" si="108"/>
        <v>0.14539923954372624</v>
      </c>
      <c r="O41" s="11">
        <f>+O21/K21-1</f>
        <v>1.0674960073968176E-2</v>
      </c>
      <c r="P41" s="11">
        <f>+P21/L21-1</f>
        <v>-4.3244052072422545E-2</v>
      </c>
      <c r="Q41" s="11">
        <f t="shared" ref="Q41:R41" si="109">+Q21/M21-1</f>
        <v>-1</v>
      </c>
      <c r="R41" s="11">
        <f t="shared" si="109"/>
        <v>-1</v>
      </c>
      <c r="S41" s="12"/>
      <c r="T41" s="12"/>
      <c r="U41" s="12"/>
    </row>
    <row r="42" spans="2:97" s="3" customFormat="1" x14ac:dyDescent="0.2">
      <c r="B42" s="3" t="s">
        <v>97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0">
        <v>0.15</v>
      </c>
      <c r="P42" s="10">
        <v>0.15</v>
      </c>
      <c r="Q42" s="10"/>
      <c r="R42" s="6"/>
      <c r="S42" s="6"/>
      <c r="T42" s="6"/>
      <c r="U42" s="6"/>
    </row>
    <row r="43" spans="2:97" s="3" customFormat="1" x14ac:dyDescent="0.2">
      <c r="B43" s="3" t="s">
        <v>96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0">
        <v>-0.08</v>
      </c>
      <c r="P43" s="10">
        <v>-0.14000000000000001</v>
      </c>
      <c r="Q43" s="10"/>
      <c r="R43" s="6"/>
      <c r="S43" s="6"/>
      <c r="T43" s="6"/>
      <c r="U43" s="6"/>
    </row>
    <row r="44" spans="2:97" s="3" customFormat="1" x14ac:dyDescent="0.2">
      <c r="B44" s="3" t="s">
        <v>108</v>
      </c>
      <c r="C44" s="6"/>
      <c r="D44" s="6"/>
      <c r="E44" s="6"/>
      <c r="F44" s="6"/>
      <c r="G44" s="6"/>
      <c r="H44" s="6"/>
      <c r="I44" s="6"/>
      <c r="J44" s="6"/>
      <c r="K44" s="10"/>
      <c r="L44" s="10"/>
      <c r="M44" s="10"/>
      <c r="N44" s="10">
        <f t="shared" ref="N44" si="110">+N23/J23-1</f>
        <v>0.22315202231520215</v>
      </c>
      <c r="O44" s="10">
        <f>+O23/K23-1</f>
        <v>0.30149812734082393</v>
      </c>
      <c r="P44" s="10">
        <f>+P23/L23-1</f>
        <v>0.4819672131147541</v>
      </c>
      <c r="Q44" s="10">
        <f>+Q23/M23-1</f>
        <v>-0.27956989247311825</v>
      </c>
      <c r="R44" s="10">
        <f>+R23/N23-1</f>
        <v>0.11402508551881407</v>
      </c>
      <c r="S44" s="6"/>
      <c r="T44" s="6"/>
      <c r="U44" s="6"/>
      <c r="AE44" s="19">
        <f t="shared" ref="AE44" si="111">AE23/AD23-1</f>
        <v>1.2734530938123751</v>
      </c>
      <c r="AF44" s="19">
        <f>AF23/AE23-1</f>
        <v>0.99648814749780512</v>
      </c>
    </row>
    <row r="45" spans="2:97" s="3" customFormat="1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10"/>
      <c r="N45" s="10"/>
      <c r="O45" s="10"/>
      <c r="P45" s="6"/>
      <c r="Q45" s="6"/>
      <c r="R45" s="6"/>
      <c r="S45" s="6"/>
      <c r="T45" s="6"/>
      <c r="U45" s="6"/>
    </row>
    <row r="46" spans="2:97" s="3" customFormat="1" x14ac:dyDescent="0.2">
      <c r="B46" s="3" t="s">
        <v>37</v>
      </c>
      <c r="C46" s="6"/>
      <c r="D46" s="6"/>
      <c r="E46" s="6"/>
      <c r="F46" s="6"/>
      <c r="G46" s="10">
        <f t="shared" ref="G46:N46" si="112">+G27/G25</f>
        <v>0.80498393189378137</v>
      </c>
      <c r="H46" s="10">
        <f t="shared" si="112"/>
        <v>0.7950981966072671</v>
      </c>
      <c r="I46" s="10">
        <f t="shared" si="112"/>
        <v>0.80465766185374943</v>
      </c>
      <c r="J46" s="10">
        <f t="shared" si="112"/>
        <v>0.81440581362211462</v>
      </c>
      <c r="K46" s="10">
        <f t="shared" si="112"/>
        <v>0.80394329601467274</v>
      </c>
      <c r="L46" s="10">
        <f t="shared" si="112"/>
        <v>0.81432059703545756</v>
      </c>
      <c r="M46" s="10">
        <f t="shared" si="112"/>
        <v>0.80106859703550504</v>
      </c>
      <c r="N46" s="10">
        <f t="shared" si="112"/>
        <v>0.81146981081642955</v>
      </c>
      <c r="O46" s="10">
        <f>+O27/O25</f>
        <v>0.78482872294682526</v>
      </c>
      <c r="P46" s="10">
        <f t="shared" ref="P46:R46" si="113">+P27/P25</f>
        <v>0.81985982929706469</v>
      </c>
      <c r="Q46" s="10">
        <f t="shared" si="113"/>
        <v>0.79</v>
      </c>
      <c r="R46" s="10">
        <f t="shared" si="113"/>
        <v>0.79</v>
      </c>
      <c r="S46" s="10"/>
      <c r="T46" s="10"/>
      <c r="U46" s="10"/>
      <c r="AE46" s="19">
        <f t="shared" ref="AE46" si="114">+AE27/AE25</f>
        <v>0.80582795323678236</v>
      </c>
      <c r="AF46" s="19">
        <f>+AF27/AF25</f>
        <v>0.80794376277251567</v>
      </c>
      <c r="AG46" s="19">
        <f t="shared" ref="AG46:AO46" si="115">+AG27/AG25</f>
        <v>0.81</v>
      </c>
      <c r="AH46" s="19">
        <f t="shared" si="115"/>
        <v>0.81</v>
      </c>
      <c r="AI46" s="19">
        <f t="shared" si="115"/>
        <v>0.81</v>
      </c>
      <c r="AJ46" s="19">
        <f t="shared" si="115"/>
        <v>0.81</v>
      </c>
      <c r="AK46" s="19">
        <f t="shared" si="115"/>
        <v>0.81</v>
      </c>
      <c r="AL46" s="19">
        <f t="shared" si="115"/>
        <v>0.81</v>
      </c>
      <c r="AM46" s="19">
        <f t="shared" si="115"/>
        <v>0.81</v>
      </c>
      <c r="AN46" s="19">
        <f t="shared" si="115"/>
        <v>0.81</v>
      </c>
      <c r="AO46" s="19">
        <f t="shared" si="115"/>
        <v>0.81</v>
      </c>
      <c r="AS46" t="s">
        <v>112</v>
      </c>
      <c r="AT46" s="3">
        <f>NPV(AT47,AH36:CS36)</f>
        <v>715483.21517933928</v>
      </c>
    </row>
    <row r="47" spans="2:97" s="3" customFormat="1" x14ac:dyDescent="0.2">
      <c r="B47" s="3" t="s">
        <v>110</v>
      </c>
      <c r="C47" s="6"/>
      <c r="D47" s="6"/>
      <c r="E47" s="6"/>
      <c r="F47" s="6"/>
      <c r="G47" s="6"/>
      <c r="H47" s="6"/>
      <c r="I47" s="10">
        <f>+I35/I34</f>
        <v>3.5288331488995447E-2</v>
      </c>
      <c r="J47" s="10">
        <f t="shared" ref="J47:R47" si="116">+J35/J34</f>
        <v>0.14063577173496744</v>
      </c>
      <c r="K47" s="10">
        <f t="shared" si="116"/>
        <v>0.17438928975049986</v>
      </c>
      <c r="L47" s="10">
        <f t="shared" si="116"/>
        <v>0.16934388236234316</v>
      </c>
      <c r="M47" s="10">
        <f t="shared" si="116"/>
        <v>0.12976810222432561</v>
      </c>
      <c r="N47" s="10">
        <f t="shared" si="116"/>
        <v>0.19028499448905684</v>
      </c>
      <c r="O47" s="10">
        <f t="shared" si="116"/>
        <v>0.1619892231701841</v>
      </c>
      <c r="P47" s="10">
        <f t="shared" si="116"/>
        <v>0.18311751771316884</v>
      </c>
      <c r="Q47" s="10">
        <f t="shared" si="116"/>
        <v>0.19</v>
      </c>
      <c r="R47" s="10">
        <f t="shared" si="116"/>
        <v>0.19</v>
      </c>
      <c r="S47" s="10"/>
      <c r="T47" s="10"/>
      <c r="U47" s="10"/>
      <c r="AE47" s="19">
        <f>+AE35/AE34</f>
        <v>0.12157926461723931</v>
      </c>
      <c r="AF47" s="19">
        <f t="shared" ref="AF47:AG47" si="117">+AF35/AF34</f>
        <v>0.16737162676592504</v>
      </c>
      <c r="AG47" s="19">
        <f t="shared" si="117"/>
        <v>0.18</v>
      </c>
      <c r="AH47" s="19">
        <f t="shared" ref="AH47:AO47" si="118">+AH35/AH34</f>
        <v>0.18</v>
      </c>
      <c r="AI47" s="19">
        <f t="shared" si="118"/>
        <v>0.18</v>
      </c>
      <c r="AJ47" s="19">
        <f t="shared" si="118"/>
        <v>0.18</v>
      </c>
      <c r="AK47" s="19">
        <f t="shared" si="118"/>
        <v>0.18</v>
      </c>
      <c r="AL47" s="19">
        <f t="shared" si="118"/>
        <v>0.18</v>
      </c>
      <c r="AM47" s="19">
        <f t="shared" si="118"/>
        <v>0.18</v>
      </c>
      <c r="AN47" s="19">
        <f t="shared" si="118"/>
        <v>0.18</v>
      </c>
      <c r="AO47" s="19">
        <f t="shared" si="118"/>
        <v>0.18</v>
      </c>
      <c r="AS47" s="3" t="s">
        <v>113</v>
      </c>
      <c r="AT47" s="19">
        <v>7.0000000000000007E-2</v>
      </c>
    </row>
    <row r="48" spans="2:97" x14ac:dyDescent="0.2">
      <c r="O48" s="6"/>
      <c r="AS48" t="s">
        <v>114</v>
      </c>
      <c r="AT48" s="19">
        <v>-0.05</v>
      </c>
    </row>
    <row r="49" spans="2:46" s="3" customFormat="1" x14ac:dyDescent="0.2">
      <c r="B49" s="3" t="s">
        <v>4</v>
      </c>
      <c r="C49" s="6"/>
      <c r="D49" s="6"/>
      <c r="E49" s="6"/>
      <c r="F49" s="6"/>
      <c r="G49" s="6"/>
      <c r="H49" s="6"/>
      <c r="I49" s="6"/>
      <c r="J49" s="6">
        <f>17576+44378+6234</f>
        <v>68188</v>
      </c>
      <c r="K49" s="6">
        <f>19513+44706+6342</f>
        <v>70561</v>
      </c>
      <c r="L49" s="6"/>
      <c r="M49" s="6"/>
      <c r="N49" s="6">
        <f>16601+31397+6775</f>
        <v>54773</v>
      </c>
      <c r="O49" s="6">
        <f>14886+29004+6775</f>
        <v>50665</v>
      </c>
      <c r="P49" s="6">
        <f>12681+27808+6536</f>
        <v>47025</v>
      </c>
      <c r="Q49" s="6">
        <f t="shared" ref="Q49:R49" si="119">+P49+Q36</f>
        <v>52208.139779999998</v>
      </c>
      <c r="R49" s="6">
        <f t="shared" si="119"/>
        <v>61575.061184999999</v>
      </c>
      <c r="S49" s="6"/>
      <c r="T49" s="6"/>
      <c r="U49" s="6"/>
      <c r="AF49" s="3">
        <f>+N49</f>
        <v>54773</v>
      </c>
      <c r="AG49" s="3">
        <f>+R49</f>
        <v>61575.061184999999</v>
      </c>
      <c r="AH49" s="3">
        <f>+AG49+AH36</f>
        <v>108004.01973361701</v>
      </c>
      <c r="AI49" s="3">
        <f t="shared" ref="AI49:AO49" si="120">+AH49+AI36</f>
        <v>158907.52886373969</v>
      </c>
      <c r="AJ49" s="3">
        <f t="shared" si="120"/>
        <v>214232.20882077859</v>
      </c>
      <c r="AK49" s="3">
        <f t="shared" si="120"/>
        <v>273942.82861037587</v>
      </c>
      <c r="AL49" s="3">
        <f t="shared" si="120"/>
        <v>338020.8835518359</v>
      </c>
      <c r="AM49" s="3">
        <f t="shared" si="120"/>
        <v>406463.32691556454</v>
      </c>
      <c r="AN49" s="3">
        <f t="shared" si="120"/>
        <v>479281.44059184252</v>
      </c>
      <c r="AO49" s="3">
        <f t="shared" si="120"/>
        <v>556499.83125420101</v>
      </c>
      <c r="AS49" s="3" t="s">
        <v>111</v>
      </c>
      <c r="AT49" s="19">
        <v>0.01</v>
      </c>
    </row>
    <row r="50" spans="2:46" s="3" customFormat="1" x14ac:dyDescent="0.2">
      <c r="B50" s="3" t="s">
        <v>49</v>
      </c>
      <c r="C50" s="6"/>
      <c r="D50" s="6"/>
      <c r="E50" s="6"/>
      <c r="F50" s="6"/>
      <c r="G50" s="6"/>
      <c r="H50" s="6"/>
      <c r="I50" s="6"/>
      <c r="J50" s="6">
        <v>11335</v>
      </c>
      <c r="K50" s="6">
        <v>10276</v>
      </c>
      <c r="L50" s="6"/>
      <c r="M50" s="6"/>
      <c r="N50" s="6">
        <v>14039</v>
      </c>
      <c r="O50" s="6">
        <v>11390</v>
      </c>
      <c r="P50" s="6">
        <v>11525</v>
      </c>
      <c r="Q50" s="6"/>
      <c r="R50" s="6"/>
      <c r="S50" s="6"/>
      <c r="T50" s="6"/>
      <c r="U50" s="6"/>
      <c r="AS50" s="3" t="s">
        <v>115</v>
      </c>
      <c r="AT50" s="17">
        <f>AT46/Main!M3</f>
        <v>260.93479765840237</v>
      </c>
    </row>
    <row r="51" spans="2:46" s="3" customFormat="1" x14ac:dyDescent="0.2">
      <c r="B51" s="3" t="s">
        <v>50</v>
      </c>
      <c r="C51" s="6"/>
      <c r="D51" s="6"/>
      <c r="E51" s="6"/>
      <c r="F51" s="6"/>
      <c r="G51" s="6"/>
      <c r="H51" s="6"/>
      <c r="I51" s="6"/>
      <c r="J51" s="6">
        <v>2381</v>
      </c>
      <c r="K51" s="6">
        <v>2827</v>
      </c>
      <c r="L51" s="6"/>
      <c r="M51" s="6"/>
      <c r="N51" s="6">
        <v>4629</v>
      </c>
      <c r="O51" s="6">
        <v>3985</v>
      </c>
      <c r="P51" s="6">
        <v>3973</v>
      </c>
      <c r="Q51" s="6"/>
      <c r="R51" s="6"/>
      <c r="S51" s="6"/>
      <c r="T51" s="6"/>
      <c r="U51" s="6"/>
      <c r="AS51" s="3" t="s">
        <v>116</v>
      </c>
      <c r="AT51" s="19">
        <f>AT50/Main!M2-1</f>
        <v>0.48621517148944804</v>
      </c>
    </row>
    <row r="52" spans="2:46" s="3" customFormat="1" x14ac:dyDescent="0.2">
      <c r="B52" s="3" t="s">
        <v>51</v>
      </c>
      <c r="C52" s="6"/>
      <c r="D52" s="6"/>
      <c r="E52" s="6"/>
      <c r="F52" s="6"/>
      <c r="G52" s="6"/>
      <c r="H52" s="6"/>
      <c r="I52" s="6"/>
      <c r="J52" s="6">
        <v>45633</v>
      </c>
      <c r="K52" s="6">
        <v>47720</v>
      </c>
      <c r="L52" s="6"/>
      <c r="M52" s="6"/>
      <c r="N52" s="6">
        <v>57809</v>
      </c>
      <c r="O52" s="6">
        <v>61582</v>
      </c>
      <c r="P52" s="6">
        <v>67588</v>
      </c>
      <c r="Q52" s="6"/>
      <c r="R52" s="6"/>
      <c r="S52" s="6"/>
      <c r="T52" s="6"/>
      <c r="U52" s="6"/>
    </row>
    <row r="53" spans="2:46" s="3" customFormat="1" x14ac:dyDescent="0.2">
      <c r="B53" s="3" t="s">
        <v>52</v>
      </c>
      <c r="C53" s="6"/>
      <c r="D53" s="6"/>
      <c r="E53" s="6"/>
      <c r="F53" s="6"/>
      <c r="G53" s="6"/>
      <c r="H53" s="6"/>
      <c r="I53" s="6"/>
      <c r="J53" s="6">
        <v>9348</v>
      </c>
      <c r="K53" s="6">
        <v>10202</v>
      </c>
      <c r="L53" s="6"/>
      <c r="M53" s="6"/>
      <c r="N53" s="6">
        <v>12155</v>
      </c>
      <c r="O53" s="6">
        <v>12241</v>
      </c>
      <c r="P53" s="6">
        <v>14130</v>
      </c>
      <c r="Q53" s="6"/>
      <c r="R53" s="6"/>
      <c r="S53" s="6"/>
      <c r="T53" s="6"/>
      <c r="U53" s="6"/>
    </row>
    <row r="54" spans="2:46" s="3" customFormat="1" x14ac:dyDescent="0.2">
      <c r="B54" s="3" t="s">
        <v>54</v>
      </c>
      <c r="C54" s="6"/>
      <c r="D54" s="6"/>
      <c r="E54" s="6"/>
      <c r="F54" s="6"/>
      <c r="G54" s="6"/>
      <c r="H54" s="6"/>
      <c r="I54" s="6"/>
      <c r="J54" s="6">
        <f>623+19050</f>
        <v>19673</v>
      </c>
      <c r="K54" s="6">
        <f>505+19056</f>
        <v>19561</v>
      </c>
      <c r="L54" s="6"/>
      <c r="M54" s="6"/>
      <c r="N54" s="6">
        <f>19197+634</f>
        <v>19831</v>
      </c>
      <c r="O54" s="6">
        <f>910+19923</f>
        <v>20833</v>
      </c>
      <c r="P54" s="6">
        <f>965+20229</f>
        <v>21194</v>
      </c>
      <c r="Q54" s="6"/>
      <c r="R54" s="6"/>
      <c r="S54" s="6"/>
      <c r="T54" s="6"/>
      <c r="U54" s="6"/>
    </row>
    <row r="55" spans="2:46" s="3" customFormat="1" x14ac:dyDescent="0.2">
      <c r="B55" s="3" t="s">
        <v>55</v>
      </c>
      <c r="C55" s="6"/>
      <c r="D55" s="6"/>
      <c r="E55" s="6"/>
      <c r="F55" s="6"/>
      <c r="G55" s="6"/>
      <c r="H55" s="6"/>
      <c r="I55" s="6"/>
      <c r="J55" s="6">
        <v>2758</v>
      </c>
      <c r="K55" s="6">
        <v>2376</v>
      </c>
      <c r="L55" s="6"/>
      <c r="M55" s="6"/>
      <c r="N55" s="6">
        <v>2751</v>
      </c>
      <c r="O55" s="6">
        <v>3522</v>
      </c>
      <c r="P55" s="6">
        <v>4344</v>
      </c>
      <c r="Q55" s="6"/>
      <c r="R55" s="6"/>
      <c r="S55" s="6"/>
      <c r="T55" s="6"/>
      <c r="U55" s="6"/>
    </row>
    <row r="56" spans="2:46" s="3" customFormat="1" x14ac:dyDescent="0.2">
      <c r="B56" s="3" t="s">
        <v>53</v>
      </c>
      <c r="C56" s="6"/>
      <c r="D56" s="6"/>
      <c r="E56" s="6"/>
      <c r="F56" s="6"/>
      <c r="G56" s="6"/>
      <c r="H56" s="6"/>
      <c r="I56" s="6"/>
      <c r="J56" s="6">
        <f t="shared" ref="J56:K56" si="121">SUM(J49:J55)</f>
        <v>159316</v>
      </c>
      <c r="K56" s="6">
        <f t="shared" si="121"/>
        <v>163523</v>
      </c>
      <c r="L56" s="6"/>
      <c r="M56" s="6"/>
      <c r="N56" s="6">
        <f t="shared" ref="N56" si="122">SUM(N49:N55)</f>
        <v>165987</v>
      </c>
      <c r="O56" s="6">
        <f>SUM(O49:O55)</f>
        <v>164218</v>
      </c>
      <c r="P56" s="6">
        <f>SUM(P49:P55)</f>
        <v>169779</v>
      </c>
      <c r="Q56" s="6"/>
      <c r="R56" s="6"/>
      <c r="S56" s="6"/>
      <c r="T56" s="6"/>
      <c r="U56" s="6"/>
    </row>
    <row r="57" spans="2:46" x14ac:dyDescent="0.2">
      <c r="O57" s="6"/>
    </row>
    <row r="58" spans="2:46" x14ac:dyDescent="0.2">
      <c r="B58" t="s">
        <v>56</v>
      </c>
      <c r="J58" s="6">
        <v>1331</v>
      </c>
      <c r="K58" s="6">
        <v>878</v>
      </c>
      <c r="N58" s="6">
        <v>4083</v>
      </c>
      <c r="O58" s="6">
        <v>3246</v>
      </c>
      <c r="P58" s="6">
        <v>4008</v>
      </c>
    </row>
    <row r="59" spans="2:46" x14ac:dyDescent="0.2">
      <c r="B59" t="s">
        <v>57</v>
      </c>
      <c r="J59" s="6">
        <v>1093</v>
      </c>
      <c r="K59" s="6">
        <v>1006</v>
      </c>
      <c r="N59" s="6">
        <v>1052</v>
      </c>
      <c r="O59" s="6">
        <v>935</v>
      </c>
      <c r="P59" s="6">
        <v>982</v>
      </c>
    </row>
    <row r="60" spans="2:46" x14ac:dyDescent="0.2">
      <c r="B60" t="s">
        <v>58</v>
      </c>
      <c r="J60" s="6">
        <f>1023+9631</f>
        <v>10654</v>
      </c>
      <c r="K60" s="6">
        <f>1040+10574</f>
        <v>11614</v>
      </c>
      <c r="N60" s="6">
        <f>1127+12746</f>
        <v>13873</v>
      </c>
      <c r="O60" s="6">
        <f>1159+12894</f>
        <v>14053</v>
      </c>
      <c r="P60" s="6">
        <f>1275+14792</f>
        <v>16067</v>
      </c>
    </row>
    <row r="61" spans="2:46" x14ac:dyDescent="0.2">
      <c r="B61" t="s">
        <v>59</v>
      </c>
      <c r="J61" s="6">
        <v>11152</v>
      </c>
      <c r="K61" s="6">
        <v>9411</v>
      </c>
      <c r="N61" s="6">
        <v>14312</v>
      </c>
      <c r="O61" s="6">
        <v>15226</v>
      </c>
      <c r="P61" s="6">
        <v>15420</v>
      </c>
    </row>
    <row r="62" spans="2:46" x14ac:dyDescent="0.2">
      <c r="B62" t="s">
        <v>60</v>
      </c>
      <c r="J62" s="6">
        <v>382</v>
      </c>
      <c r="K62" s="6">
        <v>382</v>
      </c>
      <c r="N62" s="6">
        <v>561</v>
      </c>
      <c r="O62" s="6">
        <v>520</v>
      </c>
      <c r="P62" s="6">
        <v>532</v>
      </c>
    </row>
    <row r="63" spans="2:46" x14ac:dyDescent="0.2">
      <c r="B63" t="s">
        <v>65</v>
      </c>
      <c r="J63" s="6">
        <v>6414</v>
      </c>
      <c r="K63" s="6">
        <v>6575</v>
      </c>
      <c r="N63" s="6">
        <v>7227</v>
      </c>
      <c r="O63" s="6">
        <v>7010</v>
      </c>
      <c r="P63" s="6">
        <v>7003</v>
      </c>
    </row>
    <row r="64" spans="2:46" x14ac:dyDescent="0.2">
      <c r="B64" t="s">
        <v>64</v>
      </c>
      <c r="J64" s="6">
        <v>50018</v>
      </c>
      <c r="K64" s="6">
        <v>51160</v>
      </c>
      <c r="N64" s="6">
        <v>55811</v>
      </c>
      <c r="O64" s="6">
        <v>57512</v>
      </c>
      <c r="P64" s="6">
        <v>59929</v>
      </c>
    </row>
    <row r="65" spans="2:21" x14ac:dyDescent="0.2">
      <c r="B65" t="s">
        <v>63</v>
      </c>
      <c r="J65" s="6">
        <v>927</v>
      </c>
      <c r="K65" s="6">
        <v>154</v>
      </c>
      <c r="N65" s="6">
        <v>-693</v>
      </c>
      <c r="O65" s="6">
        <v>-1996</v>
      </c>
      <c r="P65" s="6">
        <v>-3411</v>
      </c>
    </row>
    <row r="66" spans="2:21" x14ac:dyDescent="0.2">
      <c r="B66" t="s">
        <v>62</v>
      </c>
      <c r="J66" s="6">
        <v>77345</v>
      </c>
      <c r="K66" s="6">
        <v>82343</v>
      </c>
      <c r="N66" s="6">
        <v>69761</v>
      </c>
      <c r="O66" s="6">
        <v>67712</v>
      </c>
      <c r="P66" s="6">
        <v>69249</v>
      </c>
    </row>
    <row r="67" spans="2:21" x14ac:dyDescent="0.2">
      <c r="B67" t="s">
        <v>61</v>
      </c>
      <c r="J67" s="6">
        <f t="shared" ref="J67:K67" si="123">SUM(J58:J66)</f>
        <v>159316</v>
      </c>
      <c r="K67" s="6">
        <f t="shared" si="123"/>
        <v>163523</v>
      </c>
      <c r="N67" s="6">
        <f t="shared" ref="N67:P67" si="124">SUM(N58:N66)</f>
        <v>165987</v>
      </c>
      <c r="O67" s="6">
        <f t="shared" si="124"/>
        <v>164218</v>
      </c>
      <c r="P67" s="6">
        <f t="shared" si="124"/>
        <v>169779</v>
      </c>
    </row>
    <row r="68" spans="2:21" x14ac:dyDescent="0.2">
      <c r="O68" s="6"/>
    </row>
    <row r="69" spans="2:21" x14ac:dyDescent="0.2">
      <c r="B69" t="s">
        <v>66</v>
      </c>
      <c r="K69" s="6">
        <f t="shared" ref="K69" si="125">K36</f>
        <v>9497</v>
      </c>
      <c r="N69" s="6">
        <f t="shared" ref="N69" si="126">N36</f>
        <v>10285</v>
      </c>
      <c r="O69" s="6">
        <f>O36</f>
        <v>7465</v>
      </c>
      <c r="P69" s="6">
        <f>P36</f>
        <v>6687</v>
      </c>
    </row>
    <row r="70" spans="2:21" x14ac:dyDescent="0.2">
      <c r="B70" t="s">
        <v>67</v>
      </c>
      <c r="K70" s="6">
        <v>9497</v>
      </c>
      <c r="N70" s="6">
        <v>10285</v>
      </c>
      <c r="O70" s="6">
        <v>7465</v>
      </c>
      <c r="P70" s="6">
        <v>6687</v>
      </c>
    </row>
    <row r="71" spans="2:21" x14ac:dyDescent="0.2">
      <c r="B71" t="s">
        <v>69</v>
      </c>
      <c r="K71" s="6">
        <v>1972</v>
      </c>
      <c r="N71" s="6">
        <v>2014</v>
      </c>
      <c r="O71" s="6">
        <v>2156</v>
      </c>
      <c r="P71" s="6">
        <v>1979</v>
      </c>
    </row>
    <row r="72" spans="2:21" x14ac:dyDescent="0.2">
      <c r="B72" t="s">
        <v>70</v>
      </c>
      <c r="K72" s="6">
        <v>1830</v>
      </c>
      <c r="N72" s="6">
        <v>2406</v>
      </c>
      <c r="O72" s="6">
        <v>2498</v>
      </c>
      <c r="P72" s="6">
        <v>3351</v>
      </c>
    </row>
    <row r="73" spans="2:21" x14ac:dyDescent="0.2">
      <c r="B73" t="s">
        <v>71</v>
      </c>
      <c r="K73" s="6">
        <v>418</v>
      </c>
      <c r="N73" s="6">
        <v>748</v>
      </c>
      <c r="O73" s="6">
        <v>-563</v>
      </c>
      <c r="P73" s="6">
        <v>-453</v>
      </c>
    </row>
    <row r="74" spans="2:21" x14ac:dyDescent="0.2">
      <c r="B74" t="s">
        <v>55</v>
      </c>
      <c r="K74" s="6">
        <v>-66</v>
      </c>
      <c r="N74" s="6">
        <v>34</v>
      </c>
      <c r="O74" s="6">
        <v>-221</v>
      </c>
      <c r="P74" s="6">
        <v>189</v>
      </c>
    </row>
    <row r="75" spans="2:21" x14ac:dyDescent="0.2">
      <c r="B75" t="s">
        <v>72</v>
      </c>
      <c r="K75" s="6">
        <f>849-461-10-250-72-1681+6+210</f>
        <v>-1409</v>
      </c>
      <c r="N75" s="6">
        <f>-2038+817-165+876+151+2462+100+414</f>
        <v>2617</v>
      </c>
      <c r="O75" s="6">
        <f>2557+573-108-882-105+763-52-5</f>
        <v>2741</v>
      </c>
      <c r="P75" s="6">
        <f>-522-435-25+237+73+1180+24-88</f>
        <v>444</v>
      </c>
    </row>
    <row r="76" spans="2:21" x14ac:dyDescent="0.2">
      <c r="B76" t="s">
        <v>68</v>
      </c>
      <c r="K76" s="6">
        <f>SUM(K70:K75)</f>
        <v>12242</v>
      </c>
      <c r="N76" s="6">
        <f>SUM(N70:N75)</f>
        <v>18104</v>
      </c>
      <c r="O76" s="6">
        <f>SUM(O70:O75)</f>
        <v>14076</v>
      </c>
      <c r="P76" s="6">
        <f>SUM(P70:P75)</f>
        <v>12197</v>
      </c>
    </row>
    <row r="77" spans="2:21" x14ac:dyDescent="0.2">
      <c r="O77" s="6"/>
      <c r="P77" s="6"/>
    </row>
    <row r="78" spans="2:21" s="3" customFormat="1" x14ac:dyDescent="0.2">
      <c r="B78" s="3" t="s">
        <v>73</v>
      </c>
      <c r="C78" s="6"/>
      <c r="D78" s="6"/>
      <c r="E78" s="6"/>
      <c r="F78" s="6"/>
      <c r="G78" s="6"/>
      <c r="H78" s="6"/>
      <c r="I78" s="6"/>
      <c r="J78" s="6"/>
      <c r="K78" s="6">
        <v>-4272</v>
      </c>
      <c r="L78" s="6"/>
      <c r="M78" s="6"/>
      <c r="N78" s="6">
        <v>-5370</v>
      </c>
      <c r="O78" s="6">
        <f>-5441+126</f>
        <v>-5315</v>
      </c>
      <c r="P78" s="6">
        <f>-7572+44</f>
        <v>-7528</v>
      </c>
      <c r="Q78" s="6"/>
      <c r="R78" s="6"/>
      <c r="S78" s="6"/>
      <c r="T78" s="6"/>
      <c r="U78" s="6"/>
    </row>
    <row r="79" spans="2:21" s="3" customFormat="1" x14ac:dyDescent="0.2">
      <c r="B79" s="3" t="s">
        <v>74</v>
      </c>
      <c r="C79" s="6"/>
      <c r="D79" s="6"/>
      <c r="E79" s="6"/>
      <c r="F79" s="6"/>
      <c r="G79" s="6"/>
      <c r="H79" s="6"/>
      <c r="I79" s="6"/>
      <c r="J79" s="6"/>
      <c r="K79" s="6">
        <f>-6231+1650+3981-2</f>
        <v>-602</v>
      </c>
      <c r="L79" s="6"/>
      <c r="M79" s="6"/>
      <c r="N79" s="6">
        <f>-6093+16340+1598-2-123</f>
        <v>11720</v>
      </c>
      <c r="O79" s="6">
        <f>-4068+5065+402-10</f>
        <v>1389</v>
      </c>
      <c r="P79" s="6">
        <f>-2220+2648+511-7</f>
        <v>932</v>
      </c>
      <c r="Q79" s="6"/>
      <c r="R79" s="6"/>
      <c r="S79" s="6"/>
      <c r="T79" s="6"/>
      <c r="U79" s="6"/>
    </row>
    <row r="80" spans="2:21" s="3" customFormat="1" x14ac:dyDescent="0.2">
      <c r="B80" s="3" t="s">
        <v>75</v>
      </c>
      <c r="C80" s="6"/>
      <c r="D80" s="6"/>
      <c r="E80" s="6"/>
      <c r="F80" s="6"/>
      <c r="G80" s="6"/>
      <c r="H80" s="6"/>
      <c r="I80" s="6"/>
      <c r="J80" s="6"/>
      <c r="K80" s="6">
        <v>0</v>
      </c>
      <c r="L80" s="6"/>
      <c r="M80" s="6"/>
      <c r="N80" s="6">
        <v>-521</v>
      </c>
      <c r="O80" s="6">
        <v>-853</v>
      </c>
      <c r="P80" s="6">
        <v>-363</v>
      </c>
      <c r="Q80" s="6"/>
      <c r="R80" s="6"/>
      <c r="S80" s="6"/>
      <c r="T80" s="6"/>
      <c r="U80" s="6"/>
    </row>
    <row r="81" spans="2:21" s="3" customFormat="1" x14ac:dyDescent="0.2">
      <c r="B81" s="3" t="s">
        <v>76</v>
      </c>
      <c r="C81" s="6"/>
      <c r="D81" s="6"/>
      <c r="E81" s="6"/>
      <c r="F81" s="6"/>
      <c r="G81" s="6"/>
      <c r="H81" s="6"/>
      <c r="I81" s="6"/>
      <c r="J81" s="6"/>
      <c r="K81" s="6">
        <f>SUM(K78:K80)</f>
        <v>-4874</v>
      </c>
      <c r="L81" s="6"/>
      <c r="M81" s="6"/>
      <c r="N81" s="6">
        <f>SUM(N78:N80)</f>
        <v>5829</v>
      </c>
      <c r="O81" s="6">
        <f>SUM(O78:O80)</f>
        <v>-4779</v>
      </c>
      <c r="P81" s="6">
        <f>SUM(P78:P80)</f>
        <v>-6959</v>
      </c>
      <c r="Q81" s="6"/>
      <c r="R81" s="6"/>
      <c r="S81" s="6"/>
      <c r="T81" s="6"/>
      <c r="U81" s="6"/>
    </row>
    <row r="82" spans="2:21" s="3" customFormat="1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2:21" s="3" customFormat="1" x14ac:dyDescent="0.2">
      <c r="B83" s="3" t="s">
        <v>77</v>
      </c>
      <c r="C83" s="6"/>
      <c r="D83" s="6"/>
      <c r="E83" s="6"/>
      <c r="F83" s="6"/>
      <c r="G83" s="6"/>
      <c r="H83" s="6"/>
      <c r="I83" s="6"/>
      <c r="J83" s="6"/>
      <c r="K83" s="6">
        <v>-1077</v>
      </c>
      <c r="L83" s="6"/>
      <c r="M83" s="6"/>
      <c r="N83" s="6">
        <v>-1507</v>
      </c>
      <c r="O83" s="6">
        <v>-925</v>
      </c>
      <c r="P83" s="6">
        <v>-1002</v>
      </c>
      <c r="Q83" s="6"/>
      <c r="R83" s="6"/>
      <c r="S83" s="6"/>
      <c r="T83" s="6"/>
      <c r="U83" s="6"/>
    </row>
    <row r="84" spans="2:21" s="7" customFormat="1" x14ac:dyDescent="0.2">
      <c r="B84" s="7" t="s">
        <v>78</v>
      </c>
      <c r="C84" s="8"/>
      <c r="D84" s="8"/>
      <c r="E84" s="8"/>
      <c r="F84" s="8"/>
      <c r="G84" s="8"/>
      <c r="H84" s="8"/>
      <c r="I84" s="8"/>
      <c r="J84" s="8"/>
      <c r="K84" s="8">
        <v>-3939</v>
      </c>
      <c r="L84" s="8"/>
      <c r="M84" s="8"/>
      <c r="N84" s="8">
        <v>-20063</v>
      </c>
      <c r="O84" s="8">
        <v>-9506</v>
      </c>
      <c r="P84" s="8">
        <v>-5233</v>
      </c>
      <c r="Q84" s="8"/>
      <c r="R84" s="8"/>
      <c r="S84" s="8"/>
      <c r="T84" s="8"/>
      <c r="U84" s="8"/>
    </row>
    <row r="85" spans="2:21" s="3" customFormat="1" x14ac:dyDescent="0.2">
      <c r="B85" s="3" t="s">
        <v>55</v>
      </c>
      <c r="C85" s="6"/>
      <c r="D85" s="6"/>
      <c r="E85" s="6"/>
      <c r="F85" s="6"/>
      <c r="G85" s="6"/>
      <c r="H85" s="6"/>
      <c r="I85" s="6"/>
      <c r="J85" s="6"/>
      <c r="K85" s="6">
        <f>-151+32-50</f>
        <v>-169</v>
      </c>
      <c r="L85" s="6"/>
      <c r="M85" s="6"/>
      <c r="N85" s="6">
        <v>-172</v>
      </c>
      <c r="O85" s="6">
        <f>-233+20-16</f>
        <v>-229</v>
      </c>
      <c r="P85" s="6">
        <f>-219-79-30</f>
        <v>-328</v>
      </c>
      <c r="Q85" s="6"/>
      <c r="R85" s="6"/>
      <c r="S85" s="6"/>
      <c r="T85" s="6"/>
      <c r="U85" s="6"/>
    </row>
    <row r="86" spans="2:21" s="3" customFormat="1" x14ac:dyDescent="0.2">
      <c r="B86" s="3" t="s">
        <v>79</v>
      </c>
      <c r="C86" s="6"/>
      <c r="D86" s="6"/>
      <c r="E86" s="6"/>
      <c r="F86" s="6"/>
      <c r="G86" s="6"/>
      <c r="H86" s="6"/>
      <c r="I86" s="6"/>
      <c r="J86" s="6"/>
      <c r="K86" s="6">
        <f t="shared" ref="K86" si="127">SUM(K83:K85)</f>
        <v>-5185</v>
      </c>
      <c r="L86" s="6"/>
      <c r="M86" s="6"/>
      <c r="N86" s="6">
        <f t="shared" ref="N86" si="128">SUM(N83:N85)</f>
        <v>-21742</v>
      </c>
      <c r="O86" s="6">
        <f>SUM(O83:O85)</f>
        <v>-10660</v>
      </c>
      <c r="P86" s="6">
        <f>SUM(P83:P85)</f>
        <v>-6563</v>
      </c>
      <c r="Q86" s="6"/>
      <c r="R86" s="6"/>
      <c r="S86" s="6"/>
      <c r="T86" s="6"/>
      <c r="U86" s="6"/>
    </row>
    <row r="87" spans="2:21" x14ac:dyDescent="0.2">
      <c r="B87" t="s">
        <v>80</v>
      </c>
      <c r="K87" s="1">
        <v>-246</v>
      </c>
      <c r="N87" s="1">
        <v>-130</v>
      </c>
      <c r="O87" s="6">
        <v>-149</v>
      </c>
      <c r="P87" s="1">
        <v>-550</v>
      </c>
    </row>
    <row r="88" spans="2:21" x14ac:dyDescent="0.2">
      <c r="B88" t="s">
        <v>81</v>
      </c>
      <c r="K88" s="6">
        <f>+K87+K86+K81+K76</f>
        <v>1937</v>
      </c>
      <c r="N88" s="6">
        <f>+N87+N86+N81+N76</f>
        <v>2061</v>
      </c>
      <c r="O88" s="6">
        <f>+O87+O86+O81+O76</f>
        <v>-1512</v>
      </c>
      <c r="P88" s="6">
        <f>+P87+P86+P81+P76</f>
        <v>-1875</v>
      </c>
    </row>
    <row r="89" spans="2:21" x14ac:dyDescent="0.2">
      <c r="O89" s="6"/>
    </row>
    <row r="90" spans="2:21" s="3" customFormat="1" x14ac:dyDescent="0.2">
      <c r="B90" s="3" t="s">
        <v>35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>
        <v>71970</v>
      </c>
      <c r="O90" s="6">
        <v>77805</v>
      </c>
      <c r="P90" s="6">
        <v>83553</v>
      </c>
      <c r="Q90" s="6"/>
      <c r="R90" s="6"/>
      <c r="S90" s="6"/>
      <c r="T90" s="6"/>
      <c r="U90" s="6"/>
    </row>
    <row r="91" spans="2:21" x14ac:dyDescent="0.2">
      <c r="O91" s="6">
        <f>+O90-N90</f>
        <v>5835</v>
      </c>
      <c r="P91" s="6">
        <f>+P90-O90</f>
        <v>5748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2022-08-25T13:44:19Z</dcterms:modified>
</cp:coreProperties>
</file>