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showInkAnnotation="0" defaultThemeVersion="166925"/>
  <xr:revisionPtr revIDLastSave="0" documentId="13_ncr:1_{A10DA86B-7486-40E7-B428-81CD2493A4E7}" xr6:coauthVersionLast="47" xr6:coauthVersionMax="47" xr10:uidLastSave="{00000000-0000-0000-0000-000000000000}"/>
  <bookViews>
    <workbookView xWindow="1275" yWindow="465" windowWidth="24480" windowHeight="20415" firstSheet="3" activeTab="3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AI Investors" sheetId="17" r:id="rId8"/>
    <sheet name="AI" sheetId="15" r:id="rId9"/>
    <sheet name="Revenue" sheetId="16" r:id="rId10"/>
    <sheet name="Media-Games-Design" sheetId="8" r:id="rId11"/>
    <sheet name="Fintech" sheetId="7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</externalReferences>
  <definedNames>
    <definedName name="_xlnm._FilterDatabase" localSheetId="8" hidden="1">AI!$A$2:$L$187</definedName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7" i="17" l="1"/>
  <c r="F157" i="17"/>
  <c r="F136" i="17"/>
  <c r="F141" i="17"/>
  <c r="F149" i="17"/>
  <c r="F121" i="17"/>
  <c r="F132" i="17"/>
  <c r="F106" i="17"/>
  <c r="F101" i="17"/>
  <c r="F72" i="17"/>
  <c r="F77" i="17"/>
  <c r="F50" i="17"/>
  <c r="F36" i="17"/>
  <c r="F322" i="17"/>
  <c r="F321" i="17"/>
  <c r="F320" i="17"/>
  <c r="F315" i="17"/>
  <c r="F319" i="17"/>
  <c r="F314" i="17"/>
  <c r="F170" i="17"/>
  <c r="F313" i="17"/>
  <c r="F317" i="17"/>
  <c r="G188" i="17"/>
  <c r="G167" i="17"/>
  <c r="G50" i="17"/>
  <c r="F88" i="17"/>
  <c r="F84" i="17" s="1"/>
  <c r="F20" i="17"/>
  <c r="G136" i="17"/>
  <c r="F119" i="17"/>
  <c r="F114" i="17" s="1"/>
  <c r="F308" i="17"/>
  <c r="F138" i="17"/>
  <c r="G72" i="17"/>
  <c r="G84" i="17"/>
  <c r="F18" i="17"/>
  <c r="F12" i="17"/>
  <c r="F303" i="17"/>
  <c r="F299" i="17"/>
  <c r="F33" i="17"/>
  <c r="F27" i="17" s="1"/>
  <c r="F304" i="17"/>
  <c r="F302" i="17"/>
  <c r="F300" i="17"/>
  <c r="F298" i="17"/>
  <c r="F296" i="17"/>
  <c r="F294" i="17"/>
  <c r="F292" i="17"/>
  <c r="F291" i="17"/>
  <c r="F289" i="17"/>
  <c r="G114" i="17"/>
  <c r="F190" i="17"/>
  <c r="F188" i="17" s="1"/>
  <c r="F8" i="17"/>
  <c r="F46" i="17"/>
  <c r="F41" i="17" s="1"/>
  <c r="F288" i="17"/>
  <c r="F285" i="17"/>
  <c r="F284" i="17"/>
  <c r="F281" i="17"/>
  <c r="G181" i="17"/>
  <c r="F211" i="17"/>
  <c r="G211" i="17"/>
  <c r="G27" i="17"/>
  <c r="G96" i="17"/>
  <c r="G234" i="17"/>
  <c r="F234" i="17"/>
  <c r="G225" i="17"/>
  <c r="F225" i="17"/>
  <c r="G157" i="17"/>
  <c r="G14" i="17"/>
  <c r="G132" i="17"/>
  <c r="F182" i="17"/>
  <c r="F181" i="17" s="1"/>
  <c r="G145" i="17"/>
  <c r="F145" i="17"/>
  <c r="G41" i="17"/>
  <c r="G216" i="17"/>
  <c r="F216" i="17"/>
  <c r="G149" i="17"/>
  <c r="G230" i="17"/>
  <c r="F230" i="17"/>
  <c r="G221" i="17"/>
  <c r="F221" i="17"/>
  <c r="G101" i="17"/>
  <c r="G106" i="17"/>
  <c r="G198" i="17"/>
  <c r="G121" i="17"/>
  <c r="F200" i="17"/>
  <c r="F198" i="17" s="1"/>
  <c r="G177" i="17"/>
  <c r="G173" i="17"/>
  <c r="F178" i="17"/>
  <c r="F177" i="17" s="1"/>
  <c r="F174" i="17"/>
  <c r="F173" i="17" s="1"/>
  <c r="G92" i="17"/>
  <c r="F94" i="17"/>
  <c r="G3" i="17"/>
  <c r="F4" i="17"/>
  <c r="F97" i="17"/>
  <c r="F96" i="17" s="1"/>
  <c r="F93" i="17"/>
  <c r="F243" i="17"/>
  <c r="F242" i="17"/>
  <c r="G36" i="17"/>
  <c r="F192" i="17"/>
  <c r="F208" i="17"/>
  <c r="F205" i="17" s="1"/>
  <c r="G205" i="17"/>
  <c r="G77" i="17"/>
  <c r="G192" i="17"/>
  <c r="G61" i="17"/>
  <c r="F63" i="17"/>
  <c r="F61" i="17" s="1"/>
  <c r="G141" i="17"/>
  <c r="F240" i="17"/>
  <c r="A67" i="15"/>
  <c r="A68" i="15" s="1"/>
  <c r="A69" i="15" s="1"/>
  <c r="A70" i="15" s="1"/>
  <c r="A71" i="15" s="1"/>
  <c r="A72" i="15" s="1"/>
  <c r="A73" i="15" s="1"/>
  <c r="F14" i="17" l="1"/>
  <c r="F3" i="17"/>
  <c r="F92" i="17"/>
  <c r="A56" i="15"/>
  <c r="A35" i="15"/>
  <c r="A36" i="15" s="1"/>
  <c r="A37" i="15" s="1"/>
  <c r="A38" i="15" s="1"/>
  <c r="A40" i="15" s="1"/>
  <c r="A57" i="15" l="1"/>
  <c r="A41" i="15"/>
  <c r="A42" i="15" s="1"/>
  <c r="A43" i="15" s="1"/>
  <c r="A44" i="15" s="1"/>
  <c r="A45" i="15" s="1"/>
  <c r="A46" i="15" s="1"/>
  <c r="A47" i="15" s="1"/>
  <c r="A48" i="15" s="1"/>
  <c r="A49" i="15" s="1"/>
  <c r="A16" i="15"/>
  <c r="A21" i="15" s="1"/>
  <c r="A22" i="15" s="1"/>
  <c r="A23" i="15" s="1"/>
  <c r="A24" i="15" s="1"/>
  <c r="A25" i="15" s="1"/>
  <c r="A26" i="15" s="1"/>
  <c r="A29" i="15" s="1"/>
  <c r="F5" i="10"/>
  <c r="H5" i="10"/>
  <c r="E5" i="10" s="1"/>
  <c r="F7" i="1"/>
  <c r="H7" i="1"/>
  <c r="E7" i="1" s="1"/>
  <c r="E17" i="10"/>
  <c r="F17" i="10"/>
  <c r="A58" i="15" l="1"/>
  <c r="A50" i="15"/>
  <c r="A51" i="15" s="1"/>
  <c r="A52" i="15" s="1"/>
  <c r="A53" i="15" s="1"/>
  <c r="G5" i="10"/>
  <c r="G7" i="1"/>
  <c r="G17" i="10"/>
  <c r="G8" i="8"/>
  <c r="G24" i="8"/>
  <c r="Z24" i="8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<sst xmlns="http://schemas.openxmlformats.org/spreadsheetml/2006/main" count="2796" uniqueCount="1034">
  <si>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</si>
  <si>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</si>
  <si>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</si>
  <si>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</si>
  <si>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</si>
  <si>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</si>
  <si>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</si>
  <si>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</si>
  <si>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</si>
  <si>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</si>
  <si>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</si>
  <si>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</si>
  <si>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</si>
  <si>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</si>
  <si>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</si>
  <si>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</si>
  <si>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</si>
  <si>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</si>
  <si>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</si>
  <si>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</si>
  <si>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</si>
  <si>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</si>
  <si>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</si>
  <si>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</si>
  <si>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</si>
  <si>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</si>
  <si>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</si>
  <si>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</si>
  <si>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</si>
  <si>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</si>
  <si>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</si>
  <si>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</si>
  <si>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</si>
  <si>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</si>
  <si>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</si>
  <si>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</si>
  <si>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</si>
  <si>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</si>
  <si>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</si>
  <si>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</si>
  <si>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</si>
  <si>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</si>
  <si>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</si>
  <si>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</si>
  <si>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</si>
  <si>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</si>
  <si>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</si>
  <si>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</si>
  <si>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</si>
  <si>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</si>
  <si>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</si>
  <si>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</si>
  <si>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</si>
  <si>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</si>
  <si>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</si>
  <si>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</si>
  <si>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</si>
  <si>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</si>
  <si>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</si>
  <si>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</si>
  <si>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</si>
  <si>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</si>
  <si>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</si>
  <si>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</si>
  <si>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</si>
  <si>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</si>
  <si>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</si>
  <si>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</si>
  <si>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</si>
  <si>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</si>
  <si>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</si>
  <si>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</si>
  <si>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</si>
  <si>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</si>
  <si>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</si>
  <si>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</si>
  <si>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</si>
  <si>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</si>
  <si>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</si>
  <si>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</si>
  <si>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</si>
  <si>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</si>
  <si>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</si>
  <si>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</si>
  <si>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</si>
  <si>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</si>
  <si>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</si>
  <si>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</si>
  <si>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</si>
  <si>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</si>
  <si>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</si>
  <si>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</si>
  <si>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</si>
  <si>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</si>
  <si>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</si>
  <si>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</si>
  <si>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</si>
  <si>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</si>
  <si>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</si>
  <si>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</si>
  <si>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</si>
  <si>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</si>
  <si>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</si>
  <si>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</si>
  <si>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</si>
  <si>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</si>
  <si>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</si>
  <si>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</si>
  <si>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</si>
  <si>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</si>
  <si>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</si>
  <si>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</si>
  <si>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</si>
  <si>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</si>
  <si>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</si>
  <si>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</si>
  <si>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</si>
  <si>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</si>
  <si>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</si>
  <si>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</si>
  <si>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</si>
  <si>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</si>
  <si>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</si>
  <si>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</si>
  <si>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</si>
  <si>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</si>
  <si>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</si>
  <si>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</si>
  <si>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</si>
  <si>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</si>
  <si>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</si>
  <si>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</si>
  <si>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</si>
  <si>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</si>
  <si>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</si>
  <si>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</si>
  <si>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</si>
  <si>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</si>
  <si>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</si>
  <si>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</si>
  <si>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</si>
  <si>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</si>
  <si>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</si>
  <si>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</si>
  <si>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</si>
  <si>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</si>
  <si>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</si>
  <si>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</si>
  <si>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</si>
  <si>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</si>
  <si>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</si>
  <si>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</si>
  <si>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</si>
  <si>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</si>
  <si>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</si>
  <si>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</si>
  <si>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</si>
  <si>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</si>
  <si>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</si>
  <si>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</si>
  <si>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</si>
  <si>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</si>
  <si>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</si>
  <si>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</si>
  <si>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</si>
  <si>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</si>
  <si>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</si>
  <si>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</si>
  <si>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</si>
  <si>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</si>
  <si>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</si>
  <si>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</si>
  <si>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</si>
  <si>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</si>
  <si>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</si>
  <si>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</si>
  <si>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</si>
  <si>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</si>
  <si>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</si>
  <si>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</si>
  <si>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</si>
  <si>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</si>
  <si>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</si>
  <si>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</si>
  <si>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</si>
  <si>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</si>
  <si>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</si>
  <si>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</si>
  <si>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</si>
  <si>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</si>
  <si>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</si>
  <si>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</si>
  <si>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</si>
  <si>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</si>
  <si>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</si>
  <si>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</si>
  <si>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</si>
  <si>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</si>
  <si>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</si>
  <si>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</si>
  <si>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</si>
  <si>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</si>
  <si>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</si>
  <si>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</si>
  <si>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</si>
  <si>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</si>
  <si>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</si>
  <si>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</si>
  <si>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</si>
  <si>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</si>
  <si>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</si>
  <si>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</si>
  <si>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</si>
  <si>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</si>
  <si>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</si>
  <si>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</si>
  <si>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</si>
  <si>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</si>
  <si>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</si>
  <si>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</si>
  <si>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</si>
  <si>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</si>
  <si>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</si>
  <si>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</si>
  <si>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</si>
  <si>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</si>
  <si>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</si>
  <si>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</si>
  <si>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</si>
  <si>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</si>
  <si>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</si>
  <si>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</si>
  <si>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</si>
  <si>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</si>
  <si>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</si>
  <si>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</si>
  <si>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</si>
  <si>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</si>
  <si>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</si>
  <si>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</si>
  <si>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</si>
  <si>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</si>
  <si>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</si>
  <si>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</si>
  <si>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</si>
  <si>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</si>
  <si>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</si>
  <si>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</si>
  <si>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</si>
  <si>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</si>
  <si>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</si>
  <si>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</si>
  <si>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</si>
  <si>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</si>
  <si>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</si>
  <si>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</si>
  <si>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</si>
  <si>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</si>
  <si>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</si>
  <si>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</si>
  <si>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</si>
  <si>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</si>
  <si>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</si>
  <si>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</si>
  <si>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</si>
  <si>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</si>
  <si>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</si>
  <si>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</si>
  <si>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</si>
  <si>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</si>
  <si>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</si>
  <si>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</si>
  <si>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</si>
  <si>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</si>
  <si>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</si>
  <si>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</si>
  <si>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</si>
  <si>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</si>
  <si>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</si>
  <si>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</si>
  <si>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</si>
  <si>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</si>
  <si>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</si>
  <si>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</si>
  <si>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</si>
  <si>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</si>
  <si>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</si>
  <si>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</si>
  <si>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</si>
  <si>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</si>
  <si>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</si>
  <si>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</si>
  <si>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</si>
  <si>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</si>
  <si>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</si>
  <si>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</si>
  <si>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</si>
  <si>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</si>
  <si>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</si>
  <si>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</si>
  <si>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</si>
  <si>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</si>
  <si>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</si>
  <si>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</si>
  <si>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</si>
  <si>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</si>
  <si>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</si>
  <si>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</si>
  <si>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</si>
  <si>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</si>
  <si>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</si>
  <si>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</si>
  <si>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</si>
  <si>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</si>
  <si>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</si>
  <si>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</si>
  <si>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</si>
  <si>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</si>
  <si>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</si>
  <si>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</si>
  <si>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</si>
  <si>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</si>
  <si>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</si>
  <si>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</si>
  <si>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</si>
  <si>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</si>
  <si>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</si>
  <si>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</si>
  <si>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</si>
  <si>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</si>
  <si>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</si>
  <si>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</si>
  <si>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</si>
  <si>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</si>
  <si>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</si>
  <si>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</si>
  <si>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</si>
  <si>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</si>
  <si>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</si>
  <si>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</si>
  <si>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</si>
  <si>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</si>
  <si>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</si>
  <si>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</si>
  <si>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</si>
  <si>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</si>
  <si>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</si>
  <si>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</si>
  <si>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</si>
  <si>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</si>
  <si>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</si>
  <si>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</si>
  <si>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</si>
  <si>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</si>
  <si>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</si>
  <si>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</si>
  <si>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</si>
  <si>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</si>
  <si>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</si>
  <si>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</si>
  <si>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</si>
  <si>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</si>
  <si>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</si>
  <si>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</si>
  <si>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</si>
  <si>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</si>
  <si>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</si>
  <si>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</si>
  <si>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</si>
  <si>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</si>
  <si>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</si>
  <si>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</si>
  <si>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</si>
  <si>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</si>
  <si>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</si>
  <si>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</si>
  <si>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</si>
  <si>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</si>
  <si>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</si>
  <si>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</si>
  <si>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</si>
  <si>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</si>
  <si>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</si>
  <si>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</si>
  <si>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</si>
  <si>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</si>
  <si>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</si>
  <si>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</si>
  <si>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</si>
  <si>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</si>
  <si>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</si>
  <si>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</si>
  <si>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</si>
  <si>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</si>
  <si>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</si>
  <si>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</si>
  <si>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</si>
  <si>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</si>
  <si>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</si>
  <si>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</si>
  <si>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</si>
  <si>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</si>
  <si>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Series B</t>
  </si>
  <si>
    <t>Claude</t>
  </si>
  <si>
    <t>Dario Amodei</t>
  </si>
  <si>
    <t>Cohere</t>
  </si>
  <si>
    <t>AI21 Labs</t>
  </si>
  <si>
    <t>Doximity</t>
  </si>
  <si>
    <t>Nextracker</t>
  </si>
  <si>
    <t>Confluent</t>
  </si>
  <si>
    <t>Pinecone</t>
  </si>
  <si>
    <t>Langchain</t>
  </si>
  <si>
    <t>Last Round</t>
  </si>
  <si>
    <t>Size</t>
  </si>
  <si>
    <t>Product</t>
  </si>
  <si>
    <t>People</t>
  </si>
  <si>
    <t>Stability AI</t>
  </si>
  <si>
    <t>C3</t>
  </si>
  <si>
    <t>Perplexity AI</t>
  </si>
  <si>
    <t>Character AI</t>
  </si>
  <si>
    <t>Hugging Face</t>
  </si>
  <si>
    <t>Jasper</t>
  </si>
  <si>
    <t>Fetch.ai</t>
  </si>
  <si>
    <t>Weights and Biases</t>
  </si>
  <si>
    <t>Glean</t>
  </si>
  <si>
    <t>Typeface</t>
  </si>
  <si>
    <t>Cruise</t>
  </si>
  <si>
    <t>Databricks</t>
  </si>
  <si>
    <t>Tesla</t>
  </si>
  <si>
    <t>Olive</t>
  </si>
  <si>
    <t>Notes</t>
  </si>
  <si>
    <t>Healthcare</t>
  </si>
  <si>
    <t>Adept AI</t>
  </si>
  <si>
    <t>Inflection AI</t>
  </si>
  <si>
    <t>Moveworks</t>
  </si>
  <si>
    <t>Zoovu</t>
  </si>
  <si>
    <t>Nauto</t>
  </si>
  <si>
    <t>Element AI</t>
  </si>
  <si>
    <t>Concert AI</t>
  </si>
  <si>
    <t>Clarify Health</t>
  </si>
  <si>
    <t>Innovaccer</t>
  </si>
  <si>
    <t>Jumio</t>
  </si>
  <si>
    <t>Verbit</t>
  </si>
  <si>
    <t>Yi+</t>
  </si>
  <si>
    <t>Xiaoice</t>
  </si>
  <si>
    <t>K Health</t>
  </si>
  <si>
    <t>Observe.AI</t>
  </si>
  <si>
    <t>Climavision</t>
  </si>
  <si>
    <t>Parametrix AI</t>
  </si>
  <si>
    <t>People.ai</t>
  </si>
  <si>
    <t>Game, NPC world</t>
  </si>
  <si>
    <t>Ascertain</t>
  </si>
  <si>
    <t>Noam Shazeer</t>
  </si>
  <si>
    <t>Seekr</t>
  </si>
  <si>
    <t>Inworld</t>
  </si>
  <si>
    <t>Wizard</t>
  </si>
  <si>
    <t>Ecommerce</t>
  </si>
  <si>
    <t>The Applied AI Company</t>
  </si>
  <si>
    <t>Irreverant Labs</t>
  </si>
  <si>
    <t>Modular</t>
  </si>
  <si>
    <t>Neo Cybernetica</t>
  </si>
  <si>
    <t>Stealth</t>
  </si>
  <si>
    <t>AXON Networks</t>
  </si>
  <si>
    <t>Orchestration</t>
  </si>
  <si>
    <t>Search</t>
  </si>
  <si>
    <t>Magic</t>
  </si>
  <si>
    <t>Programming</t>
  </si>
  <si>
    <t>Exafunction</t>
  </si>
  <si>
    <t>EnCharge AI</t>
  </si>
  <si>
    <t>Generally Intelligent</t>
  </si>
  <si>
    <t>Two Platforms</t>
  </si>
  <si>
    <t>Fixie.ai</t>
  </si>
  <si>
    <t>Enchanted Tools</t>
  </si>
  <si>
    <t>Tenyx</t>
  </si>
  <si>
    <t>Haiper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</si>
  <si>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</si>
  <si>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</si>
  <si>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</si>
  <si>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</si>
  <si>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</si>
  <si>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</si>
  <si>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</si>
  <si>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</si>
  <si>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</si>
  <si>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</si>
  <si>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</si>
  <si>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</si>
  <si>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</si>
  <si>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</si>
  <si>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</si>
  <si>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</si>
  <si>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</si>
  <si>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</si>
  <si>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</si>
  <si>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</si>
  <si>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</si>
  <si>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</si>
  <si>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</si>
  <si>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FSD</t>
  </si>
  <si>
    <t>Command</t>
  </si>
  <si>
    <t>TSLA</t>
  </si>
  <si>
    <t>Midjourney</t>
  </si>
  <si>
    <t>N/A</t>
  </si>
  <si>
    <t>FB</t>
  </si>
  <si>
    <t>Llama</t>
  </si>
  <si>
    <t>Yann Le Cun</t>
  </si>
  <si>
    <t>Ilya Sustkever, Andrej Karpathy</t>
  </si>
  <si>
    <t>GPT4, ChatGPT</t>
  </si>
  <si>
    <t>Self-Funded</t>
  </si>
  <si>
    <t>GPT4All</t>
  </si>
  <si>
    <t>GPT-J</t>
  </si>
  <si>
    <t>Yuvanesh Anand, Zach Nussbaum, Brandon Duderstadt, Benjamin Schmidt, Andriy Mulyar</t>
  </si>
  <si>
    <t>Paperspace</t>
  </si>
  <si>
    <t>Nomic</t>
  </si>
  <si>
    <t>Chroma</t>
  </si>
  <si>
    <t>https://github.com/tloen/alpaca-lora</t>
  </si>
  <si>
    <t>Repos/Projects</t>
  </si>
  <si>
    <t>Alpaca-Lora</t>
  </si>
  <si>
    <t>Jurassic-2</t>
  </si>
  <si>
    <t>Docs</t>
  </si>
  <si>
    <t>https://huggingface.co/datasets/nomic-ai/gpt4all-j-prompt-generations/tree/main/data</t>
  </si>
  <si>
    <t>https://huggingface.co/chansung/alpaca-lora-65b/tree/main</t>
  </si>
  <si>
    <t>Alpaca-Lora-65B</t>
  </si>
  <si>
    <t>H2O GPT</t>
  </si>
  <si>
    <t>https://github.com/h2oai/h2ogpt</t>
  </si>
  <si>
    <t>HuggingChat</t>
  </si>
  <si>
    <t>Clement Delangue</t>
  </si>
  <si>
    <t>OpenAssistant</t>
  </si>
  <si>
    <t>Trainium, Bedrock, Infernium</t>
  </si>
  <si>
    <t>MAUs</t>
  </si>
  <si>
    <t>MC/MAU</t>
  </si>
  <si>
    <t>MAU</t>
  </si>
  <si>
    <t>Essential AI</t>
  </si>
  <si>
    <t>Roper</t>
  </si>
  <si>
    <t>ROP</t>
  </si>
  <si>
    <t>Beijing Kingsoft</t>
  </si>
  <si>
    <t>688111 CH</t>
  </si>
  <si>
    <t>iFlyTek</t>
  </si>
  <si>
    <t>002230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</si>
  <si>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</si>
  <si>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</si>
  <si>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</si>
  <si>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</si>
  <si>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</si>
  <si>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</si>
  <si>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</si>
  <si>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</si>
  <si>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20 HK</t>
  </si>
  <si>
    <t>SenseTime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</si>
  <si>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</si>
  <si>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</si>
  <si>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</si>
  <si>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</si>
  <si>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</si>
  <si>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</si>
  <si>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</si>
  <si>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</si>
  <si>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</si>
  <si>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</si>
  <si>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</si>
  <si>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HarveyAI</t>
  </si>
  <si>
    <t>Legal</t>
  </si>
  <si>
    <t>Series A</t>
  </si>
  <si>
    <t>OpenAI, Conviction, SV Angel, Elad Gil</t>
  </si>
  <si>
    <t>Descript</t>
  </si>
  <si>
    <t>Mem</t>
  </si>
  <si>
    <t>Speak</t>
  </si>
  <si>
    <t>Email</t>
  </si>
  <si>
    <t>Seed</t>
  </si>
  <si>
    <t>HyperWrite</t>
  </si>
  <si>
    <t>Madrona, Active Capital, Hustle Fund, Chapter One, Cortical</t>
  </si>
  <si>
    <t>OthersideAI</t>
  </si>
  <si>
    <t>Vista, Base 10</t>
  </si>
  <si>
    <t>Stable Diffusion</t>
  </si>
  <si>
    <t>Emad Mostaque</t>
  </si>
  <si>
    <t>Aidan Gomez, Nick Frosst</t>
  </si>
  <si>
    <t>Blockchain Dev Platform</t>
  </si>
  <si>
    <t>DWF Labs</t>
  </si>
  <si>
    <t>Lightspeed, GV, M12, Menlo Ventures</t>
  </si>
  <si>
    <t>Vector Store</t>
  </si>
  <si>
    <t>Assistant</t>
  </si>
  <si>
    <t>Pi</t>
  </si>
  <si>
    <t>Chatbot</t>
  </si>
  <si>
    <t>Ashish Vaswani, Niki Parmar</t>
  </si>
  <si>
    <t>Elad Gil, Thrive Capital</t>
  </si>
  <si>
    <t>Wysa</t>
  </si>
  <si>
    <t>Series C</t>
  </si>
  <si>
    <t>Andrew Mason</t>
  </si>
  <si>
    <t>Health</t>
  </si>
  <si>
    <t>Spellbook</t>
  </si>
  <si>
    <t>Voice AI</t>
  </si>
  <si>
    <t>Hippocratic</t>
  </si>
  <si>
    <t>Gan.ai</t>
  </si>
  <si>
    <t>ElevenLabs</t>
  </si>
  <si>
    <t>Writesonic</t>
  </si>
  <si>
    <t>Workhack</t>
  </si>
  <si>
    <t>Orby AI</t>
  </si>
  <si>
    <t>Consensus</t>
  </si>
  <si>
    <t>Kumo.AI</t>
  </si>
  <si>
    <t>Hume AI</t>
  </si>
  <si>
    <t>SapientAI</t>
  </si>
  <si>
    <t>Autonomize AI</t>
  </si>
  <si>
    <t>Predibase</t>
  </si>
  <si>
    <t>Fabi.ai</t>
  </si>
  <si>
    <t>MURF.AI</t>
  </si>
  <si>
    <t>CodiumAI</t>
  </si>
  <si>
    <t>Wispr</t>
  </si>
  <si>
    <t>Yoodli</t>
  </si>
  <si>
    <t>prezent.ai</t>
  </si>
  <si>
    <t>Artera</t>
  </si>
  <si>
    <t>Booth AI</t>
  </si>
  <si>
    <t>Xerataus IQX</t>
  </si>
  <si>
    <t>Kognitos</t>
  </si>
  <si>
    <t>Kubiya.ai</t>
  </si>
  <si>
    <t>Protex AI</t>
  </si>
  <si>
    <t>Mana</t>
  </si>
  <si>
    <t>One AI</t>
  </si>
  <si>
    <t>Capitol</t>
  </si>
  <si>
    <t>Ask-AI</t>
  </si>
  <si>
    <t>NinaTech AI</t>
  </si>
  <si>
    <t>Immutable</t>
  </si>
  <si>
    <t>$15m Series A</t>
  </si>
  <si>
    <t>Prior Round</t>
  </si>
  <si>
    <t>Character.ai</t>
  </si>
  <si>
    <t>Northwell</t>
  </si>
  <si>
    <t>Nvidia</t>
  </si>
  <si>
    <t>NVDA</t>
  </si>
  <si>
    <t>Deeproute</t>
  </si>
  <si>
    <t>Self-Driving Car</t>
  </si>
  <si>
    <t>Chinese</t>
  </si>
  <si>
    <t>Glance</t>
  </si>
  <si>
    <t>Trading around 8000 in secondary markets</t>
  </si>
  <si>
    <t>200m Series D</t>
  </si>
  <si>
    <t>Vianai</t>
  </si>
  <si>
    <t>Tecton</t>
  </si>
  <si>
    <t>Platform?</t>
  </si>
  <si>
    <t>Subtype</t>
  </si>
  <si>
    <t>Consumer</t>
  </si>
  <si>
    <t>Enterprise</t>
  </si>
  <si>
    <t>Tool</t>
  </si>
  <si>
    <t>Anyscale</t>
  </si>
  <si>
    <t>OctoML</t>
  </si>
  <si>
    <t>Snorkel AI</t>
  </si>
  <si>
    <t>Vcat.ai</t>
  </si>
  <si>
    <t>Content</t>
  </si>
  <si>
    <t>Figure</t>
  </si>
  <si>
    <t>Supremind</t>
  </si>
  <si>
    <t>Big Surveillance</t>
  </si>
  <si>
    <t>Weaviate</t>
  </si>
  <si>
    <t>2019</t>
  </si>
  <si>
    <t>2022</t>
  </si>
  <si>
    <t>Abacus.AI</t>
  </si>
  <si>
    <t>Datagen</t>
  </si>
  <si>
    <t>Avatars</t>
  </si>
  <si>
    <t>2018</t>
  </si>
  <si>
    <t>AI Rudder</t>
  </si>
  <si>
    <t>Call Center</t>
  </si>
  <si>
    <t>d-Matrix</t>
  </si>
  <si>
    <t>Compute</t>
  </si>
  <si>
    <t>Lambda Labs</t>
  </si>
  <si>
    <t>Vedrai</t>
  </si>
  <si>
    <t>MLOps</t>
  </si>
  <si>
    <t>Agents</t>
  </si>
  <si>
    <t>Prompt</t>
  </si>
  <si>
    <t>Video</t>
  </si>
  <si>
    <t>Business Intelligence</t>
  </si>
  <si>
    <t>Sub-Subtype</t>
  </si>
  <si>
    <t>Language Model</t>
  </si>
  <si>
    <t>Surveillance</t>
  </si>
  <si>
    <t>Voice</t>
  </si>
  <si>
    <t>Automotive</t>
  </si>
  <si>
    <t>Hardware</t>
  </si>
  <si>
    <t>Tome</t>
  </si>
  <si>
    <t>2020</t>
  </si>
  <si>
    <t>DeepDoc</t>
  </si>
  <si>
    <t>Lightning AI</t>
  </si>
  <si>
    <t>Skan.ai</t>
  </si>
  <si>
    <t>Games</t>
  </si>
  <si>
    <t>MechaFightClub fail</t>
  </si>
  <si>
    <t>Arize AI</t>
  </si>
  <si>
    <t>Sima.AI</t>
  </si>
  <si>
    <t>Palette</t>
  </si>
  <si>
    <t>V7</t>
  </si>
  <si>
    <t>Infinitus</t>
  </si>
  <si>
    <t>Robust Intelligence</t>
  </si>
  <si>
    <t>Imagen</t>
  </si>
  <si>
    <t>Photos</t>
  </si>
  <si>
    <t>Robotics</t>
  </si>
  <si>
    <t>Jina AI</t>
  </si>
  <si>
    <t>Nr2</t>
  </si>
  <si>
    <t>Searching for investments for investors</t>
  </si>
  <si>
    <t>Merlyn Mind</t>
  </si>
  <si>
    <t>Upstage AI</t>
  </si>
  <si>
    <t>ExpressSteuer</t>
  </si>
  <si>
    <t>Taxes</t>
  </si>
  <si>
    <t>Aleph Alpha</t>
  </si>
  <si>
    <t>Aiable</t>
  </si>
  <si>
    <t>Surge AI</t>
  </si>
  <si>
    <t>Heartex</t>
  </si>
  <si>
    <t>Pre-Seed</t>
  </si>
  <si>
    <t>Stealthy</t>
  </si>
  <si>
    <t>Kili</t>
  </si>
  <si>
    <t>Aiola</t>
  </si>
  <si>
    <t>TruEra</t>
  </si>
  <si>
    <t>Aporia</t>
  </si>
  <si>
    <t>Deci AI</t>
  </si>
  <si>
    <t>Phaidra</t>
  </si>
  <si>
    <t>Plant</t>
  </si>
  <si>
    <t>Waymo</t>
  </si>
  <si>
    <t>Scale</t>
  </si>
  <si>
    <t>Nabla</t>
  </si>
  <si>
    <t>Hour One</t>
  </si>
  <si>
    <t>Pactum</t>
  </si>
  <si>
    <t>Procurement</t>
  </si>
  <si>
    <t>Wiz.ai</t>
  </si>
  <si>
    <t>Deepdub</t>
  </si>
  <si>
    <t>Daloopa</t>
  </si>
  <si>
    <t>Finance</t>
  </si>
  <si>
    <t>Axios HQ</t>
  </si>
  <si>
    <t>Artificial Reality</t>
  </si>
  <si>
    <t>Roboflow</t>
  </si>
  <si>
    <t>Computer Vision</t>
  </si>
  <si>
    <t>Rasgo</t>
  </si>
  <si>
    <t>TruLens</t>
  </si>
  <si>
    <t>Synthesis AI</t>
  </si>
  <si>
    <t>Torre</t>
  </si>
  <si>
    <t>Recruiting</t>
  </si>
  <si>
    <t>Alethea AI</t>
  </si>
  <si>
    <t>Zuva</t>
  </si>
  <si>
    <t>Xembly</t>
  </si>
  <si>
    <t>Customer Service</t>
  </si>
  <si>
    <t>Encord</t>
  </si>
  <si>
    <t>SuperAnnotate</t>
  </si>
  <si>
    <t>Graft</t>
  </si>
  <si>
    <t>Zowie</t>
  </si>
  <si>
    <t>Text-to-3D</t>
  </si>
  <si>
    <t>Bridgewise</t>
  </si>
  <si>
    <t>Numbers Station</t>
  </si>
  <si>
    <t>Replicate</t>
  </si>
  <si>
    <t>Vectice</t>
  </si>
  <si>
    <t>Autism</t>
  </si>
  <si>
    <t>Datarobot</t>
  </si>
  <si>
    <t>hOS</t>
  </si>
  <si>
    <t>Credo AI</t>
  </si>
  <si>
    <t>Synthetaic</t>
  </si>
  <si>
    <t>Voxel51</t>
  </si>
  <si>
    <t>Faros AI</t>
  </si>
  <si>
    <t>Launchable model repository</t>
  </si>
  <si>
    <t>Baseten</t>
  </si>
  <si>
    <t>LatticeFlow</t>
  </si>
  <si>
    <t>Lavender</t>
  </si>
  <si>
    <t>Rewrite cold emails</t>
  </si>
  <si>
    <t>CopyAI</t>
  </si>
  <si>
    <t>Marketing copy</t>
  </si>
  <si>
    <t>Sales</t>
  </si>
  <si>
    <t>Rephrase.ai</t>
  </si>
  <si>
    <t>Generative video</t>
  </si>
  <si>
    <t>Test Suites</t>
  </si>
  <si>
    <t>Robin AI</t>
  </si>
  <si>
    <t>Contracts</t>
  </si>
  <si>
    <t>Got It AI</t>
  </si>
  <si>
    <t>Koxy AI</t>
  </si>
  <si>
    <t>Auto</t>
  </si>
  <si>
    <t>Driver assistance</t>
  </si>
  <si>
    <t>Acquired</t>
  </si>
  <si>
    <t>Insurance</t>
  </si>
  <si>
    <t>RWD</t>
  </si>
  <si>
    <t>Personal Computing</t>
  </si>
  <si>
    <t>Supernormal</t>
  </si>
  <si>
    <t>Meetings</t>
  </si>
  <si>
    <t>Satya Nadella</t>
  </si>
  <si>
    <t>Jeff Dean</t>
  </si>
  <si>
    <t>Series E</t>
  </si>
  <si>
    <t>Labeling</t>
  </si>
  <si>
    <t>Y Combinator</t>
  </si>
  <si>
    <t>Wellington</t>
  </si>
  <si>
    <t>Human Capital</t>
  </si>
  <si>
    <t>Greenoaks</t>
  </si>
  <si>
    <t>Founders Fund</t>
  </si>
  <si>
    <t>Durable Capital Partners</t>
  </si>
  <si>
    <t>Dragoneer Investment Group</t>
  </si>
  <si>
    <t>Coatue</t>
  </si>
  <si>
    <t>Fund</t>
  </si>
  <si>
    <t>Round</t>
  </si>
  <si>
    <t>Company</t>
  </si>
  <si>
    <t>Scale.ai</t>
  </si>
  <si>
    <t>Raised</t>
  </si>
  <si>
    <t>Date</t>
  </si>
  <si>
    <t>Alexandr Wang</t>
  </si>
  <si>
    <t>Series D</t>
  </si>
  <si>
    <t>Tiger, Bradley Horowitz</t>
  </si>
  <si>
    <t>Lucy Guo co-founder</t>
  </si>
  <si>
    <t>Series D: 3.5B valuation</t>
  </si>
  <si>
    <t>All</t>
  </si>
  <si>
    <t>Unspecified</t>
  </si>
  <si>
    <t>Founders Fund, Thrive, Spark, Next Play, Index, Mike Krieger, Kevin Systrom, Coatue, Adam D'Angelo, Accel</t>
  </si>
  <si>
    <t>Thrive Capital</t>
  </si>
  <si>
    <t>Spark Capital</t>
  </si>
  <si>
    <t>Next Play Ventures</t>
  </si>
  <si>
    <t>Index Ventures</t>
  </si>
  <si>
    <t>Accel</t>
  </si>
  <si>
    <t>Y Combinator, Justin Kan, Index, Drew Houston, Accel</t>
  </si>
  <si>
    <t>Y Combinator, Outlander Fund I, Nat Friedman, Ilya Sukhar, Guillermo Rauch, Greg Brockman, Charlie Cheever, Accel</t>
  </si>
  <si>
    <t>Outlander Fund</t>
  </si>
  <si>
    <t>Spark, Zoom, Sound, Salesforce, Menlo, Google</t>
  </si>
  <si>
    <t>Zoom Ventures</t>
  </si>
  <si>
    <t>Sound Ventures</t>
  </si>
  <si>
    <t>Salesforce Ventures</t>
  </si>
  <si>
    <t>Menlo Ventures</t>
  </si>
  <si>
    <t>One-Off</t>
  </si>
  <si>
    <t>ChatGPT, Bing, Co-Pilot</t>
  </si>
  <si>
    <t>Bard, TensorFlow</t>
  </si>
  <si>
    <t>James McClave, Jaan Tallinn, Eric Schmidt, Dustin Moskovitz, CERR</t>
  </si>
  <si>
    <t>Coatue, Fourth Revolution, Kadmos, Lightspeed, O'Shaughnessy</t>
  </si>
  <si>
    <t>CEO is sketchy</t>
  </si>
  <si>
    <t>O'Shaughnessy</t>
  </si>
  <si>
    <t>Lightspeed Venture Partners</t>
  </si>
  <si>
    <t>Kadmos</t>
  </si>
  <si>
    <t>Fourth Revolution</t>
  </si>
  <si>
    <t>Inovia, Thomvest, SentinelOne, Schroders, Salesforce, Oracle, Nvidia, Mirae, Index, DTCP</t>
  </si>
  <si>
    <t>Inovia</t>
  </si>
  <si>
    <t>SentinelOne</t>
  </si>
  <si>
    <t>Schroders</t>
  </si>
  <si>
    <t>Mirae</t>
  </si>
  <si>
    <t>DTCP</t>
  </si>
  <si>
    <t>Tiger, Section32, Radical Ventures, Index Ventures, Geoff Hinton, Raqel Urtasun, Fei-Fei Li, Pieter Abbeel</t>
  </si>
  <si>
    <t>Section 32</t>
  </si>
  <si>
    <t>Radical Ventures</t>
  </si>
  <si>
    <t>Section 32, Raqel Urtasun, Radical Ventures, Pieter Abebeel, Index Ventures, Geoff Hinton, Fei-Fei Li</t>
  </si>
  <si>
    <t>Tiger, Coatue, Y Combinator, Wellington, Index, Human Capital, Greenoaks, Founders Fund, Durable Capital, Dragoneer</t>
  </si>
  <si>
    <t>Lux Capital, Thirty Five Ventures, SVA, Sequoia Capital, Cygni Capital, Coatue, Betaworks, Rich Kleiman, Olivier Pomel, Kevin Durant, AIX Ventures, Addition, A.Capital</t>
  </si>
  <si>
    <t>Lux Capital</t>
  </si>
  <si>
    <t>Huggingface</t>
  </si>
  <si>
    <t>Thirty Five Ventures</t>
  </si>
  <si>
    <t>SVA</t>
  </si>
  <si>
    <t>Sequoia</t>
  </si>
  <si>
    <t>Cygni Capital</t>
  </si>
  <si>
    <t>Betaworks</t>
  </si>
  <si>
    <t>AIX Ventures</t>
  </si>
  <si>
    <t>Addition</t>
  </si>
  <si>
    <t>A.Capital</t>
  </si>
  <si>
    <t>Addition, Rich Kleiman, Richard Socher, Paul St. John, Olivier Pomel, Lux Capital, Kevin Durant, Florian Douetteau, Dev Ittycheria, Betaworks, Augusto Marietti, Alex Wang, A. Capital</t>
  </si>
  <si>
    <t>Lux Capital, Thirty Five Ventures, Betaworks, A. Capital, Greg Brockman, Richard Socher, Charles Zedlewski, Augusto Marietti</t>
  </si>
  <si>
    <t>Thirty Five Ventures, Kevin Durant, Betaworks, A. Capital, Ronny Conway</t>
  </si>
  <si>
    <t>Thibaud Elziere, Terrence Rohan, SVA, Richard Socher, Clement Benoit, Betaworks</t>
  </si>
  <si>
    <t>Angel</t>
  </si>
  <si>
    <t>IPO</t>
  </si>
  <si>
    <t>Thomas Siebel</t>
  </si>
  <si>
    <t>Series F</t>
  </si>
  <si>
    <t>TPG Growth, Sutter Hill Ventures, The Rise Fund, Breyer Capital</t>
  </si>
  <si>
    <t>John Morgan, Dave Rogenmoser</t>
  </si>
  <si>
    <t>Coatue, Insight Partners, Foundation Capital, Bessemer, IVP, HubSpot, Founders Circle</t>
  </si>
  <si>
    <t>Quarry, Bossanova</t>
  </si>
  <si>
    <t>AAF, Foundation, Four Cities</t>
  </si>
  <si>
    <t>Quebec</t>
  </si>
  <si>
    <t>HQ</t>
  </si>
  <si>
    <t>Writing</t>
  </si>
  <si>
    <t>Insight Partners</t>
  </si>
  <si>
    <t>IVP</t>
  </si>
  <si>
    <t>HubSpot Ventures</t>
  </si>
  <si>
    <t>Founders Circle Capital</t>
  </si>
  <si>
    <t>Foundation Capital</t>
  </si>
  <si>
    <t>Bessemer Venture Partners</t>
  </si>
  <si>
    <t>Quarry</t>
  </si>
  <si>
    <t>Bossanova</t>
  </si>
  <si>
    <t>Four Cities</t>
  </si>
  <si>
    <t>AAF Management</t>
  </si>
  <si>
    <t>New York</t>
  </si>
  <si>
    <t>Toronto</t>
  </si>
  <si>
    <t>London</t>
  </si>
  <si>
    <t>San Francisco</t>
  </si>
  <si>
    <t>Hong Kong</t>
  </si>
  <si>
    <t>Anhui, China</t>
  </si>
  <si>
    <t>Mountain View, CA</t>
  </si>
  <si>
    <t>Redwood City, CA</t>
  </si>
  <si>
    <t>Menlo Park, CA</t>
  </si>
  <si>
    <t>Santa Clara, CA</t>
  </si>
  <si>
    <t>Seattle</t>
  </si>
  <si>
    <t>Austin</t>
  </si>
  <si>
    <t>Redmond, WA</t>
  </si>
  <si>
    <t>Palo Alto, CA</t>
  </si>
  <si>
    <t>Reid Hoffman, Mustafa Suleyman</t>
  </si>
  <si>
    <t>Greylock</t>
  </si>
  <si>
    <t>Said they wanted to raise $600m in March 2023, hasn’t materialized</t>
  </si>
  <si>
    <t>Model Tool Platform</t>
  </si>
  <si>
    <t>Nvidia, Coatue, Bond, Insight Partners, Felicis</t>
  </si>
  <si>
    <t>Weights &amp; Biases</t>
  </si>
  <si>
    <t>Bond</t>
  </si>
  <si>
    <t>Felicis</t>
  </si>
  <si>
    <t>Insight Partners, Bloomberg Beta, Richard Socher, Jeff Hammerbacher, Nat Friedman, Trinity Ventures, Pieter Abbeel, Coatue, Tom Preston-Werner</t>
  </si>
  <si>
    <t>Trinity Ventures</t>
  </si>
  <si>
    <t>Bloomberg Beta</t>
  </si>
  <si>
    <t>Trinity Ventures, Hack VC, Gaingels, Bloomberg Beta</t>
  </si>
  <si>
    <t>Hack VC</t>
  </si>
  <si>
    <t>Gaingels</t>
  </si>
  <si>
    <t>Lukas Biewald, Chris Pelt, Shawn Lewis</t>
  </si>
  <si>
    <t>OpenAI is a customer</t>
  </si>
  <si>
    <t>Uses GPT3.5</t>
  </si>
  <si>
    <t>Public benefit corp, EA-coded</t>
  </si>
  <si>
    <t>Wanted higher valuation</t>
  </si>
  <si>
    <t>Runway</t>
  </si>
  <si>
    <t>Text-to-Video</t>
  </si>
  <si>
    <t>Andreessen Horowitz, A.Capital, Elad Gil, Nat Friedman, SVA</t>
  </si>
  <si>
    <t>Noam invented transformers</t>
  </si>
  <si>
    <t>a16z</t>
  </si>
  <si>
    <t>Elad Gil</t>
  </si>
  <si>
    <t>Nat Friedman</t>
  </si>
  <si>
    <t>A.Capital, SVA, Paul Buchheit, Nat Friedman, Elad Gil</t>
  </si>
  <si>
    <t>David Luan</t>
  </si>
  <si>
    <t>Pre-product…</t>
  </si>
  <si>
    <t>Greylock, Andrej Karpathy, Addition, Chris Re, Howie Liu, Joe Morrissey, Root Ventures, Sarah Meyohas, Scott Belsky</t>
  </si>
  <si>
    <t>Spark Capital, General Catalyst, PSP Growth, NVDA, MSFT, Greylock, Frontiers Capital, Caterina Fake, Atlassian, Addition, A.Capital, SVA, Workday</t>
  </si>
  <si>
    <t>General Catalyst</t>
  </si>
  <si>
    <t>PSP Growth</t>
  </si>
  <si>
    <t>Frontiers Capital</t>
  </si>
  <si>
    <t>Discord Bot</t>
  </si>
  <si>
    <t>David Holz</t>
  </si>
  <si>
    <t>No outside investors, only 9 employees</t>
  </si>
  <si>
    <t>South SF, CA</t>
  </si>
  <si>
    <t>Softbank</t>
  </si>
  <si>
    <t>Series D: 5B valuation</t>
  </si>
  <si>
    <t>Series C: 3.9B valuation</t>
  </si>
  <si>
    <t>Tiger, Silver Lake, Fidelity, HOPU, Qualcomm, 5Y, Singtel Innov8</t>
  </si>
  <si>
    <t>Alibaba, Temasek, Suning</t>
  </si>
  <si>
    <t>Zhongping, WANDA, TCL, CDH, Sailing, StarVC, Infore, Huarong, Everbright</t>
  </si>
  <si>
    <t>Li Xu, Xiagang Wang, Bing Xu</t>
  </si>
  <si>
    <t>Rogue VC, Google</t>
  </si>
  <si>
    <t>Rogue</t>
  </si>
  <si>
    <t>Madrona</t>
  </si>
  <si>
    <t>Compound</t>
  </si>
  <si>
    <t>Amplify</t>
  </si>
  <si>
    <t>Lux, Madrona, Felicis, Compound, Coatue, Amplify</t>
  </si>
  <si>
    <t>Coatue, Amplify, Compound, Lux</t>
  </si>
  <si>
    <t>Lux</t>
  </si>
  <si>
    <t>Amplify, Lux, Compound, Bossanova</t>
  </si>
  <si>
    <t>Cristobal Valenzuela, Anastasis Germanidis</t>
  </si>
  <si>
    <t>Text-to-video, text-to-speech</t>
  </si>
  <si>
    <t>Alibaba, Glory Ventures, Jeneration Capital, Geely, Fosun, Yunqi</t>
  </si>
  <si>
    <t>Shenzhen</t>
  </si>
  <si>
    <t>Maxwell Zhou</t>
  </si>
  <si>
    <t>Speech</t>
  </si>
  <si>
    <t>Qingfeng Lu</t>
  </si>
  <si>
    <t>Vector Database</t>
  </si>
  <si>
    <t>Edo Liberty</t>
  </si>
  <si>
    <t>Popular VectorDB</t>
  </si>
  <si>
    <t>a16z, ICONIQ, Menlo, Wing Venture</t>
  </si>
  <si>
    <t>Wing Venture</t>
  </si>
  <si>
    <t>ICONIQ Growth</t>
  </si>
  <si>
    <t>Wing, Tiger, Menlo</t>
  </si>
  <si>
    <t>Wing</t>
  </si>
  <si>
    <t>Tiger, Madrona, Amplify, Addition</t>
  </si>
  <si>
    <t>Luis Ceze</t>
  </si>
  <si>
    <t>Built on Apache TVM</t>
  </si>
  <si>
    <t>ML Platform</t>
  </si>
  <si>
    <t>Addition, Amplify, Madrona</t>
  </si>
  <si>
    <t>Amplify, Madrona</t>
  </si>
  <si>
    <t>Madrona, Amplify</t>
  </si>
  <si>
    <t>BlackRock, Addition, Lightspeed, Greylock, Google Ventures, Nepenthe, Stonebridge, Walden</t>
  </si>
  <si>
    <t>Lee Fixel</t>
  </si>
  <si>
    <t>Quiet</t>
  </si>
  <si>
    <t>Snorkel Flow: Data Labeling</t>
  </si>
  <si>
    <t>Blackrock</t>
  </si>
  <si>
    <t>Walden International</t>
  </si>
  <si>
    <t>Stonebridge Ventures</t>
  </si>
  <si>
    <t>Nepenthe Capital</t>
  </si>
  <si>
    <t>Lightspeed, Nepenthe, In-Q-Tel, Greylock, Google, Boston Trust Walden, Blackrock</t>
  </si>
  <si>
    <t>In-Q-Tel</t>
  </si>
  <si>
    <t>Boston Trust Walden Company</t>
  </si>
  <si>
    <t>Greylock, In-Q-Tel, Google</t>
  </si>
  <si>
    <t>SVA, Greylock, Google, Accel, In-Q-Tel</t>
  </si>
  <si>
    <t>Tel Aviv, Israel</t>
  </si>
  <si>
    <t>Ori Goshen</t>
  </si>
  <si>
    <t>Ahren Innovation, Pitango VC, TPY Capital, Walden Catalyst</t>
  </si>
  <si>
    <t>Walden Catalyst</t>
  </si>
  <si>
    <t>Pitango VC, TPY Capital</t>
  </si>
  <si>
    <t>T. Rowe Price, Tiger, Temasek, Silver Lake, PerryCreek, Mubadala, Magna, Fidelity, CPPIB, AutoNation, a16z, Alphabet</t>
  </si>
  <si>
    <t>T. Rowe Price</t>
  </si>
  <si>
    <t>Temasek</t>
  </si>
  <si>
    <t>Silver Lake</t>
  </si>
  <si>
    <t>Perry Creek</t>
  </si>
  <si>
    <t>Mubadala</t>
  </si>
  <si>
    <t>Magna</t>
  </si>
  <si>
    <t>CPPIB</t>
  </si>
  <si>
    <t>AutoNation</t>
  </si>
  <si>
    <t>Fidelity</t>
  </si>
  <si>
    <t>Originally a Google division</t>
  </si>
  <si>
    <t>Silver Lake, CPPIB, Mubadala, Magna, AutoNation, a16z, Alphabet</t>
  </si>
  <si>
    <t>Tekedra Mawakana, Dmitri Dolgov</t>
  </si>
  <si>
    <t>Video Editor</t>
  </si>
  <si>
    <t>OpenAI, Spark, Redpoint, Daniel Gross, a16z</t>
  </si>
  <si>
    <t>Spark Capital, Redpoint, a16z, HubSpot Ventures</t>
  </si>
  <si>
    <t>a16z, Redpoint</t>
  </si>
  <si>
    <t>VianOps, ML Monitoring</t>
  </si>
  <si>
    <t>Vishal Sikka</t>
  </si>
  <si>
    <t>Softbank, Jim Davidson, Jerry Yang, Henry Kravis, George Roberts</t>
  </si>
  <si>
    <t>Seems like a zero</t>
  </si>
  <si>
    <t>Enterprise Search</t>
  </si>
  <si>
    <t>Sequoia, Slack Fund, Lightspeed, Kleiner Perkins, General Catalyst</t>
  </si>
  <si>
    <t>Arvind Jain</t>
  </si>
  <si>
    <t>Slack</t>
  </si>
  <si>
    <t>Kleiner Perkins</t>
  </si>
  <si>
    <t>General Catalyst, Slack, Lightpseed, Kleiner Perkins</t>
  </si>
  <si>
    <t>Lightspeed, Kleiner Perkins, Slack</t>
  </si>
  <si>
    <t>Not an AI company</t>
  </si>
  <si>
    <t>Seems overhyped</t>
  </si>
  <si>
    <t>Feature Store</t>
  </si>
  <si>
    <t>Kleiner Perkins, Tiger, Snowflake, Sequoia, Databricks, Bain, a16z</t>
  </si>
  <si>
    <t>Original Uber AI team</t>
  </si>
  <si>
    <t>Bain</t>
  </si>
  <si>
    <t>Sequoia, a16z</t>
  </si>
  <si>
    <t>Sequoia, a16z, Lux</t>
  </si>
  <si>
    <t>Sequoia, a16z, SVA, Lux</t>
  </si>
  <si>
    <t>Sequoia China, Gaorong, 5Y</t>
  </si>
  <si>
    <t>5Y, Gaorong</t>
  </si>
  <si>
    <t>Crazy video game NPC thingy</t>
  </si>
  <si>
    <t>Liu Yongsheng</t>
  </si>
  <si>
    <t>Michael Del Balso, Kevin Stumpf</t>
  </si>
  <si>
    <t>Series C-2</t>
  </si>
  <si>
    <t>Intel Capital</t>
  </si>
  <si>
    <t>Sancus</t>
  </si>
  <si>
    <t>Series C-1</t>
  </si>
  <si>
    <t>NEA</t>
  </si>
  <si>
    <t>Team who created Ray</t>
  </si>
  <si>
    <t>Ion Stoica, Michael Jordan, Philipp Moritz, Robert Nishihara</t>
  </si>
  <si>
    <t>Intel, Addition, Foundation, Sancus</t>
  </si>
  <si>
    <t>a16z, Addition, NEA, Intel, Foundation</t>
  </si>
  <si>
    <t>NEA, Intel, Foundation, a16z</t>
  </si>
  <si>
    <t>a16z, The House Fund, NEA, Intel, Dwight Crow, Ant Group, Amplify, 11.2 Capital</t>
  </si>
  <si>
    <t>Ant Group</t>
  </si>
  <si>
    <t>11.2 Capital</t>
  </si>
  <si>
    <t>The House Fund</t>
  </si>
  <si>
    <t>Benchmark</t>
  </si>
  <si>
    <t>Raising $20m from Sequoia</t>
  </si>
  <si>
    <t>Harrison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</si>
</sst>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  <font>
      <u/>
      <sz val="10"/>
      <color theme="10"/>
      <name val="Ariai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7" fillId="0" borderId="0" applyNumberFormat="0" applyFill="0" applyBorder="0" applyAlignment="0" applyProtection="0"/>
  </cellStyleXfs>
  <cellXfs count="249">
    <xf numFmtId="0" fontId="0" fillId="0" borderId="0" xfId="0"/>
    <xf numFmtId="0" fontId="86" fillId="0" borderId="0" xfId="0" applyFont="1"/>
    <xf numFmtId="2" fontId="86" fillId="0" borderId="0" xfId="0" applyNumberFormat="1" applyFont="1" applyAlignment="1">
      <alignment horizontal="right"/>
    </xf>
    <xf numFmtId="3" fontId="86" fillId="0" borderId="0" xfId="0" applyNumberFormat="1" applyFont="1" applyAlignment="1">
      <alignment horizontal="right"/>
    </xf>
    <xf numFmtId="0" fontId="86" fillId="0" borderId="0" xfId="0" applyFont="1" applyAlignment="1">
      <alignment horizontal="right"/>
    </xf>
    <xf numFmtId="0" fontId="88" fillId="0" borderId="0" xfId="1" applyFont="1"/>
    <xf numFmtId="0" fontId="85" fillId="0" borderId="0" xfId="0" applyFont="1"/>
    <xf numFmtId="3" fontId="85" fillId="0" borderId="0" xfId="0" applyNumberFormat="1" applyFont="1" applyAlignment="1">
      <alignment horizontal="right"/>
    </xf>
    <xf numFmtId="0" fontId="84" fillId="0" borderId="0" xfId="0" applyFont="1"/>
    <xf numFmtId="3" fontId="89" fillId="0" borderId="0" xfId="0" applyNumberFormat="1" applyFont="1" applyAlignment="1">
      <alignment horizontal="right"/>
    </xf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3" xfId="0" applyFont="1" applyBorder="1"/>
    <xf numFmtId="0" fontId="80" fillId="0" borderId="4" xfId="0" applyFont="1" applyBorder="1"/>
    <xf numFmtId="2" fontId="80" fillId="0" borderId="4" xfId="0" applyNumberFormat="1" applyFont="1" applyBorder="1" applyAlignment="1">
      <alignment horizontal="right"/>
    </xf>
    <xf numFmtId="3" fontId="80" fillId="0" borderId="4" xfId="0" applyNumberFormat="1" applyFont="1" applyBorder="1" applyAlignment="1">
      <alignment horizontal="right"/>
    </xf>
    <xf numFmtId="0" fontId="80" fillId="0" borderId="4" xfId="0" applyFont="1" applyBorder="1" applyAlignment="1">
      <alignment horizontal="right"/>
    </xf>
    <xf numFmtId="0" fontId="80" fillId="0" borderId="4" xfId="0" applyFont="1" applyBorder="1" applyAlignment="1">
      <alignment horizontal="center"/>
    </xf>
    <xf numFmtId="0" fontId="80" fillId="0" borderId="5" xfId="0" applyFont="1" applyBorder="1" applyAlignment="1">
      <alignment horizontal="center"/>
    </xf>
    <xf numFmtId="0" fontId="80" fillId="0" borderId="0" xfId="0" applyFont="1"/>
    <xf numFmtId="2" fontId="80" fillId="0" borderId="0" xfId="0" applyNumberFormat="1" applyFont="1" applyAlignment="1">
      <alignment horizontal="right"/>
    </xf>
    <xf numFmtId="3" fontId="80" fillId="0" borderId="0" xfId="0" applyNumberFormat="1" applyFont="1" applyAlignment="1">
      <alignment horizontal="right"/>
    </xf>
    <xf numFmtId="0" fontId="80" fillId="0" borderId="0" xfId="0" applyFont="1" applyAlignment="1">
      <alignment horizontal="right"/>
    </xf>
    <xf numFmtId="0" fontId="80" fillId="0" borderId="0" xfId="0" applyFont="1" applyAlignment="1">
      <alignment horizontal="center"/>
    </xf>
    <xf numFmtId="0" fontId="80" fillId="0" borderId="1" xfId="0" applyFont="1" applyBorder="1" applyAlignment="1">
      <alignment horizontal="center"/>
    </xf>
    <xf numFmtId="0" fontId="80" fillId="0" borderId="2" xfId="0" applyFont="1" applyBorder="1" applyAlignment="1">
      <alignment horizontal="center"/>
    </xf>
    <xf numFmtId="4" fontId="80" fillId="0" borderId="0" xfId="0" applyNumberFormat="1" applyFont="1" applyAlignment="1">
      <alignment horizontal="center"/>
    </xf>
    <xf numFmtId="9" fontId="80" fillId="0" borderId="0" xfId="0" applyNumberFormat="1" applyFont="1" applyAlignment="1">
      <alignment horizontal="center"/>
    </xf>
    <xf numFmtId="164" fontId="80" fillId="0" borderId="1" xfId="0" applyNumberFormat="1" applyFont="1" applyBorder="1" applyAlignment="1">
      <alignment horizontal="center"/>
    </xf>
    <xf numFmtId="164" fontId="80" fillId="0" borderId="0" xfId="0" applyNumberFormat="1" applyFont="1" applyAlignment="1">
      <alignment horizontal="center"/>
    </xf>
    <xf numFmtId="164" fontId="80" fillId="0" borderId="2" xfId="0" applyNumberFormat="1" applyFont="1" applyBorder="1" applyAlignment="1">
      <alignment horizontal="center"/>
    </xf>
    <xf numFmtId="4" fontId="80" fillId="0" borderId="1" xfId="0" applyNumberFormat="1" applyFont="1" applyBorder="1" applyAlignment="1">
      <alignment horizontal="center"/>
    </xf>
    <xf numFmtId="4" fontId="80" fillId="0" borderId="2" xfId="0" applyNumberFormat="1" applyFont="1" applyBorder="1" applyAlignment="1">
      <alignment horizontal="center"/>
    </xf>
    <xf numFmtId="0" fontId="79" fillId="0" borderId="0" xfId="0" applyFont="1" applyAlignment="1">
      <alignment horizontal="right"/>
    </xf>
    <xf numFmtId="0" fontId="78" fillId="0" borderId="0" xfId="0" applyFont="1" applyAlignment="1">
      <alignment horizontal="right"/>
    </xf>
    <xf numFmtId="9" fontId="78" fillId="0" borderId="0" xfId="0" applyNumberFormat="1" applyFont="1" applyAlignment="1">
      <alignment horizontal="center"/>
    </xf>
    <xf numFmtId="164" fontId="80" fillId="0" borderId="6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76" fillId="0" borderId="0" xfId="0" applyFont="1" applyAlignment="1">
      <alignment horizontal="right"/>
    </xf>
    <xf numFmtId="0" fontId="75" fillId="0" borderId="0" xfId="0" applyFont="1"/>
    <xf numFmtId="4" fontId="80" fillId="0" borderId="0" xfId="0" applyNumberFormat="1" applyFont="1" applyAlignment="1">
      <alignment horizontal="right"/>
    </xf>
    <xf numFmtId="0" fontId="74" fillId="0" borderId="4" xfId="0" applyFont="1" applyBorder="1" applyAlignment="1">
      <alignment horizontal="right"/>
    </xf>
    <xf numFmtId="14" fontId="80" fillId="0" borderId="0" xfId="0" applyNumberFormat="1" applyFont="1" applyAlignment="1">
      <alignment horizontal="right"/>
    </xf>
    <xf numFmtId="0" fontId="74" fillId="0" borderId="0" xfId="0" applyFont="1" applyAlignment="1">
      <alignment horizontal="right"/>
    </xf>
    <xf numFmtId="0" fontId="74" fillId="0" borderId="0" xfId="0" applyFont="1"/>
    <xf numFmtId="0" fontId="73" fillId="0" borderId="0" xfId="0" applyFont="1"/>
    <xf numFmtId="0" fontId="73" fillId="0" borderId="0" xfId="0" applyFont="1" applyAlignment="1">
      <alignment horizontal="right"/>
    </xf>
    <xf numFmtId="0" fontId="73" fillId="0" borderId="3" xfId="0" applyFont="1" applyBorder="1" applyAlignment="1">
      <alignment horizontal="center"/>
    </xf>
    <xf numFmtId="0" fontId="73" fillId="0" borderId="6" xfId="0" applyFont="1" applyBorder="1" applyAlignment="1">
      <alignment horizontal="center"/>
    </xf>
    <xf numFmtId="0" fontId="73" fillId="0" borderId="4" xfId="0" applyFont="1" applyBorder="1" applyAlignment="1">
      <alignment horizontal="center"/>
    </xf>
    <xf numFmtId="0" fontId="80" fillId="0" borderId="5" xfId="0" applyFont="1" applyBorder="1"/>
    <xf numFmtId="3" fontId="83" fillId="0" borderId="0" xfId="0" applyNumberFormat="1" applyFont="1"/>
    <xf numFmtId="0" fontId="72" fillId="0" borderId="0" xfId="0" applyFont="1"/>
    <xf numFmtId="0" fontId="71" fillId="0" borderId="0" xfId="0" applyFont="1" applyAlignment="1">
      <alignment horizontal="right"/>
    </xf>
    <xf numFmtId="0" fontId="70" fillId="0" borderId="0" xfId="0" applyFont="1" applyAlignment="1">
      <alignment horizontal="right"/>
    </xf>
    <xf numFmtId="0" fontId="70" fillId="0" borderId="0" xfId="0" applyFont="1"/>
    <xf numFmtId="3" fontId="86" fillId="0" borderId="0" xfId="0" applyNumberFormat="1" applyFont="1"/>
    <xf numFmtId="3" fontId="89" fillId="0" borderId="0" xfId="0" applyNumberFormat="1" applyFont="1"/>
    <xf numFmtId="3" fontId="70" fillId="0" borderId="0" xfId="0" applyNumberFormat="1" applyFont="1"/>
    <xf numFmtId="4" fontId="86" fillId="0" borderId="0" xfId="0" applyNumberFormat="1" applyFont="1" applyAlignment="1">
      <alignment horizontal="right"/>
    </xf>
    <xf numFmtId="4" fontId="89" fillId="0" borderId="0" xfId="0" applyNumberFormat="1" applyFont="1" applyAlignment="1">
      <alignment horizontal="right"/>
    </xf>
    <xf numFmtId="0" fontId="69" fillId="0" borderId="0" xfId="0" applyFont="1"/>
    <xf numFmtId="0" fontId="68" fillId="0" borderId="0" xfId="0" applyFont="1"/>
    <xf numFmtId="0" fontId="90" fillId="0" borderId="0" xfId="0" applyFont="1"/>
    <xf numFmtId="0" fontId="67" fillId="0" borderId="0" xfId="0" applyFont="1"/>
    <xf numFmtId="0" fontId="67" fillId="0" borderId="0" xfId="0" applyFont="1" applyAlignment="1">
      <alignment horizontal="right"/>
    </xf>
    <xf numFmtId="14" fontId="83" fillId="0" borderId="0" xfId="0" applyNumberFormat="1" applyFont="1"/>
    <xf numFmtId="0" fontId="83" fillId="0" borderId="0" xfId="0" applyFont="1" applyAlignment="1">
      <alignment horizontal="right"/>
    </xf>
    <xf numFmtId="4" fontId="83" fillId="0" borderId="0" xfId="0" applyNumberFormat="1" applyFont="1" applyAlignment="1">
      <alignment horizontal="right"/>
    </xf>
    <xf numFmtId="3" fontId="83" fillId="0" borderId="0" xfId="0" applyNumberFormat="1" applyFont="1" applyAlignment="1">
      <alignment horizontal="right"/>
    </xf>
    <xf numFmtId="3" fontId="66" fillId="0" borderId="0" xfId="0" applyNumberFormat="1" applyFont="1"/>
    <xf numFmtId="0" fontId="66" fillId="0" borderId="0" xfId="0" applyFont="1"/>
    <xf numFmtId="0" fontId="66" fillId="0" borderId="3" xfId="0" applyFont="1" applyBorder="1"/>
    <xf numFmtId="0" fontId="66" fillId="0" borderId="4" xfId="0" applyFont="1" applyBorder="1"/>
    <xf numFmtId="2" fontId="66" fillId="0" borderId="4" xfId="0" applyNumberFormat="1" applyFont="1" applyBorder="1" applyAlignment="1">
      <alignment horizontal="right"/>
    </xf>
    <xf numFmtId="3" fontId="66" fillId="0" borderId="4" xfId="0" applyNumberFormat="1" applyFont="1" applyBorder="1" applyAlignment="1">
      <alignment horizontal="right"/>
    </xf>
    <xf numFmtId="0" fontId="66" fillId="0" borderId="4" xfId="0" applyFont="1" applyBorder="1" applyAlignment="1">
      <alignment horizontal="right"/>
    </xf>
    <xf numFmtId="0" fontId="66" fillId="0" borderId="4" xfId="0" applyFont="1" applyBorder="1" applyAlignment="1">
      <alignment horizontal="center"/>
    </xf>
    <xf numFmtId="0" fontId="66" fillId="0" borderId="5" xfId="0" applyFont="1" applyBorder="1" applyAlignment="1">
      <alignment horizontal="center"/>
    </xf>
    <xf numFmtId="0" fontId="66" fillId="0" borderId="3" xfId="0" applyFont="1" applyBorder="1" applyAlignment="1">
      <alignment horizontal="center"/>
    </xf>
    <xf numFmtId="0" fontId="66" fillId="0" borderId="6" xfId="0" applyFont="1" applyBorder="1" applyAlignment="1">
      <alignment horizontal="center"/>
    </xf>
    <xf numFmtId="0" fontId="65" fillId="0" borderId="0" xfId="0" applyFont="1"/>
    <xf numFmtId="3" fontId="65" fillId="0" borderId="0" xfId="0" applyNumberFormat="1" applyFont="1"/>
    <xf numFmtId="3" fontId="64" fillId="0" borderId="0" xfId="0" applyNumberFormat="1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3" fontId="57" fillId="0" borderId="0" xfId="0" applyNumberFormat="1" applyFont="1"/>
    <xf numFmtId="0" fontId="57" fillId="0" borderId="0" xfId="0" applyFont="1"/>
    <xf numFmtId="3" fontId="56" fillId="0" borderId="0" xfId="0" applyNumberFormat="1" applyFont="1"/>
    <xf numFmtId="0" fontId="55" fillId="0" borderId="0" xfId="0" applyFont="1"/>
    <xf numFmtId="0" fontId="91" fillId="0" borderId="0" xfId="0" applyFont="1"/>
    <xf numFmtId="0" fontId="54" fillId="0" borderId="0" xfId="0" applyFont="1"/>
    <xf numFmtId="0" fontId="92" fillId="0" borderId="0" xfId="1" applyFont="1"/>
    <xf numFmtId="0" fontId="53" fillId="0" borderId="0" xfId="0" applyFont="1"/>
    <xf numFmtId="3" fontId="53" fillId="0" borderId="0" xfId="0" applyNumberFormat="1" applyFont="1"/>
    <xf numFmtId="0" fontId="52" fillId="0" borderId="0" xfId="0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right"/>
    </xf>
    <xf numFmtId="14" fontId="66" fillId="0" borderId="0" xfId="0" applyNumberFormat="1" applyFont="1"/>
    <xf numFmtId="3" fontId="50" fillId="0" borderId="0" xfId="0" applyNumberFormat="1" applyFont="1"/>
    <xf numFmtId="0" fontId="49" fillId="0" borderId="0" xfId="0" applyFont="1"/>
    <xf numFmtId="3" fontId="49" fillId="0" borderId="0" xfId="0" applyNumberFormat="1" applyFont="1"/>
    <xf numFmtId="0" fontId="48" fillId="0" borderId="0" xfId="0" applyFont="1"/>
    <xf numFmtId="0" fontId="47" fillId="0" borderId="0" xfId="0" applyFont="1"/>
    <xf numFmtId="3" fontId="46" fillId="0" borderId="0" xfId="0" applyNumberFormat="1" applyFont="1"/>
    <xf numFmtId="0" fontId="45" fillId="0" borderId="0" xfId="0" applyFont="1"/>
    <xf numFmtId="0" fontId="44" fillId="0" borderId="0" xfId="0" applyFont="1"/>
    <xf numFmtId="3" fontId="43" fillId="0" borderId="0" xfId="0" applyNumberFormat="1" applyFont="1"/>
    <xf numFmtId="0" fontId="42" fillId="0" borderId="0" xfId="0" applyFont="1"/>
    <xf numFmtId="0" fontId="88" fillId="0" borderId="1" xfId="1" applyFont="1" applyBorder="1"/>
    <xf numFmtId="9" fontId="80" fillId="0" borderId="2" xfId="0" applyNumberFormat="1" applyFont="1" applyBorder="1" applyAlignment="1">
      <alignment horizontal="center"/>
    </xf>
    <xf numFmtId="0" fontId="55" fillId="0" borderId="0" xfId="0" applyFont="1" applyAlignment="1">
      <alignment horizontal="right"/>
    </xf>
    <xf numFmtId="0" fontId="47" fillId="0" borderId="1" xfId="0" applyFont="1" applyBorder="1"/>
    <xf numFmtId="0" fontId="77" fillId="0" borderId="0" xfId="0" applyFont="1"/>
    <xf numFmtId="0" fontId="44" fillId="0" borderId="1" xfId="0" applyFont="1" applyBorder="1"/>
    <xf numFmtId="0" fontId="80" fillId="0" borderId="1" xfId="0" applyFont="1" applyBorder="1"/>
    <xf numFmtId="0" fontId="78" fillId="0" borderId="1" xfId="0" applyFont="1" applyBorder="1"/>
    <xf numFmtId="0" fontId="78" fillId="0" borderId="0" xfId="0" applyFont="1"/>
    <xf numFmtId="0" fontId="73" fillId="0" borderId="1" xfId="0" applyFont="1" applyBorder="1"/>
    <xf numFmtId="0" fontId="80" fillId="0" borderId="7" xfId="0" applyFont="1" applyBorder="1"/>
    <xf numFmtId="0" fontId="80" fillId="0" borderId="6" xfId="0" applyFont="1" applyBorder="1"/>
    <xf numFmtId="2" fontId="80" fillId="0" borderId="6" xfId="0" applyNumberFormat="1" applyFont="1" applyBorder="1" applyAlignment="1">
      <alignment horizontal="right"/>
    </xf>
    <xf numFmtId="3" fontId="80" fillId="0" borderId="6" xfId="0" applyNumberFormat="1" applyFont="1" applyBorder="1" applyAlignment="1">
      <alignment horizontal="right"/>
    </xf>
    <xf numFmtId="0" fontId="80" fillId="0" borderId="6" xfId="0" applyFont="1" applyBorder="1" applyAlignment="1">
      <alignment horizontal="right"/>
    </xf>
    <xf numFmtId="0" fontId="80" fillId="0" borderId="6" xfId="0" applyFont="1" applyBorder="1" applyAlignment="1">
      <alignment horizontal="center"/>
    </xf>
    <xf numFmtId="0" fontId="80" fillId="0" borderId="8" xfId="0" applyFont="1" applyBorder="1" applyAlignment="1">
      <alignment horizontal="center"/>
    </xf>
    <xf numFmtId="0" fontId="42" fillId="0" borderId="0" xfId="0" applyFont="1" applyAlignment="1">
      <alignment horizontal="right"/>
    </xf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 applyAlignment="1">
      <alignment horizontal="right"/>
    </xf>
    <xf numFmtId="0" fontId="35" fillId="0" borderId="0" xfId="0" applyFont="1"/>
    <xf numFmtId="0" fontId="34" fillId="0" borderId="0" xfId="0" applyFont="1" applyAlignment="1">
      <alignment horizontal="right"/>
    </xf>
    <xf numFmtId="0" fontId="33" fillId="0" borderId="0" xfId="0" applyFont="1"/>
    <xf numFmtId="0" fontId="88" fillId="0" borderId="0" xfId="1" applyFont="1" applyBorder="1"/>
    <xf numFmtId="0" fontId="32" fillId="0" borderId="0" xfId="0" applyFont="1"/>
    <xf numFmtId="0" fontId="31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8" fillId="0" borderId="0" xfId="0" applyFont="1"/>
    <xf numFmtId="14" fontId="28" fillId="0" borderId="0" xfId="0" applyNumberFormat="1" applyFont="1" applyAlignment="1">
      <alignment horizontal="right"/>
    </xf>
    <xf numFmtId="0" fontId="27" fillId="0" borderId="0" xfId="0" applyFont="1" applyAlignment="1">
      <alignment horizontal="right"/>
    </xf>
    <xf numFmtId="14" fontId="86" fillId="0" borderId="0" xfId="0" applyNumberFormat="1" applyFont="1"/>
    <xf numFmtId="0" fontId="26" fillId="0" borderId="0" xfId="0" applyFont="1"/>
    <xf numFmtId="165" fontId="80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3" fillId="0" borderId="0" xfId="0" applyFont="1"/>
    <xf numFmtId="4" fontId="66" fillId="0" borderId="0" xfId="0" applyNumberFormat="1" applyFont="1"/>
    <xf numFmtId="0" fontId="22" fillId="0" borderId="0" xfId="0" applyFont="1"/>
    <xf numFmtId="0" fontId="21" fillId="0" borderId="1" xfId="0" applyFont="1" applyBorder="1"/>
    <xf numFmtId="0" fontId="21" fillId="0" borderId="0" xfId="0" applyFont="1"/>
    <xf numFmtId="0" fontId="20" fillId="0" borderId="0" xfId="0" applyFont="1"/>
    <xf numFmtId="3" fontId="93" fillId="0" borderId="0" xfId="0" applyNumberFormat="1" applyFont="1"/>
    <xf numFmtId="4" fontId="94" fillId="0" borderId="0" xfId="0" applyNumberFormat="1" applyFont="1" applyAlignment="1">
      <alignment horizontal="right"/>
    </xf>
    <xf numFmtId="3" fontId="93" fillId="0" borderId="0" xfId="0" applyNumberFormat="1" applyFont="1" applyAlignment="1">
      <alignment horizontal="right"/>
    </xf>
    <xf numFmtId="14" fontId="20" fillId="0" borderId="0" xfId="0" applyNumberFormat="1" applyFont="1" applyAlignment="1">
      <alignment horizontal="right"/>
    </xf>
    <xf numFmtId="3" fontId="68" fillId="0" borderId="0" xfId="0" applyNumberFormat="1" applyFont="1"/>
    <xf numFmtId="0" fontId="19" fillId="0" borderId="0" xfId="0" applyFont="1"/>
    <xf numFmtId="0" fontId="18" fillId="0" borderId="0" xfId="0" applyFont="1"/>
    <xf numFmtId="3" fontId="18" fillId="0" borderId="0" xfId="0" applyNumberFormat="1" applyFont="1"/>
    <xf numFmtId="3" fontId="18" fillId="2" borderId="0" xfId="0" applyNumberFormat="1" applyFont="1" applyFill="1"/>
    <xf numFmtId="0" fontId="17" fillId="0" borderId="0" xfId="0" applyFont="1" applyAlignment="1">
      <alignment horizontal="right"/>
    </xf>
    <xf numFmtId="0" fontId="17" fillId="0" borderId="0" xfId="0" applyFont="1"/>
    <xf numFmtId="3" fontId="17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right"/>
    </xf>
    <xf numFmtId="17" fontId="16" fillId="0" borderId="0" xfId="0" applyNumberFormat="1" applyFont="1"/>
    <xf numFmtId="0" fontId="16" fillId="0" borderId="0" xfId="0" applyFont="1" applyAlignment="1">
      <alignment horizontal="center"/>
    </xf>
    <xf numFmtId="0" fontId="88" fillId="0" borderId="0" xfId="1" applyFont="1" applyAlignment="1"/>
    <xf numFmtId="0" fontId="95" fillId="0" borderId="0" xfId="1" applyFont="1"/>
    <xf numFmtId="0" fontId="15" fillId="0" borderId="0" xfId="0" applyFont="1"/>
    <xf numFmtId="0" fontId="15" fillId="0" borderId="0" xfId="0" applyFont="1" applyAlignment="1">
      <alignment horizontal="center"/>
    </xf>
    <xf numFmtId="3" fontId="88" fillId="0" borderId="0" xfId="1" applyNumberFormat="1" applyFont="1"/>
    <xf numFmtId="3" fontId="14" fillId="0" borderId="0" xfId="0" applyNumberFormat="1" applyFont="1" applyAlignment="1">
      <alignment horizontal="right"/>
    </xf>
    <xf numFmtId="0" fontId="13" fillId="0" borderId="0" xfId="0" applyFont="1"/>
    <xf numFmtId="4" fontId="80" fillId="0" borderId="0" xfId="0" applyNumberFormat="1" applyFont="1"/>
    <xf numFmtId="4" fontId="86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1" xfId="0" applyFont="1" applyBorder="1"/>
    <xf numFmtId="0" fontId="11" fillId="0" borderId="0" xfId="0" applyFont="1"/>
    <xf numFmtId="0" fontId="90" fillId="0" borderId="1" xfId="0" applyFont="1" applyBorder="1"/>
    <xf numFmtId="2" fontId="90" fillId="0" borderId="0" xfId="0" applyNumberFormat="1" applyFont="1" applyAlignment="1">
      <alignment horizontal="right"/>
    </xf>
    <xf numFmtId="3" fontId="90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90" fillId="0" borderId="0" xfId="0" applyFont="1" applyAlignment="1">
      <alignment horizontal="center"/>
    </xf>
    <xf numFmtId="0" fontId="9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1" fillId="0" borderId="0" xfId="0" applyFont="1" applyAlignment="1">
      <alignment horizontal="right"/>
    </xf>
    <xf numFmtId="17" fontId="8" fillId="0" borderId="0" xfId="0" quotePrefix="1" applyNumberFormat="1" applyFont="1" applyAlignment="1">
      <alignment horizontal="right"/>
    </xf>
    <xf numFmtId="0" fontId="8" fillId="0" borderId="0" xfId="0" quotePrefix="1" applyFont="1" applyAlignment="1">
      <alignment horizontal="right"/>
    </xf>
    <xf numFmtId="17" fontId="90" fillId="0" borderId="0" xfId="0" applyNumberFormat="1" applyFont="1"/>
    <xf numFmtId="17" fontId="90" fillId="0" borderId="0" xfId="0" quotePrefix="1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/>
    <xf numFmtId="0" fontId="96" fillId="0" borderId="0" xfId="0" applyFont="1"/>
    <xf numFmtId="0" fontId="90" fillId="0" borderId="0" xfId="0" quotePrefix="1" applyFont="1" applyAlignment="1">
      <alignment horizontal="right"/>
    </xf>
    <xf numFmtId="0" fontId="97" fillId="0" borderId="0" xfId="0" applyFont="1"/>
    <xf numFmtId="17" fontId="96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17" fontId="6" fillId="0" borderId="0" xfId="0" quotePrefix="1" applyNumberFormat="1" applyFont="1" applyAlignment="1">
      <alignment horizontal="right"/>
    </xf>
    <xf numFmtId="0" fontId="6" fillId="0" borderId="0" xfId="0" quotePrefix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14" fontId="16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4" fontId="90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sheetMetadata" Target="metadata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2">
          <cell r="BE32">
            <v>9.6463099263974534</v>
          </cell>
          <cell r="BF32">
            <v>9.8726994311717835</v>
          </cell>
          <cell r="BG32">
            <v>11.225772564777602</v>
          </cell>
          <cell r="BH32">
            <v>12.540877369501043</v>
          </cell>
        </row>
        <row r="34">
          <cell r="BP34">
            <v>0</v>
          </cell>
        </row>
        <row r="35">
          <cell r="BP35">
            <v>7.0000000000000007E-2</v>
          </cell>
        </row>
        <row r="36">
          <cell r="BP36">
            <v>0.01</v>
          </cell>
        </row>
        <row r="39">
          <cell r="BP39">
            <v>269.58547667575527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12947</v>
          </cell>
        </row>
        <row r="5">
          <cell r="L5">
            <v>144254</v>
          </cell>
        </row>
        <row r="6">
          <cell r="L6">
            <v>14701</v>
          </cell>
        </row>
      </sheetData>
      <sheetData sheetId="1">
        <row r="24">
          <cell r="AJ24">
            <v>4.5799964361174039</v>
          </cell>
          <cell r="AK24">
            <v>5.6080380594150139</v>
          </cell>
          <cell r="AL24">
            <v>6.6491005248224839</v>
          </cell>
          <cell r="AM24">
            <v>7.778431207897734</v>
          </cell>
        </row>
        <row r="27">
          <cell r="AU27">
            <v>-0.01</v>
          </cell>
        </row>
        <row r="28">
          <cell r="AU28">
            <v>0.08</v>
          </cell>
        </row>
        <row r="29">
          <cell r="AU29">
            <v>0.01</v>
          </cell>
        </row>
        <row r="31">
          <cell r="AU31">
            <v>164.8676811657561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1.6399777191456466</v>
          </cell>
          <cell r="BC33">
            <v>2.0086947796859072</v>
          </cell>
          <cell r="BD33">
            <v>3.4976216660564408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127.46157686951391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EXA.xlsx" TargetMode="External"/><Relationship Id="rId4" Type="http://schemas.openxmlformats.org/officeDocument/2006/relationships/hyperlink" Target="MSFT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docs.nomic.ai/" TargetMode="External"/><Relationship Id="rId7" Type="http://schemas.openxmlformats.org/officeDocument/2006/relationships/hyperlink" Target="https://huggingface.co/OpenAssistant/oasst-sft-6-llama-30b-xor" TargetMode="External"/><Relationship Id="rId2" Type="http://schemas.openxmlformats.org/officeDocument/2006/relationships/hyperlink" Target="https://docs.ai21.com/reference/j2-complete-api-ref" TargetMode="External"/><Relationship Id="rId1" Type="http://schemas.openxmlformats.org/officeDocument/2006/relationships/hyperlink" Target="https://github.com/tloen/alpaca-lora" TargetMode="External"/><Relationship Id="rId6" Type="http://schemas.openxmlformats.org/officeDocument/2006/relationships/hyperlink" Target="https://github.com/h2oai/h2ogpt" TargetMode="External"/><Relationship Id="rId5" Type="http://schemas.openxmlformats.org/officeDocument/2006/relationships/hyperlink" Target="https://huggingface.co/chansung/alpaca-lora-65b/tree/main" TargetMode="External"/><Relationship Id="rId4" Type="http://schemas.openxmlformats.org/officeDocument/2006/relationships/hyperlink" Target="https://huggingface.co/datasets/nomic-ai/gpt4all-j-prompt-generations/tree/main/data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ColWidth="9.140625" defaultRowHeight="12.75"/>
  <cols>
    <col min="1" max="1" width="5" style="137" bestFit="1" customWidth="1"/>
    <col min="2" max="16384" width="9.140625" style="137"/>
  </cols>
  <sheetData>
    <row r="1" spans="1:3">
      <c r="A1" s="5" t="s">
        <v>146</v>
      </c>
    </row>
    <row r="2" spans="1:3">
      <c r="A2" s="5"/>
      <c r="B2" s="137" t="s">
        <v>19</v>
      </c>
    </row>
    <row r="3" spans="1:3">
      <c r="B3" s="137" t="s">
        <v>347</v>
      </c>
      <c r="C3" s="137" t="s">
        <v>348</v>
      </c>
    </row>
    <row r="4" spans="1:3">
      <c r="B4" s="137" t="s">
        <v>349</v>
      </c>
      <c r="C4" s="137" t="s">
        <v>350</v>
      </c>
    </row>
    <row r="5" spans="1:3">
      <c r="B5" s="137" t="s">
        <v>351</v>
      </c>
    </row>
    <row r="6" spans="1:3">
      <c r="B6" s="137" t="s">
        <v>344</v>
      </c>
    </row>
    <row r="7" spans="1:3">
      <c r="B7" s="137" t="s">
        <v>342</v>
      </c>
    </row>
    <row r="8" spans="1:3">
      <c r="B8" s="137" t="s">
        <v>346</v>
      </c>
    </row>
    <row r="9" spans="1:3">
      <c r="B9" s="137" t="s">
        <v>343</v>
      </c>
    </row>
    <row r="10" spans="1:3">
      <c r="B10" s="137" t="s">
        <v>352</v>
      </c>
    </row>
    <row r="11" spans="1:3">
      <c r="B11" s="137" t="s">
        <v>353</v>
      </c>
    </row>
    <row r="12" spans="1:3">
      <c r="B12" s="137" t="s">
        <v>345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/>
  <cols>
    <col min="1" max="1" width="5" style="137" bestFit="1" customWidth="1"/>
    <col min="2" max="2" width="10.42578125" style="137" customWidth="1"/>
    <col min="3" max="16384" width="9.140625" style="137"/>
  </cols>
  <sheetData>
    <row r="1" spans="1:3">
      <c r="A1" s="5" t="s">
        <v>146</v>
      </c>
    </row>
    <row r="2" spans="1:3">
      <c r="A2" s="5"/>
      <c r="B2" s="176" t="s">
        <v>495</v>
      </c>
    </row>
    <row r="3" spans="1:3">
      <c r="A3" s="5"/>
      <c r="B3" s="176" t="s">
        <v>491</v>
      </c>
    </row>
    <row r="4" spans="1:3">
      <c r="A4" s="5"/>
      <c r="B4" s="176" t="s">
        <v>494</v>
      </c>
    </row>
    <row r="5" spans="1:3">
      <c r="A5" s="5"/>
      <c r="B5" s="176" t="s">
        <v>492</v>
      </c>
    </row>
    <row r="6" spans="1:3">
      <c r="A6" s="5"/>
      <c r="B6" s="176" t="s">
        <v>496</v>
      </c>
    </row>
    <row r="7" spans="1:3">
      <c r="A7" s="5"/>
      <c r="B7" s="176" t="s">
        <v>493</v>
      </c>
    </row>
    <row r="8" spans="1:3">
      <c r="A8" s="5"/>
      <c r="B8" s="176"/>
    </row>
    <row r="9" spans="1:3">
      <c r="A9" s="5"/>
      <c r="B9" s="176"/>
    </row>
    <row r="10" spans="1:3">
      <c r="A10" s="5"/>
      <c r="B10" s="137" t="s">
        <v>358</v>
      </c>
    </row>
    <row r="11" spans="1:3">
      <c r="B11" s="137" t="s">
        <v>354</v>
      </c>
    </row>
    <row r="12" spans="1:3">
      <c r="B12" s="137" t="s">
        <v>355</v>
      </c>
      <c r="C12" s="137" t="s">
        <v>356</v>
      </c>
    </row>
    <row r="13" spans="1:3">
      <c r="B13" s="137" t="s">
        <v>357</v>
      </c>
    </row>
    <row r="14" spans="1:3">
      <c r="B14" s="172" t="s">
        <v>487</v>
      </c>
      <c r="C14" s="172" t="s">
        <v>488</v>
      </c>
    </row>
    <row r="15" spans="1:3">
      <c r="B15" s="172" t="s">
        <v>489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7"/>
  <sheetViews>
    <sheetView tabSelected="1"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C13" sqref="C13"/>
    </sheetView>
  </sheetViews>
  <sheetFormatPr defaultColWidth="8.42578125" defaultRowHeight="12.75"/>
  <cols>
    <col min="1" max="1" width="1.42578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>
      <c r="L2" s="28">
        <f>AVERAGE(L4:L5)</f>
        <v>0.20041740331883851</v>
      </c>
      <c r="P2" s="29">
        <f>AVERAGE(P4:P5)</f>
        <v>26.242629111540076</v>
      </c>
      <c r="Q2" s="37">
        <f>AVERAGE(Q4:Q5)</f>
        <v>23.921213842707509</v>
      </c>
      <c r="R2" s="37">
        <f>AVERAGE(R4:R5)</f>
        <v>20.722347204381379</v>
      </c>
      <c r="S2" s="30">
        <f>AVERAGE(S4:S5)</f>
        <v>18.251491495442547</v>
      </c>
    </row>
    <row r="3" spans="1:24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221</v>
      </c>
      <c r="I3" s="17" t="s">
        <v>6</v>
      </c>
      <c r="J3" s="42" t="s">
        <v>232</v>
      </c>
      <c r="K3" s="18" t="s">
        <v>216</v>
      </c>
      <c r="L3" s="18" t="s">
        <v>220</v>
      </c>
      <c r="M3" s="18" t="s">
        <v>217</v>
      </c>
      <c r="N3" s="18" t="s">
        <v>218</v>
      </c>
      <c r="O3" s="19" t="s">
        <v>219</v>
      </c>
      <c r="P3" s="48" t="s">
        <v>237</v>
      </c>
      <c r="Q3" s="49" t="s">
        <v>238</v>
      </c>
      <c r="R3" s="49" t="s">
        <v>239</v>
      </c>
      <c r="S3" s="19">
        <v>2025</v>
      </c>
      <c r="T3" s="48" t="s">
        <v>236</v>
      </c>
      <c r="U3" s="18">
        <v>2023</v>
      </c>
      <c r="V3" s="18">
        <v>2024</v>
      </c>
      <c r="W3" s="19">
        <v>2025</v>
      </c>
      <c r="X3" s="20" t="s">
        <v>222</v>
      </c>
    </row>
    <row r="4" spans="1:24">
      <c r="A4" s="72" t="s">
        <v>261</v>
      </c>
      <c r="B4" s="114" t="s">
        <v>7</v>
      </c>
      <c r="C4" s="20" t="s">
        <v>8</v>
      </c>
      <c r="D4" s="21">
        <v>307.26</v>
      </c>
      <c r="E4" s="22">
        <f>D4*[1]Main!$L$3</f>
        <v>2296153.98</v>
      </c>
      <c r="F4" s="22">
        <f>[1]Main!$L$5-[1]Main!$L$6</f>
        <v>58489</v>
      </c>
      <c r="G4" s="22">
        <f>+E4-F4</f>
        <v>2237664.98</v>
      </c>
      <c r="H4" s="22">
        <f>+[1]Main!$L$3</f>
        <v>7473</v>
      </c>
      <c r="I4" s="175" t="s">
        <v>490</v>
      </c>
      <c r="J4" s="169">
        <v>45041</v>
      </c>
      <c r="K4" s="27">
        <f>+[1]Model!$BP$39</f>
        <v>269.58547667575527</v>
      </c>
      <c r="L4" s="28">
        <f>K4/D4-1</f>
        <v>-0.12261447413996196</v>
      </c>
      <c r="M4" s="28">
        <f>+[1]Model!$BP$35</f>
        <v>7.0000000000000007E-2</v>
      </c>
      <c r="N4" s="28">
        <f>+[1]Model!$BP$34</f>
        <v>0</v>
      </c>
      <c r="O4" s="115">
        <f>+[1]Model!$BP$36</f>
        <v>0.01</v>
      </c>
      <c r="P4" s="29">
        <f>+$G$4/$H$4/T4</f>
        <v>31.041226416860436</v>
      </c>
      <c r="Q4" s="30">
        <f t="shared" ref="Q4:S4" si="0">+$G$4/$H$4/U4</f>
        <v>30.329424348429917</v>
      </c>
      <c r="R4" s="30">
        <f t="shared" si="0"/>
        <v>26.673735708135101</v>
      </c>
      <c r="S4" s="31">
        <f t="shared" si="0"/>
        <v>23.876582290862881</v>
      </c>
      <c r="T4" s="32">
        <f>+[1]Model!$BE$32</f>
        <v>9.6463099263974534</v>
      </c>
      <c r="U4" s="27">
        <f>+[1]Model!$BF$32</f>
        <v>9.8726994311717835</v>
      </c>
      <c r="V4" s="27">
        <f>+[1]Model!$BG$32</f>
        <v>11.225772564777602</v>
      </c>
      <c r="W4" s="33">
        <f>+[1]Model!$BH$32</f>
        <v>12.540877369501043</v>
      </c>
      <c r="X4" s="20">
        <v>1975</v>
      </c>
    </row>
    <row r="5" spans="1:24">
      <c r="A5" s="72" t="s">
        <v>261</v>
      </c>
      <c r="B5" s="114" t="s">
        <v>9</v>
      </c>
      <c r="C5" s="20" t="s">
        <v>10</v>
      </c>
      <c r="D5" s="21">
        <v>108.22</v>
      </c>
      <c r="E5" s="22">
        <f>D5*[2]Main!$L$3</f>
        <v>1401124.34</v>
      </c>
      <c r="F5" s="22">
        <f>[2]Main!$L$5-[2]Main!$L$6</f>
        <v>129553</v>
      </c>
      <c r="G5" s="22">
        <f>+E5-F5</f>
        <v>1271571.3400000001</v>
      </c>
      <c r="H5" s="22">
        <f>[2]Main!$L$3</f>
        <v>12947</v>
      </c>
      <c r="I5" s="175" t="s">
        <v>490</v>
      </c>
      <c r="J5" s="43">
        <v>45041</v>
      </c>
      <c r="K5" s="27">
        <f>[2]Model!$AU$31</f>
        <v>164.8676811657561</v>
      </c>
      <c r="L5" s="28">
        <f>K5/D5-1</f>
        <v>0.52344928077763897</v>
      </c>
      <c r="M5" s="28">
        <f>[2]Model!$AU$28</f>
        <v>0.08</v>
      </c>
      <c r="N5" s="28">
        <f>[2]Model!$AU$27</f>
        <v>-0.01</v>
      </c>
      <c r="O5" s="115">
        <f>[2]Model!$AU$29</f>
        <v>0.01</v>
      </c>
      <c r="P5" s="29">
        <f>+$G$5/$H$5/T5</f>
        <v>21.444031806219719</v>
      </c>
      <c r="Q5" s="30">
        <f>+$G$5/$H$5/U5</f>
        <v>17.513003336985097</v>
      </c>
      <c r="R5" s="30">
        <f>+$G$5/$H$5/V5</f>
        <v>14.770958700627652</v>
      </c>
      <c r="S5" s="30">
        <f>+$G$5/$H$5/W5</f>
        <v>12.626400700022211</v>
      </c>
      <c r="T5" s="32">
        <f>[2]Model!$AJ$24</f>
        <v>4.5799964361174039</v>
      </c>
      <c r="U5" s="27">
        <f>[2]Model!$AK$24</f>
        <v>5.6080380594150139</v>
      </c>
      <c r="V5" s="27">
        <f>[2]Model!$AL$24</f>
        <v>6.6491005248224839</v>
      </c>
      <c r="W5" s="33">
        <f>[2]Model!$AM$24</f>
        <v>7.778431207897734</v>
      </c>
      <c r="X5" s="20">
        <v>1998</v>
      </c>
    </row>
    <row r="6" spans="1:24">
      <c r="A6" s="107" t="s">
        <v>261</v>
      </c>
      <c r="B6" s="114" t="s">
        <v>180</v>
      </c>
      <c r="C6" s="20" t="s">
        <v>181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5" t="s">
        <v>390</v>
      </c>
      <c r="J6" s="43">
        <v>45047</v>
      </c>
      <c r="O6" s="26"/>
      <c r="X6" s="20">
        <v>1995</v>
      </c>
    </row>
    <row r="7" spans="1:24">
      <c r="A7" s="108" t="s">
        <v>261</v>
      </c>
      <c r="B7" s="114" t="s">
        <v>227</v>
      </c>
      <c r="C7" s="118" t="s">
        <v>228</v>
      </c>
      <c r="D7" s="21">
        <v>114.75</v>
      </c>
      <c r="E7" s="22">
        <f>D7*H7/SEK</f>
        <v>30022.838684416602</v>
      </c>
      <c r="F7" s="22">
        <f>([4]Main!$L$5-[4]Main!$L$6)*EUR</f>
        <v>-3389.8630000000003</v>
      </c>
      <c r="G7" s="22">
        <f>E7-F7</f>
        <v>33412.701684416599</v>
      </c>
      <c r="H7" s="22">
        <f>[4]Main!$L$3</f>
        <v>2706.2939999999999</v>
      </c>
      <c r="I7" s="199" t="s">
        <v>390</v>
      </c>
      <c r="J7" s="43">
        <v>45056</v>
      </c>
      <c r="O7" s="26"/>
      <c r="X7" s="20">
        <v>1992</v>
      </c>
    </row>
    <row r="8" spans="1:24">
      <c r="A8" s="90" t="s">
        <v>261</v>
      </c>
      <c r="B8" s="114" t="s">
        <v>38</v>
      </c>
      <c r="C8" s="20" t="s">
        <v>39</v>
      </c>
      <c r="D8" s="21">
        <v>120.61</v>
      </c>
      <c r="E8" s="22">
        <f>+D8*[5]Main!$L$3</f>
        <v>41715.983749999999</v>
      </c>
      <c r="F8" s="22">
        <f>([5]Main!$L$5-[5]Main!$L$6)/RMB</f>
        <v>25459.792284866468</v>
      </c>
      <c r="G8" s="22">
        <f>E8-F8</f>
        <v>16256.191465133532</v>
      </c>
      <c r="H8" s="22">
        <f>+[5]Main!$L$3</f>
        <v>345.875</v>
      </c>
      <c r="I8" s="23" t="s">
        <v>14</v>
      </c>
      <c r="O8" s="26"/>
      <c r="X8" s="20">
        <v>2000</v>
      </c>
    </row>
    <row r="9" spans="1:24">
      <c r="B9" s="120" t="s">
        <v>79</v>
      </c>
      <c r="C9" s="20" t="s">
        <v>182</v>
      </c>
      <c r="D9" s="21">
        <v>113.23</v>
      </c>
      <c r="E9" s="22">
        <v>33330</v>
      </c>
      <c r="O9" s="26"/>
      <c r="X9" s="20">
        <v>2007</v>
      </c>
    </row>
    <row r="10" spans="1:24">
      <c r="B10" s="120" t="s">
        <v>56</v>
      </c>
      <c r="C10" s="20" t="s">
        <v>57</v>
      </c>
      <c r="D10" s="21">
        <v>54.71</v>
      </c>
      <c r="E10" s="22">
        <v>28410</v>
      </c>
      <c r="O10" s="26"/>
      <c r="X10" s="20">
        <v>2009</v>
      </c>
    </row>
    <row r="11" spans="1:24">
      <c r="A11" s="111" t="s">
        <v>261</v>
      </c>
      <c r="B11" s="119" t="s">
        <v>321</v>
      </c>
      <c r="C11" s="111" t="s">
        <v>322</v>
      </c>
      <c r="D11" s="21">
        <v>46.37</v>
      </c>
      <c r="E11" s="22">
        <v>20860</v>
      </c>
      <c r="O11" s="26"/>
      <c r="X11" s="20">
        <v>1987</v>
      </c>
    </row>
    <row r="12" spans="1:24">
      <c r="B12" s="195" t="s">
        <v>69</v>
      </c>
      <c r="C12" s="64" t="s">
        <v>70</v>
      </c>
      <c r="D12" s="196">
        <v>360.34</v>
      </c>
      <c r="E12" s="197">
        <v>18140</v>
      </c>
      <c r="O12" s="26"/>
      <c r="X12" s="20">
        <v>2006</v>
      </c>
    </row>
    <row r="13" spans="1:24">
      <c r="B13" s="193" t="s">
        <v>533</v>
      </c>
      <c r="C13" s="194" t="s">
        <v>534</v>
      </c>
      <c r="O13" s="26"/>
    </row>
    <row r="14" spans="1:24">
      <c r="B14" s="193" t="s">
        <v>535</v>
      </c>
      <c r="C14" s="194" t="s">
        <v>536</v>
      </c>
      <c r="O14" s="26"/>
    </row>
    <row r="15" spans="1:24">
      <c r="B15" s="120" t="s">
        <v>73</v>
      </c>
      <c r="C15" s="20" t="s">
        <v>74</v>
      </c>
      <c r="D15" s="21">
        <v>43.75</v>
      </c>
      <c r="E15" s="22">
        <v>17180</v>
      </c>
      <c r="O15" s="26"/>
      <c r="X15" s="20">
        <v>2012</v>
      </c>
    </row>
    <row r="16" spans="1:24">
      <c r="B16" s="120" t="s">
        <v>79</v>
      </c>
      <c r="C16" s="20" t="s">
        <v>80</v>
      </c>
      <c r="D16" s="21">
        <v>40.44</v>
      </c>
      <c r="E16" s="22">
        <v>16810</v>
      </c>
      <c r="O16" s="26"/>
      <c r="X16" s="20">
        <v>2007</v>
      </c>
    </row>
    <row r="17" spans="2:24">
      <c r="B17" s="193" t="s">
        <v>558</v>
      </c>
      <c r="C17" s="194" t="s">
        <v>559</v>
      </c>
      <c r="O17" s="26"/>
    </row>
    <row r="18" spans="2:24">
      <c r="B18" s="120" t="s">
        <v>85</v>
      </c>
      <c r="C18" s="20" t="s">
        <v>86</v>
      </c>
      <c r="D18" s="21">
        <v>363.45</v>
      </c>
      <c r="E18" s="22">
        <v>15250</v>
      </c>
      <c r="O18" s="26"/>
      <c r="X18" s="20">
        <v>1966</v>
      </c>
    </row>
    <row r="19" spans="2:24">
      <c r="B19" s="120" t="s">
        <v>102</v>
      </c>
      <c r="C19" s="20" t="s">
        <v>103</v>
      </c>
      <c r="D19" s="21">
        <v>408.48</v>
      </c>
      <c r="E19" s="22">
        <v>10570</v>
      </c>
      <c r="O19" s="26"/>
    </row>
    <row r="20" spans="2:24">
      <c r="B20" s="120" t="s">
        <v>106</v>
      </c>
      <c r="C20" s="20" t="s">
        <v>107</v>
      </c>
      <c r="D20" s="21">
        <v>80.52</v>
      </c>
      <c r="E20" s="22">
        <v>10310</v>
      </c>
      <c r="O20" s="26"/>
      <c r="X20" s="20">
        <v>2007</v>
      </c>
    </row>
    <row r="21" spans="2:24">
      <c r="B21" s="120" t="s">
        <v>111</v>
      </c>
      <c r="C21" s="20" t="s">
        <v>112</v>
      </c>
      <c r="D21" s="21">
        <v>8.17</v>
      </c>
      <c r="E21" s="22">
        <v>9320</v>
      </c>
      <c r="O21" s="26"/>
    </row>
    <row r="22" spans="2:24">
      <c r="B22" s="120" t="s">
        <v>115</v>
      </c>
      <c r="C22" s="20" t="s">
        <v>116</v>
      </c>
      <c r="D22" s="21">
        <v>56.9</v>
      </c>
      <c r="E22" s="22">
        <v>9000</v>
      </c>
      <c r="O22" s="26"/>
    </row>
    <row r="23" spans="2:24">
      <c r="B23" s="120" t="s">
        <v>117</v>
      </c>
      <c r="C23" s="20" t="s">
        <v>118</v>
      </c>
      <c r="D23" s="21">
        <v>203.42</v>
      </c>
      <c r="E23" s="22">
        <v>8580</v>
      </c>
      <c r="O23" s="26"/>
      <c r="X23" s="20">
        <v>2003</v>
      </c>
    </row>
    <row r="24" spans="2:24">
      <c r="B24" s="120" t="s">
        <v>120</v>
      </c>
      <c r="C24" s="20" t="s">
        <v>121</v>
      </c>
      <c r="D24" s="21">
        <v>126.81</v>
      </c>
      <c r="E24" s="22">
        <v>8200</v>
      </c>
      <c r="O24" s="26"/>
    </row>
    <row r="25" spans="2:24">
      <c r="B25" s="120" t="s">
        <v>122</v>
      </c>
      <c r="C25" s="20" t="s">
        <v>123</v>
      </c>
      <c r="D25" s="21">
        <v>50.35</v>
      </c>
      <c r="E25" s="22">
        <v>8150</v>
      </c>
      <c r="O25" s="26"/>
    </row>
    <row r="26" spans="2:24">
      <c r="B26" s="120" t="s">
        <v>125</v>
      </c>
      <c r="C26" s="20" t="s">
        <v>126</v>
      </c>
      <c r="D26" s="21">
        <v>88.7</v>
      </c>
      <c r="E26" s="22">
        <v>7910</v>
      </c>
      <c r="O26" s="26"/>
    </row>
    <row r="27" spans="2:24">
      <c r="B27" s="120" t="s">
        <v>127</v>
      </c>
      <c r="C27" s="20" t="s">
        <v>128</v>
      </c>
      <c r="D27" s="21">
        <v>78.3</v>
      </c>
      <c r="E27" s="22">
        <v>7580</v>
      </c>
      <c r="O27" s="26"/>
      <c r="X27" s="20">
        <v>2012</v>
      </c>
    </row>
    <row r="28" spans="2:24">
      <c r="B28" s="120" t="s">
        <v>129</v>
      </c>
      <c r="C28" s="20" t="s">
        <v>130</v>
      </c>
      <c r="D28" s="21">
        <v>50.36</v>
      </c>
      <c r="E28" s="22">
        <v>7140</v>
      </c>
      <c r="O28" s="26"/>
    </row>
    <row r="29" spans="2:24">
      <c r="B29" s="120" t="s">
        <v>131</v>
      </c>
      <c r="C29" s="20" t="s">
        <v>132</v>
      </c>
      <c r="D29" s="21">
        <v>80.58</v>
      </c>
      <c r="E29" s="22">
        <v>6930</v>
      </c>
      <c r="O29" s="26"/>
    </row>
    <row r="30" spans="2:24">
      <c r="B30" s="120" t="s">
        <v>133</v>
      </c>
      <c r="C30" s="20" t="s">
        <v>134</v>
      </c>
      <c r="D30" s="21">
        <v>32.869999999999997</v>
      </c>
      <c r="E30" s="22">
        <v>6880</v>
      </c>
      <c r="O30" s="26"/>
    </row>
    <row r="31" spans="2:24">
      <c r="B31" s="120" t="s">
        <v>137</v>
      </c>
      <c r="C31" s="20" t="s">
        <v>138</v>
      </c>
      <c r="D31" s="21">
        <v>54.6</v>
      </c>
      <c r="E31" s="22">
        <v>6370</v>
      </c>
      <c r="O31" s="26"/>
    </row>
    <row r="32" spans="2:24">
      <c r="B32" s="120" t="s">
        <v>139</v>
      </c>
      <c r="C32" s="20" t="s">
        <v>140</v>
      </c>
      <c r="D32" s="21">
        <v>62.59</v>
      </c>
      <c r="E32" s="22">
        <v>6350</v>
      </c>
      <c r="O32" s="26"/>
    </row>
    <row r="33" spans="2:15">
      <c r="B33" s="120" t="s">
        <v>141</v>
      </c>
      <c r="C33" s="20" t="s">
        <v>141</v>
      </c>
      <c r="D33" s="21">
        <v>62.71</v>
      </c>
      <c r="E33" s="22">
        <v>3603</v>
      </c>
      <c r="O33" s="26"/>
    </row>
    <row r="34" spans="2:15">
      <c r="B34" s="120" t="s">
        <v>142</v>
      </c>
      <c r="C34" s="20" t="s">
        <v>143</v>
      </c>
      <c r="D34" s="21">
        <v>21.19</v>
      </c>
      <c r="E34" s="22">
        <v>2965</v>
      </c>
      <c r="O34" s="26"/>
    </row>
    <row r="35" spans="2:15">
      <c r="B35" s="120" t="s">
        <v>147</v>
      </c>
      <c r="C35" s="20" t="s">
        <v>148</v>
      </c>
      <c r="D35" s="21">
        <v>26.99</v>
      </c>
      <c r="E35" s="22">
        <v>1400</v>
      </c>
      <c r="O35" s="26"/>
    </row>
    <row r="36" spans="2:15">
      <c r="B36" s="121" t="s">
        <v>223</v>
      </c>
      <c r="C36" s="122" t="s">
        <v>224</v>
      </c>
      <c r="D36" s="21">
        <v>13.95</v>
      </c>
      <c r="E36" s="22">
        <v>2030</v>
      </c>
      <c r="O36" s="26"/>
    </row>
    <row r="37" spans="2:15">
      <c r="B37" s="121" t="s">
        <v>225</v>
      </c>
      <c r="C37" s="122" t="s">
        <v>226</v>
      </c>
      <c r="D37" s="21">
        <v>19.95</v>
      </c>
      <c r="E37" s="22">
        <v>2560</v>
      </c>
      <c r="O37" s="26"/>
    </row>
    <row r="38" spans="2:15">
      <c r="B38" s="123" t="s">
        <v>234</v>
      </c>
      <c r="C38" s="46" t="s">
        <v>235</v>
      </c>
      <c r="O38" s="26"/>
    </row>
    <row r="39" spans="2:15">
      <c r="B39" s="163" t="s">
        <v>407</v>
      </c>
      <c r="O39" s="26"/>
    </row>
    <row r="40" spans="2:15">
      <c r="B40" s="163" t="s">
        <v>408</v>
      </c>
      <c r="O40" s="26"/>
    </row>
    <row r="41" spans="2:15">
      <c r="B41" s="120"/>
      <c r="O41" s="26"/>
    </row>
    <row r="42" spans="2:15">
      <c r="B42" s="120"/>
      <c r="O42" s="26"/>
    </row>
    <row r="43" spans="2:15">
      <c r="B43" s="120"/>
      <c r="O43" s="26"/>
    </row>
    <row r="44" spans="2:15">
      <c r="B44" s="120"/>
      <c r="O44" s="26"/>
    </row>
    <row r="45" spans="2:15">
      <c r="B45" s="120"/>
      <c r="O45" s="26"/>
    </row>
    <row r="46" spans="2:15">
      <c r="B46" s="120"/>
      <c r="O46" s="26"/>
    </row>
    <row r="47" spans="2:15">
      <c r="B47" s="124"/>
      <c r="C47" s="125"/>
      <c r="D47" s="126"/>
      <c r="E47" s="127"/>
      <c r="F47" s="128"/>
      <c r="G47" s="128"/>
      <c r="H47" s="128"/>
      <c r="I47" s="128"/>
      <c r="J47" s="128"/>
      <c r="K47" s="129"/>
      <c r="L47" s="129"/>
      <c r="M47" s="129"/>
      <c r="N47" s="129"/>
      <c r="O47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7" r:id="rId5" xr:uid="{B1E63D77-7B2A-465F-96ED-98ACEF7D4A6C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5" sqref="M15"/>
    </sheetView>
  </sheetViews>
  <sheetFormatPr defaultColWidth="9.140625" defaultRowHeight="12.75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>
      <c r="A1" s="5" t="s">
        <v>146</v>
      </c>
    </row>
    <row r="2" spans="1:24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s="20" customFormat="1">
      <c r="A3" s="72" t="s">
        <v>261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5" t="s">
        <v>490</v>
      </c>
      <c r="J3" s="43">
        <v>45047</v>
      </c>
      <c r="K3" s="27">
        <f>+[6]Model!$BL$48</f>
        <v>127.46157686951391</v>
      </c>
      <c r="L3" s="28">
        <f>K3/D3-1</f>
        <v>0.20873946770520524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64.314822911120359</v>
      </c>
      <c r="R3" s="30">
        <f>+($G3/$H3)/V3</f>
        <v>52.509160501491465</v>
      </c>
      <c r="S3" s="31">
        <f>+($G3/$H3)/W3</f>
        <v>30.15617086566083</v>
      </c>
      <c r="T3" s="32">
        <f>+[6]Model!$BA$33</f>
        <v>0.51665847665847664</v>
      </c>
      <c r="U3" s="27">
        <f>+[6]Model!$BB$33</f>
        <v>1.6399777191456466</v>
      </c>
      <c r="V3" s="27">
        <f>+[6]Model!$BC$33</f>
        <v>2.0086947796859072</v>
      </c>
      <c r="W3" s="33">
        <f>+[6]Model!$BD$33</f>
        <v>3.4976216660564408</v>
      </c>
      <c r="X3" s="20">
        <v>1994</v>
      </c>
    </row>
    <row r="4" spans="1:24" s="20" customFormat="1">
      <c r="A4" s="72" t="s">
        <v>261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0" t="s">
        <v>359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>
      <c r="A5" s="82" t="s">
        <v>261</v>
      </c>
      <c r="B5" s="5" t="s">
        <v>264</v>
      </c>
      <c r="C5" s="82" t="s">
        <v>264</v>
      </c>
      <c r="D5" s="161">
        <v>122</v>
      </c>
      <c r="E5" s="71">
        <f>D5*H5</f>
        <v>110781.54050800001</v>
      </c>
      <c r="F5" s="71">
        <f>[8]Main!$M$5-[8]Main!$M$6</f>
        <v>-36234</v>
      </c>
      <c r="G5" s="22">
        <f>E5-F5</f>
        <v>147015.54050800001</v>
      </c>
      <c r="H5" s="71">
        <f>[8]Main!$M$3</f>
        <v>908.04541400000005</v>
      </c>
      <c r="I5" s="199" t="s">
        <v>490</v>
      </c>
      <c r="J5" s="103">
        <v>45056</v>
      </c>
      <c r="X5" s="72">
        <v>1911</v>
      </c>
    </row>
    <row r="6" spans="1:24" s="20" customFormat="1">
      <c r="A6" s="82" t="s">
        <v>261</v>
      </c>
      <c r="B6" s="5" t="s">
        <v>21</v>
      </c>
      <c r="C6" s="20" t="s">
        <v>22</v>
      </c>
      <c r="D6" s="21">
        <v>146.88</v>
      </c>
      <c r="E6" s="22">
        <f>+D6*[9]Main!$M$3</f>
        <v>146880</v>
      </c>
      <c r="F6" s="22">
        <f>+[9]Main!$M$5-[9]Main!$M$6</f>
        <v>6442</v>
      </c>
      <c r="G6" s="22">
        <f t="shared" ref="G6:G9" si="0">E6-F6</f>
        <v>140438</v>
      </c>
      <c r="H6" s="22">
        <f>+[9]Main!$M$3</f>
        <v>1000</v>
      </c>
      <c r="I6" s="145" t="s">
        <v>359</v>
      </c>
      <c r="J6" s="43">
        <v>44946</v>
      </c>
      <c r="K6" s="27">
        <f>+[9]Model!$Z$38</f>
        <v>159.2157215866865</v>
      </c>
      <c r="L6" s="28">
        <f>+K6/D6-1</f>
        <v>8.3985032589096509E-2</v>
      </c>
      <c r="M6" s="28">
        <f>+[9]Model!$Z$36</f>
        <v>0.08</v>
      </c>
      <c r="N6" s="28">
        <f>+[9]Model!$Z$35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>
      <c r="A7" s="82" t="s">
        <v>261</v>
      </c>
      <c r="B7" s="5" t="s">
        <v>25</v>
      </c>
      <c r="C7" s="20" t="s">
        <v>25</v>
      </c>
      <c r="D7" s="21">
        <v>99.86</v>
      </c>
      <c r="E7" s="22">
        <f>+D7*[10]Main!$L$3</f>
        <v>117834.8</v>
      </c>
      <c r="F7" s="22">
        <f>+[10]Main!$L$5-[10]Main!$L$6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>
      <c r="A8" s="82" t="s">
        <v>261</v>
      </c>
      <c r="B8" s="5" t="s">
        <v>29</v>
      </c>
      <c r="C8" s="20" t="s">
        <v>30</v>
      </c>
      <c r="D8" s="21">
        <v>440</v>
      </c>
      <c r="E8" s="22">
        <f>+D8*[11]Main!$L$3</f>
        <v>88000</v>
      </c>
      <c r="F8" s="22">
        <f>+[11]Main!$L$5-[11]Main!$L$6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>
      <c r="A9" s="94" t="s">
        <v>261</v>
      </c>
      <c r="B9" s="5" t="s">
        <v>185</v>
      </c>
      <c r="C9" s="20" t="s">
        <v>186</v>
      </c>
      <c r="D9" s="21">
        <v>122.42</v>
      </c>
      <c r="E9" s="22">
        <f>+D9*H9</f>
        <v>51593.343664439999</v>
      </c>
      <c r="F9" s="22">
        <f>+[12]Main!$M$5-[12]Main!$M$6</f>
        <v>-8207</v>
      </c>
      <c r="G9" s="22">
        <f t="shared" si="0"/>
        <v>59800.343664439999</v>
      </c>
      <c r="H9" s="22">
        <f>+[12]Main!$M$3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>
      <c r="A10" s="89" t="s">
        <v>261</v>
      </c>
      <c r="B10" s="5" t="s">
        <v>40</v>
      </c>
      <c r="C10" s="20" t="s">
        <v>41</v>
      </c>
      <c r="D10" s="21">
        <v>200.8</v>
      </c>
      <c r="E10" s="22">
        <f>+D10*[13]Main!$L$3</f>
        <v>50947.578400000006</v>
      </c>
      <c r="F10" s="22">
        <f>+[13]Main!$L$5-[13]Main!$L$6</f>
        <v>432.39900000000011</v>
      </c>
      <c r="G10" s="22">
        <f t="shared" ref="G10:G15" si="1">E10-F10</f>
        <v>50515.179400000008</v>
      </c>
      <c r="H10" s="22">
        <f>+[13]Main!$L$3</f>
        <v>253.72300000000001</v>
      </c>
      <c r="I10" s="34" t="s">
        <v>14</v>
      </c>
      <c r="J10" s="103">
        <v>45003</v>
      </c>
      <c r="X10" s="72">
        <v>2002</v>
      </c>
    </row>
    <row r="11" spans="1:24">
      <c r="A11" s="98" t="s">
        <v>261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+[14]Main!$P$5-[14]Main!$P$6</f>
        <v>2134</v>
      </c>
      <c r="G11" s="22">
        <f t="shared" si="1"/>
        <v>45746</v>
      </c>
      <c r="H11" s="23">
        <f>+[14]Main!$P$3</f>
        <v>252</v>
      </c>
      <c r="I11" s="156" t="s">
        <v>390</v>
      </c>
      <c r="J11" s="43">
        <v>45006</v>
      </c>
      <c r="X11" s="72">
        <v>2005</v>
      </c>
    </row>
    <row r="12" spans="1:24">
      <c r="A12" s="89" t="s">
        <v>261</v>
      </c>
      <c r="B12" s="5" t="s">
        <v>44</v>
      </c>
      <c r="C12" s="20" t="s">
        <v>45</v>
      </c>
      <c r="D12" s="21">
        <v>135.57</v>
      </c>
      <c r="E12" s="22">
        <f>+D12*[15]Main!$M$3</f>
        <v>42617.920769999997</v>
      </c>
      <c r="F12" s="22">
        <f>+[15]Main!$M$5-[15]Main!$M$6</f>
        <v>5027.4579999999996</v>
      </c>
      <c r="G12" s="22">
        <f t="shared" si="1"/>
        <v>37590.462769999998</v>
      </c>
      <c r="H12" s="22">
        <f>+[15]Main!$M$3</f>
        <v>314.36099999999999</v>
      </c>
      <c r="I12" s="35" t="s">
        <v>14</v>
      </c>
      <c r="X12" s="72">
        <v>2012</v>
      </c>
    </row>
    <row r="13" spans="1:24">
      <c r="A13" s="101" t="s">
        <v>261</v>
      </c>
      <c r="B13" s="5" t="s">
        <v>178</v>
      </c>
      <c r="C13" s="20" t="s">
        <v>179</v>
      </c>
      <c r="D13" s="21">
        <v>228.96</v>
      </c>
      <c r="E13" s="22">
        <f>+D13*H13</f>
        <v>35453.770264799998</v>
      </c>
      <c r="F13" s="22">
        <f>+[16]Main!$M$5-[16]Main!$M$6</f>
        <v>2838.5529999999999</v>
      </c>
      <c r="G13" s="22">
        <f t="shared" si="1"/>
        <v>32615.217264799998</v>
      </c>
      <c r="H13" s="22">
        <f>+[16]Main!$M$3</f>
        <v>154.847005</v>
      </c>
      <c r="I13" s="54" t="s">
        <v>14</v>
      </c>
      <c r="J13" s="43">
        <v>44794</v>
      </c>
      <c r="X13" s="72">
        <v>2007</v>
      </c>
    </row>
    <row r="14" spans="1:24">
      <c r="A14" s="105" t="s">
        <v>261</v>
      </c>
      <c r="B14" s="97" t="s">
        <v>304</v>
      </c>
      <c r="C14" s="105" t="s">
        <v>182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>
      <c r="A15" s="105" t="s">
        <v>261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+[17]Main!$O$5-[17]Main!$O$6</f>
        <v>970</v>
      </c>
      <c r="G15" s="22">
        <f t="shared" si="1"/>
        <v>29585</v>
      </c>
      <c r="H15" s="71">
        <f>+[17]Main!$O$3</f>
        <v>315</v>
      </c>
      <c r="I15" s="102" t="s">
        <v>208</v>
      </c>
      <c r="J15" s="103">
        <v>44805</v>
      </c>
      <c r="X15" s="72">
        <v>2010</v>
      </c>
    </row>
    <row r="16" spans="1:24">
      <c r="A16" s="105"/>
      <c r="B16" s="194" t="s">
        <v>541</v>
      </c>
      <c r="C16" s="194" t="s">
        <v>542</v>
      </c>
      <c r="D16" s="21"/>
      <c r="E16" s="22"/>
      <c r="F16" s="71"/>
      <c r="G16" s="22"/>
      <c r="H16" s="71"/>
      <c r="I16" s="102"/>
      <c r="J16" s="103"/>
    </row>
    <row r="17" spans="1:24">
      <c r="A17" s="105"/>
      <c r="B17" s="114" t="s">
        <v>152</v>
      </c>
      <c r="C17" s="20" t="s">
        <v>153</v>
      </c>
      <c r="D17" s="21">
        <v>9.35</v>
      </c>
      <c r="E17" s="22">
        <f>D17*[18]Main!$L$3</f>
        <v>19036.599999999999</v>
      </c>
      <c r="F17" s="22">
        <f>[18]Main!$L$5-[18]Main!$L$6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>
      <c r="A18" s="105"/>
      <c r="B18" s="194" t="s">
        <v>543</v>
      </c>
      <c r="C18" s="194" t="s">
        <v>544</v>
      </c>
      <c r="D18" s="21"/>
      <c r="E18" s="22"/>
      <c r="F18" s="22"/>
      <c r="G18" s="22"/>
      <c r="H18" s="22"/>
      <c r="I18" s="23"/>
      <c r="J18" s="103"/>
    </row>
    <row r="19" spans="1:24" s="20" customFormat="1">
      <c r="B19" s="20" t="s">
        <v>67</v>
      </c>
      <c r="C19" s="20" t="s">
        <v>68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>
      <c r="B20" s="142" t="s">
        <v>199</v>
      </c>
      <c r="C20" s="20" t="s">
        <v>200</v>
      </c>
      <c r="D20" s="21">
        <v>84</v>
      </c>
      <c r="E20" s="22">
        <f>+D20*H20</f>
        <v>13188</v>
      </c>
      <c r="F20" s="22">
        <f>+[19]Main!$P$5-[19]Main!$P$6</f>
        <v>282</v>
      </c>
      <c r="G20" s="22">
        <f>+E20-F20</f>
        <v>12906</v>
      </c>
      <c r="H20" s="22">
        <f>+[19]Main!$P$3</f>
        <v>157</v>
      </c>
      <c r="I20" s="100" t="s">
        <v>208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>
      <c r="B21" s="20" t="s">
        <v>191</v>
      </c>
      <c r="C21" s="20" t="s">
        <v>192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>
      <c r="B22" s="164" t="s">
        <v>409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>
      <c r="B23" s="133" t="s">
        <v>337</v>
      </c>
      <c r="C23" s="141" t="s">
        <v>384</v>
      </c>
      <c r="D23" s="72">
        <v>25.54</v>
      </c>
      <c r="E23" s="71">
        <v>4800</v>
      </c>
      <c r="X23" s="72">
        <v>2012</v>
      </c>
    </row>
    <row r="24" spans="1:24">
      <c r="B24" s="160" t="s">
        <v>397</v>
      </c>
      <c r="C24" s="160" t="s">
        <v>398</v>
      </c>
      <c r="D24" s="72">
        <v>10.88</v>
      </c>
      <c r="E24" s="71">
        <v>3000</v>
      </c>
    </row>
    <row r="25" spans="1:24">
      <c r="B25" s="120" t="s">
        <v>193</v>
      </c>
      <c r="C25" s="20" t="s">
        <v>194</v>
      </c>
      <c r="D25" s="21">
        <v>114.84</v>
      </c>
      <c r="E25" s="22">
        <v>17930</v>
      </c>
    </row>
    <row r="26" spans="1:24">
      <c r="B26" s="120" t="s">
        <v>95</v>
      </c>
      <c r="C26" s="20" t="s">
        <v>96</v>
      </c>
      <c r="D26" s="21">
        <v>43.77</v>
      </c>
      <c r="E26" s="22">
        <v>12660</v>
      </c>
    </row>
    <row r="27" spans="1:24">
      <c r="B27" s="120" t="s">
        <v>201</v>
      </c>
      <c r="C27" s="20" t="s">
        <v>202</v>
      </c>
      <c r="D27" s="21">
        <v>97.08</v>
      </c>
      <c r="E27" s="22">
        <v>15070</v>
      </c>
    </row>
    <row r="28" spans="1:24">
      <c r="B28" s="120" t="s">
        <v>94</v>
      </c>
      <c r="C28" s="20" t="s">
        <v>94</v>
      </c>
      <c r="D28" s="21">
        <v>206.68</v>
      </c>
      <c r="E28" s="22">
        <v>12990</v>
      </c>
    </row>
    <row r="29" spans="1:24">
      <c r="B29" s="120" t="s">
        <v>100</v>
      </c>
      <c r="C29" s="20" t="s">
        <v>101</v>
      </c>
      <c r="D29" s="21">
        <v>40.369999999999997</v>
      </c>
      <c r="E29" s="22">
        <v>11000</v>
      </c>
    </row>
    <row r="30" spans="1:24">
      <c r="B30" s="120" t="s">
        <v>113</v>
      </c>
      <c r="C30" s="20" t="s">
        <v>114</v>
      </c>
      <c r="D30" s="21">
        <v>14.73</v>
      </c>
      <c r="E30" s="22">
        <v>9140</v>
      </c>
    </row>
    <row r="31" spans="1:24">
      <c r="B31" s="194" t="s">
        <v>551</v>
      </c>
      <c r="C31" s="194" t="s">
        <v>552</v>
      </c>
      <c r="D31" s="21"/>
      <c r="E31" s="22"/>
    </row>
    <row r="32" spans="1:24">
      <c r="B32" s="194" t="s">
        <v>553</v>
      </c>
      <c r="C32" s="194" t="s">
        <v>554</v>
      </c>
      <c r="D32" s="21"/>
      <c r="E32" s="22"/>
    </row>
    <row r="33" spans="2:9">
      <c r="B33" s="194" t="s">
        <v>555</v>
      </c>
      <c r="C33" s="194" t="s">
        <v>90</v>
      </c>
      <c r="D33" s="21"/>
      <c r="E33" s="22"/>
    </row>
    <row r="34" spans="2:9">
      <c r="B34" s="120" t="s">
        <v>195</v>
      </c>
      <c r="C34" s="20" t="s">
        <v>196</v>
      </c>
      <c r="D34" s="21">
        <v>87.46</v>
      </c>
      <c r="E34" s="22">
        <v>16020</v>
      </c>
    </row>
    <row r="35" spans="2:9">
      <c r="B35" s="194"/>
      <c r="C35" s="20"/>
      <c r="D35" s="21"/>
      <c r="E35" s="22"/>
    </row>
    <row r="36" spans="2:9">
      <c r="B36" s="95" t="s">
        <v>256</v>
      </c>
      <c r="I36" s="165" t="s">
        <v>222</v>
      </c>
    </row>
    <row r="37" spans="2:9">
      <c r="B37" s="165" t="s">
        <v>427</v>
      </c>
      <c r="E37" s="72">
        <v>30000</v>
      </c>
      <c r="I37" s="165"/>
    </row>
    <row r="38" spans="2:9">
      <c r="B38" s="165" t="s">
        <v>475</v>
      </c>
      <c r="E38" s="72">
        <v>10000</v>
      </c>
      <c r="F38" s="165" t="s">
        <v>477</v>
      </c>
      <c r="G38" s="165" t="s">
        <v>476</v>
      </c>
      <c r="H38" s="165" t="s">
        <v>478</v>
      </c>
      <c r="I38" s="72">
        <v>2013</v>
      </c>
    </row>
    <row r="39" spans="2:9">
      <c r="B39" s="165" t="s">
        <v>124</v>
      </c>
      <c r="E39" s="72">
        <v>10000</v>
      </c>
      <c r="F39" s="165"/>
      <c r="G39" s="165"/>
      <c r="H39" s="165"/>
    </row>
    <row r="40" spans="2:9">
      <c r="B40" s="194" t="s">
        <v>99</v>
      </c>
      <c r="E40" s="72">
        <v>12000</v>
      </c>
    </row>
    <row r="41" spans="2:9">
      <c r="B41" s="94" t="s">
        <v>284</v>
      </c>
      <c r="E4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20" zoomScaleNormal="220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F24" sqref="F24"/>
    </sheetView>
  </sheetViews>
  <sheetFormatPr defaultColWidth="9.140625" defaultRowHeight="12.75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>
      <c r="A1" s="5" t="s">
        <v>146</v>
      </c>
    </row>
    <row r="2" spans="1:26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49" t="s">
        <v>238</v>
      </c>
      <c r="R2" s="49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20" t="s">
        <v>222</v>
      </c>
      <c r="Y2" s="188" t="s">
        <v>529</v>
      </c>
      <c r="Z2" s="188" t="s">
        <v>530</v>
      </c>
    </row>
    <row r="3" spans="1:26" s="20" customFormat="1">
      <c r="A3" s="72" t="s">
        <v>261</v>
      </c>
      <c r="B3" s="5" t="s">
        <v>13</v>
      </c>
      <c r="C3" s="20" t="s">
        <v>203</v>
      </c>
      <c r="D3" s="21">
        <v>210</v>
      </c>
      <c r="E3" s="22">
        <f>+D3*[20]Main!$M$3</f>
        <v>556825.22154000006</v>
      </c>
      <c r="F3" s="22">
        <f>+[20]Main!$M$5-[20]Main!$M$6</f>
        <v>38382</v>
      </c>
      <c r="G3" s="22">
        <f t="shared" ref="G3:G4" si="0">+E3-F3</f>
        <v>518443.22154000006</v>
      </c>
      <c r="H3" s="22">
        <f>+[20]Main!$M$3</f>
        <v>2651.5486740000001</v>
      </c>
      <c r="I3" s="138" t="s">
        <v>359</v>
      </c>
      <c r="J3" s="43">
        <v>44959</v>
      </c>
      <c r="K3" s="27">
        <f>+[20]Model!$AX$53</f>
        <v>215.87667010339968</v>
      </c>
      <c r="L3" s="28">
        <f>K3/D3-1</f>
        <v>2.7984143349522261E-2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9">
        <f>G3/Y3</f>
        <v>136.07433636220475</v>
      </c>
    </row>
    <row r="4" spans="1:26" s="20" customFormat="1">
      <c r="A4" s="72" t="s">
        <v>261</v>
      </c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6" t="s">
        <v>208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>
      <c r="A5" s="96" t="s">
        <v>261</v>
      </c>
      <c r="B5" s="97" t="s">
        <v>289</v>
      </c>
      <c r="C5" s="96" t="s">
        <v>290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>
      <c r="A6" s="135" t="s">
        <v>261</v>
      </c>
      <c r="B6" s="135" t="s">
        <v>338</v>
      </c>
      <c r="C6" s="135" t="s">
        <v>339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>
      <c r="A7" s="107" t="s">
        <v>261</v>
      </c>
      <c r="B7" s="142" t="s">
        <v>307</v>
      </c>
      <c r="C7" s="107" t="s">
        <v>308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>
      <c r="A8" s="143" t="s">
        <v>261</v>
      </c>
      <c r="B8" s="142" t="s">
        <v>385</v>
      </c>
      <c r="C8" s="143" t="s">
        <v>386</v>
      </c>
      <c r="D8" s="21">
        <v>12</v>
      </c>
      <c r="E8" s="22">
        <f>+D8*H8</f>
        <v>19357.212852000001</v>
      </c>
      <c r="F8" s="148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7" t="s">
        <v>208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9">
        <f>G8/Y8</f>
        <v>49.784172938666664</v>
      </c>
    </row>
    <row r="9" spans="1:26" s="20" customFormat="1">
      <c r="B9" s="96" t="s">
        <v>287</v>
      </c>
      <c r="C9" s="96" t="s">
        <v>288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>
      <c r="B10" s="96" t="s">
        <v>291</v>
      </c>
      <c r="C10" s="96" t="s">
        <v>292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>
      <c r="B11" s="188" t="s">
        <v>77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>
      <c r="B12" s="132" t="s">
        <v>327</v>
      </c>
      <c r="C12" s="132" t="s">
        <v>328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>
      <c r="B13" s="132" t="s">
        <v>133</v>
      </c>
      <c r="C13" s="132" t="s">
        <v>134</v>
      </c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6" s="20" customFormat="1">
      <c r="B14" s="139" t="s">
        <v>368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>
      <c r="B15" s="132" t="s">
        <v>332</v>
      </c>
      <c r="C15" s="132" t="s">
        <v>333</v>
      </c>
    </row>
    <row r="16" spans="1:26" s="20" customFormat="1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>
      <c r="B17" s="64" t="s">
        <v>256</v>
      </c>
      <c r="F17" s="208" t="s">
        <v>222</v>
      </c>
    </row>
    <row r="18" spans="2:8">
      <c r="B18" s="96" t="s">
        <v>286</v>
      </c>
      <c r="E18" s="170">
        <v>400000</v>
      </c>
    </row>
    <row r="19" spans="2:8">
      <c r="B19" s="63" t="s">
        <v>255</v>
      </c>
      <c r="E19" s="170">
        <v>30000</v>
      </c>
    </row>
    <row r="20" spans="2:8">
      <c r="B20" s="20" t="s">
        <v>169</v>
      </c>
      <c r="C20" s="20" t="s">
        <v>170</v>
      </c>
      <c r="D20" s="21">
        <v>44.5</v>
      </c>
      <c r="E20" s="22">
        <v>34050</v>
      </c>
    </row>
    <row r="21" spans="2:8">
      <c r="B21" s="132" t="s">
        <v>326</v>
      </c>
      <c r="E21" s="170">
        <v>14500</v>
      </c>
      <c r="F21" s="63">
        <v>2015</v>
      </c>
      <c r="H21" s="206" t="s">
        <v>631</v>
      </c>
    </row>
    <row r="22" spans="2:8">
      <c r="B22" s="206" t="s">
        <v>330</v>
      </c>
      <c r="E22" s="170">
        <v>10000</v>
      </c>
    </row>
    <row r="23" spans="2:8">
      <c r="B23" s="206" t="s">
        <v>623</v>
      </c>
      <c r="E23" s="170"/>
      <c r="F23" s="63">
        <v>2021</v>
      </c>
    </row>
    <row r="24" spans="2:8">
      <c r="B24" s="206" t="s">
        <v>630</v>
      </c>
      <c r="E24" s="63">
        <v>1000</v>
      </c>
      <c r="H24" s="206" t="s">
        <v>632</v>
      </c>
    </row>
    <row r="25" spans="2:8">
      <c r="B25" s="63" t="s">
        <v>254</v>
      </c>
      <c r="E25" s="63">
        <v>200</v>
      </c>
    </row>
    <row r="26" spans="2:8">
      <c r="B26" s="132" t="s">
        <v>329</v>
      </c>
    </row>
    <row r="27" spans="2:8">
      <c r="B27" s="132" t="s">
        <v>331</v>
      </c>
    </row>
    <row r="28" spans="2:8">
      <c r="B28" s="132" t="s">
        <v>334</v>
      </c>
    </row>
    <row r="29" spans="2:8">
      <c r="B29" s="132" t="s">
        <v>335</v>
      </c>
    </row>
    <row r="30" spans="2:8">
      <c r="B30" s="132" t="s">
        <v>336</v>
      </c>
    </row>
    <row r="31" spans="2:8">
      <c r="B31" s="139" t="s">
        <v>360</v>
      </c>
    </row>
    <row r="32" spans="2:8">
      <c r="B32" s="63" t="s">
        <v>253</v>
      </c>
    </row>
    <row r="33" spans="2:2">
      <c r="B33" s="139" t="s">
        <v>361</v>
      </c>
    </row>
    <row r="34" spans="2:2">
      <c r="B34" s="171" t="s">
        <v>483</v>
      </c>
    </row>
    <row r="35" spans="2:2">
      <c r="B35" s="139" t="s">
        <v>362</v>
      </c>
    </row>
    <row r="36" spans="2:2">
      <c r="B36" s="139" t="s">
        <v>363</v>
      </c>
    </row>
    <row r="37" spans="2:2">
      <c r="B37" s="139" t="s">
        <v>304</v>
      </c>
    </row>
    <row r="38" spans="2:2">
      <c r="B38" s="139" t="s">
        <v>364</v>
      </c>
    </row>
    <row r="39" spans="2:2">
      <c r="B39" s="139" t="s">
        <v>365</v>
      </c>
    </row>
    <row r="40" spans="2:2">
      <c r="B40" s="139" t="s">
        <v>366</v>
      </c>
    </row>
    <row r="41" spans="2:2">
      <c r="B41" s="139" t="s">
        <v>367</v>
      </c>
    </row>
    <row r="42" spans="2:2">
      <c r="B42" s="139" t="s">
        <v>369</v>
      </c>
    </row>
    <row r="43" spans="2:2">
      <c r="B43" s="139" t="s">
        <v>370</v>
      </c>
    </row>
    <row r="44" spans="2:2">
      <c r="B44" s="139" t="s">
        <v>371</v>
      </c>
    </row>
    <row r="45" spans="2:2">
      <c r="B45" s="139" t="s">
        <v>372</v>
      </c>
    </row>
    <row r="46" spans="2:2">
      <c r="B46" s="139" t="s">
        <v>373</v>
      </c>
    </row>
    <row r="47" spans="2:2">
      <c r="B47" s="139" t="s">
        <v>374</v>
      </c>
    </row>
    <row r="48" spans="2:2">
      <c r="B48" s="139" t="s">
        <v>375</v>
      </c>
    </row>
    <row r="49" spans="2:2">
      <c r="B49" s="139" t="s">
        <v>376</v>
      </c>
    </row>
    <row r="50" spans="2:2">
      <c r="B50" s="139" t="s">
        <v>377</v>
      </c>
    </row>
    <row r="51" spans="2:2">
      <c r="B51" s="139" t="s">
        <v>378</v>
      </c>
    </row>
    <row r="52" spans="2:2">
      <c r="B52" s="139" t="s">
        <v>379</v>
      </c>
    </row>
    <row r="53" spans="2:2">
      <c r="B53" s="139" t="s">
        <v>380</v>
      </c>
    </row>
    <row r="54" spans="2:2">
      <c r="B54" s="139" t="s">
        <v>381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C14"/>
    </sheetView>
  </sheetViews>
  <sheetFormatPr defaultColWidth="9.140625" defaultRowHeight="12.75"/>
  <cols>
    <col min="1" max="1" width="5" style="113" bestFit="1" customWidth="1"/>
    <col min="2" max="2" width="15" style="113" customWidth="1"/>
    <col min="3" max="16384" width="9.140625" style="113"/>
  </cols>
  <sheetData>
    <row r="1" spans="1:24">
      <c r="A1" s="5" t="s">
        <v>146</v>
      </c>
    </row>
    <row r="2" spans="1:24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395</v>
      </c>
      <c r="G2" s="158" t="s">
        <v>5</v>
      </c>
      <c r="H2" s="158" t="s">
        <v>221</v>
      </c>
      <c r="I2" s="158" t="s">
        <v>396</v>
      </c>
      <c r="J2" s="158" t="s">
        <v>232</v>
      </c>
    </row>
    <row r="3" spans="1:24" s="20" customFormat="1">
      <c r="A3" s="89" t="s">
        <v>261</v>
      </c>
      <c r="B3" s="5" t="s">
        <v>187</v>
      </c>
      <c r="C3" s="20" t="s">
        <v>188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>
      <c r="A4" s="89" t="s">
        <v>261</v>
      </c>
      <c r="B4" s="5" t="s">
        <v>183</v>
      </c>
      <c r="C4" s="20" t="s">
        <v>184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>E4-F4</f>
        <v>53579.99298000001</v>
      </c>
      <c r="H4" s="22"/>
      <c r="I4" s="23" t="s">
        <v>208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>
      <c r="A5" s="89" t="s">
        <v>261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>E5-F5</f>
        <v>50843.144</v>
      </c>
      <c r="H5" s="22">
        <f>+[25]Main!$K$3</f>
        <v>277.33600000000001</v>
      </c>
      <c r="I5" s="39" t="s">
        <v>229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>
      <c r="A6" s="92" t="s">
        <v>261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>E6-F6</f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>E7-F7</f>
        <v>20837.083825649999</v>
      </c>
      <c r="H7" s="22">
        <f>+[27]Main!$M$3</f>
        <v>87.068664999999996</v>
      </c>
      <c r="I7" s="55" t="s">
        <v>208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>
      <c r="B8" s="40" t="s">
        <v>230</v>
      </c>
      <c r="C8" s="40" t="s">
        <v>231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>
      <c r="B9" s="113" t="s">
        <v>324</v>
      </c>
      <c r="C9" s="141" t="s">
        <v>382</v>
      </c>
      <c r="D9" s="131"/>
      <c r="E9" s="131"/>
      <c r="F9" s="131"/>
      <c r="G9" s="131"/>
      <c r="H9" s="131"/>
      <c r="I9" s="131"/>
      <c r="J9" s="131"/>
    </row>
    <row r="10" spans="1:24">
      <c r="B10" s="113" t="s">
        <v>325</v>
      </c>
      <c r="D10" s="131"/>
      <c r="E10" s="131"/>
      <c r="F10" s="131"/>
      <c r="G10" s="131"/>
      <c r="H10" s="131"/>
      <c r="I10" s="131"/>
      <c r="J10" s="131"/>
    </row>
    <row r="11" spans="1:24">
      <c r="B11" s="120" t="s">
        <v>93</v>
      </c>
      <c r="C11" s="20" t="s">
        <v>93</v>
      </c>
      <c r="D11" s="21">
        <v>115.52</v>
      </c>
      <c r="E11" s="22">
        <v>13640</v>
      </c>
    </row>
    <row r="12" spans="1:24">
      <c r="B12" s="194" t="s">
        <v>108</v>
      </c>
      <c r="C12" s="194" t="s">
        <v>109</v>
      </c>
    </row>
    <row r="13" spans="1:24">
      <c r="B13" s="120" t="s">
        <v>91</v>
      </c>
      <c r="C13" s="20" t="s">
        <v>92</v>
      </c>
      <c r="D13" s="21">
        <v>206.61</v>
      </c>
      <c r="E13" s="22">
        <v>13880</v>
      </c>
    </row>
    <row r="14" spans="1:24">
      <c r="B14" s="194" t="s">
        <v>557</v>
      </c>
      <c r="C14" s="194" t="s">
        <v>556</v>
      </c>
    </row>
    <row r="17" spans="2:5">
      <c r="B17" s="95" t="s">
        <v>256</v>
      </c>
    </row>
    <row r="18" spans="2:5">
      <c r="B18" s="165" t="s">
        <v>482</v>
      </c>
      <c r="C18" s="72"/>
      <c r="D18" s="72"/>
      <c r="E18" s="72">
        <v>2400</v>
      </c>
    </row>
    <row r="19" spans="2:5">
      <c r="B19" s="157" t="s">
        <v>392</v>
      </c>
      <c r="E19" s="113">
        <v>1500</v>
      </c>
    </row>
    <row r="20" spans="2:5">
      <c r="B20" s="157" t="s">
        <v>394</v>
      </c>
      <c r="E20" s="113">
        <v>1000</v>
      </c>
    </row>
    <row r="21" spans="2:5">
      <c r="B21" s="165" t="s">
        <v>481</v>
      </c>
      <c r="E21" s="113">
        <v>1000</v>
      </c>
    </row>
    <row r="22" spans="2:5">
      <c r="B22" s="141" t="s">
        <v>383</v>
      </c>
    </row>
    <row r="23" spans="2:5">
      <c r="B23" s="157" t="s">
        <v>393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8E66-21A8-4B81-97DC-0749384A1CA5}">
  <dimension ref="A1:H3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2.75"/>
  <cols>
    <col min="1" max="1" width="5" style="234" bestFit="1" customWidth="1"/>
    <col min="2" max="2" width="24.85546875" style="234" bestFit="1" customWidth="1"/>
    <col min="3" max="3" width="10.7109375" style="236" customWidth="1"/>
    <col min="4" max="4" width="16.140625" style="236" bestFit="1" customWidth="1"/>
    <col min="5" max="5" width="9.140625" style="237"/>
    <col min="6" max="6" width="10.85546875" style="237" bestFit="1" customWidth="1"/>
    <col min="7" max="7" width="10.140625" style="236" bestFit="1" customWidth="1"/>
    <col min="8" max="16384" width="9.140625" style="234"/>
  </cols>
  <sheetData>
    <row r="1" spans="1:8">
      <c r="A1" s="234" t="s">
        <v>146</v>
      </c>
    </row>
    <row r="2" spans="1:8">
      <c r="B2" s="234" t="s">
        <v>782</v>
      </c>
      <c r="C2" s="236" t="s">
        <v>783</v>
      </c>
      <c r="D2" s="236" t="s">
        <v>784</v>
      </c>
      <c r="E2" s="237" t="s">
        <v>786</v>
      </c>
      <c r="F2" s="237" t="s">
        <v>413</v>
      </c>
      <c r="G2" s="236" t="s">
        <v>787</v>
      </c>
    </row>
    <row r="3" spans="1:8" s="64" customFormat="1">
      <c r="B3" s="64" t="s">
        <v>9</v>
      </c>
      <c r="C3" s="201" t="s">
        <v>497</v>
      </c>
      <c r="D3" s="201" t="s">
        <v>793</v>
      </c>
      <c r="E3" s="197"/>
      <c r="F3" s="197">
        <f>SUM(F4:F12)</f>
        <v>1149.1666666666667</v>
      </c>
      <c r="G3" s="238">
        <f>G4</f>
        <v>45069</v>
      </c>
    </row>
    <row r="4" spans="1:8">
      <c r="C4" s="236" t="s">
        <v>586</v>
      </c>
      <c r="D4" s="236" t="s">
        <v>144</v>
      </c>
      <c r="E4" s="237">
        <v>450</v>
      </c>
      <c r="F4" s="237">
        <f>300/5</f>
        <v>60</v>
      </c>
      <c r="G4" s="239">
        <v>45069</v>
      </c>
    </row>
    <row r="5" spans="1:8">
      <c r="C5" s="236" t="s">
        <v>809</v>
      </c>
      <c r="D5" s="236" t="s">
        <v>144</v>
      </c>
      <c r="E5" s="237">
        <v>300</v>
      </c>
      <c r="F5" s="237">
        <v>300</v>
      </c>
      <c r="G5" s="239">
        <v>44960</v>
      </c>
    </row>
    <row r="6" spans="1:8">
      <c r="C6" s="236" t="s">
        <v>789</v>
      </c>
      <c r="D6" s="236" t="s">
        <v>900</v>
      </c>
      <c r="E6" s="237">
        <v>100</v>
      </c>
      <c r="F6" s="237">
        <v>75</v>
      </c>
      <c r="G6" s="239">
        <v>45051</v>
      </c>
    </row>
    <row r="7" spans="1:8">
      <c r="C7" s="236" t="s">
        <v>586</v>
      </c>
      <c r="D7" s="236" t="s">
        <v>642</v>
      </c>
      <c r="E7" s="237">
        <v>85</v>
      </c>
      <c r="F7" s="237">
        <v>6</v>
      </c>
      <c r="G7" s="239">
        <v>44417</v>
      </c>
    </row>
    <row r="8" spans="1:8">
      <c r="C8" s="236" t="s">
        <v>402</v>
      </c>
      <c r="D8" s="236" t="s">
        <v>642</v>
      </c>
      <c r="E8" s="237">
        <v>35</v>
      </c>
      <c r="F8" s="237">
        <f>25/6</f>
        <v>4.166666666666667</v>
      </c>
      <c r="G8" s="239">
        <v>44293</v>
      </c>
    </row>
    <row r="9" spans="1:8">
      <c r="C9" s="236" t="s">
        <v>562</v>
      </c>
      <c r="D9" s="236" t="s">
        <v>642</v>
      </c>
      <c r="E9" s="237">
        <v>12</v>
      </c>
      <c r="F9" s="237">
        <v>3</v>
      </c>
      <c r="G9" s="239">
        <v>44026</v>
      </c>
    </row>
    <row r="10" spans="1:8">
      <c r="C10" s="236" t="s">
        <v>568</v>
      </c>
      <c r="D10" s="236" t="s">
        <v>642</v>
      </c>
      <c r="E10" s="237">
        <v>3.3</v>
      </c>
      <c r="F10" s="237">
        <v>1</v>
      </c>
      <c r="G10" s="239">
        <v>44026</v>
      </c>
    </row>
    <row r="11" spans="1:8">
      <c r="C11" s="236" t="s">
        <v>402</v>
      </c>
      <c r="D11" s="236" t="s">
        <v>708</v>
      </c>
      <c r="E11" s="237">
        <v>2500</v>
      </c>
      <c r="F11" s="237">
        <v>500</v>
      </c>
      <c r="G11" s="239">
        <v>44363</v>
      </c>
    </row>
    <row r="12" spans="1:8">
      <c r="C12" s="236" t="s">
        <v>562</v>
      </c>
      <c r="D12" s="236" t="s">
        <v>708</v>
      </c>
      <c r="E12" s="237">
        <v>3000</v>
      </c>
      <c r="F12" s="237">
        <f>800/4</f>
        <v>200</v>
      </c>
      <c r="G12" s="239">
        <v>43892</v>
      </c>
      <c r="H12" s="239"/>
    </row>
    <row r="13" spans="1:8">
      <c r="G13" s="239"/>
    </row>
    <row r="14" spans="1:8">
      <c r="B14" s="64" t="s">
        <v>904</v>
      </c>
      <c r="C14" s="201" t="s">
        <v>497</v>
      </c>
      <c r="D14" s="201" t="s">
        <v>793</v>
      </c>
      <c r="F14" s="197">
        <f>SUM(F15:F25)</f>
        <v>649.5</v>
      </c>
      <c r="G14" s="238">
        <f>+G16</f>
        <v>45042</v>
      </c>
    </row>
    <row r="15" spans="1:8">
      <c r="C15" s="236" t="s">
        <v>562</v>
      </c>
      <c r="D15" s="236" t="s">
        <v>623</v>
      </c>
      <c r="E15" s="237">
        <v>150</v>
      </c>
      <c r="F15" s="237">
        <v>100</v>
      </c>
      <c r="G15" s="239">
        <v>45008</v>
      </c>
    </row>
    <row r="16" spans="1:8">
      <c r="C16" s="236" t="s">
        <v>402</v>
      </c>
      <c r="D16" s="236" t="s">
        <v>410</v>
      </c>
      <c r="E16" s="237">
        <v>100</v>
      </c>
      <c r="F16" s="237">
        <v>85</v>
      </c>
      <c r="G16" s="239">
        <v>45042</v>
      </c>
    </row>
    <row r="17" spans="2:7">
      <c r="C17" s="236" t="s">
        <v>402</v>
      </c>
      <c r="D17" s="236" t="s">
        <v>708</v>
      </c>
      <c r="E17" s="237">
        <v>2500</v>
      </c>
      <c r="F17" s="237">
        <v>182</v>
      </c>
      <c r="G17" s="239">
        <v>44363</v>
      </c>
    </row>
    <row r="18" spans="2:7">
      <c r="C18" s="236" t="s">
        <v>562</v>
      </c>
      <c r="D18" s="236" t="s">
        <v>708</v>
      </c>
      <c r="E18" s="237">
        <v>3000</v>
      </c>
      <c r="F18" s="237">
        <f>800/4</f>
        <v>200</v>
      </c>
      <c r="G18" s="239">
        <v>43892</v>
      </c>
    </row>
    <row r="19" spans="2:7">
      <c r="C19" s="236" t="s">
        <v>586</v>
      </c>
      <c r="D19" s="236" t="s">
        <v>634</v>
      </c>
      <c r="E19" s="237">
        <v>100</v>
      </c>
      <c r="F19" s="237">
        <v>10</v>
      </c>
      <c r="G19" s="239">
        <v>44754</v>
      </c>
    </row>
    <row r="20" spans="2:7">
      <c r="C20" s="236" t="s">
        <v>402</v>
      </c>
      <c r="D20" s="236" t="s">
        <v>634</v>
      </c>
      <c r="E20" s="237">
        <v>35</v>
      </c>
      <c r="F20" s="237">
        <f>E20/2</f>
        <v>17.5</v>
      </c>
      <c r="G20" s="239">
        <v>44172</v>
      </c>
    </row>
    <row r="21" spans="2:7">
      <c r="C21" s="236" t="s">
        <v>562</v>
      </c>
      <c r="D21" s="236" t="s">
        <v>634</v>
      </c>
      <c r="E21" s="237">
        <v>20</v>
      </c>
      <c r="F21" s="237">
        <v>8</v>
      </c>
      <c r="G21" s="239">
        <v>43949</v>
      </c>
    </row>
    <row r="22" spans="2:7">
      <c r="C22" s="236" t="s">
        <v>568</v>
      </c>
      <c r="D22" s="236" t="s">
        <v>634</v>
      </c>
      <c r="E22" s="237">
        <v>5</v>
      </c>
      <c r="F22" s="237">
        <v>1</v>
      </c>
      <c r="G22" s="239">
        <v>43438</v>
      </c>
    </row>
    <row r="23" spans="2:7">
      <c r="C23" s="236" t="s">
        <v>1020</v>
      </c>
      <c r="D23" s="236" t="s">
        <v>640</v>
      </c>
      <c r="E23" s="237">
        <v>100</v>
      </c>
      <c r="F23" s="237">
        <v>30</v>
      </c>
      <c r="G23" s="239">
        <v>44537</v>
      </c>
    </row>
    <row r="24" spans="2:7">
      <c r="C24" s="236" t="s">
        <v>402</v>
      </c>
      <c r="D24" s="236" t="s">
        <v>640</v>
      </c>
      <c r="E24" s="237">
        <v>40</v>
      </c>
      <c r="F24" s="237">
        <v>8</v>
      </c>
      <c r="G24" s="239">
        <v>44125</v>
      </c>
    </row>
    <row r="25" spans="2:7">
      <c r="C25" s="236" t="s">
        <v>562</v>
      </c>
      <c r="D25" s="236" t="s">
        <v>640</v>
      </c>
      <c r="E25" s="237">
        <v>20</v>
      </c>
      <c r="F25" s="237">
        <v>8</v>
      </c>
      <c r="G25" s="239">
        <v>43816</v>
      </c>
    </row>
    <row r="26" spans="2:7">
      <c r="G26" s="239"/>
    </row>
    <row r="27" spans="2:7">
      <c r="B27" s="64" t="s">
        <v>249</v>
      </c>
      <c r="C27" s="201" t="s">
        <v>497</v>
      </c>
      <c r="D27" s="201" t="s">
        <v>793</v>
      </c>
      <c r="E27" s="197"/>
      <c r="F27" s="197">
        <f>SUM(F28:F34)</f>
        <v>427.81818181818181</v>
      </c>
      <c r="G27" s="238">
        <f>G31</f>
        <v>44649</v>
      </c>
    </row>
    <row r="28" spans="2:7">
      <c r="C28" s="236" t="s">
        <v>772</v>
      </c>
      <c r="D28" s="236" t="s">
        <v>785</v>
      </c>
      <c r="E28" s="237">
        <v>325</v>
      </c>
      <c r="F28" s="237">
        <v>65</v>
      </c>
      <c r="G28" s="239">
        <v>44299</v>
      </c>
    </row>
    <row r="29" spans="2:7">
      <c r="C29" s="236" t="s">
        <v>789</v>
      </c>
      <c r="D29" s="236" t="s">
        <v>785</v>
      </c>
      <c r="E29" s="237">
        <v>155</v>
      </c>
      <c r="F29" s="237">
        <v>50</v>
      </c>
      <c r="G29" s="239">
        <v>44166</v>
      </c>
    </row>
    <row r="30" spans="2:7">
      <c r="C30" s="236" t="s">
        <v>402</v>
      </c>
      <c r="D30" s="236" t="s">
        <v>405</v>
      </c>
      <c r="E30" s="237">
        <v>130</v>
      </c>
      <c r="F30" s="237">
        <v>60</v>
      </c>
      <c r="G30" s="239">
        <v>44607</v>
      </c>
    </row>
    <row r="31" spans="2:7">
      <c r="C31" s="236" t="s">
        <v>562</v>
      </c>
      <c r="D31" s="236" t="s">
        <v>410</v>
      </c>
      <c r="E31" s="237">
        <v>28</v>
      </c>
      <c r="F31" s="237">
        <v>6</v>
      </c>
      <c r="G31" s="239">
        <v>44649</v>
      </c>
    </row>
    <row r="32" spans="2:7">
      <c r="C32" s="236" t="s">
        <v>586</v>
      </c>
      <c r="D32" s="236" t="s">
        <v>641</v>
      </c>
      <c r="E32" s="237">
        <v>85</v>
      </c>
      <c r="F32" s="237">
        <v>55</v>
      </c>
      <c r="G32" s="239">
        <v>44501</v>
      </c>
    </row>
    <row r="33" spans="2:7">
      <c r="C33" s="236" t="s">
        <v>402</v>
      </c>
      <c r="D33" s="236" t="s">
        <v>708</v>
      </c>
      <c r="E33" s="237">
        <v>2500</v>
      </c>
      <c r="F33" s="237">
        <f t="shared" ref="F33" si="0">2000/11</f>
        <v>181.81818181818181</v>
      </c>
      <c r="G33" s="239">
        <v>44363</v>
      </c>
    </row>
    <row r="34" spans="2:7">
      <c r="C34" s="236" t="s">
        <v>586</v>
      </c>
      <c r="D34" s="236" t="s">
        <v>634</v>
      </c>
      <c r="E34" s="237">
        <v>100</v>
      </c>
      <c r="F34" s="237">
        <v>10</v>
      </c>
      <c r="G34" s="239">
        <v>44754</v>
      </c>
    </row>
    <row r="35" spans="2:7">
      <c r="G35" s="239"/>
    </row>
    <row r="36" spans="2:7" s="64" customFormat="1">
      <c r="B36" s="64" t="s">
        <v>797</v>
      </c>
      <c r="C36" s="201" t="s">
        <v>497</v>
      </c>
      <c r="D36" s="201" t="s">
        <v>793</v>
      </c>
      <c r="E36" s="197"/>
      <c r="F36" s="197">
        <f>SUM(F37:F39)</f>
        <v>238</v>
      </c>
      <c r="G36" s="238">
        <f>+G37</f>
        <v>45069</v>
      </c>
    </row>
    <row r="37" spans="2:7">
      <c r="C37" s="236" t="s">
        <v>586</v>
      </c>
      <c r="D37" s="236" t="s">
        <v>144</v>
      </c>
      <c r="E37" s="237">
        <v>450</v>
      </c>
      <c r="F37" s="237">
        <v>150</v>
      </c>
      <c r="G37" s="239">
        <v>45069</v>
      </c>
    </row>
    <row r="38" spans="2:7">
      <c r="C38" s="236" t="s">
        <v>402</v>
      </c>
      <c r="D38" s="236" t="s">
        <v>432</v>
      </c>
      <c r="E38" s="237">
        <v>350</v>
      </c>
      <c r="F38" s="237">
        <v>75</v>
      </c>
      <c r="G38" s="239">
        <v>44999</v>
      </c>
    </row>
    <row r="39" spans="2:7">
      <c r="C39" s="236" t="s">
        <v>586</v>
      </c>
      <c r="D39" s="236" t="s">
        <v>785</v>
      </c>
      <c r="E39" s="237">
        <v>100</v>
      </c>
      <c r="F39" s="237">
        <v>13</v>
      </c>
      <c r="G39" s="239">
        <v>43682</v>
      </c>
    </row>
    <row r="40" spans="2:7">
      <c r="G40" s="239"/>
    </row>
    <row r="41" spans="2:7">
      <c r="B41" s="64" t="s">
        <v>882</v>
      </c>
      <c r="C41" s="201" t="s">
        <v>497</v>
      </c>
      <c r="D41" s="201" t="s">
        <v>793</v>
      </c>
      <c r="E41" s="197"/>
      <c r="F41" s="197">
        <f>SUM(F42:F48)</f>
        <v>212.16666666666666</v>
      </c>
      <c r="G41" s="238">
        <f>G42</f>
        <v>44999</v>
      </c>
    </row>
    <row r="42" spans="2:7">
      <c r="C42" s="236" t="s">
        <v>402</v>
      </c>
      <c r="D42" s="236" t="s">
        <v>432</v>
      </c>
      <c r="E42" s="237">
        <v>350</v>
      </c>
      <c r="F42" s="237">
        <v>20</v>
      </c>
      <c r="G42" s="239">
        <v>44999</v>
      </c>
    </row>
    <row r="43" spans="2:7">
      <c r="C43" s="236" t="s">
        <v>562</v>
      </c>
      <c r="D43" s="236" t="s">
        <v>432</v>
      </c>
      <c r="E43" s="237">
        <v>65</v>
      </c>
      <c r="F43" s="237">
        <v>25</v>
      </c>
      <c r="G43" s="239">
        <v>44679</v>
      </c>
    </row>
    <row r="44" spans="2:7">
      <c r="C44" s="236" t="s">
        <v>568</v>
      </c>
      <c r="D44" s="236" t="s">
        <v>433</v>
      </c>
      <c r="E44" s="237">
        <v>225</v>
      </c>
      <c r="F44" s="237">
        <v>150</v>
      </c>
      <c r="G44" s="239">
        <v>44694</v>
      </c>
    </row>
    <row r="45" spans="2:7">
      <c r="C45" s="236" t="s">
        <v>586</v>
      </c>
      <c r="D45" s="236" t="s">
        <v>642</v>
      </c>
      <c r="E45" s="237">
        <v>85</v>
      </c>
      <c r="F45" s="237">
        <v>6</v>
      </c>
      <c r="G45" s="239">
        <v>44417</v>
      </c>
    </row>
    <row r="46" spans="2:7">
      <c r="C46" s="236" t="s">
        <v>402</v>
      </c>
      <c r="D46" s="236" t="s">
        <v>642</v>
      </c>
      <c r="E46" s="237">
        <v>35</v>
      </c>
      <c r="F46" s="237">
        <f>25/6</f>
        <v>4.166666666666667</v>
      </c>
      <c r="G46" s="239">
        <v>44293</v>
      </c>
    </row>
    <row r="47" spans="2:7">
      <c r="C47" s="236" t="s">
        <v>562</v>
      </c>
      <c r="D47" s="236" t="s">
        <v>642</v>
      </c>
      <c r="E47" s="237">
        <v>12</v>
      </c>
      <c r="F47" s="237">
        <v>6</v>
      </c>
      <c r="G47" s="239">
        <v>44026</v>
      </c>
    </row>
    <row r="48" spans="2:7">
      <c r="C48" s="236" t="s">
        <v>568</v>
      </c>
      <c r="D48" s="236" t="s">
        <v>642</v>
      </c>
      <c r="E48" s="237">
        <v>3.3</v>
      </c>
      <c r="F48" s="237">
        <v>1</v>
      </c>
      <c r="G48" s="239">
        <v>44026</v>
      </c>
    </row>
    <row r="49" spans="2:7">
      <c r="G49" s="239"/>
    </row>
    <row r="50" spans="2:7">
      <c r="B50" s="64" t="s">
        <v>839</v>
      </c>
      <c r="C50" s="201" t="s">
        <v>497</v>
      </c>
      <c r="D50" s="201" t="s">
        <v>793</v>
      </c>
      <c r="E50" s="197"/>
      <c r="F50" s="197">
        <f>SUM(F51:F59)</f>
        <v>169</v>
      </c>
      <c r="G50" s="238">
        <f>G51</f>
        <v>44999</v>
      </c>
    </row>
    <row r="51" spans="2:7">
      <c r="B51" s="64"/>
      <c r="C51" s="236" t="s">
        <v>402</v>
      </c>
      <c r="D51" s="236" t="s">
        <v>432</v>
      </c>
      <c r="E51" s="237">
        <v>350</v>
      </c>
      <c r="F51" s="237">
        <v>20</v>
      </c>
      <c r="G51" s="239">
        <v>44999</v>
      </c>
    </row>
    <row r="52" spans="2:7">
      <c r="B52" s="64"/>
      <c r="C52" s="236" t="s">
        <v>562</v>
      </c>
      <c r="D52" s="236" t="s">
        <v>432</v>
      </c>
      <c r="E52" s="237">
        <v>65</v>
      </c>
      <c r="F52" s="237">
        <v>25</v>
      </c>
      <c r="G52" s="239">
        <v>44679</v>
      </c>
    </row>
    <row r="53" spans="2:7">
      <c r="C53" s="236" t="s">
        <v>586</v>
      </c>
      <c r="D53" s="236" t="s">
        <v>832</v>
      </c>
      <c r="E53" s="237">
        <v>100</v>
      </c>
      <c r="F53" s="237">
        <v>9</v>
      </c>
      <c r="G53" s="239">
        <v>44690</v>
      </c>
    </row>
    <row r="54" spans="2:7">
      <c r="C54" s="236" t="s">
        <v>402</v>
      </c>
      <c r="D54" s="236" t="s">
        <v>832</v>
      </c>
      <c r="E54" s="237">
        <v>40</v>
      </c>
      <c r="F54" s="237">
        <v>7</v>
      </c>
      <c r="G54" s="239">
        <v>44327</v>
      </c>
    </row>
    <row r="55" spans="2:7">
      <c r="C55" s="236" t="s">
        <v>586</v>
      </c>
      <c r="D55" s="236" t="s">
        <v>641</v>
      </c>
      <c r="E55" s="237">
        <v>85</v>
      </c>
      <c r="F55" s="237">
        <v>10</v>
      </c>
      <c r="G55" s="239">
        <v>44501</v>
      </c>
    </row>
    <row r="56" spans="2:7">
      <c r="C56" s="236" t="s">
        <v>402</v>
      </c>
      <c r="D56" s="236" t="s">
        <v>641</v>
      </c>
      <c r="E56" s="237">
        <v>28</v>
      </c>
      <c r="F56" s="237">
        <v>18</v>
      </c>
      <c r="G56" s="239">
        <v>44272</v>
      </c>
    </row>
    <row r="57" spans="2:7">
      <c r="C57" s="236" t="s">
        <v>586</v>
      </c>
      <c r="D57" s="236" t="s">
        <v>642</v>
      </c>
      <c r="E57" s="237">
        <v>85</v>
      </c>
      <c r="F57" s="237">
        <v>20</v>
      </c>
      <c r="G57" s="239">
        <v>44417</v>
      </c>
    </row>
    <row r="58" spans="2:7">
      <c r="C58" s="236" t="s">
        <v>1017</v>
      </c>
      <c r="D58" s="236" t="s">
        <v>640</v>
      </c>
      <c r="E58" s="237">
        <v>99</v>
      </c>
      <c r="F58" s="237">
        <v>30</v>
      </c>
      <c r="G58" s="239">
        <v>44796</v>
      </c>
    </row>
    <row r="59" spans="2:7">
      <c r="C59" s="236" t="s">
        <v>1020</v>
      </c>
      <c r="D59" s="236" t="s">
        <v>640</v>
      </c>
      <c r="E59" s="237">
        <v>100</v>
      </c>
      <c r="F59" s="237">
        <v>30</v>
      </c>
      <c r="G59" s="239">
        <v>44537</v>
      </c>
    </row>
    <row r="60" spans="2:7">
      <c r="G60" s="239"/>
    </row>
    <row r="61" spans="2:7">
      <c r="B61" s="64" t="s">
        <v>781</v>
      </c>
      <c r="C61" s="201" t="s">
        <v>497</v>
      </c>
      <c r="D61" s="201" t="s">
        <v>793</v>
      </c>
      <c r="E61" s="197"/>
      <c r="F61" s="197">
        <f>SUM(F62:F70)</f>
        <v>141.5</v>
      </c>
      <c r="G61" s="238">
        <f>G62</f>
        <v>44299</v>
      </c>
    </row>
    <row r="62" spans="2:7">
      <c r="C62" s="236" t="s">
        <v>772</v>
      </c>
      <c r="D62" s="236" t="s">
        <v>785</v>
      </c>
      <c r="E62" s="237">
        <v>325</v>
      </c>
      <c r="F62" s="237">
        <v>18.5</v>
      </c>
      <c r="G62" s="239">
        <v>44299</v>
      </c>
    </row>
    <row r="63" spans="2:7">
      <c r="C63" s="236" t="s">
        <v>586</v>
      </c>
      <c r="D63" s="236" t="s">
        <v>785</v>
      </c>
      <c r="E63" s="237">
        <v>100</v>
      </c>
      <c r="F63" s="237">
        <f>65/5</f>
        <v>13</v>
      </c>
      <c r="G63" s="239">
        <v>43682</v>
      </c>
    </row>
    <row r="64" spans="2:7">
      <c r="C64" s="236" t="s">
        <v>568</v>
      </c>
      <c r="D64" s="236" t="s">
        <v>416</v>
      </c>
      <c r="E64" s="237">
        <v>100</v>
      </c>
      <c r="F64" s="237">
        <v>25</v>
      </c>
      <c r="G64" s="239">
        <v>44846</v>
      </c>
    </row>
    <row r="65" spans="2:7">
      <c r="C65" s="236" t="s">
        <v>586</v>
      </c>
      <c r="D65" s="236" t="s">
        <v>832</v>
      </c>
      <c r="E65" s="237">
        <v>100</v>
      </c>
      <c r="F65" s="237">
        <v>9</v>
      </c>
      <c r="G65" s="239">
        <v>44690</v>
      </c>
    </row>
    <row r="66" spans="2:7">
      <c r="C66" s="236" t="s">
        <v>562</v>
      </c>
      <c r="D66" s="236" t="s">
        <v>421</v>
      </c>
      <c r="E66" s="237">
        <v>125</v>
      </c>
      <c r="F66" s="237">
        <v>15</v>
      </c>
      <c r="G66" s="239">
        <v>44852</v>
      </c>
    </row>
    <row r="67" spans="2:7">
      <c r="C67" s="236" t="s">
        <v>586</v>
      </c>
      <c r="D67" s="236" t="s">
        <v>886</v>
      </c>
      <c r="E67" s="237">
        <v>135</v>
      </c>
      <c r="F67" s="237">
        <v>25</v>
      </c>
      <c r="G67" s="239">
        <v>44500</v>
      </c>
    </row>
    <row r="68" spans="2:7">
      <c r="C68" s="236" t="s">
        <v>402</v>
      </c>
      <c r="D68" s="236" t="s">
        <v>886</v>
      </c>
      <c r="E68" s="237">
        <v>45</v>
      </c>
      <c r="F68" s="237">
        <v>10</v>
      </c>
      <c r="G68" s="239">
        <v>44228</v>
      </c>
    </row>
    <row r="69" spans="2:7">
      <c r="C69" s="236" t="s">
        <v>586</v>
      </c>
      <c r="D69" s="236" t="s">
        <v>900</v>
      </c>
      <c r="E69" s="237">
        <v>50</v>
      </c>
      <c r="F69" s="237">
        <v>6</v>
      </c>
      <c r="G69" s="239">
        <v>44900</v>
      </c>
    </row>
    <row r="70" spans="2:7">
      <c r="C70" s="236" t="s">
        <v>402</v>
      </c>
      <c r="D70" s="236" t="s">
        <v>900</v>
      </c>
      <c r="E70" s="237">
        <v>35</v>
      </c>
      <c r="F70" s="237">
        <v>20</v>
      </c>
      <c r="G70" s="239">
        <v>44543</v>
      </c>
    </row>
    <row r="71" spans="2:7">
      <c r="G71" s="239"/>
    </row>
    <row r="72" spans="2:7">
      <c r="B72" s="64" t="s">
        <v>912</v>
      </c>
      <c r="C72" s="201" t="s">
        <v>497</v>
      </c>
      <c r="D72" s="201" t="s">
        <v>793</v>
      </c>
      <c r="E72" s="197"/>
      <c r="F72" s="197">
        <f>SUM(F73:F75)</f>
        <v>105</v>
      </c>
      <c r="G72" s="238">
        <f>G73</f>
        <v>44999</v>
      </c>
    </row>
    <row r="73" spans="2:7">
      <c r="C73" s="236" t="s">
        <v>402</v>
      </c>
      <c r="D73" s="236" t="s">
        <v>432</v>
      </c>
      <c r="E73" s="237">
        <v>350</v>
      </c>
      <c r="F73" s="237">
        <v>75</v>
      </c>
      <c r="G73" s="239">
        <v>44999</v>
      </c>
    </row>
    <row r="74" spans="2:7">
      <c r="C74" s="236" t="s">
        <v>586</v>
      </c>
      <c r="D74" s="236" t="s">
        <v>424</v>
      </c>
      <c r="E74" s="237">
        <v>100</v>
      </c>
      <c r="F74" s="237">
        <v>15</v>
      </c>
      <c r="G74" s="239">
        <v>44699</v>
      </c>
    </row>
    <row r="75" spans="2:7">
      <c r="C75" s="236" t="s">
        <v>402</v>
      </c>
      <c r="D75" s="236" t="s">
        <v>424</v>
      </c>
      <c r="E75" s="237">
        <v>40</v>
      </c>
      <c r="F75" s="237">
        <v>15</v>
      </c>
      <c r="G75" s="239">
        <v>44286</v>
      </c>
    </row>
    <row r="76" spans="2:7">
      <c r="G76" s="239"/>
    </row>
    <row r="77" spans="2:7" s="64" customFormat="1">
      <c r="B77" s="64" t="s">
        <v>799</v>
      </c>
      <c r="C77" s="201" t="s">
        <v>497</v>
      </c>
      <c r="D77" s="201" t="s">
        <v>793</v>
      </c>
      <c r="E77" s="197"/>
      <c r="F77" s="197">
        <f>SUM(F78:F82)</f>
        <v>97.5</v>
      </c>
      <c r="G77" s="238">
        <f>G78</f>
        <v>44299</v>
      </c>
    </row>
    <row r="78" spans="2:7">
      <c r="C78" s="236" t="s">
        <v>772</v>
      </c>
      <c r="D78" s="236" t="s">
        <v>785</v>
      </c>
      <c r="E78" s="237">
        <v>325</v>
      </c>
      <c r="F78" s="237">
        <v>18.5</v>
      </c>
      <c r="G78" s="239">
        <v>44299</v>
      </c>
    </row>
    <row r="79" spans="2:7">
      <c r="C79" s="236" t="s">
        <v>402</v>
      </c>
      <c r="D79" s="236" t="s">
        <v>785</v>
      </c>
      <c r="E79" s="237">
        <v>18</v>
      </c>
      <c r="F79" s="237">
        <v>12</v>
      </c>
      <c r="G79" s="239">
        <v>43319</v>
      </c>
    </row>
    <row r="80" spans="2:7">
      <c r="C80" s="236" t="s">
        <v>586</v>
      </c>
      <c r="D80" s="236" t="s">
        <v>405</v>
      </c>
      <c r="E80" s="237">
        <v>270</v>
      </c>
      <c r="F80" s="237">
        <v>24</v>
      </c>
      <c r="G80" s="239">
        <v>45048</v>
      </c>
    </row>
    <row r="81" spans="2:7">
      <c r="C81" s="236" t="s">
        <v>402</v>
      </c>
      <c r="D81" s="236" t="s">
        <v>405</v>
      </c>
      <c r="E81" s="237">
        <v>130</v>
      </c>
      <c r="F81" s="237">
        <v>23</v>
      </c>
      <c r="G81" s="239">
        <v>44607</v>
      </c>
    </row>
    <row r="82" spans="2:7">
      <c r="C82" s="236" t="s">
        <v>562</v>
      </c>
      <c r="D82" s="236" t="s">
        <v>405</v>
      </c>
      <c r="E82" s="237">
        <v>40</v>
      </c>
      <c r="F82" s="237">
        <v>20</v>
      </c>
      <c r="G82" s="239">
        <v>44446</v>
      </c>
    </row>
    <row r="83" spans="2:7">
      <c r="G83" s="239"/>
    </row>
    <row r="84" spans="2:7">
      <c r="B84" s="64" t="s">
        <v>835</v>
      </c>
      <c r="C84" s="201" t="s">
        <v>497</v>
      </c>
      <c r="D84" s="201" t="s">
        <v>793</v>
      </c>
      <c r="E84" s="197"/>
      <c r="F84" s="197">
        <f>SUM(F85:F90)</f>
        <v>85.5</v>
      </c>
      <c r="G84" s="238">
        <f>G86</f>
        <v>44699</v>
      </c>
    </row>
    <row r="85" spans="2:7">
      <c r="C85" s="236" t="s">
        <v>586</v>
      </c>
      <c r="D85" s="236" t="s">
        <v>832</v>
      </c>
      <c r="E85" s="237">
        <v>100</v>
      </c>
      <c r="F85" s="237">
        <v>9</v>
      </c>
      <c r="G85" s="239">
        <v>44690</v>
      </c>
    </row>
    <row r="86" spans="2:7">
      <c r="C86" s="236" t="s">
        <v>586</v>
      </c>
      <c r="D86" s="236" t="s">
        <v>424</v>
      </c>
      <c r="E86" s="237">
        <v>100</v>
      </c>
      <c r="F86" s="237">
        <v>40</v>
      </c>
      <c r="G86" s="239">
        <v>44699</v>
      </c>
    </row>
    <row r="87" spans="2:7">
      <c r="C87" s="236" t="s">
        <v>586</v>
      </c>
      <c r="D87" s="236" t="s">
        <v>634</v>
      </c>
      <c r="E87" s="237">
        <v>100</v>
      </c>
      <c r="F87" s="237">
        <v>10</v>
      </c>
      <c r="G87" s="239">
        <v>44754</v>
      </c>
    </row>
    <row r="88" spans="2:7">
      <c r="C88" s="236" t="s">
        <v>402</v>
      </c>
      <c r="D88" s="236" t="s">
        <v>634</v>
      </c>
      <c r="E88" s="237">
        <v>35</v>
      </c>
      <c r="F88" s="237">
        <f>E88/2</f>
        <v>17.5</v>
      </c>
      <c r="G88" s="239">
        <v>44172</v>
      </c>
    </row>
    <row r="89" spans="2:7">
      <c r="C89" s="236" t="s">
        <v>562</v>
      </c>
      <c r="D89" s="236" t="s">
        <v>634</v>
      </c>
      <c r="E89" s="237">
        <v>20</v>
      </c>
      <c r="F89" s="237">
        <v>8</v>
      </c>
      <c r="G89" s="239">
        <v>43949</v>
      </c>
    </row>
    <row r="90" spans="2:7">
      <c r="C90" s="236" t="s">
        <v>568</v>
      </c>
      <c r="D90" s="236" t="s">
        <v>634</v>
      </c>
      <c r="E90" s="237">
        <v>5</v>
      </c>
      <c r="F90" s="237">
        <v>1</v>
      </c>
      <c r="G90" s="239">
        <v>43438</v>
      </c>
    </row>
    <row r="91" spans="2:7">
      <c r="G91" s="239"/>
    </row>
    <row r="92" spans="2:7" s="64" customFormat="1">
      <c r="B92" s="64" t="s">
        <v>807</v>
      </c>
      <c r="C92" s="201" t="s">
        <v>497</v>
      </c>
      <c r="D92" s="201" t="s">
        <v>793</v>
      </c>
      <c r="E92" s="197"/>
      <c r="F92" s="197">
        <f>SUM(F93:F94)</f>
        <v>84.444444444444443</v>
      </c>
      <c r="G92" s="238">
        <f>G93</f>
        <v>45069</v>
      </c>
    </row>
    <row r="93" spans="2:7">
      <c r="C93" s="236" t="s">
        <v>586</v>
      </c>
      <c r="D93" s="236" t="s">
        <v>144</v>
      </c>
      <c r="E93" s="237">
        <v>450</v>
      </c>
      <c r="F93" s="237">
        <f>300/5</f>
        <v>60</v>
      </c>
      <c r="G93" s="239">
        <v>45069</v>
      </c>
    </row>
    <row r="94" spans="2:7">
      <c r="C94" s="236" t="s">
        <v>586</v>
      </c>
      <c r="D94" s="236" t="s">
        <v>405</v>
      </c>
      <c r="E94" s="237">
        <v>270</v>
      </c>
      <c r="F94" s="237">
        <f>220/9</f>
        <v>24.444444444444443</v>
      </c>
      <c r="G94" s="239">
        <v>45048</v>
      </c>
    </row>
    <row r="95" spans="2:7">
      <c r="G95" s="239"/>
    </row>
    <row r="96" spans="2:7">
      <c r="B96" s="64" t="s">
        <v>808</v>
      </c>
      <c r="C96" s="201" t="s">
        <v>497</v>
      </c>
      <c r="D96" s="201" t="s">
        <v>793</v>
      </c>
      <c r="F96" s="197">
        <f>SUM(F97:F99)</f>
        <v>81</v>
      </c>
      <c r="G96" s="238">
        <f>G97</f>
        <v>45069</v>
      </c>
    </row>
    <row r="97" spans="2:7">
      <c r="C97" s="236" t="s">
        <v>586</v>
      </c>
      <c r="D97" s="236" t="s">
        <v>144</v>
      </c>
      <c r="E97" s="237">
        <v>450</v>
      </c>
      <c r="F97" s="237">
        <f>300/5</f>
        <v>60</v>
      </c>
      <c r="G97" s="239">
        <v>45069</v>
      </c>
    </row>
    <row r="98" spans="2:7">
      <c r="C98" s="236" t="s">
        <v>402</v>
      </c>
      <c r="D98" s="236" t="s">
        <v>410</v>
      </c>
      <c r="E98" s="237">
        <v>100</v>
      </c>
      <c r="F98" s="237">
        <v>5</v>
      </c>
      <c r="G98" s="239">
        <v>45042</v>
      </c>
    </row>
    <row r="99" spans="2:7">
      <c r="C99" s="236" t="s">
        <v>562</v>
      </c>
      <c r="D99" s="236" t="s">
        <v>410</v>
      </c>
      <c r="E99" s="237">
        <v>28</v>
      </c>
      <c r="F99" s="237">
        <v>16</v>
      </c>
      <c r="G99" s="239">
        <v>44649</v>
      </c>
    </row>
    <row r="100" spans="2:7">
      <c r="G100" s="239"/>
    </row>
    <row r="101" spans="2:7">
      <c r="B101" s="64" t="s">
        <v>857</v>
      </c>
      <c r="C101" s="201" t="s">
        <v>497</v>
      </c>
      <c r="D101" s="201" t="s">
        <v>793</v>
      </c>
      <c r="E101" s="197"/>
      <c r="F101" s="197">
        <f>SUM(F102:F104)</f>
        <v>75</v>
      </c>
      <c r="G101" s="238">
        <f>G102</f>
        <v>44852</v>
      </c>
    </row>
    <row r="102" spans="2:7">
      <c r="C102" s="236" t="s">
        <v>562</v>
      </c>
      <c r="D102" s="236" t="s">
        <v>421</v>
      </c>
      <c r="E102" s="237">
        <v>125</v>
      </c>
      <c r="F102" s="237">
        <v>35</v>
      </c>
      <c r="G102" s="239">
        <v>44852</v>
      </c>
    </row>
    <row r="103" spans="2:7">
      <c r="C103" s="236" t="s">
        <v>586</v>
      </c>
      <c r="D103" s="236" t="s">
        <v>886</v>
      </c>
      <c r="E103" s="237">
        <v>135</v>
      </c>
      <c r="F103" s="237">
        <v>25</v>
      </c>
      <c r="G103" s="239">
        <v>44482</v>
      </c>
    </row>
    <row r="104" spans="2:7">
      <c r="C104" s="236" t="s">
        <v>402</v>
      </c>
      <c r="D104" s="236" t="s">
        <v>886</v>
      </c>
      <c r="E104" s="237">
        <v>45</v>
      </c>
      <c r="F104" s="237">
        <v>15</v>
      </c>
      <c r="G104" s="239">
        <v>44228</v>
      </c>
    </row>
    <row r="105" spans="2:7">
      <c r="G105" s="239"/>
    </row>
    <row r="106" spans="2:7">
      <c r="B106" s="64" t="s">
        <v>840</v>
      </c>
      <c r="C106" s="201" t="s">
        <v>497</v>
      </c>
      <c r="D106" s="201" t="s">
        <v>793</v>
      </c>
      <c r="F106" s="197">
        <f>SUM(F107:F112)</f>
        <v>65</v>
      </c>
      <c r="G106" s="238">
        <f>G109</f>
        <v>44690</v>
      </c>
    </row>
    <row r="107" spans="2:7">
      <c r="B107" s="64"/>
      <c r="C107" s="236" t="s">
        <v>562</v>
      </c>
      <c r="D107" s="236" t="s">
        <v>623</v>
      </c>
      <c r="E107" s="237">
        <v>150</v>
      </c>
      <c r="F107" s="237">
        <v>25</v>
      </c>
      <c r="G107" s="239">
        <v>45008</v>
      </c>
    </row>
    <row r="108" spans="2:7">
      <c r="B108" s="64"/>
      <c r="C108" s="236" t="s">
        <v>402</v>
      </c>
      <c r="D108" s="236" t="s">
        <v>432</v>
      </c>
      <c r="E108" s="237">
        <v>350</v>
      </c>
      <c r="F108" s="237">
        <v>20</v>
      </c>
      <c r="G108" s="239">
        <v>44999</v>
      </c>
    </row>
    <row r="109" spans="2:7">
      <c r="C109" s="236" t="s">
        <v>586</v>
      </c>
      <c r="D109" s="236" t="s">
        <v>832</v>
      </c>
      <c r="E109" s="237">
        <v>100</v>
      </c>
      <c r="F109" s="237">
        <v>9</v>
      </c>
      <c r="G109" s="239">
        <v>44690</v>
      </c>
    </row>
    <row r="110" spans="2:7">
      <c r="C110" s="236" t="s">
        <v>402</v>
      </c>
      <c r="D110" s="236" t="s">
        <v>832</v>
      </c>
      <c r="E110" s="237">
        <v>40</v>
      </c>
      <c r="F110" s="237">
        <v>7</v>
      </c>
      <c r="G110" s="239">
        <v>44327</v>
      </c>
    </row>
    <row r="111" spans="2:7">
      <c r="C111" s="236" t="s">
        <v>562</v>
      </c>
      <c r="D111" s="236" t="s">
        <v>832</v>
      </c>
      <c r="E111" s="237">
        <v>15</v>
      </c>
      <c r="F111" s="237">
        <v>3</v>
      </c>
      <c r="G111" s="239">
        <v>43816</v>
      </c>
    </row>
    <row r="112" spans="2:7">
      <c r="C112" s="236" t="s">
        <v>568</v>
      </c>
      <c r="D112" s="236" t="s">
        <v>832</v>
      </c>
      <c r="E112" s="237">
        <v>4</v>
      </c>
      <c r="F112" s="237">
        <v>1</v>
      </c>
      <c r="G112" s="239">
        <v>43243</v>
      </c>
    </row>
    <row r="113" spans="2:7">
      <c r="G113" s="239"/>
    </row>
    <row r="114" spans="2:7">
      <c r="B114" s="64" t="s">
        <v>816</v>
      </c>
      <c r="C114" s="201" t="s">
        <v>497</v>
      </c>
      <c r="D114" s="201" t="s">
        <v>793</v>
      </c>
      <c r="F114" s="197">
        <f>SUM(F115:F119)</f>
        <v>64.333333333333329</v>
      </c>
      <c r="G114" s="238">
        <f>G115</f>
        <v>44846</v>
      </c>
    </row>
    <row r="115" spans="2:7">
      <c r="C115" s="236" t="s">
        <v>568</v>
      </c>
      <c r="D115" s="236" t="s">
        <v>416</v>
      </c>
      <c r="E115" s="237">
        <v>100</v>
      </c>
      <c r="F115" s="237">
        <v>25</v>
      </c>
      <c r="G115" s="239">
        <v>44846</v>
      </c>
    </row>
    <row r="116" spans="2:7">
      <c r="C116" s="236" t="s">
        <v>586</v>
      </c>
      <c r="D116" s="236" t="s">
        <v>642</v>
      </c>
      <c r="E116" s="237">
        <v>85</v>
      </c>
      <c r="F116" s="237">
        <v>6</v>
      </c>
      <c r="G116" s="239">
        <v>44417</v>
      </c>
    </row>
    <row r="117" spans="2:7">
      <c r="C117" s="236" t="s">
        <v>402</v>
      </c>
      <c r="D117" s="236" t="s">
        <v>642</v>
      </c>
      <c r="E117" s="237">
        <v>35</v>
      </c>
      <c r="F117" s="237">
        <v>10</v>
      </c>
      <c r="G117" s="239">
        <v>44293</v>
      </c>
    </row>
    <row r="118" spans="2:7">
      <c r="C118" s="236" t="s">
        <v>586</v>
      </c>
      <c r="D118" s="236" t="s">
        <v>424</v>
      </c>
      <c r="E118" s="237">
        <v>100</v>
      </c>
      <c r="F118" s="237">
        <v>15</v>
      </c>
      <c r="G118" s="239">
        <v>44699</v>
      </c>
    </row>
    <row r="119" spans="2:7">
      <c r="C119" s="236" t="s">
        <v>402</v>
      </c>
      <c r="D119" s="236" t="s">
        <v>424</v>
      </c>
      <c r="E119" s="237">
        <v>100</v>
      </c>
      <c r="F119" s="237">
        <f>25/3</f>
        <v>8.3333333333333339</v>
      </c>
      <c r="G119" s="239">
        <v>44286</v>
      </c>
    </row>
    <row r="120" spans="2:7">
      <c r="G120" s="239"/>
    </row>
    <row r="121" spans="2:7">
      <c r="B121" s="64" t="s">
        <v>831</v>
      </c>
      <c r="C121" s="201" t="s">
        <v>497</v>
      </c>
      <c r="D121" s="201" t="s">
        <v>793</v>
      </c>
      <c r="F121" s="197">
        <f>SUM(F122:F130)</f>
        <v>64</v>
      </c>
      <c r="G121" s="238">
        <f>G122</f>
        <v>44690</v>
      </c>
    </row>
    <row r="122" spans="2:7">
      <c r="C122" s="236" t="s">
        <v>586</v>
      </c>
      <c r="D122" s="236" t="s">
        <v>832</v>
      </c>
      <c r="E122" s="237">
        <v>100</v>
      </c>
      <c r="F122" s="237">
        <v>20</v>
      </c>
      <c r="G122" s="239">
        <v>44690</v>
      </c>
    </row>
    <row r="123" spans="2:7">
      <c r="C123" s="236" t="s">
        <v>402</v>
      </c>
      <c r="D123" s="236" t="s">
        <v>832</v>
      </c>
      <c r="E123" s="237">
        <v>40</v>
      </c>
      <c r="F123" s="237">
        <v>20</v>
      </c>
      <c r="G123" s="239">
        <v>44327</v>
      </c>
    </row>
    <row r="124" spans="2:7">
      <c r="C124" s="236" t="s">
        <v>562</v>
      </c>
      <c r="D124" s="236" t="s">
        <v>832</v>
      </c>
      <c r="E124" s="237">
        <v>15</v>
      </c>
      <c r="F124" s="237">
        <v>5</v>
      </c>
      <c r="G124" s="239">
        <v>43816</v>
      </c>
    </row>
    <row r="125" spans="2:7">
      <c r="C125" s="236" t="s">
        <v>586</v>
      </c>
      <c r="D125" s="236" t="s">
        <v>900</v>
      </c>
      <c r="E125" s="237">
        <v>50</v>
      </c>
      <c r="F125" s="237">
        <v>6</v>
      </c>
      <c r="G125" s="239">
        <v>44900</v>
      </c>
    </row>
    <row r="126" spans="2:7">
      <c r="C126" s="236" t="s">
        <v>402</v>
      </c>
      <c r="D126" s="236" t="s">
        <v>900</v>
      </c>
      <c r="E126" s="237">
        <v>35</v>
      </c>
      <c r="F126" s="237">
        <v>5</v>
      </c>
      <c r="G126" s="239">
        <v>44543</v>
      </c>
    </row>
    <row r="127" spans="2:7">
      <c r="C127" s="236" t="s">
        <v>562</v>
      </c>
      <c r="D127" s="236" t="s">
        <v>900</v>
      </c>
      <c r="E127" s="237">
        <v>8.5</v>
      </c>
      <c r="F127" s="237">
        <v>1</v>
      </c>
      <c r="G127" s="239">
        <v>44181</v>
      </c>
    </row>
    <row r="128" spans="2:7">
      <c r="C128" s="236" t="s">
        <v>568</v>
      </c>
      <c r="D128" s="236" t="s">
        <v>900</v>
      </c>
      <c r="E128" s="237">
        <v>2</v>
      </c>
      <c r="F128" s="237">
        <v>2</v>
      </c>
      <c r="G128" s="239">
        <v>43435</v>
      </c>
    </row>
    <row r="129" spans="2:7">
      <c r="C129" s="236" t="s">
        <v>562</v>
      </c>
      <c r="D129" s="236" t="s">
        <v>634</v>
      </c>
      <c r="E129" s="237">
        <v>20</v>
      </c>
      <c r="F129" s="237">
        <v>4</v>
      </c>
      <c r="G129" s="239">
        <v>43949</v>
      </c>
    </row>
    <row r="130" spans="2:7">
      <c r="C130" s="236" t="s">
        <v>568</v>
      </c>
      <c r="D130" s="236" t="s">
        <v>634</v>
      </c>
      <c r="E130" s="237">
        <v>5</v>
      </c>
      <c r="F130" s="237">
        <v>1</v>
      </c>
      <c r="G130" s="239">
        <v>43438</v>
      </c>
    </row>
    <row r="131" spans="2:7">
      <c r="G131" s="239"/>
    </row>
    <row r="132" spans="2:7" s="64" customFormat="1">
      <c r="B132" s="64" t="s">
        <v>888</v>
      </c>
      <c r="C132" s="201" t="s">
        <v>497</v>
      </c>
      <c r="D132" s="201" t="s">
        <v>793</v>
      </c>
      <c r="E132" s="197"/>
      <c r="F132" s="197">
        <f>F133+F134</f>
        <v>62.5</v>
      </c>
      <c r="G132" s="238">
        <f>G134</f>
        <v>44900</v>
      </c>
    </row>
    <row r="133" spans="2:7">
      <c r="C133" s="236" t="s">
        <v>586</v>
      </c>
      <c r="D133" s="236" t="s">
        <v>886</v>
      </c>
      <c r="E133" s="237">
        <v>135</v>
      </c>
      <c r="F133" s="237">
        <v>42.5</v>
      </c>
      <c r="G133" s="239">
        <v>44482</v>
      </c>
    </row>
    <row r="134" spans="2:7">
      <c r="C134" s="236" t="s">
        <v>586</v>
      </c>
      <c r="D134" s="236" t="s">
        <v>900</v>
      </c>
      <c r="E134" s="237">
        <v>50</v>
      </c>
      <c r="F134" s="237">
        <v>20</v>
      </c>
      <c r="G134" s="239">
        <v>44900</v>
      </c>
    </row>
    <row r="135" spans="2:7">
      <c r="G135" s="239"/>
    </row>
    <row r="136" spans="2:7">
      <c r="B136" s="64" t="s">
        <v>1000</v>
      </c>
      <c r="C136" s="201" t="s">
        <v>497</v>
      </c>
      <c r="D136" s="201" t="s">
        <v>793</v>
      </c>
      <c r="E136" s="197"/>
      <c r="F136" s="197">
        <f>SUM(F137:F139)</f>
        <v>63.333333333333336</v>
      </c>
      <c r="G136" s="238">
        <f>G139</f>
        <v>44754</v>
      </c>
    </row>
    <row r="137" spans="2:7">
      <c r="C137" s="236" t="s">
        <v>586</v>
      </c>
      <c r="D137" s="236" t="s">
        <v>424</v>
      </c>
      <c r="E137" s="237">
        <v>100</v>
      </c>
      <c r="F137" s="237">
        <v>15</v>
      </c>
      <c r="G137" s="239">
        <v>44699</v>
      </c>
    </row>
    <row r="138" spans="2:7">
      <c r="C138" s="236" t="s">
        <v>402</v>
      </c>
      <c r="D138" s="236" t="s">
        <v>424</v>
      </c>
      <c r="E138" s="237">
        <v>100</v>
      </c>
      <c r="F138" s="237">
        <f>25/3</f>
        <v>8.3333333333333339</v>
      </c>
      <c r="G138" s="239">
        <v>44286</v>
      </c>
    </row>
    <row r="139" spans="2:7">
      <c r="C139" s="236" t="s">
        <v>586</v>
      </c>
      <c r="D139" s="236" t="s">
        <v>634</v>
      </c>
      <c r="E139" s="237">
        <v>100</v>
      </c>
      <c r="F139" s="237">
        <v>40</v>
      </c>
      <c r="G139" s="239">
        <v>44754</v>
      </c>
    </row>
    <row r="140" spans="2:7">
      <c r="G140" s="239"/>
    </row>
    <row r="141" spans="2:7">
      <c r="B141" s="64" t="s">
        <v>778</v>
      </c>
      <c r="C141" s="201" t="s">
        <v>497</v>
      </c>
      <c r="D141" s="201" t="s">
        <v>793</v>
      </c>
      <c r="E141" s="197"/>
      <c r="F141" s="197">
        <f>F142+F143</f>
        <v>53.5</v>
      </c>
      <c r="G141" s="238">
        <f>G142</f>
        <v>44299</v>
      </c>
    </row>
    <row r="142" spans="2:7">
      <c r="C142" s="236" t="s">
        <v>772</v>
      </c>
      <c r="D142" s="236" t="s">
        <v>785</v>
      </c>
      <c r="E142" s="237">
        <v>325</v>
      </c>
      <c r="F142" s="237">
        <v>18.5</v>
      </c>
      <c r="G142" s="239">
        <v>44299</v>
      </c>
    </row>
    <row r="143" spans="2:7">
      <c r="C143" s="236" t="s">
        <v>586</v>
      </c>
      <c r="D143" s="236" t="s">
        <v>785</v>
      </c>
      <c r="E143" s="237">
        <v>100</v>
      </c>
      <c r="F143" s="237">
        <v>35</v>
      </c>
      <c r="G143" s="239">
        <v>43682</v>
      </c>
    </row>
    <row r="144" spans="2:7">
      <c r="G144" s="239"/>
    </row>
    <row r="145" spans="2:7">
      <c r="B145" s="64" t="s">
        <v>625</v>
      </c>
      <c r="C145" s="201" t="s">
        <v>497</v>
      </c>
      <c r="D145" s="201" t="s">
        <v>793</v>
      </c>
      <c r="E145" s="197"/>
      <c r="F145" s="197">
        <f>SUM(F146:F147)</f>
        <v>44</v>
      </c>
      <c r="G145" s="238">
        <f>G146</f>
        <v>45048</v>
      </c>
    </row>
    <row r="146" spans="2:7">
      <c r="C146" s="236" t="s">
        <v>586</v>
      </c>
      <c r="D146" s="236" t="s">
        <v>405</v>
      </c>
      <c r="E146" s="237">
        <v>270</v>
      </c>
      <c r="F146" s="237">
        <v>24</v>
      </c>
      <c r="G146" s="239">
        <v>45048</v>
      </c>
    </row>
    <row r="147" spans="2:7">
      <c r="C147" s="236" t="s">
        <v>402</v>
      </c>
      <c r="D147" s="236" t="s">
        <v>432</v>
      </c>
      <c r="E147" s="237">
        <v>350</v>
      </c>
      <c r="F147" s="237">
        <v>20</v>
      </c>
      <c r="G147" s="239">
        <v>44999</v>
      </c>
    </row>
    <row r="148" spans="2:7">
      <c r="G148" s="239"/>
    </row>
    <row r="149" spans="2:7">
      <c r="B149" s="64" t="s">
        <v>834</v>
      </c>
      <c r="C149" s="201" t="s">
        <v>497</v>
      </c>
      <c r="D149" s="201" t="s">
        <v>793</v>
      </c>
      <c r="F149" s="197">
        <f>SUM(F150:F155)</f>
        <v>41.2</v>
      </c>
      <c r="G149" s="238">
        <f>G154</f>
        <v>45008</v>
      </c>
    </row>
    <row r="150" spans="2:7">
      <c r="B150" s="64"/>
      <c r="C150" s="236" t="s">
        <v>402</v>
      </c>
      <c r="D150" s="236" t="s">
        <v>432</v>
      </c>
      <c r="E150" s="237">
        <v>350</v>
      </c>
      <c r="F150" s="237">
        <v>20</v>
      </c>
      <c r="G150" s="239">
        <v>44999</v>
      </c>
    </row>
    <row r="151" spans="2:7">
      <c r="C151" s="236" t="s">
        <v>586</v>
      </c>
      <c r="D151" s="236" t="s">
        <v>832</v>
      </c>
      <c r="E151" s="237">
        <v>100</v>
      </c>
      <c r="F151" s="237">
        <v>9</v>
      </c>
      <c r="G151" s="239">
        <v>44690</v>
      </c>
    </row>
    <row r="152" spans="2:7">
      <c r="C152" s="236" t="s">
        <v>568</v>
      </c>
      <c r="D152" s="236" t="s">
        <v>832</v>
      </c>
      <c r="E152" s="237">
        <v>4</v>
      </c>
      <c r="F152" s="237">
        <v>1</v>
      </c>
      <c r="G152" s="239">
        <v>43243</v>
      </c>
    </row>
    <row r="153" spans="2:7">
      <c r="C153" s="236" t="s">
        <v>845</v>
      </c>
      <c r="D153" s="236" t="s">
        <v>832</v>
      </c>
      <c r="E153" s="237">
        <v>1.2</v>
      </c>
      <c r="F153" s="237">
        <v>0.2</v>
      </c>
      <c r="G153" s="239">
        <v>42799</v>
      </c>
    </row>
    <row r="154" spans="2:7">
      <c r="C154" s="236" t="s">
        <v>562</v>
      </c>
      <c r="D154" s="236" t="s">
        <v>623</v>
      </c>
      <c r="E154" s="237">
        <v>150</v>
      </c>
      <c r="F154" s="237">
        <v>10</v>
      </c>
      <c r="G154" s="239">
        <v>45008</v>
      </c>
    </row>
    <row r="155" spans="2:7">
      <c r="C155" s="236" t="s">
        <v>568</v>
      </c>
      <c r="D155" s="236" t="s">
        <v>634</v>
      </c>
      <c r="E155" s="237">
        <v>5</v>
      </c>
      <c r="F155" s="237">
        <v>1</v>
      </c>
      <c r="G155" s="239">
        <v>43438</v>
      </c>
    </row>
    <row r="156" spans="2:7">
      <c r="G156" s="239"/>
    </row>
    <row r="157" spans="2:7">
      <c r="B157" s="64" t="s">
        <v>930</v>
      </c>
      <c r="C157" s="201" t="s">
        <v>497</v>
      </c>
      <c r="D157" s="201" t="s">
        <v>793</v>
      </c>
      <c r="F157" s="197">
        <f>SUM(F158:F165)</f>
        <v>44</v>
      </c>
      <c r="G157" s="238">
        <f>+G158</f>
        <v>44900</v>
      </c>
    </row>
    <row r="158" spans="2:7">
      <c r="C158" s="236" t="s">
        <v>586</v>
      </c>
      <c r="D158" s="236" t="s">
        <v>900</v>
      </c>
      <c r="E158" s="237">
        <v>50</v>
      </c>
      <c r="F158" s="237">
        <v>6</v>
      </c>
      <c r="G158" s="239">
        <v>44900</v>
      </c>
    </row>
    <row r="159" spans="2:7">
      <c r="C159" s="236" t="s">
        <v>402</v>
      </c>
      <c r="D159" s="236" t="s">
        <v>900</v>
      </c>
      <c r="E159" s="237">
        <v>35</v>
      </c>
      <c r="F159" s="237">
        <v>5</v>
      </c>
      <c r="G159" s="239">
        <v>44543</v>
      </c>
    </row>
    <row r="160" spans="2:7">
      <c r="C160" s="236" t="s">
        <v>562</v>
      </c>
      <c r="D160" s="236" t="s">
        <v>900</v>
      </c>
      <c r="E160" s="237">
        <v>8.5</v>
      </c>
      <c r="F160" s="237">
        <v>5</v>
      </c>
      <c r="G160" s="239">
        <v>44181</v>
      </c>
    </row>
    <row r="161" spans="2:7">
      <c r="C161" s="236" t="s">
        <v>586</v>
      </c>
      <c r="D161" s="236" t="s">
        <v>641</v>
      </c>
      <c r="E161" s="237">
        <v>85</v>
      </c>
      <c r="F161" s="237">
        <v>10</v>
      </c>
      <c r="G161" s="239">
        <v>44501</v>
      </c>
    </row>
    <row r="162" spans="2:7">
      <c r="C162" s="236" t="s">
        <v>402</v>
      </c>
      <c r="D162" s="236" t="s">
        <v>641</v>
      </c>
      <c r="E162" s="237">
        <v>28</v>
      </c>
      <c r="F162" s="237">
        <v>5</v>
      </c>
      <c r="G162" s="239">
        <v>44272</v>
      </c>
    </row>
    <row r="163" spans="2:7">
      <c r="C163" s="236" t="s">
        <v>562</v>
      </c>
      <c r="D163" s="236" t="s">
        <v>641</v>
      </c>
      <c r="E163" s="237">
        <v>15</v>
      </c>
      <c r="F163" s="237">
        <v>10</v>
      </c>
      <c r="G163" s="239">
        <v>43924</v>
      </c>
    </row>
    <row r="164" spans="2:7">
      <c r="C164" s="236" t="s">
        <v>568</v>
      </c>
      <c r="D164" s="236" t="s">
        <v>641</v>
      </c>
      <c r="E164" s="237">
        <v>2.9</v>
      </c>
      <c r="F164" s="237">
        <v>1</v>
      </c>
      <c r="G164" s="239">
        <v>43761</v>
      </c>
    </row>
    <row r="165" spans="2:7">
      <c r="C165" s="236" t="s">
        <v>562</v>
      </c>
      <c r="D165" s="236" t="s">
        <v>640</v>
      </c>
      <c r="E165" s="237">
        <v>20</v>
      </c>
      <c r="F165" s="237">
        <v>2</v>
      </c>
      <c r="G165" s="239">
        <v>43816</v>
      </c>
    </row>
    <row r="166" spans="2:7">
      <c r="G166" s="239"/>
    </row>
    <row r="167" spans="2:7">
      <c r="B167" s="64" t="s">
        <v>861</v>
      </c>
      <c r="C167" s="201" t="s">
        <v>497</v>
      </c>
      <c r="D167" s="201" t="s">
        <v>793</v>
      </c>
      <c r="F167" s="197">
        <f>SUM(F168:F171)</f>
        <v>56.333333333333336</v>
      </c>
      <c r="G167" s="238">
        <f>G168</f>
        <v>44852</v>
      </c>
    </row>
    <row r="168" spans="2:7">
      <c r="C168" s="236" t="s">
        <v>562</v>
      </c>
      <c r="D168" s="236" t="s">
        <v>421</v>
      </c>
      <c r="E168" s="237">
        <v>125</v>
      </c>
      <c r="F168" s="237">
        <v>15</v>
      </c>
      <c r="G168" s="239">
        <v>44852</v>
      </c>
    </row>
    <row r="169" spans="2:7">
      <c r="C169" s="236" t="s">
        <v>1017</v>
      </c>
      <c r="D169" s="236" t="s">
        <v>640</v>
      </c>
      <c r="E169" s="237">
        <v>99</v>
      </c>
      <c r="F169" s="237">
        <v>20</v>
      </c>
      <c r="G169" s="239">
        <v>44796</v>
      </c>
    </row>
    <row r="170" spans="2:7">
      <c r="C170" s="236" t="s">
        <v>1020</v>
      </c>
      <c r="D170" s="236" t="s">
        <v>640</v>
      </c>
      <c r="E170" s="237">
        <v>100</v>
      </c>
      <c r="F170" s="237">
        <f>40/3</f>
        <v>13.333333333333334</v>
      </c>
      <c r="G170" s="239">
        <v>44537</v>
      </c>
    </row>
    <row r="171" spans="2:7">
      <c r="C171" s="236" t="s">
        <v>402</v>
      </c>
      <c r="D171" s="236" t="s">
        <v>640</v>
      </c>
      <c r="E171" s="237">
        <v>40</v>
      </c>
      <c r="F171" s="237">
        <v>8</v>
      </c>
      <c r="G171" s="239">
        <v>44125</v>
      </c>
    </row>
    <row r="172" spans="2:7">
      <c r="G172" s="239"/>
    </row>
    <row r="173" spans="2:7">
      <c r="B173" s="64" t="s">
        <v>826</v>
      </c>
      <c r="C173" s="201" t="s">
        <v>497</v>
      </c>
      <c r="D173" s="201" t="s">
        <v>793</v>
      </c>
      <c r="E173" s="197"/>
      <c r="F173" s="197">
        <f>SUM(F174:F175)</f>
        <v>33.333333333333329</v>
      </c>
      <c r="G173" s="238">
        <f>G174</f>
        <v>44607</v>
      </c>
    </row>
    <row r="174" spans="2:7">
      <c r="C174" s="236" t="s">
        <v>402</v>
      </c>
      <c r="D174" s="236" t="s">
        <v>405</v>
      </c>
      <c r="E174" s="237">
        <v>130</v>
      </c>
      <c r="F174" s="237">
        <f>70/3</f>
        <v>23.333333333333332</v>
      </c>
      <c r="G174" s="239">
        <v>44607</v>
      </c>
    </row>
    <row r="175" spans="2:7">
      <c r="C175" s="236" t="s">
        <v>562</v>
      </c>
      <c r="D175" s="236" t="s">
        <v>405</v>
      </c>
      <c r="E175" s="237">
        <v>40</v>
      </c>
      <c r="F175" s="237">
        <v>10</v>
      </c>
      <c r="G175" s="239">
        <v>44446</v>
      </c>
    </row>
    <row r="176" spans="2:7">
      <c r="G176" s="239"/>
    </row>
    <row r="177" spans="2:7">
      <c r="B177" s="64" t="s">
        <v>827</v>
      </c>
      <c r="C177" s="201" t="s">
        <v>497</v>
      </c>
      <c r="D177" s="201" t="s">
        <v>793</v>
      </c>
      <c r="E177" s="197"/>
      <c r="F177" s="197">
        <f>SUM(F178:F179)</f>
        <v>33.333333333333329</v>
      </c>
      <c r="G177" s="238">
        <f>G178</f>
        <v>44607</v>
      </c>
    </row>
    <row r="178" spans="2:7">
      <c r="C178" s="236" t="s">
        <v>402</v>
      </c>
      <c r="D178" s="236" t="s">
        <v>405</v>
      </c>
      <c r="E178" s="237">
        <v>130</v>
      </c>
      <c r="F178" s="237">
        <f>70/3</f>
        <v>23.333333333333332</v>
      </c>
      <c r="G178" s="239">
        <v>44607</v>
      </c>
    </row>
    <row r="179" spans="2:7">
      <c r="C179" s="236" t="s">
        <v>562</v>
      </c>
      <c r="D179" s="236" t="s">
        <v>405</v>
      </c>
      <c r="E179" s="237">
        <v>40</v>
      </c>
      <c r="F179" s="237">
        <v>10</v>
      </c>
      <c r="G179" s="239">
        <v>44446</v>
      </c>
    </row>
    <row r="180" spans="2:7">
      <c r="G180" s="239"/>
    </row>
    <row r="181" spans="2:7">
      <c r="B181" s="64" t="s">
        <v>928</v>
      </c>
      <c r="C181" s="201" t="s">
        <v>497</v>
      </c>
      <c r="D181" s="201" t="s">
        <v>793</v>
      </c>
      <c r="E181" s="197"/>
      <c r="F181" s="197">
        <f>SUM(F182:F186)</f>
        <v>28.9</v>
      </c>
      <c r="G181" s="238">
        <f>G182</f>
        <v>44900</v>
      </c>
    </row>
    <row r="182" spans="2:7">
      <c r="C182" s="236" t="s">
        <v>586</v>
      </c>
      <c r="D182" s="236" t="s">
        <v>900</v>
      </c>
      <c r="E182" s="237">
        <v>50</v>
      </c>
      <c r="F182" s="237">
        <f>30/5</f>
        <v>6</v>
      </c>
      <c r="G182" s="239">
        <v>44900</v>
      </c>
    </row>
    <row r="183" spans="2:7">
      <c r="C183" s="236" t="s">
        <v>586</v>
      </c>
      <c r="D183" s="236" t="s">
        <v>641</v>
      </c>
      <c r="E183" s="237">
        <v>85</v>
      </c>
      <c r="F183" s="237">
        <v>10</v>
      </c>
      <c r="G183" s="239">
        <v>44501</v>
      </c>
    </row>
    <row r="184" spans="2:7">
      <c r="C184" s="236" t="s">
        <v>402</v>
      </c>
      <c r="D184" s="236" t="s">
        <v>641</v>
      </c>
      <c r="E184" s="237">
        <v>28</v>
      </c>
      <c r="F184" s="237">
        <v>5</v>
      </c>
      <c r="G184" s="239">
        <v>44272</v>
      </c>
    </row>
    <row r="185" spans="2:7">
      <c r="C185" s="236" t="s">
        <v>562</v>
      </c>
      <c r="D185" s="236" t="s">
        <v>641</v>
      </c>
      <c r="E185" s="237">
        <v>15</v>
      </c>
      <c r="F185" s="237">
        <v>5</v>
      </c>
      <c r="G185" s="239">
        <v>43924</v>
      </c>
    </row>
    <row r="186" spans="2:7">
      <c r="C186" s="236" t="s">
        <v>568</v>
      </c>
      <c r="D186" s="236" t="s">
        <v>641</v>
      </c>
      <c r="E186" s="237">
        <v>3.9</v>
      </c>
      <c r="F186" s="237">
        <v>2.9</v>
      </c>
      <c r="G186" s="239">
        <v>43761</v>
      </c>
    </row>
    <row r="187" spans="2:7">
      <c r="G187" s="239"/>
    </row>
    <row r="188" spans="2:7">
      <c r="B188" s="64" t="s">
        <v>961</v>
      </c>
      <c r="C188" s="201" t="s">
        <v>497</v>
      </c>
      <c r="D188" s="201" t="s">
        <v>793</v>
      </c>
      <c r="E188" s="197"/>
      <c r="F188" s="197">
        <f>F189+F190</f>
        <v>24.166666666666668</v>
      </c>
      <c r="G188" s="238">
        <f>G189</f>
        <v>44417</v>
      </c>
    </row>
    <row r="189" spans="2:7">
      <c r="C189" s="236" t="s">
        <v>586</v>
      </c>
      <c r="D189" s="236" t="s">
        <v>642</v>
      </c>
      <c r="E189" s="237">
        <v>85</v>
      </c>
      <c r="F189" s="237">
        <v>20</v>
      </c>
      <c r="G189" s="239">
        <v>44417</v>
      </c>
    </row>
    <row r="190" spans="2:7">
      <c r="C190" s="236" t="s">
        <v>402</v>
      </c>
      <c r="D190" s="236" t="s">
        <v>642</v>
      </c>
      <c r="E190" s="237">
        <v>35</v>
      </c>
      <c r="F190" s="237">
        <f>25/6</f>
        <v>4.166666666666667</v>
      </c>
      <c r="G190" s="239">
        <v>44293</v>
      </c>
    </row>
    <row r="191" spans="2:7">
      <c r="G191" s="239"/>
    </row>
    <row r="192" spans="2:7" s="64" customFormat="1">
      <c r="B192" s="64" t="s">
        <v>774</v>
      </c>
      <c r="C192" s="201" t="s">
        <v>497</v>
      </c>
      <c r="D192" s="201" t="s">
        <v>793</v>
      </c>
      <c r="E192" s="197"/>
      <c r="F192" s="197">
        <f>SUM(F193:F195)</f>
        <v>23</v>
      </c>
      <c r="G192" s="238">
        <f>+G193</f>
        <v>44299</v>
      </c>
    </row>
    <row r="193" spans="2:7">
      <c r="C193" s="236" t="s">
        <v>772</v>
      </c>
      <c r="D193" s="236" t="s">
        <v>785</v>
      </c>
      <c r="E193" s="237">
        <v>325</v>
      </c>
      <c r="F193" s="237">
        <v>18.5</v>
      </c>
      <c r="G193" s="239">
        <v>44299</v>
      </c>
    </row>
    <row r="194" spans="2:7">
      <c r="C194" s="236" t="s">
        <v>402</v>
      </c>
      <c r="D194" s="236" t="s">
        <v>785</v>
      </c>
      <c r="E194" s="237">
        <v>18</v>
      </c>
      <c r="F194" s="237">
        <v>3</v>
      </c>
      <c r="G194" s="239">
        <v>43319</v>
      </c>
    </row>
    <row r="195" spans="2:7">
      <c r="C195" s="236" t="s">
        <v>562</v>
      </c>
      <c r="D195" s="236" t="s">
        <v>785</v>
      </c>
      <c r="E195" s="237">
        <v>4.5</v>
      </c>
      <c r="F195" s="237">
        <v>1.5</v>
      </c>
      <c r="G195" s="239">
        <v>42878</v>
      </c>
    </row>
    <row r="196" spans="2:7">
      <c r="C196" s="236" t="s">
        <v>568</v>
      </c>
      <c r="D196" s="236" t="s">
        <v>785</v>
      </c>
      <c r="E196" s="237">
        <v>0.12</v>
      </c>
      <c r="F196" s="237">
        <v>0.12</v>
      </c>
      <c r="G196" s="239">
        <v>42604</v>
      </c>
    </row>
    <row r="197" spans="2:7">
      <c r="G197" s="239"/>
    </row>
    <row r="198" spans="2:7">
      <c r="B198" s="64" t="s">
        <v>837</v>
      </c>
      <c r="C198" s="201" t="s">
        <v>497</v>
      </c>
      <c r="D198" s="201" t="s">
        <v>793</v>
      </c>
      <c r="F198" s="197">
        <f>SUM(F199:F201)</f>
        <v>18.666666666666668</v>
      </c>
      <c r="G198" s="238">
        <f>G199</f>
        <v>44690</v>
      </c>
    </row>
    <row r="199" spans="2:7">
      <c r="C199" s="236" t="s">
        <v>586</v>
      </c>
      <c r="D199" s="236" t="s">
        <v>832</v>
      </c>
      <c r="E199" s="237">
        <v>100</v>
      </c>
      <c r="F199" s="237">
        <v>9</v>
      </c>
      <c r="G199" s="239">
        <v>44690</v>
      </c>
    </row>
    <row r="200" spans="2:7">
      <c r="C200" s="236" t="s">
        <v>402</v>
      </c>
      <c r="D200" s="236" t="s">
        <v>832</v>
      </c>
      <c r="E200" s="237">
        <v>40</v>
      </c>
      <c r="F200" s="237">
        <f>20/3</f>
        <v>6.666666666666667</v>
      </c>
      <c r="G200" s="239">
        <v>44327</v>
      </c>
    </row>
    <row r="201" spans="2:7">
      <c r="C201" s="236" t="s">
        <v>562</v>
      </c>
      <c r="D201" s="236" t="s">
        <v>832</v>
      </c>
      <c r="E201" s="237">
        <v>15</v>
      </c>
      <c r="F201" s="237">
        <v>3</v>
      </c>
      <c r="G201" s="239">
        <v>43816</v>
      </c>
    </row>
    <row r="202" spans="2:7">
      <c r="C202" s="236" t="s">
        <v>568</v>
      </c>
      <c r="D202" s="236" t="s">
        <v>832</v>
      </c>
      <c r="E202" s="237">
        <v>4</v>
      </c>
      <c r="F202" s="237">
        <v>1</v>
      </c>
      <c r="G202" s="239">
        <v>43243</v>
      </c>
    </row>
    <row r="203" spans="2:7">
      <c r="C203" s="236" t="s">
        <v>845</v>
      </c>
      <c r="D203" s="236" t="s">
        <v>832</v>
      </c>
      <c r="E203" s="237">
        <v>1.2</v>
      </c>
      <c r="F203" s="237">
        <v>0.2</v>
      </c>
      <c r="G203" s="239">
        <v>42799</v>
      </c>
    </row>
    <row r="204" spans="2:7">
      <c r="G204" s="239"/>
    </row>
    <row r="205" spans="2:7" s="64" customFormat="1">
      <c r="B205" s="64" t="s">
        <v>800</v>
      </c>
      <c r="C205" s="201" t="s">
        <v>497</v>
      </c>
      <c r="D205" s="201" t="s">
        <v>793</v>
      </c>
      <c r="E205" s="197"/>
      <c r="F205" s="197">
        <f>SUM(F206:F208)</f>
        <v>17.5</v>
      </c>
      <c r="G205" s="238">
        <f>G206</f>
        <v>43682</v>
      </c>
    </row>
    <row r="206" spans="2:7">
      <c r="C206" s="236" t="s">
        <v>586</v>
      </c>
      <c r="D206" s="236" t="s">
        <v>785</v>
      </c>
      <c r="E206" s="237">
        <v>100</v>
      </c>
      <c r="F206" s="237">
        <v>13</v>
      </c>
      <c r="G206" s="239">
        <v>43682</v>
      </c>
    </row>
    <row r="207" spans="2:7">
      <c r="C207" s="236" t="s">
        <v>402</v>
      </c>
      <c r="D207" s="236" t="s">
        <v>785</v>
      </c>
      <c r="E207" s="237">
        <v>18</v>
      </c>
      <c r="F207" s="237">
        <v>3</v>
      </c>
      <c r="G207" s="239">
        <v>43319</v>
      </c>
    </row>
    <row r="208" spans="2:7">
      <c r="C208" s="236" t="s">
        <v>562</v>
      </c>
      <c r="D208" s="236" t="s">
        <v>785</v>
      </c>
      <c r="E208" s="237">
        <v>4.5</v>
      </c>
      <c r="F208" s="237">
        <f>E208/3</f>
        <v>1.5</v>
      </c>
      <c r="G208" s="239">
        <v>42878</v>
      </c>
    </row>
    <row r="209" spans="2:7">
      <c r="C209" s="236" t="s">
        <v>568</v>
      </c>
      <c r="D209" s="236" t="s">
        <v>642</v>
      </c>
      <c r="E209" s="237">
        <v>3.3</v>
      </c>
      <c r="F209" s="237">
        <v>0.5</v>
      </c>
      <c r="G209" s="239">
        <v>44026</v>
      </c>
    </row>
    <row r="210" spans="2:7">
      <c r="G210" s="239"/>
    </row>
    <row r="211" spans="2:7" s="64" customFormat="1">
      <c r="B211" s="64" t="s">
        <v>946</v>
      </c>
      <c r="C211" s="201" t="s">
        <v>497</v>
      </c>
      <c r="D211" s="201" t="s">
        <v>793</v>
      </c>
      <c r="E211" s="197"/>
      <c r="F211" s="197">
        <f>SUM(F212:F214)</f>
        <v>16</v>
      </c>
      <c r="G211" s="238">
        <f>G212</f>
        <v>45042</v>
      </c>
    </row>
    <row r="212" spans="2:7">
      <c r="C212" s="236" t="s">
        <v>402</v>
      </c>
      <c r="D212" s="236" t="s">
        <v>410</v>
      </c>
      <c r="E212" s="237">
        <v>100</v>
      </c>
      <c r="F212" s="237">
        <v>5</v>
      </c>
      <c r="G212" s="239">
        <v>45042</v>
      </c>
    </row>
    <row r="213" spans="2:7">
      <c r="C213" s="236" t="s">
        <v>562</v>
      </c>
      <c r="D213" s="236" t="s">
        <v>410</v>
      </c>
      <c r="E213" s="237">
        <v>28</v>
      </c>
      <c r="F213" s="237">
        <v>6</v>
      </c>
      <c r="G213" s="239">
        <v>44649</v>
      </c>
    </row>
    <row r="214" spans="2:7">
      <c r="C214" s="236" t="s">
        <v>568</v>
      </c>
      <c r="D214" s="236" t="s">
        <v>410</v>
      </c>
      <c r="E214" s="237">
        <v>10</v>
      </c>
      <c r="F214" s="237">
        <v>5</v>
      </c>
      <c r="G214" s="239">
        <v>44223</v>
      </c>
    </row>
    <row r="215" spans="2:7">
      <c r="G215" s="239"/>
    </row>
    <row r="216" spans="2:7">
      <c r="B216" s="64" t="s">
        <v>833</v>
      </c>
      <c r="C216" s="201" t="s">
        <v>497</v>
      </c>
      <c r="D216" s="201" t="s">
        <v>793</v>
      </c>
      <c r="F216" s="197">
        <f>SUM(F217:F219)</f>
        <v>13</v>
      </c>
      <c r="G216" s="238">
        <f>G217</f>
        <v>44690</v>
      </c>
    </row>
    <row r="217" spans="2:7">
      <c r="C217" s="236" t="s">
        <v>586</v>
      </c>
      <c r="D217" s="236" t="s">
        <v>832</v>
      </c>
      <c r="E217" s="237">
        <v>100</v>
      </c>
      <c r="F217" s="237">
        <v>9</v>
      </c>
      <c r="G217" s="239">
        <v>44690</v>
      </c>
    </row>
    <row r="218" spans="2:7">
      <c r="C218" s="236" t="s">
        <v>562</v>
      </c>
      <c r="D218" s="236" t="s">
        <v>832</v>
      </c>
      <c r="E218" s="237">
        <v>15</v>
      </c>
      <c r="F218" s="237">
        <v>3</v>
      </c>
      <c r="G218" s="239">
        <v>43816</v>
      </c>
    </row>
    <row r="219" spans="2:7">
      <c r="C219" s="236" t="s">
        <v>568</v>
      </c>
      <c r="D219" s="236" t="s">
        <v>832</v>
      </c>
      <c r="E219" s="237">
        <v>4</v>
      </c>
      <c r="F219" s="237">
        <v>1</v>
      </c>
      <c r="G219" s="239">
        <v>43243</v>
      </c>
    </row>
    <row r="220" spans="2:7">
      <c r="G220" s="239"/>
    </row>
    <row r="221" spans="2:7">
      <c r="B221" s="64" t="s">
        <v>890</v>
      </c>
      <c r="C221" s="201" t="s">
        <v>497</v>
      </c>
      <c r="D221" s="201" t="s">
        <v>793</v>
      </c>
      <c r="E221" s="197"/>
      <c r="F221" s="197">
        <f>F222+F223</f>
        <v>12</v>
      </c>
      <c r="G221" s="238">
        <f>G222</f>
        <v>44228</v>
      </c>
    </row>
    <row r="222" spans="2:7">
      <c r="C222" s="236" t="s">
        <v>402</v>
      </c>
      <c r="D222" s="236" t="s">
        <v>886</v>
      </c>
      <c r="E222" s="237">
        <v>45</v>
      </c>
      <c r="F222" s="237">
        <v>10</v>
      </c>
      <c r="G222" s="239">
        <v>44228</v>
      </c>
    </row>
    <row r="223" spans="2:7">
      <c r="C223" s="236" t="s">
        <v>562</v>
      </c>
      <c r="D223" s="236" t="s">
        <v>886</v>
      </c>
      <c r="E223" s="237">
        <v>5</v>
      </c>
      <c r="F223" s="237">
        <v>2</v>
      </c>
      <c r="G223" s="239">
        <v>43251</v>
      </c>
    </row>
    <row r="224" spans="2:7">
      <c r="G224" s="239"/>
    </row>
    <row r="225" spans="2:7">
      <c r="B225" s="64" t="s">
        <v>929</v>
      </c>
      <c r="C225" s="201" t="s">
        <v>497</v>
      </c>
      <c r="D225" s="201" t="s">
        <v>793</v>
      </c>
      <c r="E225" s="197"/>
      <c r="F225" s="197">
        <f>SUM(F226:F228)</f>
        <v>12</v>
      </c>
      <c r="G225" s="238">
        <f>+G226</f>
        <v>44900</v>
      </c>
    </row>
    <row r="226" spans="2:7">
      <c r="C226" s="236" t="s">
        <v>586</v>
      </c>
      <c r="D226" s="236" t="s">
        <v>900</v>
      </c>
      <c r="E226" s="237">
        <v>50</v>
      </c>
      <c r="F226" s="237">
        <v>6</v>
      </c>
      <c r="G226" s="239">
        <v>44900</v>
      </c>
    </row>
    <row r="227" spans="2:7">
      <c r="C227" s="236" t="s">
        <v>402</v>
      </c>
      <c r="D227" s="236" t="s">
        <v>900</v>
      </c>
      <c r="E227" s="237">
        <v>35</v>
      </c>
      <c r="F227" s="237">
        <v>5</v>
      </c>
      <c r="G227" s="239">
        <v>44543</v>
      </c>
    </row>
    <row r="228" spans="2:7">
      <c r="C228" s="236" t="s">
        <v>562</v>
      </c>
      <c r="D228" s="236" t="s">
        <v>900</v>
      </c>
      <c r="E228" s="237">
        <v>8.5</v>
      </c>
      <c r="F228" s="237">
        <v>1</v>
      </c>
      <c r="G228" s="239">
        <v>44181</v>
      </c>
    </row>
    <row r="229" spans="2:7">
      <c r="G229" s="239"/>
    </row>
    <row r="230" spans="2:7">
      <c r="B230" s="64" t="s">
        <v>891</v>
      </c>
      <c r="C230" s="201" t="s">
        <v>497</v>
      </c>
      <c r="D230" s="201" t="s">
        <v>793</v>
      </c>
      <c r="E230" s="197"/>
      <c r="F230" s="197">
        <f>F231+F232</f>
        <v>11</v>
      </c>
      <c r="G230" s="238">
        <f>G231</f>
        <v>44228</v>
      </c>
    </row>
    <row r="231" spans="2:7">
      <c r="C231" s="236" t="s">
        <v>402</v>
      </c>
      <c r="D231" s="236" t="s">
        <v>886</v>
      </c>
      <c r="E231" s="237">
        <v>45</v>
      </c>
      <c r="F231" s="237">
        <v>10</v>
      </c>
      <c r="G231" s="239">
        <v>44228</v>
      </c>
    </row>
    <row r="232" spans="2:7">
      <c r="C232" s="236" t="s">
        <v>562</v>
      </c>
      <c r="D232" s="236" t="s">
        <v>886</v>
      </c>
      <c r="E232" s="237">
        <v>5</v>
      </c>
      <c r="F232" s="237">
        <v>1</v>
      </c>
      <c r="G232" s="239">
        <v>43251</v>
      </c>
    </row>
    <row r="233" spans="2:7">
      <c r="G233" s="239"/>
    </row>
    <row r="234" spans="2:7">
      <c r="B234" s="64" t="s">
        <v>864</v>
      </c>
      <c r="C234" s="201" t="s">
        <v>497</v>
      </c>
      <c r="D234" s="201" t="s">
        <v>793</v>
      </c>
      <c r="E234" s="197"/>
      <c r="F234" s="197">
        <f>+F235+F236</f>
        <v>1.5</v>
      </c>
      <c r="G234" s="238">
        <f>+G235</f>
        <v>44287</v>
      </c>
    </row>
    <row r="235" spans="2:7">
      <c r="C235" s="236" t="s">
        <v>699</v>
      </c>
      <c r="D235" s="236" t="s">
        <v>421</v>
      </c>
      <c r="E235" s="237">
        <v>1</v>
      </c>
      <c r="F235" s="237">
        <v>0.5</v>
      </c>
      <c r="G235" s="239">
        <v>44287</v>
      </c>
    </row>
    <row r="236" spans="2:7">
      <c r="C236" s="236" t="s">
        <v>562</v>
      </c>
      <c r="D236" s="236" t="s">
        <v>900</v>
      </c>
      <c r="E236" s="237">
        <v>8.5</v>
      </c>
      <c r="F236" s="237">
        <v>1</v>
      </c>
      <c r="G236" s="239">
        <v>44181</v>
      </c>
    </row>
    <row r="238" spans="2:7">
      <c r="B238" s="234" t="s">
        <v>59</v>
      </c>
      <c r="C238" s="236" t="s">
        <v>402</v>
      </c>
      <c r="D238" s="236" t="s">
        <v>144</v>
      </c>
      <c r="E238" s="237">
        <v>580</v>
      </c>
      <c r="F238" s="237">
        <v>580</v>
      </c>
      <c r="G238" s="239">
        <v>44680</v>
      </c>
    </row>
    <row r="239" spans="2:7">
      <c r="B239" s="234" t="s">
        <v>794</v>
      </c>
      <c r="C239" s="236" t="s">
        <v>789</v>
      </c>
      <c r="D239" s="236" t="s">
        <v>785</v>
      </c>
      <c r="E239" s="237">
        <v>155</v>
      </c>
      <c r="F239" s="237">
        <v>105</v>
      </c>
      <c r="G239" s="239">
        <v>44166</v>
      </c>
    </row>
    <row r="240" spans="2:7">
      <c r="B240" s="234" t="s">
        <v>777</v>
      </c>
      <c r="C240" s="236" t="s">
        <v>772</v>
      </c>
      <c r="D240" s="236" t="s">
        <v>785</v>
      </c>
      <c r="E240" s="237">
        <v>325</v>
      </c>
      <c r="F240" s="237">
        <f>32.5*2</f>
        <v>65</v>
      </c>
      <c r="G240" s="239">
        <v>44299</v>
      </c>
    </row>
    <row r="241" spans="2:7">
      <c r="B241" s="234" t="s">
        <v>780</v>
      </c>
      <c r="C241" s="236" t="s">
        <v>772</v>
      </c>
      <c r="D241" s="236" t="s">
        <v>785</v>
      </c>
      <c r="E241" s="237">
        <v>325</v>
      </c>
      <c r="F241" s="237">
        <v>65</v>
      </c>
      <c r="G241" s="239">
        <v>44299</v>
      </c>
    </row>
    <row r="242" spans="2:7">
      <c r="B242" s="234" t="s">
        <v>805</v>
      </c>
      <c r="C242" s="236" t="s">
        <v>586</v>
      </c>
      <c r="D242" s="236" t="s">
        <v>144</v>
      </c>
      <c r="E242" s="237">
        <v>450</v>
      </c>
      <c r="F242" s="237">
        <f>300/5</f>
        <v>60</v>
      </c>
      <c r="G242" s="239">
        <v>45069</v>
      </c>
    </row>
    <row r="243" spans="2:7">
      <c r="B243" s="234" t="s">
        <v>806</v>
      </c>
      <c r="C243" s="236" t="s">
        <v>586</v>
      </c>
      <c r="D243" s="236" t="s">
        <v>144</v>
      </c>
      <c r="E243" s="237">
        <v>450</v>
      </c>
      <c r="F243" s="237">
        <f>300/5</f>
        <v>60</v>
      </c>
      <c r="G243" s="239">
        <v>45069</v>
      </c>
    </row>
    <row r="244" spans="2:7">
      <c r="B244" s="234" t="s">
        <v>820</v>
      </c>
      <c r="C244" s="236" t="s">
        <v>586</v>
      </c>
      <c r="D244" s="236" t="s">
        <v>405</v>
      </c>
      <c r="E244" s="237">
        <v>270</v>
      </c>
      <c r="F244" s="237">
        <v>50</v>
      </c>
      <c r="G244" s="239">
        <v>45048</v>
      </c>
    </row>
    <row r="245" spans="2:7">
      <c r="B245" s="234" t="s">
        <v>887</v>
      </c>
      <c r="C245" s="236" t="s">
        <v>586</v>
      </c>
      <c r="D245" s="236" t="s">
        <v>886</v>
      </c>
      <c r="E245" s="237">
        <v>135</v>
      </c>
      <c r="F245" s="237">
        <v>42.5</v>
      </c>
      <c r="G245" s="239">
        <v>44482</v>
      </c>
    </row>
    <row r="246" spans="2:7">
      <c r="B246" s="234" t="s">
        <v>815</v>
      </c>
      <c r="C246" s="236" t="s">
        <v>568</v>
      </c>
      <c r="D246" s="236" t="s">
        <v>416</v>
      </c>
      <c r="E246" s="237">
        <v>100</v>
      </c>
      <c r="F246" s="237">
        <v>25</v>
      </c>
      <c r="G246" s="239">
        <v>44846</v>
      </c>
    </row>
    <row r="247" spans="2:7">
      <c r="B247" s="234" t="s">
        <v>927</v>
      </c>
      <c r="C247" s="236" t="s">
        <v>789</v>
      </c>
      <c r="D247" s="236" t="s">
        <v>900</v>
      </c>
      <c r="E247" s="237">
        <v>100</v>
      </c>
      <c r="F247" s="237">
        <v>25</v>
      </c>
      <c r="G247" s="239">
        <v>45051</v>
      </c>
    </row>
    <row r="248" spans="2:7">
      <c r="B248" s="234" t="s">
        <v>821</v>
      </c>
      <c r="C248" s="236" t="s">
        <v>586</v>
      </c>
      <c r="D248" s="236" t="s">
        <v>405</v>
      </c>
      <c r="E248" s="237">
        <v>270</v>
      </c>
      <c r="F248" s="237">
        <v>24</v>
      </c>
      <c r="G248" s="239">
        <v>45048</v>
      </c>
    </row>
    <row r="249" spans="2:7">
      <c r="B249" s="234" t="s">
        <v>822</v>
      </c>
      <c r="C249" s="236" t="s">
        <v>586</v>
      </c>
      <c r="D249" s="236" t="s">
        <v>405</v>
      </c>
      <c r="E249" s="237">
        <v>270</v>
      </c>
      <c r="F249" s="237">
        <v>24</v>
      </c>
      <c r="G249" s="239">
        <v>45048</v>
      </c>
    </row>
    <row r="250" spans="2:7">
      <c r="B250" s="234" t="s">
        <v>23</v>
      </c>
      <c r="C250" s="236" t="s">
        <v>586</v>
      </c>
      <c r="D250" s="236" t="s">
        <v>405</v>
      </c>
      <c r="E250" s="237">
        <v>270</v>
      </c>
      <c r="F250" s="237">
        <v>24</v>
      </c>
      <c r="G250" s="239">
        <v>45048</v>
      </c>
    </row>
    <row r="251" spans="2:7">
      <c r="B251" s="234" t="s">
        <v>823</v>
      </c>
      <c r="C251" s="236" t="s">
        <v>586</v>
      </c>
      <c r="D251" s="236" t="s">
        <v>405</v>
      </c>
      <c r="E251" s="237">
        <v>270</v>
      </c>
      <c r="F251" s="237">
        <v>24</v>
      </c>
      <c r="G251" s="239">
        <v>45048</v>
      </c>
    </row>
    <row r="252" spans="2:7">
      <c r="B252" s="234" t="s">
        <v>824</v>
      </c>
      <c r="C252" s="236" t="s">
        <v>586</v>
      </c>
      <c r="D252" s="236" t="s">
        <v>405</v>
      </c>
      <c r="E252" s="237">
        <v>270</v>
      </c>
      <c r="F252" s="237">
        <v>24</v>
      </c>
      <c r="G252" s="239">
        <v>45048</v>
      </c>
    </row>
    <row r="253" spans="2:7">
      <c r="B253" s="234" t="s">
        <v>50</v>
      </c>
      <c r="C253" s="236" t="s">
        <v>402</v>
      </c>
      <c r="D253" s="236" t="s">
        <v>432</v>
      </c>
      <c r="E253" s="237">
        <v>350</v>
      </c>
      <c r="F253" s="237">
        <v>20</v>
      </c>
      <c r="G253" s="239">
        <v>44999</v>
      </c>
    </row>
    <row r="254" spans="2:7">
      <c r="B254" s="234" t="s">
        <v>913</v>
      </c>
      <c r="C254" s="236" t="s">
        <v>402</v>
      </c>
      <c r="D254" s="236" t="s">
        <v>432</v>
      </c>
      <c r="E254" s="237">
        <v>350</v>
      </c>
      <c r="F254" s="237">
        <v>20</v>
      </c>
      <c r="G254" s="239">
        <v>44999</v>
      </c>
    </row>
    <row r="255" spans="2:7">
      <c r="B255" s="234" t="s">
        <v>7</v>
      </c>
      <c r="C255" s="236" t="s">
        <v>402</v>
      </c>
      <c r="D255" s="236" t="s">
        <v>432</v>
      </c>
      <c r="E255" s="237">
        <v>350</v>
      </c>
      <c r="F255" s="237">
        <v>20</v>
      </c>
      <c r="G255" s="239">
        <v>44999</v>
      </c>
    </row>
    <row r="256" spans="2:7">
      <c r="B256" s="234" t="s">
        <v>914</v>
      </c>
      <c r="C256" s="236" t="s">
        <v>402</v>
      </c>
      <c r="D256" s="236" t="s">
        <v>432</v>
      </c>
      <c r="E256" s="237">
        <v>350</v>
      </c>
      <c r="F256" s="237">
        <v>20</v>
      </c>
      <c r="G256" s="239">
        <v>44999</v>
      </c>
    </row>
    <row r="257" spans="2:7">
      <c r="B257" s="234" t="s">
        <v>40</v>
      </c>
      <c r="C257" s="236" t="s">
        <v>402</v>
      </c>
      <c r="D257" s="236" t="s">
        <v>432</v>
      </c>
      <c r="E257" s="237">
        <v>350</v>
      </c>
      <c r="F257" s="237">
        <v>20</v>
      </c>
      <c r="G257" s="239">
        <v>44999</v>
      </c>
    </row>
    <row r="258" spans="2:7">
      <c r="B258" s="234" t="s">
        <v>775</v>
      </c>
      <c r="C258" s="236" t="s">
        <v>772</v>
      </c>
      <c r="D258" s="236" t="s">
        <v>785</v>
      </c>
      <c r="E258" s="237">
        <v>325</v>
      </c>
      <c r="F258" s="237">
        <v>18.5</v>
      </c>
      <c r="G258" s="239">
        <v>44299</v>
      </c>
    </row>
    <row r="259" spans="2:7">
      <c r="B259" s="234" t="s">
        <v>776</v>
      </c>
      <c r="C259" s="236" t="s">
        <v>772</v>
      </c>
      <c r="D259" s="236" t="s">
        <v>785</v>
      </c>
      <c r="E259" s="237">
        <v>325</v>
      </c>
      <c r="F259" s="237">
        <v>18.5</v>
      </c>
      <c r="G259" s="239">
        <v>44299</v>
      </c>
    </row>
    <row r="260" spans="2:7">
      <c r="B260" s="234" t="s">
        <v>779</v>
      </c>
      <c r="C260" s="236" t="s">
        <v>772</v>
      </c>
      <c r="D260" s="236" t="s">
        <v>785</v>
      </c>
      <c r="E260" s="237">
        <v>325</v>
      </c>
      <c r="F260" s="237">
        <v>18.5</v>
      </c>
      <c r="G260" s="239">
        <v>44299</v>
      </c>
    </row>
    <row r="261" spans="2:7">
      <c r="B261" s="234" t="s">
        <v>858</v>
      </c>
      <c r="C261" s="236" t="s">
        <v>562</v>
      </c>
      <c r="D261" s="236" t="s">
        <v>421</v>
      </c>
      <c r="E261" s="237">
        <v>125</v>
      </c>
      <c r="F261" s="237">
        <v>15</v>
      </c>
      <c r="G261" s="239">
        <v>44852</v>
      </c>
    </row>
    <row r="262" spans="2:7">
      <c r="B262" s="234" t="s">
        <v>859</v>
      </c>
      <c r="C262" s="236" t="s">
        <v>562</v>
      </c>
      <c r="D262" s="236" t="s">
        <v>421</v>
      </c>
      <c r="E262" s="237">
        <v>125</v>
      </c>
      <c r="F262" s="237">
        <v>15</v>
      </c>
      <c r="G262" s="239">
        <v>44852</v>
      </c>
    </row>
    <row r="263" spans="2:7">
      <c r="B263" s="234" t="s">
        <v>860</v>
      </c>
      <c r="C263" s="236" t="s">
        <v>562</v>
      </c>
      <c r="D263" s="236" t="s">
        <v>421</v>
      </c>
      <c r="E263" s="237">
        <v>125</v>
      </c>
      <c r="F263" s="237">
        <v>15</v>
      </c>
      <c r="G263" s="239">
        <v>44852</v>
      </c>
    </row>
    <row r="264" spans="2:7">
      <c r="B264" s="234" t="s">
        <v>862</v>
      </c>
      <c r="C264" s="236" t="s">
        <v>562</v>
      </c>
      <c r="D264" s="236" t="s">
        <v>421</v>
      </c>
      <c r="E264" s="237">
        <v>125</v>
      </c>
      <c r="F264" s="237">
        <v>15</v>
      </c>
      <c r="G264" s="239">
        <v>44852</v>
      </c>
    </row>
    <row r="265" spans="2:7">
      <c r="B265" s="234" t="s">
        <v>796</v>
      </c>
      <c r="C265" s="236" t="s">
        <v>586</v>
      </c>
      <c r="D265" s="236" t="s">
        <v>785</v>
      </c>
      <c r="E265" s="237">
        <v>100</v>
      </c>
      <c r="F265" s="237">
        <v>13</v>
      </c>
      <c r="G265" s="239">
        <v>43682</v>
      </c>
    </row>
    <row r="266" spans="2:7">
      <c r="B266" s="234" t="s">
        <v>798</v>
      </c>
      <c r="C266" s="236" t="s">
        <v>586</v>
      </c>
      <c r="D266" s="236" t="s">
        <v>785</v>
      </c>
      <c r="E266" s="237">
        <v>100</v>
      </c>
      <c r="F266" s="237">
        <v>13</v>
      </c>
      <c r="G266" s="239">
        <v>43682</v>
      </c>
    </row>
    <row r="267" spans="2:7">
      <c r="B267" s="234" t="s">
        <v>817</v>
      </c>
      <c r="C267" s="236" t="s">
        <v>568</v>
      </c>
      <c r="D267" s="236" t="s">
        <v>416</v>
      </c>
      <c r="E267" s="237">
        <v>100</v>
      </c>
      <c r="F267" s="237">
        <v>12.5</v>
      </c>
      <c r="G267" s="239">
        <v>44846</v>
      </c>
    </row>
    <row r="268" spans="2:7">
      <c r="B268" s="234" t="s">
        <v>818</v>
      </c>
      <c r="C268" s="236" t="s">
        <v>568</v>
      </c>
      <c r="D268" s="236" t="s">
        <v>416</v>
      </c>
      <c r="E268" s="237">
        <v>100</v>
      </c>
      <c r="F268" s="237">
        <v>12.5</v>
      </c>
      <c r="G268" s="239">
        <v>44846</v>
      </c>
    </row>
    <row r="269" spans="2:7">
      <c r="B269" s="234" t="s">
        <v>905</v>
      </c>
      <c r="C269" s="236" t="s">
        <v>562</v>
      </c>
      <c r="D269" s="236" t="s">
        <v>623</v>
      </c>
      <c r="E269" s="237">
        <v>150</v>
      </c>
      <c r="F269" s="237">
        <v>10</v>
      </c>
      <c r="G269" s="239">
        <v>45008</v>
      </c>
    </row>
    <row r="270" spans="2:7">
      <c r="B270" s="234" t="s">
        <v>836</v>
      </c>
      <c r="C270" s="236" t="s">
        <v>586</v>
      </c>
      <c r="D270" s="236" t="s">
        <v>832</v>
      </c>
      <c r="E270" s="237">
        <v>100</v>
      </c>
      <c r="F270" s="237">
        <v>9</v>
      </c>
      <c r="G270" s="239">
        <v>44690</v>
      </c>
    </row>
    <row r="271" spans="2:7">
      <c r="B271" s="234" t="s">
        <v>838</v>
      </c>
      <c r="C271" s="236" t="s">
        <v>586</v>
      </c>
      <c r="D271" s="236" t="s">
        <v>832</v>
      </c>
      <c r="E271" s="237">
        <v>100</v>
      </c>
      <c r="F271" s="237">
        <v>9</v>
      </c>
      <c r="G271" s="239">
        <v>44690</v>
      </c>
    </row>
    <row r="272" spans="2:7">
      <c r="B272" s="234" t="s">
        <v>906</v>
      </c>
      <c r="C272" s="236" t="s">
        <v>562</v>
      </c>
      <c r="D272" s="236" t="s">
        <v>623</v>
      </c>
      <c r="E272" s="237">
        <v>150</v>
      </c>
      <c r="F272" s="237">
        <v>5</v>
      </c>
      <c r="G272" s="239">
        <v>45008</v>
      </c>
    </row>
    <row r="273" spans="2:7">
      <c r="B273" s="234" t="s">
        <v>947</v>
      </c>
      <c r="C273" s="236" t="s">
        <v>402</v>
      </c>
      <c r="D273" s="236" t="s">
        <v>410</v>
      </c>
      <c r="E273" s="237">
        <v>100</v>
      </c>
      <c r="F273" s="237">
        <v>5</v>
      </c>
      <c r="G273" s="239">
        <v>45042</v>
      </c>
    </row>
    <row r="274" spans="2:7">
      <c r="B274" s="234" t="s">
        <v>861</v>
      </c>
      <c r="C274" s="236" t="s">
        <v>568</v>
      </c>
      <c r="D274" s="236" t="s">
        <v>421</v>
      </c>
      <c r="E274" s="237">
        <v>6</v>
      </c>
      <c r="F274" s="237">
        <v>4</v>
      </c>
      <c r="G274" s="239">
        <v>44352</v>
      </c>
    </row>
    <row r="275" spans="2:7">
      <c r="B275" s="234" t="s">
        <v>803</v>
      </c>
      <c r="C275" s="236" t="s">
        <v>562</v>
      </c>
      <c r="D275" s="236" t="s">
        <v>785</v>
      </c>
      <c r="E275" s="237">
        <v>4.5</v>
      </c>
      <c r="F275" s="237">
        <v>1.5</v>
      </c>
      <c r="G275" s="239">
        <v>42858</v>
      </c>
    </row>
    <row r="276" spans="2:7">
      <c r="B276" s="234" t="s">
        <v>865</v>
      </c>
      <c r="C276" s="236" t="s">
        <v>568</v>
      </c>
      <c r="D276" s="236" t="s">
        <v>421</v>
      </c>
      <c r="E276" s="237">
        <v>6</v>
      </c>
      <c r="F276" s="237">
        <v>1</v>
      </c>
      <c r="G276" s="239">
        <v>44352</v>
      </c>
    </row>
    <row r="277" spans="2:7">
      <c r="B277" s="234" t="s">
        <v>866</v>
      </c>
      <c r="C277" s="236" t="s">
        <v>568</v>
      </c>
      <c r="D277" s="236" t="s">
        <v>421</v>
      </c>
      <c r="E277" s="237">
        <v>6</v>
      </c>
      <c r="F277" s="237">
        <v>1</v>
      </c>
      <c r="G277" s="239">
        <v>44352</v>
      </c>
    </row>
    <row r="278" spans="2:7">
      <c r="B278" s="234" t="s">
        <v>893</v>
      </c>
      <c r="C278" s="236" t="s">
        <v>562</v>
      </c>
      <c r="D278" s="236" t="s">
        <v>886</v>
      </c>
      <c r="E278" s="237">
        <v>5</v>
      </c>
      <c r="F278" s="237">
        <v>1</v>
      </c>
      <c r="G278" s="239">
        <v>43251</v>
      </c>
    </row>
    <row r="279" spans="2:7">
      <c r="B279" s="234" t="s">
        <v>894</v>
      </c>
      <c r="C279" s="236" t="s">
        <v>562</v>
      </c>
      <c r="D279" s="236" t="s">
        <v>886</v>
      </c>
      <c r="E279" s="237">
        <v>5</v>
      </c>
      <c r="F279" s="237">
        <v>1</v>
      </c>
      <c r="G279" s="239">
        <v>43251</v>
      </c>
    </row>
    <row r="280" spans="2:7">
      <c r="B280" s="234" t="s">
        <v>863</v>
      </c>
      <c r="C280" s="236" t="s">
        <v>699</v>
      </c>
      <c r="D280" s="236" t="s">
        <v>421</v>
      </c>
      <c r="E280" s="237">
        <v>1</v>
      </c>
      <c r="F280" s="237">
        <v>0.5</v>
      </c>
      <c r="G280" s="239">
        <v>44287</v>
      </c>
    </row>
    <row r="281" spans="2:7">
      <c r="B281" s="234" t="s">
        <v>962</v>
      </c>
      <c r="C281" s="236" t="s">
        <v>586</v>
      </c>
      <c r="D281" s="236" t="s">
        <v>642</v>
      </c>
      <c r="E281" s="237">
        <v>85</v>
      </c>
      <c r="F281" s="237">
        <f>45/8</f>
        <v>5.625</v>
      </c>
      <c r="G281" s="239">
        <v>44417</v>
      </c>
    </row>
    <row r="282" spans="2:7">
      <c r="B282" s="234" t="s">
        <v>963</v>
      </c>
      <c r="C282" s="236" t="s">
        <v>586</v>
      </c>
      <c r="D282" s="236" t="s">
        <v>642</v>
      </c>
      <c r="E282" s="237">
        <v>85</v>
      </c>
      <c r="F282" s="237">
        <v>6</v>
      </c>
      <c r="G282" s="239">
        <v>44417</v>
      </c>
    </row>
    <row r="283" spans="2:7">
      <c r="B283" s="234" t="s">
        <v>964</v>
      </c>
      <c r="C283" s="236" t="s">
        <v>586</v>
      </c>
      <c r="D283" s="236" t="s">
        <v>642</v>
      </c>
      <c r="E283" s="237">
        <v>85</v>
      </c>
      <c r="F283" s="237">
        <v>6</v>
      </c>
      <c r="G283" s="239">
        <v>44417</v>
      </c>
    </row>
    <row r="284" spans="2:7">
      <c r="C284" s="236" t="s">
        <v>402</v>
      </c>
      <c r="D284" s="236" t="s">
        <v>642</v>
      </c>
      <c r="E284" s="237">
        <v>35</v>
      </c>
      <c r="F284" s="237">
        <f>25/6</f>
        <v>4.166666666666667</v>
      </c>
      <c r="G284" s="239">
        <v>44293</v>
      </c>
    </row>
    <row r="285" spans="2:7">
      <c r="B285" s="234" t="s">
        <v>966</v>
      </c>
      <c r="C285" s="236" t="s">
        <v>402</v>
      </c>
      <c r="D285" s="236" t="s">
        <v>642</v>
      </c>
      <c r="E285" s="237">
        <v>35</v>
      </c>
      <c r="F285" s="237">
        <f>25/6</f>
        <v>4.166666666666667</v>
      </c>
      <c r="G285" s="239">
        <v>44293</v>
      </c>
    </row>
    <row r="286" spans="2:7">
      <c r="C286" s="236" t="s">
        <v>562</v>
      </c>
      <c r="D286" s="236" t="s">
        <v>642</v>
      </c>
      <c r="E286" s="237">
        <v>12</v>
      </c>
      <c r="F286" s="237">
        <v>3</v>
      </c>
      <c r="G286" s="239">
        <v>44026</v>
      </c>
    </row>
    <row r="287" spans="2:7">
      <c r="C287" s="236" t="s">
        <v>568</v>
      </c>
      <c r="D287" s="236" t="s">
        <v>642</v>
      </c>
      <c r="E287" s="237">
        <v>3.3</v>
      </c>
      <c r="F287" s="237">
        <v>0.5</v>
      </c>
      <c r="G287" s="239">
        <v>44026</v>
      </c>
    </row>
    <row r="288" spans="2:7">
      <c r="B288" s="234" t="s">
        <v>967</v>
      </c>
      <c r="C288" s="236" t="s">
        <v>402</v>
      </c>
      <c r="D288" s="236" t="s">
        <v>642</v>
      </c>
      <c r="E288" s="237">
        <v>35</v>
      </c>
      <c r="F288" s="237">
        <f>25/6</f>
        <v>4.166666666666667</v>
      </c>
      <c r="G288" s="239">
        <v>44293</v>
      </c>
    </row>
    <row r="289" spans="2:7">
      <c r="B289" s="234" t="s">
        <v>976</v>
      </c>
      <c r="C289" s="236" t="s">
        <v>402</v>
      </c>
      <c r="D289" s="236" t="s">
        <v>708</v>
      </c>
      <c r="E289" s="237">
        <v>2500</v>
      </c>
      <c r="F289" s="237">
        <f>2000/11</f>
        <v>181.81818181818181</v>
      </c>
      <c r="G289" s="239">
        <v>44363</v>
      </c>
    </row>
    <row r="290" spans="2:7">
      <c r="C290" s="236" t="s">
        <v>562</v>
      </c>
      <c r="D290" s="236" t="s">
        <v>708</v>
      </c>
      <c r="E290" s="237">
        <v>3000</v>
      </c>
      <c r="F290" s="237">
        <v>250</v>
      </c>
      <c r="G290" s="239">
        <v>43963</v>
      </c>
    </row>
    <row r="291" spans="2:7">
      <c r="B291" s="234" t="s">
        <v>977</v>
      </c>
      <c r="C291" s="236" t="s">
        <v>402</v>
      </c>
      <c r="D291" s="236" t="s">
        <v>708</v>
      </c>
      <c r="E291" s="237">
        <v>2500</v>
      </c>
      <c r="F291" s="237">
        <f t="shared" ref="F291:F304" si="1">2000/11</f>
        <v>181.81818181818181</v>
      </c>
      <c r="G291" s="239">
        <v>44363</v>
      </c>
    </row>
    <row r="292" spans="2:7">
      <c r="B292" s="234" t="s">
        <v>978</v>
      </c>
      <c r="C292" s="236" t="s">
        <v>402</v>
      </c>
      <c r="D292" s="236" t="s">
        <v>708</v>
      </c>
      <c r="E292" s="237">
        <v>2500</v>
      </c>
      <c r="F292" s="237">
        <f t="shared" si="1"/>
        <v>181.81818181818181</v>
      </c>
      <c r="G292" s="239">
        <v>44363</v>
      </c>
    </row>
    <row r="293" spans="2:7">
      <c r="C293" s="236" t="s">
        <v>562</v>
      </c>
      <c r="D293" s="236" t="s">
        <v>708</v>
      </c>
      <c r="E293" s="237">
        <v>3000</v>
      </c>
      <c r="F293" s="237">
        <v>500</v>
      </c>
      <c r="G293" s="239">
        <v>43892</v>
      </c>
    </row>
    <row r="294" spans="2:7">
      <c r="B294" s="234" t="s">
        <v>979</v>
      </c>
      <c r="C294" s="236" t="s">
        <v>402</v>
      </c>
      <c r="D294" s="236" t="s">
        <v>708</v>
      </c>
      <c r="E294" s="237">
        <v>2500</v>
      </c>
      <c r="F294" s="237">
        <f t="shared" si="1"/>
        <v>181.81818181818181</v>
      </c>
      <c r="G294" s="239">
        <v>44363</v>
      </c>
    </row>
    <row r="295" spans="2:7">
      <c r="C295" s="236" t="s">
        <v>562</v>
      </c>
      <c r="D295" s="236" t="s">
        <v>708</v>
      </c>
      <c r="E295" s="237">
        <v>3000</v>
      </c>
      <c r="F295" s="237">
        <v>250</v>
      </c>
      <c r="G295" s="239">
        <v>43963</v>
      </c>
    </row>
    <row r="296" spans="2:7">
      <c r="B296" s="234" t="s">
        <v>980</v>
      </c>
      <c r="C296" s="236" t="s">
        <v>402</v>
      </c>
      <c r="D296" s="236" t="s">
        <v>708</v>
      </c>
      <c r="E296" s="237">
        <v>2500</v>
      </c>
      <c r="F296" s="237">
        <f t="shared" si="1"/>
        <v>181.81818181818181</v>
      </c>
      <c r="G296" s="239">
        <v>44363</v>
      </c>
    </row>
    <row r="297" spans="2:7">
      <c r="C297" s="236" t="s">
        <v>562</v>
      </c>
      <c r="D297" s="236" t="s">
        <v>708</v>
      </c>
      <c r="E297" s="237">
        <v>3000</v>
      </c>
      <c r="F297" s="237">
        <v>500</v>
      </c>
      <c r="G297" s="239">
        <v>43892</v>
      </c>
    </row>
    <row r="298" spans="2:7">
      <c r="B298" s="234" t="s">
        <v>981</v>
      </c>
      <c r="C298" s="236" t="s">
        <v>402</v>
      </c>
      <c r="D298" s="236" t="s">
        <v>708</v>
      </c>
      <c r="E298" s="237">
        <v>2500</v>
      </c>
      <c r="F298" s="237">
        <f t="shared" si="1"/>
        <v>181.81818181818181</v>
      </c>
      <c r="G298" s="239">
        <v>44363</v>
      </c>
    </row>
    <row r="299" spans="2:7">
      <c r="C299" s="236" t="s">
        <v>562</v>
      </c>
      <c r="D299" s="236" t="s">
        <v>708</v>
      </c>
      <c r="E299" s="237">
        <v>3000</v>
      </c>
      <c r="F299" s="237">
        <f>800/4</f>
        <v>200</v>
      </c>
      <c r="G299" s="239">
        <v>43892</v>
      </c>
    </row>
    <row r="300" spans="2:7">
      <c r="B300" s="234" t="s">
        <v>982</v>
      </c>
      <c r="C300" s="236" t="s">
        <v>402</v>
      </c>
      <c r="D300" s="236" t="s">
        <v>708</v>
      </c>
      <c r="E300" s="237">
        <v>2500</v>
      </c>
      <c r="F300" s="237">
        <f t="shared" si="1"/>
        <v>181.81818181818181</v>
      </c>
      <c r="G300" s="239">
        <v>44363</v>
      </c>
    </row>
    <row r="301" spans="2:7">
      <c r="C301" s="236" t="s">
        <v>562</v>
      </c>
      <c r="D301" s="236" t="s">
        <v>708</v>
      </c>
      <c r="E301" s="237">
        <v>3000</v>
      </c>
      <c r="F301" s="237">
        <v>500</v>
      </c>
      <c r="G301" s="239">
        <v>43892</v>
      </c>
    </row>
    <row r="302" spans="2:7">
      <c r="B302" s="234" t="s">
        <v>983</v>
      </c>
      <c r="C302" s="236" t="s">
        <v>402</v>
      </c>
      <c r="D302" s="236" t="s">
        <v>708</v>
      </c>
      <c r="E302" s="237">
        <v>2500</v>
      </c>
      <c r="F302" s="237">
        <f t="shared" si="1"/>
        <v>181.81818181818181</v>
      </c>
      <c r="G302" s="239">
        <v>44363</v>
      </c>
    </row>
    <row r="303" spans="2:7">
      <c r="C303" s="236" t="s">
        <v>562</v>
      </c>
      <c r="D303" s="236" t="s">
        <v>708</v>
      </c>
      <c r="E303" s="237">
        <v>3000</v>
      </c>
      <c r="F303" s="237">
        <f>800/4</f>
        <v>200</v>
      </c>
      <c r="G303" s="239">
        <v>43892</v>
      </c>
    </row>
    <row r="304" spans="2:7">
      <c r="B304" s="234" t="s">
        <v>984</v>
      </c>
      <c r="C304" s="236" t="s">
        <v>402</v>
      </c>
      <c r="D304" s="236" t="s">
        <v>708</v>
      </c>
      <c r="E304" s="237">
        <v>2500</v>
      </c>
      <c r="F304" s="237">
        <f t="shared" si="1"/>
        <v>181.81818181818181</v>
      </c>
      <c r="G304" s="239">
        <v>44363</v>
      </c>
    </row>
    <row r="305" spans="2:7">
      <c r="C305" s="236" t="s">
        <v>562</v>
      </c>
      <c r="D305" s="236" t="s">
        <v>708</v>
      </c>
      <c r="E305" s="237">
        <v>3000</v>
      </c>
      <c r="F305" s="237">
        <v>250</v>
      </c>
      <c r="G305" s="239">
        <v>43963</v>
      </c>
    </row>
    <row r="306" spans="2:7">
      <c r="B306" s="234" t="s">
        <v>919</v>
      </c>
      <c r="C306" s="236" t="s">
        <v>402</v>
      </c>
      <c r="D306" s="236" t="s">
        <v>633</v>
      </c>
      <c r="E306" s="237">
        <v>140</v>
      </c>
      <c r="F306" s="237">
        <v>100</v>
      </c>
      <c r="G306" s="239">
        <v>44363</v>
      </c>
    </row>
    <row r="307" spans="2:7">
      <c r="B307" s="234" t="s">
        <v>999</v>
      </c>
      <c r="C307" s="236" t="s">
        <v>586</v>
      </c>
      <c r="D307" s="236" t="s">
        <v>424</v>
      </c>
      <c r="E307" s="237">
        <v>100</v>
      </c>
      <c r="F307" s="237">
        <v>15</v>
      </c>
      <c r="G307" s="239">
        <v>44699</v>
      </c>
    </row>
    <row r="308" spans="2:7">
      <c r="C308" s="236" t="s">
        <v>402</v>
      </c>
      <c r="D308" s="236" t="s">
        <v>424</v>
      </c>
      <c r="E308" s="237">
        <v>100</v>
      </c>
      <c r="F308" s="237">
        <f>25/3</f>
        <v>8.3333333333333339</v>
      </c>
      <c r="G308" s="239">
        <v>44286</v>
      </c>
    </row>
    <row r="309" spans="2:7">
      <c r="B309" s="234" t="s">
        <v>44</v>
      </c>
      <c r="C309" s="236" t="s">
        <v>586</v>
      </c>
      <c r="D309" s="236" t="s">
        <v>634</v>
      </c>
      <c r="E309" s="237">
        <v>100</v>
      </c>
      <c r="F309" s="237">
        <v>10</v>
      </c>
      <c r="G309" s="239">
        <v>44754</v>
      </c>
    </row>
    <row r="310" spans="2:7">
      <c r="B310" s="234" t="s">
        <v>1008</v>
      </c>
      <c r="C310" s="236" t="s">
        <v>586</v>
      </c>
      <c r="D310" s="236" t="s">
        <v>634</v>
      </c>
      <c r="E310" s="237">
        <v>100</v>
      </c>
      <c r="F310" s="237">
        <v>10</v>
      </c>
      <c r="G310" s="239">
        <v>44754</v>
      </c>
    </row>
    <row r="311" spans="2:7">
      <c r="B311" s="234" t="s">
        <v>427</v>
      </c>
      <c r="C311" s="236" t="s">
        <v>586</v>
      </c>
      <c r="D311" s="236" t="s">
        <v>634</v>
      </c>
      <c r="E311" s="237">
        <v>100</v>
      </c>
      <c r="F311" s="237">
        <v>10</v>
      </c>
      <c r="G311" s="239">
        <v>44754</v>
      </c>
    </row>
    <row r="312" spans="2:7">
      <c r="B312" s="234" t="s">
        <v>1018</v>
      </c>
      <c r="C312" s="236" t="s">
        <v>1017</v>
      </c>
      <c r="D312" s="236" t="s">
        <v>640</v>
      </c>
      <c r="E312" s="237">
        <v>99</v>
      </c>
      <c r="F312" s="237">
        <v>30</v>
      </c>
      <c r="G312" s="239">
        <v>44796</v>
      </c>
    </row>
    <row r="313" spans="2:7">
      <c r="C313" s="236" t="s">
        <v>1020</v>
      </c>
      <c r="D313" s="236" t="s">
        <v>640</v>
      </c>
      <c r="E313" s="237">
        <v>100</v>
      </c>
      <c r="F313" s="237">
        <f>40/3</f>
        <v>13.333333333333334</v>
      </c>
      <c r="G313" s="239">
        <v>44537</v>
      </c>
    </row>
    <row r="314" spans="2:7">
      <c r="C314" s="236" t="s">
        <v>402</v>
      </c>
      <c r="D314" s="236" t="s">
        <v>640</v>
      </c>
      <c r="E314" s="237">
        <v>40</v>
      </c>
      <c r="F314" s="237">
        <f>20/3</f>
        <v>6.666666666666667</v>
      </c>
      <c r="G314" s="239">
        <v>44125</v>
      </c>
    </row>
    <row r="315" spans="2:7">
      <c r="C315" s="236" t="s">
        <v>562</v>
      </c>
      <c r="D315" s="236" t="s">
        <v>640</v>
      </c>
      <c r="E315" s="237">
        <v>20</v>
      </c>
      <c r="F315" s="237">
        <f>12/6</f>
        <v>2</v>
      </c>
      <c r="G315" s="239">
        <v>43816</v>
      </c>
    </row>
    <row r="316" spans="2:7">
      <c r="B316" s="234" t="s">
        <v>1019</v>
      </c>
      <c r="C316" s="236" t="s">
        <v>1017</v>
      </c>
      <c r="D316" s="236" t="s">
        <v>640</v>
      </c>
      <c r="E316" s="237">
        <v>99</v>
      </c>
      <c r="F316" s="237">
        <v>20</v>
      </c>
      <c r="G316" s="239">
        <v>44796</v>
      </c>
    </row>
    <row r="317" spans="2:7">
      <c r="B317" s="234" t="s">
        <v>1021</v>
      </c>
      <c r="C317" s="236" t="s">
        <v>1020</v>
      </c>
      <c r="D317" s="236" t="s">
        <v>640</v>
      </c>
      <c r="E317" s="237">
        <v>100</v>
      </c>
      <c r="F317" s="237">
        <f>40/3</f>
        <v>13.333333333333334</v>
      </c>
      <c r="G317" s="239">
        <v>44537</v>
      </c>
    </row>
    <row r="318" spans="2:7">
      <c r="C318" s="236" t="s">
        <v>402</v>
      </c>
      <c r="D318" s="236" t="s">
        <v>640</v>
      </c>
      <c r="E318" s="237">
        <v>40</v>
      </c>
      <c r="F318" s="237">
        <v>20</v>
      </c>
      <c r="G318" s="239">
        <v>44125</v>
      </c>
    </row>
    <row r="319" spans="2:7">
      <c r="C319" s="236" t="s">
        <v>562</v>
      </c>
      <c r="D319" s="236" t="s">
        <v>640</v>
      </c>
      <c r="E319" s="237">
        <v>20</v>
      </c>
      <c r="F319" s="237">
        <f>12/6</f>
        <v>2</v>
      </c>
      <c r="G319" s="239">
        <v>43816</v>
      </c>
    </row>
    <row r="320" spans="2:7">
      <c r="B320" s="234" t="s">
        <v>1028</v>
      </c>
      <c r="C320" s="236" t="s">
        <v>562</v>
      </c>
      <c r="D320" s="236" t="s">
        <v>640</v>
      </c>
      <c r="E320" s="237">
        <v>20</v>
      </c>
      <c r="F320" s="237">
        <f>12/6</f>
        <v>2</v>
      </c>
      <c r="G320" s="239">
        <v>43816</v>
      </c>
    </row>
    <row r="321" spans="2:7">
      <c r="B321" s="234" t="s">
        <v>1029</v>
      </c>
      <c r="C321" s="236" t="s">
        <v>562</v>
      </c>
      <c r="D321" s="236" t="s">
        <v>640</v>
      </c>
      <c r="E321" s="237">
        <v>20</v>
      </c>
      <c r="F321" s="237">
        <f>12/6</f>
        <v>2</v>
      </c>
      <c r="G321" s="239">
        <v>43816</v>
      </c>
    </row>
    <row r="322" spans="2:7">
      <c r="B322" s="234" t="s">
        <v>1030</v>
      </c>
      <c r="C322" s="236" t="s">
        <v>562</v>
      </c>
      <c r="D322" s="236" t="s">
        <v>640</v>
      </c>
      <c r="E322" s="237">
        <v>20</v>
      </c>
      <c r="F322" s="237">
        <f>12/6</f>
        <v>2</v>
      </c>
      <c r="G322" s="239">
        <v>43816</v>
      </c>
    </row>
  </sheetData>
  <sortState xmlns:xlrd2="http://schemas.microsoft.com/office/spreadsheetml/2017/richdata2" ref="B238:G280">
    <sortCondition descending="1" ref="F238:F28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89C9-C58C-431A-80D5-5C7D568EC13B}">
  <dimension ref="A1:AA231"/>
  <sheetViews>
    <sheetView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39" sqref="M39"/>
    </sheetView>
  </sheetViews>
  <sheetFormatPr defaultColWidth="9.140625" defaultRowHeight="12.75"/>
  <cols>
    <col min="1" max="1" width="5.42578125" style="178" bestFit="1" customWidth="1"/>
    <col min="2" max="2" width="23.42578125" style="178" customWidth="1"/>
    <col min="3" max="3" width="10.85546875" style="181" customWidth="1"/>
    <col min="4" max="4" width="9.140625" style="179"/>
    <col min="5" max="5" width="11" style="178" customWidth="1"/>
    <col min="6" max="6" width="9.140625" style="179"/>
    <col min="7" max="7" width="10.140625" style="179" bestFit="1" customWidth="1"/>
    <col min="8" max="8" width="23.5703125" style="178" customWidth="1"/>
    <col min="9" max="9" width="20.7109375" style="178" customWidth="1"/>
    <col min="10" max="10" width="10.140625" style="178" bestFit="1" customWidth="1"/>
    <col min="11" max="11" width="11.5703125" style="178" customWidth="1"/>
    <col min="12" max="12" width="10.140625" style="178" bestFit="1" customWidth="1"/>
    <col min="13" max="13" width="14.85546875" style="178" customWidth="1"/>
    <col min="14" max="14" width="9.140625" style="178"/>
    <col min="15" max="26" width="9.140625" style="243"/>
    <col min="27" max="16384" width="9.140625" style="178"/>
  </cols>
  <sheetData>
    <row r="1" spans="1:27">
      <c r="A1" s="5" t="s">
        <v>146</v>
      </c>
    </row>
    <row r="2" spans="1:27">
      <c r="B2" s="178" t="s">
        <v>0</v>
      </c>
      <c r="C2" s="181" t="s">
        <v>1</v>
      </c>
      <c r="D2" s="179" t="s">
        <v>3</v>
      </c>
      <c r="E2" s="178" t="s">
        <v>412</v>
      </c>
      <c r="F2" s="179" t="s">
        <v>413</v>
      </c>
      <c r="G2" s="236" t="s">
        <v>787</v>
      </c>
      <c r="H2" s="178" t="s">
        <v>414</v>
      </c>
      <c r="I2" s="178" t="s">
        <v>415</v>
      </c>
      <c r="J2" s="206" t="s">
        <v>636</v>
      </c>
      <c r="K2" s="206" t="s">
        <v>666</v>
      </c>
      <c r="L2" s="179" t="s">
        <v>222</v>
      </c>
      <c r="M2" s="206" t="s">
        <v>430</v>
      </c>
      <c r="N2" s="202" t="s">
        <v>248</v>
      </c>
      <c r="O2" s="244" t="s">
        <v>622</v>
      </c>
      <c r="P2" s="244" t="s">
        <v>413</v>
      </c>
      <c r="Q2" s="245" t="s">
        <v>248</v>
      </c>
      <c r="R2" s="245" t="s">
        <v>622</v>
      </c>
      <c r="S2" s="245" t="s">
        <v>413</v>
      </c>
      <c r="T2" s="245" t="s">
        <v>248</v>
      </c>
      <c r="U2" s="245" t="s">
        <v>622</v>
      </c>
      <c r="V2" s="245" t="s">
        <v>413</v>
      </c>
      <c r="W2" s="245" t="s">
        <v>248</v>
      </c>
      <c r="X2" s="245" t="s">
        <v>622</v>
      </c>
      <c r="Y2" s="245" t="s">
        <v>413</v>
      </c>
      <c r="Z2" s="245" t="s">
        <v>248</v>
      </c>
      <c r="AA2" s="234" t="s">
        <v>855</v>
      </c>
    </row>
    <row r="3" spans="1:27">
      <c r="A3" s="178">
        <v>3</v>
      </c>
      <c r="B3" s="178" t="s">
        <v>7</v>
      </c>
      <c r="C3" s="181" t="s">
        <v>8</v>
      </c>
      <c r="D3" s="179">
        <v>2000000</v>
      </c>
      <c r="E3" s="178" t="s">
        <v>502</v>
      </c>
      <c r="F3" s="179" t="s">
        <v>502</v>
      </c>
      <c r="G3" s="179" t="s">
        <v>502</v>
      </c>
      <c r="H3" s="234" t="s">
        <v>810</v>
      </c>
      <c r="I3" s="234" t="s">
        <v>770</v>
      </c>
      <c r="J3" s="206" t="s">
        <v>638</v>
      </c>
      <c r="K3" s="206" t="s">
        <v>661</v>
      </c>
      <c r="L3" s="178">
        <v>1975</v>
      </c>
      <c r="N3" s="234" t="s">
        <v>502</v>
      </c>
      <c r="O3" s="245" t="s">
        <v>502</v>
      </c>
      <c r="P3" s="245" t="s">
        <v>502</v>
      </c>
      <c r="Q3" s="245" t="s">
        <v>502</v>
      </c>
      <c r="R3" s="245" t="s">
        <v>502</v>
      </c>
      <c r="S3" s="245" t="s">
        <v>502</v>
      </c>
      <c r="T3" s="245" t="s">
        <v>502</v>
      </c>
      <c r="U3" s="245" t="s">
        <v>502</v>
      </c>
      <c r="V3" s="245" t="s">
        <v>502</v>
      </c>
      <c r="W3" s="245" t="s">
        <v>502</v>
      </c>
      <c r="X3" s="245" t="s">
        <v>502</v>
      </c>
      <c r="Y3" s="245" t="s">
        <v>502</v>
      </c>
      <c r="Z3" s="245" t="s">
        <v>502</v>
      </c>
      <c r="AA3" s="234" t="s">
        <v>879</v>
      </c>
    </row>
    <row r="4" spans="1:27">
      <c r="A4" s="178">
        <v>4</v>
      </c>
      <c r="B4" s="178" t="s">
        <v>9</v>
      </c>
      <c r="C4" s="181" t="s">
        <v>10</v>
      </c>
      <c r="D4" s="179">
        <v>1000000</v>
      </c>
      <c r="E4" s="178" t="s">
        <v>502</v>
      </c>
      <c r="F4" s="179" t="s">
        <v>502</v>
      </c>
      <c r="G4" s="179" t="s">
        <v>502</v>
      </c>
      <c r="H4" s="234" t="s">
        <v>811</v>
      </c>
      <c r="I4" s="234" t="s">
        <v>771</v>
      </c>
      <c r="J4" s="206" t="s">
        <v>637</v>
      </c>
      <c r="K4" s="206" t="s">
        <v>464</v>
      </c>
      <c r="L4" s="178">
        <v>1998</v>
      </c>
      <c r="N4" s="234" t="s">
        <v>502</v>
      </c>
      <c r="O4" s="245" t="s">
        <v>502</v>
      </c>
      <c r="P4" s="245" t="s">
        <v>502</v>
      </c>
      <c r="Q4" s="245" t="s">
        <v>502</v>
      </c>
      <c r="R4" s="245" t="s">
        <v>502</v>
      </c>
      <c r="S4" s="245" t="s">
        <v>502</v>
      </c>
      <c r="T4" s="245" t="s">
        <v>502</v>
      </c>
      <c r="U4" s="245" t="s">
        <v>502</v>
      </c>
      <c r="V4" s="245" t="s">
        <v>502</v>
      </c>
      <c r="W4" s="245" t="s">
        <v>502</v>
      </c>
      <c r="X4" s="245" t="s">
        <v>502</v>
      </c>
      <c r="Y4" s="245" t="s">
        <v>502</v>
      </c>
      <c r="Z4" s="245" t="s">
        <v>502</v>
      </c>
      <c r="AA4" s="234" t="s">
        <v>873</v>
      </c>
    </row>
    <row r="5" spans="1:27">
      <c r="A5" s="178">
        <v>6</v>
      </c>
      <c r="B5" s="178" t="s">
        <v>428</v>
      </c>
      <c r="C5" s="181" t="s">
        <v>500</v>
      </c>
      <c r="D5" s="179">
        <v>1000000</v>
      </c>
      <c r="E5" s="178" t="s">
        <v>502</v>
      </c>
      <c r="F5" s="179" t="s">
        <v>502</v>
      </c>
      <c r="G5" s="179" t="s">
        <v>502</v>
      </c>
      <c r="H5" s="178" t="s">
        <v>498</v>
      </c>
      <c r="J5" s="206" t="s">
        <v>637</v>
      </c>
      <c r="K5" s="206" t="s">
        <v>670</v>
      </c>
      <c r="L5" s="178">
        <v>2003</v>
      </c>
      <c r="N5" s="234" t="s">
        <v>502</v>
      </c>
      <c r="O5" s="245" t="s">
        <v>502</v>
      </c>
      <c r="P5" s="245" t="s">
        <v>502</v>
      </c>
      <c r="Q5" s="245" t="s">
        <v>502</v>
      </c>
      <c r="R5" s="245" t="s">
        <v>502</v>
      </c>
      <c r="S5" s="245" t="s">
        <v>502</v>
      </c>
      <c r="T5" s="245" t="s">
        <v>502</v>
      </c>
      <c r="U5" s="245" t="s">
        <v>502</v>
      </c>
      <c r="V5" s="245" t="s">
        <v>502</v>
      </c>
      <c r="W5" s="245" t="s">
        <v>502</v>
      </c>
      <c r="X5" s="245" t="s">
        <v>502</v>
      </c>
      <c r="Y5" s="245" t="s">
        <v>502</v>
      </c>
      <c r="Z5" s="245" t="s">
        <v>502</v>
      </c>
      <c r="AA5" s="234" t="s">
        <v>878</v>
      </c>
    </row>
    <row r="6" spans="1:27">
      <c r="B6" s="184" t="s">
        <v>484</v>
      </c>
      <c r="C6" s="185" t="s">
        <v>12</v>
      </c>
      <c r="D6" s="179">
        <v>1000000</v>
      </c>
      <c r="E6" s="178" t="s">
        <v>502</v>
      </c>
      <c r="F6" s="179" t="s">
        <v>502</v>
      </c>
      <c r="G6" s="179" t="s">
        <v>502</v>
      </c>
      <c r="H6" s="184" t="s">
        <v>528</v>
      </c>
      <c r="J6" s="206" t="s">
        <v>638</v>
      </c>
      <c r="K6" s="206" t="s">
        <v>661</v>
      </c>
      <c r="L6" s="178">
        <v>2006</v>
      </c>
      <c r="N6" s="234" t="s">
        <v>502</v>
      </c>
      <c r="O6" s="245" t="s">
        <v>502</v>
      </c>
      <c r="P6" s="245" t="s">
        <v>502</v>
      </c>
      <c r="Q6" s="245" t="s">
        <v>502</v>
      </c>
      <c r="R6" s="245" t="s">
        <v>502</v>
      </c>
      <c r="S6" s="245" t="s">
        <v>502</v>
      </c>
      <c r="T6" s="245" t="s">
        <v>502</v>
      </c>
      <c r="U6" s="245" t="s">
        <v>502</v>
      </c>
      <c r="V6" s="245" t="s">
        <v>502</v>
      </c>
      <c r="W6" s="245" t="s">
        <v>502</v>
      </c>
      <c r="X6" s="245" t="s">
        <v>502</v>
      </c>
      <c r="Y6" s="245" t="s">
        <v>502</v>
      </c>
      <c r="Z6" s="245" t="s">
        <v>502</v>
      </c>
      <c r="AA6" s="234" t="s">
        <v>877</v>
      </c>
    </row>
    <row r="7" spans="1:27">
      <c r="A7" s="178">
        <v>5</v>
      </c>
      <c r="B7" s="206" t="s">
        <v>625</v>
      </c>
      <c r="C7" s="207" t="s">
        <v>626</v>
      </c>
      <c r="D7" s="179">
        <v>1000000</v>
      </c>
      <c r="E7" s="178" t="s">
        <v>502</v>
      </c>
      <c r="F7" s="179" t="s">
        <v>502</v>
      </c>
      <c r="G7" s="179" t="s">
        <v>502</v>
      </c>
      <c r="H7" s="184"/>
      <c r="J7" s="206" t="s">
        <v>638</v>
      </c>
      <c r="K7" s="206" t="s">
        <v>671</v>
      </c>
      <c r="L7" s="178">
        <v>1993</v>
      </c>
      <c r="N7" s="234" t="s">
        <v>502</v>
      </c>
      <c r="O7" s="245" t="s">
        <v>502</v>
      </c>
      <c r="P7" s="245" t="s">
        <v>502</v>
      </c>
      <c r="Q7" s="245" t="s">
        <v>502</v>
      </c>
      <c r="R7" s="245" t="s">
        <v>502</v>
      </c>
      <c r="S7" s="245" t="s">
        <v>502</v>
      </c>
      <c r="T7" s="245" t="s">
        <v>502</v>
      </c>
      <c r="U7" s="245" t="s">
        <v>502</v>
      </c>
      <c r="V7" s="245" t="s">
        <v>502</v>
      </c>
      <c r="W7" s="245" t="s">
        <v>502</v>
      </c>
      <c r="X7" s="245" t="s">
        <v>502</v>
      </c>
      <c r="Y7" s="245" t="s">
        <v>502</v>
      </c>
      <c r="Z7" s="245" t="s">
        <v>502</v>
      </c>
      <c r="AA7" s="234" t="s">
        <v>876</v>
      </c>
    </row>
    <row r="8" spans="1:27">
      <c r="A8" s="178">
        <v>2</v>
      </c>
      <c r="B8" s="178" t="s">
        <v>13</v>
      </c>
      <c r="C8" s="181" t="s">
        <v>503</v>
      </c>
      <c r="D8" s="179">
        <v>500000</v>
      </c>
      <c r="E8" s="178" t="s">
        <v>502</v>
      </c>
      <c r="F8" s="179" t="s">
        <v>502</v>
      </c>
      <c r="G8" s="179" t="s">
        <v>502</v>
      </c>
      <c r="H8" s="178" t="s">
        <v>504</v>
      </c>
      <c r="I8" s="178" t="s">
        <v>505</v>
      </c>
      <c r="J8" s="206" t="s">
        <v>637</v>
      </c>
      <c r="K8" s="206" t="s">
        <v>644</v>
      </c>
      <c r="L8" s="178">
        <v>2004</v>
      </c>
      <c r="N8" s="234" t="s">
        <v>502</v>
      </c>
      <c r="O8" s="245" t="s">
        <v>502</v>
      </c>
      <c r="P8" s="245" t="s">
        <v>502</v>
      </c>
      <c r="Q8" s="245" t="s">
        <v>502</v>
      </c>
      <c r="R8" s="245" t="s">
        <v>502</v>
      </c>
      <c r="S8" s="245" t="s">
        <v>502</v>
      </c>
      <c r="T8" s="245" t="s">
        <v>502</v>
      </c>
      <c r="U8" s="245" t="s">
        <v>502</v>
      </c>
      <c r="V8" s="245" t="s">
        <v>502</v>
      </c>
      <c r="W8" s="245" t="s">
        <v>502</v>
      </c>
      <c r="X8" s="245" t="s">
        <v>502</v>
      </c>
      <c r="Y8" s="245" t="s">
        <v>502</v>
      </c>
      <c r="Z8" s="245" t="s">
        <v>502</v>
      </c>
      <c r="AA8" s="234" t="s">
        <v>875</v>
      </c>
    </row>
    <row r="9" spans="1:27">
      <c r="A9" s="178">
        <v>1</v>
      </c>
      <c r="B9" s="64" t="s">
        <v>401</v>
      </c>
      <c r="C9" s="200" t="s">
        <v>256</v>
      </c>
      <c r="D9" s="201">
        <v>35000</v>
      </c>
      <c r="E9" s="64"/>
      <c r="F9" s="179">
        <v>10000</v>
      </c>
      <c r="H9" s="178" t="s">
        <v>507</v>
      </c>
      <c r="I9" s="178" t="s">
        <v>506</v>
      </c>
      <c r="J9" s="206" t="s">
        <v>639</v>
      </c>
      <c r="K9" s="206" t="s">
        <v>667</v>
      </c>
      <c r="L9" s="178">
        <v>2015</v>
      </c>
      <c r="AA9" s="234" t="s">
        <v>870</v>
      </c>
    </row>
    <row r="10" spans="1:27">
      <c r="B10" s="178" t="s">
        <v>427</v>
      </c>
      <c r="C10" s="181" t="s">
        <v>256</v>
      </c>
      <c r="D10" s="179">
        <v>25000</v>
      </c>
      <c r="F10" s="179">
        <v>1600</v>
      </c>
      <c r="J10" s="206" t="s">
        <v>638</v>
      </c>
      <c r="K10" s="206" t="s">
        <v>665</v>
      </c>
      <c r="L10" s="178">
        <v>2013</v>
      </c>
      <c r="AA10" s="234" t="s">
        <v>870</v>
      </c>
    </row>
    <row r="11" spans="1:27">
      <c r="A11" s="178">
        <v>7</v>
      </c>
      <c r="B11" s="178" t="s">
        <v>426</v>
      </c>
      <c r="C11" s="181" t="s">
        <v>256</v>
      </c>
      <c r="D11" s="179">
        <v>21000</v>
      </c>
      <c r="F11" s="179">
        <v>2100</v>
      </c>
      <c r="H11" s="214" t="s">
        <v>498</v>
      </c>
      <c r="J11" s="206" t="s">
        <v>637</v>
      </c>
      <c r="K11" s="206" t="s">
        <v>670</v>
      </c>
      <c r="L11" s="178">
        <v>2013</v>
      </c>
      <c r="AA11" s="234" t="s">
        <v>870</v>
      </c>
    </row>
    <row r="12" spans="1:27">
      <c r="B12" s="214" t="s">
        <v>708</v>
      </c>
      <c r="C12" s="242" t="s">
        <v>256</v>
      </c>
      <c r="D12" s="179">
        <v>30000</v>
      </c>
      <c r="E12" s="234" t="s">
        <v>402</v>
      </c>
      <c r="F12" s="179">
        <v>2500</v>
      </c>
      <c r="G12" s="240">
        <v>44363</v>
      </c>
      <c r="H12" s="234" t="s">
        <v>498</v>
      </c>
      <c r="I12" s="234" t="s">
        <v>987</v>
      </c>
      <c r="J12" s="234" t="s">
        <v>637</v>
      </c>
      <c r="K12" s="234" t="s">
        <v>762</v>
      </c>
      <c r="L12" s="178">
        <v>2009</v>
      </c>
      <c r="M12" s="234" t="s">
        <v>985</v>
      </c>
      <c r="N12" s="234" t="s">
        <v>975</v>
      </c>
      <c r="O12" s="245" t="s">
        <v>562</v>
      </c>
      <c r="P12" s="243">
        <v>3000</v>
      </c>
      <c r="Q12" s="245" t="s">
        <v>986</v>
      </c>
      <c r="R12" s="245" t="s">
        <v>502</v>
      </c>
      <c r="S12" s="245" t="s">
        <v>502</v>
      </c>
      <c r="T12" s="245" t="s">
        <v>502</v>
      </c>
      <c r="U12" s="245" t="s">
        <v>502</v>
      </c>
      <c r="V12" s="245" t="s">
        <v>502</v>
      </c>
      <c r="W12" s="245" t="s">
        <v>502</v>
      </c>
      <c r="X12" s="245" t="s">
        <v>502</v>
      </c>
      <c r="Y12" s="245" t="s">
        <v>502</v>
      </c>
      <c r="Z12" s="245" t="s">
        <v>502</v>
      </c>
      <c r="AA12" s="234" t="s">
        <v>873</v>
      </c>
    </row>
    <row r="13" spans="1:27">
      <c r="A13" s="178">
        <v>8</v>
      </c>
      <c r="B13" s="194" t="s">
        <v>537</v>
      </c>
      <c r="C13" s="198" t="s">
        <v>538</v>
      </c>
      <c r="D13" s="179">
        <v>20000</v>
      </c>
      <c r="E13" s="234" t="s">
        <v>846</v>
      </c>
      <c r="F13" s="236" t="s">
        <v>502</v>
      </c>
      <c r="G13" s="240">
        <v>39591</v>
      </c>
      <c r="H13" s="234" t="s">
        <v>940</v>
      </c>
      <c r="I13" s="234" t="s">
        <v>941</v>
      </c>
      <c r="J13" s="206" t="s">
        <v>637</v>
      </c>
      <c r="K13" s="206" t="s">
        <v>669</v>
      </c>
      <c r="L13" s="178">
        <v>1999</v>
      </c>
      <c r="M13" s="214" t="s">
        <v>629</v>
      </c>
      <c r="N13" s="234" t="s">
        <v>846</v>
      </c>
      <c r="O13" s="245" t="s">
        <v>502</v>
      </c>
      <c r="P13" s="245" t="s">
        <v>502</v>
      </c>
      <c r="Q13" s="245" t="s">
        <v>502</v>
      </c>
      <c r="R13" s="245" t="s">
        <v>502</v>
      </c>
      <c r="S13" s="245" t="s">
        <v>502</v>
      </c>
      <c r="T13" s="245" t="s">
        <v>502</v>
      </c>
      <c r="U13" s="245" t="s">
        <v>502</v>
      </c>
      <c r="V13" s="245" t="s">
        <v>502</v>
      </c>
      <c r="W13" s="245" t="s">
        <v>502</v>
      </c>
      <c r="X13" s="245" t="s">
        <v>502</v>
      </c>
      <c r="Y13" s="245" t="s">
        <v>502</v>
      </c>
      <c r="Z13" s="245" t="s">
        <v>502</v>
      </c>
      <c r="AA13" s="234" t="s">
        <v>872</v>
      </c>
    </row>
    <row r="14" spans="1:27">
      <c r="A14" s="178">
        <v>9</v>
      </c>
      <c r="B14" s="194" t="s">
        <v>548</v>
      </c>
      <c r="C14" s="198" t="s">
        <v>547</v>
      </c>
      <c r="D14" s="179">
        <v>11000</v>
      </c>
      <c r="E14" s="234" t="s">
        <v>846</v>
      </c>
      <c r="F14" s="179">
        <v>740</v>
      </c>
      <c r="G14" s="240">
        <v>44560</v>
      </c>
      <c r="H14" s="234" t="s">
        <v>668</v>
      </c>
      <c r="I14" s="234" t="s">
        <v>925</v>
      </c>
      <c r="J14" s="206" t="s">
        <v>638</v>
      </c>
      <c r="K14" s="206" t="s">
        <v>668</v>
      </c>
      <c r="L14" s="235">
        <v>41913</v>
      </c>
      <c r="M14" s="234" t="s">
        <v>629</v>
      </c>
      <c r="N14" s="234" t="s">
        <v>846</v>
      </c>
      <c r="O14" s="245" t="s">
        <v>920</v>
      </c>
      <c r="P14" s="243">
        <v>1000</v>
      </c>
      <c r="Q14" s="245" t="s">
        <v>919</v>
      </c>
      <c r="R14" s="245" t="s">
        <v>921</v>
      </c>
      <c r="S14" s="243">
        <v>320</v>
      </c>
      <c r="T14" s="245" t="s">
        <v>922</v>
      </c>
      <c r="U14" s="245" t="s">
        <v>586</v>
      </c>
      <c r="V14" s="243">
        <v>600</v>
      </c>
      <c r="W14" s="245" t="s">
        <v>923</v>
      </c>
      <c r="X14" s="245" t="s">
        <v>402</v>
      </c>
      <c r="Y14" s="243">
        <v>410</v>
      </c>
      <c r="Z14" s="245" t="s">
        <v>924</v>
      </c>
      <c r="AA14" s="234" t="s">
        <v>871</v>
      </c>
    </row>
    <row r="15" spans="1:27">
      <c r="A15" s="178">
        <v>9</v>
      </c>
      <c r="B15" s="219" t="s">
        <v>709</v>
      </c>
      <c r="C15" s="220" t="s">
        <v>256</v>
      </c>
      <c r="D15" s="179">
        <v>7000</v>
      </c>
      <c r="E15" s="234" t="s">
        <v>772</v>
      </c>
      <c r="F15" s="179">
        <v>325</v>
      </c>
      <c r="G15" s="240">
        <v>44299</v>
      </c>
      <c r="H15" s="234" t="s">
        <v>773</v>
      </c>
      <c r="I15" s="234" t="s">
        <v>788</v>
      </c>
      <c r="J15" s="219" t="s">
        <v>639</v>
      </c>
      <c r="K15" s="219" t="s">
        <v>661</v>
      </c>
      <c r="L15" s="235">
        <v>42522</v>
      </c>
      <c r="M15" s="234" t="s">
        <v>791</v>
      </c>
      <c r="N15" s="234" t="s">
        <v>829</v>
      </c>
      <c r="O15" s="245" t="s">
        <v>792</v>
      </c>
      <c r="P15" s="243">
        <v>155</v>
      </c>
      <c r="Q15" s="245" t="s">
        <v>790</v>
      </c>
      <c r="R15" s="245" t="s">
        <v>586</v>
      </c>
      <c r="S15" s="243">
        <v>100</v>
      </c>
      <c r="T15" s="245" t="s">
        <v>795</v>
      </c>
      <c r="U15" s="245" t="s">
        <v>402</v>
      </c>
      <c r="V15" s="243">
        <v>18</v>
      </c>
      <c r="W15" s="245" t="s">
        <v>801</v>
      </c>
      <c r="X15" s="245" t="s">
        <v>562</v>
      </c>
      <c r="Y15" s="243">
        <v>4.5</v>
      </c>
      <c r="Z15" s="245" t="s">
        <v>802</v>
      </c>
      <c r="AA15" s="234" t="s">
        <v>870</v>
      </c>
    </row>
    <row r="16" spans="1:27">
      <c r="A16" s="219">
        <f>A14+1</f>
        <v>10</v>
      </c>
      <c r="B16" s="219" t="s">
        <v>144</v>
      </c>
      <c r="C16" s="220" t="s">
        <v>256</v>
      </c>
      <c r="D16" s="221">
        <v>4100</v>
      </c>
      <c r="E16" s="219" t="s">
        <v>586</v>
      </c>
      <c r="F16" s="221">
        <v>450</v>
      </c>
      <c r="G16" s="241">
        <v>45069</v>
      </c>
      <c r="H16" s="219" t="s">
        <v>403</v>
      </c>
      <c r="I16" s="219" t="s">
        <v>404</v>
      </c>
      <c r="J16" s="219" t="s">
        <v>639</v>
      </c>
      <c r="K16" s="219" t="s">
        <v>667</v>
      </c>
      <c r="L16" s="219">
        <v>2021</v>
      </c>
      <c r="M16" s="234" t="s">
        <v>898</v>
      </c>
      <c r="N16" s="234" t="s">
        <v>804</v>
      </c>
      <c r="O16" s="245" t="s">
        <v>809</v>
      </c>
      <c r="P16" s="243">
        <v>300</v>
      </c>
      <c r="Q16" s="245" t="s">
        <v>9</v>
      </c>
      <c r="R16" s="246" t="s">
        <v>402</v>
      </c>
      <c r="S16" s="243">
        <v>580</v>
      </c>
      <c r="T16" s="245" t="s">
        <v>59</v>
      </c>
      <c r="U16" s="245" t="s">
        <v>562</v>
      </c>
      <c r="V16" s="243">
        <v>124</v>
      </c>
      <c r="W16" s="245" t="s">
        <v>812</v>
      </c>
      <c r="X16" s="245" t="s">
        <v>502</v>
      </c>
      <c r="Y16" s="245" t="s">
        <v>502</v>
      </c>
      <c r="Z16" s="245" t="s">
        <v>502</v>
      </c>
      <c r="AA16" s="234" t="s">
        <v>870</v>
      </c>
    </row>
    <row r="17" spans="1:27">
      <c r="A17" s="178">
        <v>12</v>
      </c>
      <c r="B17" s="178" t="s">
        <v>416</v>
      </c>
      <c r="C17" s="181" t="s">
        <v>256</v>
      </c>
      <c r="D17" s="179">
        <v>3000</v>
      </c>
      <c r="E17" s="206" t="s">
        <v>568</v>
      </c>
      <c r="F17" s="179">
        <v>100</v>
      </c>
      <c r="G17" s="240">
        <v>44846</v>
      </c>
      <c r="H17" s="202" t="s">
        <v>573</v>
      </c>
      <c r="I17" s="202" t="s">
        <v>574</v>
      </c>
      <c r="J17" s="206" t="s">
        <v>637</v>
      </c>
      <c r="K17" s="206" t="s">
        <v>644</v>
      </c>
      <c r="L17" s="178">
        <v>2019</v>
      </c>
      <c r="M17" s="234" t="s">
        <v>814</v>
      </c>
      <c r="N17" s="234" t="s">
        <v>813</v>
      </c>
      <c r="O17" s="245" t="s">
        <v>502</v>
      </c>
      <c r="P17" s="245" t="s">
        <v>502</v>
      </c>
      <c r="Q17" s="245" t="s">
        <v>502</v>
      </c>
      <c r="R17" s="245" t="s">
        <v>502</v>
      </c>
      <c r="S17" s="245" t="s">
        <v>502</v>
      </c>
      <c r="T17" s="245" t="s">
        <v>502</v>
      </c>
      <c r="U17" s="245" t="s">
        <v>502</v>
      </c>
      <c r="V17" s="245" t="s">
        <v>502</v>
      </c>
      <c r="W17" s="245" t="s">
        <v>502</v>
      </c>
      <c r="X17" s="245" t="s">
        <v>502</v>
      </c>
      <c r="Y17" s="245" t="s">
        <v>502</v>
      </c>
      <c r="Z17" s="245" t="s">
        <v>502</v>
      </c>
      <c r="AA17" s="234" t="s">
        <v>869</v>
      </c>
    </row>
    <row r="18" spans="1:27">
      <c r="A18" s="178">
        <v>13</v>
      </c>
      <c r="B18" s="178" t="s">
        <v>405</v>
      </c>
      <c r="C18" s="181" t="s">
        <v>256</v>
      </c>
      <c r="D18" s="179">
        <v>2000</v>
      </c>
      <c r="E18" s="234" t="s">
        <v>586</v>
      </c>
      <c r="F18" s="179">
        <v>270</v>
      </c>
      <c r="G18" s="240">
        <v>45048</v>
      </c>
      <c r="H18" s="178" t="s">
        <v>499</v>
      </c>
      <c r="I18" s="202" t="s">
        <v>575</v>
      </c>
      <c r="J18" s="206" t="s">
        <v>639</v>
      </c>
      <c r="K18" s="206" t="s">
        <v>667</v>
      </c>
      <c r="L18" s="178">
        <v>2019</v>
      </c>
      <c r="M18" s="234" t="s">
        <v>899</v>
      </c>
      <c r="N18" s="234" t="s">
        <v>819</v>
      </c>
      <c r="O18" s="245" t="s">
        <v>402</v>
      </c>
      <c r="P18" s="243">
        <v>130</v>
      </c>
      <c r="Q18" s="245" t="s">
        <v>825</v>
      </c>
      <c r="R18" s="245" t="s">
        <v>562</v>
      </c>
      <c r="S18" s="243">
        <v>40</v>
      </c>
      <c r="T18" s="245" t="s">
        <v>828</v>
      </c>
      <c r="U18" s="245" t="s">
        <v>502</v>
      </c>
      <c r="V18" s="245" t="s">
        <v>502</v>
      </c>
      <c r="W18" s="245" t="s">
        <v>502</v>
      </c>
      <c r="X18" s="245" t="s">
        <v>502</v>
      </c>
      <c r="Y18" s="245" t="s">
        <v>502</v>
      </c>
      <c r="Z18" s="245" t="s">
        <v>502</v>
      </c>
      <c r="AA18" s="234" t="s">
        <v>868</v>
      </c>
    </row>
    <row r="19" spans="1:27">
      <c r="A19" s="178">
        <v>11</v>
      </c>
      <c r="B19" s="178" t="s">
        <v>420</v>
      </c>
      <c r="C19" s="181" t="s">
        <v>256</v>
      </c>
      <c r="D19" s="179">
        <v>2000</v>
      </c>
      <c r="E19" s="202" t="s">
        <v>586</v>
      </c>
      <c r="F19" s="179">
        <v>100</v>
      </c>
      <c r="G19" s="240">
        <v>44690</v>
      </c>
      <c r="H19" s="178" t="s">
        <v>525</v>
      </c>
      <c r="I19" s="178" t="s">
        <v>526</v>
      </c>
      <c r="J19" s="206" t="s">
        <v>639</v>
      </c>
      <c r="K19" s="206" t="s">
        <v>661</v>
      </c>
      <c r="L19" s="178">
        <v>2016</v>
      </c>
      <c r="M19" s="183" t="s">
        <v>527</v>
      </c>
      <c r="N19" s="234" t="s">
        <v>830</v>
      </c>
      <c r="O19" s="245" t="s">
        <v>402</v>
      </c>
      <c r="P19" s="243">
        <v>40</v>
      </c>
      <c r="Q19" s="245" t="s">
        <v>841</v>
      </c>
      <c r="R19" s="245" t="s">
        <v>562</v>
      </c>
      <c r="S19" s="243">
        <v>15</v>
      </c>
      <c r="T19" s="245" t="s">
        <v>842</v>
      </c>
      <c r="U19" s="245" t="s">
        <v>568</v>
      </c>
      <c r="V19" s="243">
        <v>4</v>
      </c>
      <c r="W19" s="245" t="s">
        <v>843</v>
      </c>
      <c r="X19" s="245" t="s">
        <v>699</v>
      </c>
      <c r="Y19" s="243">
        <v>1.2</v>
      </c>
      <c r="Z19" s="245" t="s">
        <v>844</v>
      </c>
      <c r="AA19" s="234" t="s">
        <v>867</v>
      </c>
    </row>
    <row r="20" spans="1:27">
      <c r="A20" s="178">
        <v>14</v>
      </c>
      <c r="B20" s="178" t="s">
        <v>417</v>
      </c>
      <c r="C20" s="181" t="s">
        <v>214</v>
      </c>
      <c r="D20" s="179">
        <v>3500</v>
      </c>
      <c r="E20" s="234" t="s">
        <v>846</v>
      </c>
      <c r="F20" s="179">
        <v>651</v>
      </c>
      <c r="G20" s="240">
        <v>44174</v>
      </c>
      <c r="H20" s="234" t="s">
        <v>638</v>
      </c>
      <c r="I20" s="234" t="s">
        <v>847</v>
      </c>
      <c r="J20" s="206" t="s">
        <v>638</v>
      </c>
      <c r="K20" s="206" t="s">
        <v>665</v>
      </c>
      <c r="L20" s="178">
        <v>2009</v>
      </c>
      <c r="N20" s="234" t="s">
        <v>846</v>
      </c>
      <c r="O20" s="245" t="s">
        <v>848</v>
      </c>
      <c r="P20" s="243">
        <v>106</v>
      </c>
      <c r="Q20" s="245" t="s">
        <v>849</v>
      </c>
      <c r="S20" s="245" t="s">
        <v>502</v>
      </c>
      <c r="T20" s="245" t="s">
        <v>502</v>
      </c>
      <c r="U20" s="245" t="s">
        <v>502</v>
      </c>
      <c r="V20" s="245" t="s">
        <v>502</v>
      </c>
      <c r="W20" s="245" t="s">
        <v>502</v>
      </c>
      <c r="X20" s="245" t="s">
        <v>502</v>
      </c>
      <c r="Y20" s="245" t="s">
        <v>502</v>
      </c>
      <c r="Z20" s="245" t="s">
        <v>502</v>
      </c>
      <c r="AA20" s="234" t="s">
        <v>874</v>
      </c>
    </row>
    <row r="21" spans="1:27">
      <c r="A21" s="178">
        <f t="shared" ref="A21:A26" si="0">A20+1</f>
        <v>15</v>
      </c>
      <c r="B21" s="178" t="s">
        <v>421</v>
      </c>
      <c r="C21" s="181" t="s">
        <v>256</v>
      </c>
      <c r="D21" s="179">
        <v>1500</v>
      </c>
      <c r="E21" s="234" t="s">
        <v>562</v>
      </c>
      <c r="F21" s="179">
        <v>125</v>
      </c>
      <c r="G21" s="240">
        <v>44852</v>
      </c>
      <c r="H21" s="234" t="s">
        <v>856</v>
      </c>
      <c r="I21" s="234" t="s">
        <v>850</v>
      </c>
      <c r="J21" s="206" t="s">
        <v>637</v>
      </c>
      <c r="K21" s="206" t="s">
        <v>644</v>
      </c>
      <c r="L21" s="178">
        <v>2021</v>
      </c>
      <c r="M21" s="234" t="s">
        <v>897</v>
      </c>
      <c r="N21" s="178" t="s">
        <v>851</v>
      </c>
      <c r="O21" s="245" t="s">
        <v>568</v>
      </c>
      <c r="P21" s="243">
        <v>6</v>
      </c>
      <c r="Q21" s="243" t="s">
        <v>853</v>
      </c>
      <c r="R21" s="245" t="s">
        <v>699</v>
      </c>
      <c r="S21" s="243">
        <v>1</v>
      </c>
      <c r="T21" s="243" t="s">
        <v>852</v>
      </c>
      <c r="U21" s="245" t="s">
        <v>502</v>
      </c>
      <c r="V21" s="245" t="s">
        <v>502</v>
      </c>
      <c r="W21" s="245" t="s">
        <v>502</v>
      </c>
      <c r="X21" s="245" t="s">
        <v>502</v>
      </c>
      <c r="Y21" s="245" t="s">
        <v>502</v>
      </c>
      <c r="Z21" s="245" t="s">
        <v>502</v>
      </c>
      <c r="AA21" s="234" t="s">
        <v>854</v>
      </c>
    </row>
    <row r="22" spans="1:27">
      <c r="A22" s="178">
        <f t="shared" si="0"/>
        <v>16</v>
      </c>
      <c r="B22" s="178" t="s">
        <v>433</v>
      </c>
      <c r="C22" s="203" t="s">
        <v>256</v>
      </c>
      <c r="D22" s="179">
        <v>1200</v>
      </c>
      <c r="E22" s="206" t="s">
        <v>562</v>
      </c>
      <c r="F22" s="179">
        <v>225</v>
      </c>
      <c r="G22" s="240">
        <v>44694</v>
      </c>
      <c r="H22" s="202" t="s">
        <v>581</v>
      </c>
      <c r="I22" s="234" t="s">
        <v>881</v>
      </c>
      <c r="J22" s="206" t="s">
        <v>637</v>
      </c>
      <c r="K22" s="202" t="s">
        <v>582</v>
      </c>
      <c r="L22" s="178">
        <v>2022</v>
      </c>
      <c r="M22" s="234" t="s">
        <v>883</v>
      </c>
      <c r="N22" s="234" t="s">
        <v>882</v>
      </c>
      <c r="O22" s="245" t="s">
        <v>502</v>
      </c>
      <c r="P22" s="245" t="s">
        <v>502</v>
      </c>
      <c r="Q22" s="245" t="s">
        <v>502</v>
      </c>
      <c r="R22" s="245" t="s">
        <v>502</v>
      </c>
      <c r="S22" s="245" t="s">
        <v>502</v>
      </c>
      <c r="T22" s="245" t="s">
        <v>502</v>
      </c>
      <c r="U22" s="245" t="s">
        <v>502</v>
      </c>
      <c r="V22" s="245" t="s">
        <v>502</v>
      </c>
      <c r="W22" s="245" t="s">
        <v>502</v>
      </c>
      <c r="X22" s="245" t="s">
        <v>502</v>
      </c>
      <c r="Y22" s="245" t="s">
        <v>502</v>
      </c>
      <c r="Z22" s="245" t="s">
        <v>502</v>
      </c>
      <c r="AA22" s="234" t="s">
        <v>880</v>
      </c>
    </row>
    <row r="23" spans="1:27">
      <c r="A23" s="178">
        <f t="shared" si="0"/>
        <v>17</v>
      </c>
      <c r="B23" s="178" t="s">
        <v>423</v>
      </c>
      <c r="C23" s="181" t="s">
        <v>256</v>
      </c>
      <c r="D23" s="179">
        <v>1000</v>
      </c>
      <c r="E23" s="234" t="s">
        <v>586</v>
      </c>
      <c r="F23" s="179">
        <v>135</v>
      </c>
      <c r="G23" s="240">
        <v>44482</v>
      </c>
      <c r="H23" s="234" t="s">
        <v>884</v>
      </c>
      <c r="I23" s="234" t="s">
        <v>895</v>
      </c>
      <c r="J23" s="206" t="s">
        <v>639</v>
      </c>
      <c r="K23" s="206" t="s">
        <v>661</v>
      </c>
      <c r="L23" s="178">
        <v>2017</v>
      </c>
      <c r="M23" s="234" t="s">
        <v>896</v>
      </c>
      <c r="N23" s="178" t="s">
        <v>885</v>
      </c>
      <c r="O23" s="245" t="s">
        <v>402</v>
      </c>
      <c r="P23" s="243">
        <v>45</v>
      </c>
      <c r="Q23" s="245" t="s">
        <v>889</v>
      </c>
      <c r="R23" s="245" t="s">
        <v>562</v>
      </c>
      <c r="S23" s="245">
        <v>5</v>
      </c>
      <c r="T23" s="245" t="s">
        <v>892</v>
      </c>
      <c r="U23" s="245" t="s">
        <v>502</v>
      </c>
      <c r="V23" s="245" t="s">
        <v>502</v>
      </c>
      <c r="W23" s="245" t="s">
        <v>502</v>
      </c>
      <c r="X23" s="245" t="s">
        <v>502</v>
      </c>
      <c r="Y23" s="245" t="s">
        <v>502</v>
      </c>
      <c r="Z23" s="245" t="s">
        <v>502</v>
      </c>
      <c r="AA23" s="234" t="s">
        <v>870</v>
      </c>
    </row>
    <row r="24" spans="1:27">
      <c r="A24" s="64">
        <f t="shared" si="0"/>
        <v>18</v>
      </c>
      <c r="B24" s="64" t="s">
        <v>419</v>
      </c>
      <c r="C24" s="200" t="s">
        <v>256</v>
      </c>
      <c r="D24" s="201">
        <v>1000</v>
      </c>
      <c r="E24" s="64" t="s">
        <v>562</v>
      </c>
      <c r="F24" s="201">
        <v>150</v>
      </c>
      <c r="G24" s="238">
        <v>45008</v>
      </c>
      <c r="H24" s="64" t="s">
        <v>623</v>
      </c>
      <c r="I24" s="64" t="s">
        <v>452</v>
      </c>
      <c r="J24" s="64" t="s">
        <v>637</v>
      </c>
      <c r="K24" s="64" t="s">
        <v>582</v>
      </c>
      <c r="L24" s="64">
        <v>2021</v>
      </c>
      <c r="M24" s="234" t="s">
        <v>903</v>
      </c>
      <c r="N24" s="178" t="s">
        <v>902</v>
      </c>
      <c r="O24" s="245" t="s">
        <v>568</v>
      </c>
      <c r="P24" s="245" t="s">
        <v>502</v>
      </c>
      <c r="Q24" s="245" t="s">
        <v>907</v>
      </c>
      <c r="R24" s="245" t="s">
        <v>502</v>
      </c>
      <c r="S24" s="245" t="s">
        <v>502</v>
      </c>
      <c r="T24" s="245" t="s">
        <v>502</v>
      </c>
      <c r="U24" s="245" t="s">
        <v>502</v>
      </c>
      <c r="V24" s="245" t="s">
        <v>502</v>
      </c>
      <c r="W24" s="245" t="s">
        <v>502</v>
      </c>
      <c r="X24" s="245" t="s">
        <v>502</v>
      </c>
      <c r="Y24" s="245" t="s">
        <v>502</v>
      </c>
      <c r="Z24" s="245" t="s">
        <v>502</v>
      </c>
      <c r="AA24" s="234" t="s">
        <v>875</v>
      </c>
    </row>
    <row r="25" spans="1:27">
      <c r="A25" s="178">
        <f t="shared" si="0"/>
        <v>19</v>
      </c>
      <c r="B25" s="178" t="s">
        <v>432</v>
      </c>
      <c r="C25" s="181" t="s">
        <v>256</v>
      </c>
      <c r="D25" s="179">
        <v>1000</v>
      </c>
      <c r="E25" s="206" t="s">
        <v>402</v>
      </c>
      <c r="F25" s="179">
        <v>350</v>
      </c>
      <c r="G25" s="240">
        <v>44999</v>
      </c>
      <c r="H25" s="206" t="s">
        <v>502</v>
      </c>
      <c r="I25" s="234" t="s">
        <v>908</v>
      </c>
      <c r="J25" s="215" t="s">
        <v>638</v>
      </c>
      <c r="K25" s="215" t="s">
        <v>580</v>
      </c>
      <c r="L25" s="178">
        <v>2022</v>
      </c>
      <c r="M25" s="234" t="s">
        <v>909</v>
      </c>
      <c r="N25" s="234" t="s">
        <v>911</v>
      </c>
      <c r="O25" s="245" t="s">
        <v>562</v>
      </c>
      <c r="P25" s="243">
        <v>65</v>
      </c>
      <c r="Q25" s="245" t="s">
        <v>910</v>
      </c>
      <c r="R25" s="245" t="s">
        <v>502</v>
      </c>
      <c r="S25" s="245" t="s">
        <v>502</v>
      </c>
      <c r="T25" s="245" t="s">
        <v>502</v>
      </c>
      <c r="U25" s="245" t="s">
        <v>502</v>
      </c>
      <c r="V25" s="245" t="s">
        <v>502</v>
      </c>
      <c r="W25" s="245" t="s">
        <v>502</v>
      </c>
      <c r="X25" s="245" t="s">
        <v>502</v>
      </c>
      <c r="Y25" s="245" t="s">
        <v>502</v>
      </c>
      <c r="Z25" s="245" t="s">
        <v>502</v>
      </c>
      <c r="AA25" s="234" t="s">
        <v>870</v>
      </c>
    </row>
    <row r="26" spans="1:27">
      <c r="A26" s="178">
        <f t="shared" si="0"/>
        <v>20</v>
      </c>
      <c r="B26" s="178" t="s">
        <v>501</v>
      </c>
      <c r="C26" s="181" t="s">
        <v>256</v>
      </c>
      <c r="D26" s="179">
        <v>1000</v>
      </c>
      <c r="E26" s="178" t="s">
        <v>508</v>
      </c>
      <c r="F26" s="179">
        <v>0</v>
      </c>
      <c r="G26" s="236" t="s">
        <v>502</v>
      </c>
      <c r="H26" s="234" t="s">
        <v>915</v>
      </c>
      <c r="I26" s="234" t="s">
        <v>916</v>
      </c>
      <c r="J26" s="206" t="s">
        <v>637</v>
      </c>
      <c r="K26" s="206" t="s">
        <v>644</v>
      </c>
      <c r="L26" s="235">
        <v>44754</v>
      </c>
      <c r="M26" s="234" t="s">
        <v>917</v>
      </c>
      <c r="N26" s="234" t="s">
        <v>502</v>
      </c>
      <c r="O26" s="245" t="s">
        <v>502</v>
      </c>
      <c r="P26" s="245" t="s">
        <v>502</v>
      </c>
      <c r="Q26" s="245" t="s">
        <v>502</v>
      </c>
      <c r="R26" s="245" t="s">
        <v>502</v>
      </c>
      <c r="S26" s="245" t="s">
        <v>502</v>
      </c>
      <c r="T26" s="245" t="s">
        <v>502</v>
      </c>
      <c r="U26" s="245" t="s">
        <v>502</v>
      </c>
      <c r="V26" s="245" t="s">
        <v>502</v>
      </c>
      <c r="W26" s="245" t="s">
        <v>502</v>
      </c>
      <c r="X26" s="245" t="s">
        <v>502</v>
      </c>
      <c r="Y26" s="245" t="s">
        <v>502</v>
      </c>
      <c r="Z26" s="245" t="s">
        <v>502</v>
      </c>
      <c r="AA26" s="234" t="s">
        <v>918</v>
      </c>
    </row>
    <row r="27" spans="1:27">
      <c r="A27" s="178">
        <v>20</v>
      </c>
      <c r="B27" s="234" t="s">
        <v>900</v>
      </c>
      <c r="C27" s="242" t="s">
        <v>256</v>
      </c>
      <c r="D27" s="179">
        <v>1400</v>
      </c>
      <c r="E27" s="234" t="s">
        <v>789</v>
      </c>
      <c r="F27" s="179">
        <v>100</v>
      </c>
      <c r="G27" s="240">
        <v>45051</v>
      </c>
      <c r="H27" s="234" t="s">
        <v>901</v>
      </c>
      <c r="I27" s="234" t="s">
        <v>935</v>
      </c>
      <c r="J27" s="234" t="s">
        <v>637</v>
      </c>
      <c r="K27" s="234" t="s">
        <v>664</v>
      </c>
      <c r="L27" s="235">
        <v>43101</v>
      </c>
      <c r="M27" s="234" t="s">
        <v>936</v>
      </c>
      <c r="N27" s="234" t="s">
        <v>926</v>
      </c>
      <c r="O27" s="245" t="s">
        <v>586</v>
      </c>
      <c r="P27" s="243">
        <v>50</v>
      </c>
      <c r="Q27" s="245" t="s">
        <v>931</v>
      </c>
      <c r="R27" s="245" t="s">
        <v>402</v>
      </c>
      <c r="S27" s="245">
        <v>35</v>
      </c>
      <c r="T27" s="245" t="s">
        <v>932</v>
      </c>
      <c r="U27" s="245" t="s">
        <v>562</v>
      </c>
      <c r="V27" s="243">
        <v>8.5</v>
      </c>
      <c r="W27" s="245" t="s">
        <v>934</v>
      </c>
      <c r="X27" s="245" t="s">
        <v>568</v>
      </c>
      <c r="Y27" s="243">
        <v>2</v>
      </c>
      <c r="Z27" s="245" t="s">
        <v>933</v>
      </c>
      <c r="AA27" s="234" t="s">
        <v>867</v>
      </c>
    </row>
    <row r="28" spans="1:27">
      <c r="B28" s="206" t="s">
        <v>627</v>
      </c>
      <c r="C28" s="207" t="s">
        <v>256</v>
      </c>
      <c r="D28" s="179">
        <v>1000</v>
      </c>
      <c r="E28" s="206" t="s">
        <v>402</v>
      </c>
      <c r="F28" s="179">
        <v>300</v>
      </c>
      <c r="G28" s="240">
        <v>44453</v>
      </c>
      <c r="H28" s="206" t="s">
        <v>628</v>
      </c>
      <c r="I28" s="234" t="s">
        <v>939</v>
      </c>
      <c r="J28" s="206" t="s">
        <v>637</v>
      </c>
      <c r="K28" s="206" t="s">
        <v>629</v>
      </c>
      <c r="L28" s="235">
        <v>43817</v>
      </c>
      <c r="M28" s="234" t="s">
        <v>629</v>
      </c>
      <c r="N28" s="234" t="s">
        <v>937</v>
      </c>
      <c r="O28" s="245" t="s">
        <v>502</v>
      </c>
      <c r="P28" s="245" t="s">
        <v>502</v>
      </c>
      <c r="Q28" s="245" t="s">
        <v>502</v>
      </c>
      <c r="R28" s="245" t="s">
        <v>502</v>
      </c>
      <c r="S28" s="245" t="s">
        <v>502</v>
      </c>
      <c r="T28" s="245" t="s">
        <v>502</v>
      </c>
      <c r="U28" s="245" t="s">
        <v>502</v>
      </c>
      <c r="V28" s="245" t="s">
        <v>502</v>
      </c>
      <c r="W28" s="245" t="s">
        <v>502</v>
      </c>
      <c r="X28" s="245" t="s">
        <v>502</v>
      </c>
      <c r="Y28" s="245" t="s">
        <v>502</v>
      </c>
      <c r="Z28" s="245" t="s">
        <v>502</v>
      </c>
      <c r="AA28" s="234" t="s">
        <v>938</v>
      </c>
    </row>
    <row r="29" spans="1:27">
      <c r="A29" s="178">
        <f>A26+1</f>
        <v>21</v>
      </c>
      <c r="B29" s="178" t="s">
        <v>410</v>
      </c>
      <c r="C29" s="181" t="s">
        <v>256</v>
      </c>
      <c r="D29" s="179">
        <v>750</v>
      </c>
      <c r="E29" s="206" t="s">
        <v>402</v>
      </c>
      <c r="F29" s="179">
        <v>100</v>
      </c>
      <c r="G29" s="240">
        <v>45042</v>
      </c>
      <c r="H29" s="234" t="s">
        <v>942</v>
      </c>
      <c r="I29" s="234" t="s">
        <v>943</v>
      </c>
      <c r="J29" s="206" t="s">
        <v>639</v>
      </c>
      <c r="K29" s="202" t="s">
        <v>579</v>
      </c>
      <c r="L29" s="178">
        <v>2019</v>
      </c>
      <c r="M29" s="234" t="s">
        <v>944</v>
      </c>
      <c r="N29" s="234" t="s">
        <v>945</v>
      </c>
      <c r="O29" s="245" t="s">
        <v>562</v>
      </c>
      <c r="P29" s="243">
        <v>28</v>
      </c>
      <c r="Q29" s="245" t="s">
        <v>948</v>
      </c>
      <c r="R29" s="245" t="s">
        <v>568</v>
      </c>
      <c r="S29" s="245">
        <v>10</v>
      </c>
      <c r="T29" s="245" t="s">
        <v>949</v>
      </c>
      <c r="U29" s="245" t="s">
        <v>502</v>
      </c>
      <c r="V29" s="245" t="s">
        <v>502</v>
      </c>
      <c r="W29" s="245" t="s">
        <v>502</v>
      </c>
      <c r="X29" s="245" t="s">
        <v>502</v>
      </c>
      <c r="Y29" s="245" t="s">
        <v>502</v>
      </c>
      <c r="Z29" s="245" t="s">
        <v>502</v>
      </c>
      <c r="AA29" s="234" t="s">
        <v>867</v>
      </c>
    </row>
    <row r="30" spans="1:27">
      <c r="A30" s="178">
        <v>22</v>
      </c>
      <c r="B30" s="206" t="s">
        <v>641</v>
      </c>
      <c r="C30" s="207" t="s">
        <v>256</v>
      </c>
      <c r="D30" s="179">
        <v>750</v>
      </c>
      <c r="E30" s="206" t="s">
        <v>586</v>
      </c>
      <c r="F30" s="179">
        <v>85</v>
      </c>
      <c r="G30" s="240">
        <v>44501</v>
      </c>
      <c r="H30" s="234" t="s">
        <v>953</v>
      </c>
      <c r="I30" s="234" t="s">
        <v>951</v>
      </c>
      <c r="J30" s="206" t="s">
        <v>639</v>
      </c>
      <c r="K30" s="206" t="s">
        <v>661</v>
      </c>
      <c r="L30" s="235">
        <v>43670</v>
      </c>
      <c r="M30" s="234" t="s">
        <v>952</v>
      </c>
      <c r="N30" s="234" t="s">
        <v>950</v>
      </c>
      <c r="O30" s="245" t="s">
        <v>402</v>
      </c>
      <c r="P30" s="243">
        <v>28</v>
      </c>
      <c r="Q30" s="245" t="s">
        <v>954</v>
      </c>
      <c r="R30" s="245" t="s">
        <v>562</v>
      </c>
      <c r="S30" s="243">
        <v>15</v>
      </c>
      <c r="T30" s="245" t="s">
        <v>955</v>
      </c>
      <c r="U30" s="245" t="s">
        <v>568</v>
      </c>
      <c r="V30" s="243">
        <v>3.9</v>
      </c>
      <c r="W30" s="245" t="s">
        <v>956</v>
      </c>
      <c r="X30" s="245" t="s">
        <v>502</v>
      </c>
      <c r="Y30" s="245" t="s">
        <v>502</v>
      </c>
      <c r="Z30" s="245" t="s">
        <v>502</v>
      </c>
      <c r="AA30" s="234" t="s">
        <v>877</v>
      </c>
    </row>
    <row r="31" spans="1:27">
      <c r="A31" s="178">
        <v>23</v>
      </c>
      <c r="B31" s="206" t="s">
        <v>642</v>
      </c>
      <c r="C31" s="207" t="s">
        <v>256</v>
      </c>
      <c r="D31" s="179">
        <v>1000</v>
      </c>
      <c r="E31" s="206" t="s">
        <v>586</v>
      </c>
      <c r="F31" s="179">
        <v>85</v>
      </c>
      <c r="G31" s="240">
        <v>44417</v>
      </c>
      <c r="H31" s="234" t="s">
        <v>960</v>
      </c>
      <c r="I31" s="234" t="s">
        <v>958</v>
      </c>
      <c r="J31" s="206" t="s">
        <v>638</v>
      </c>
      <c r="K31" s="214" t="s">
        <v>661</v>
      </c>
      <c r="L31" s="178">
        <v>2019</v>
      </c>
      <c r="M31" s="234" t="s">
        <v>959</v>
      </c>
      <c r="N31" s="234" t="s">
        <v>957</v>
      </c>
      <c r="O31" s="245" t="s">
        <v>402</v>
      </c>
      <c r="P31" s="243">
        <v>35</v>
      </c>
      <c r="Q31" s="245" t="s">
        <v>965</v>
      </c>
      <c r="R31" s="245" t="s">
        <v>562</v>
      </c>
      <c r="S31" s="243">
        <v>12</v>
      </c>
      <c r="T31" s="245" t="s">
        <v>968</v>
      </c>
      <c r="U31" s="245" t="s">
        <v>568</v>
      </c>
      <c r="V31" s="243">
        <v>3.3</v>
      </c>
      <c r="W31" s="245" t="s">
        <v>969</v>
      </c>
      <c r="X31" s="245" t="s">
        <v>502</v>
      </c>
      <c r="Y31" s="245" t="s">
        <v>502</v>
      </c>
      <c r="Z31" s="245" t="s">
        <v>502</v>
      </c>
      <c r="AA31" s="234" t="s">
        <v>874</v>
      </c>
    </row>
    <row r="32" spans="1:27">
      <c r="A32" s="178">
        <v>24</v>
      </c>
      <c r="B32" s="178" t="s">
        <v>406</v>
      </c>
      <c r="C32" s="181" t="s">
        <v>256</v>
      </c>
      <c r="D32" s="179">
        <v>600</v>
      </c>
      <c r="E32" s="234" t="s">
        <v>402</v>
      </c>
      <c r="F32" s="179">
        <v>64</v>
      </c>
      <c r="G32" s="240">
        <v>44754</v>
      </c>
      <c r="H32" s="178" t="s">
        <v>518</v>
      </c>
      <c r="I32" s="234" t="s">
        <v>971</v>
      </c>
      <c r="J32" s="206" t="s">
        <v>639</v>
      </c>
      <c r="K32" s="214" t="s">
        <v>667</v>
      </c>
      <c r="L32" s="178">
        <v>2017</v>
      </c>
      <c r="M32" s="5" t="s">
        <v>347</v>
      </c>
      <c r="N32" s="215" t="s">
        <v>972</v>
      </c>
      <c r="O32" s="245" t="s">
        <v>402</v>
      </c>
      <c r="P32" s="243">
        <v>20</v>
      </c>
      <c r="Q32" s="245" t="s">
        <v>973</v>
      </c>
      <c r="R32" s="245" t="s">
        <v>562</v>
      </c>
      <c r="S32" s="243">
        <v>34.5</v>
      </c>
      <c r="T32" s="245" t="s">
        <v>974</v>
      </c>
      <c r="U32" s="245" t="s">
        <v>568</v>
      </c>
      <c r="V32" s="245" t="s">
        <v>502</v>
      </c>
      <c r="W32" s="245" t="s">
        <v>974</v>
      </c>
      <c r="X32" s="245" t="s">
        <v>502</v>
      </c>
      <c r="Y32" s="245" t="s">
        <v>502</v>
      </c>
      <c r="Z32" s="245" t="s">
        <v>502</v>
      </c>
      <c r="AA32" s="234" t="s">
        <v>970</v>
      </c>
    </row>
    <row r="33" spans="1:27">
      <c r="B33" s="202" t="s">
        <v>564</v>
      </c>
      <c r="C33" s="203" t="s">
        <v>256</v>
      </c>
      <c r="D33" s="179">
        <v>550</v>
      </c>
      <c r="E33" s="202" t="s">
        <v>586</v>
      </c>
      <c r="F33" s="179">
        <v>50</v>
      </c>
      <c r="G33" s="240">
        <v>44861</v>
      </c>
      <c r="H33" s="234" t="s">
        <v>988</v>
      </c>
      <c r="I33" s="202" t="s">
        <v>587</v>
      </c>
      <c r="J33" s="206" t="s">
        <v>637</v>
      </c>
      <c r="K33" s="234" t="s">
        <v>664</v>
      </c>
      <c r="L33" s="178">
        <v>2017</v>
      </c>
      <c r="M33" s="234" t="s">
        <v>1003</v>
      </c>
      <c r="N33" s="234" t="s">
        <v>989</v>
      </c>
      <c r="O33" s="245" t="s">
        <v>402</v>
      </c>
      <c r="P33" s="243">
        <v>30</v>
      </c>
      <c r="Q33" s="245" t="s">
        <v>990</v>
      </c>
      <c r="R33" s="245" t="s">
        <v>562</v>
      </c>
      <c r="S33" s="243">
        <v>15</v>
      </c>
      <c r="T33" s="245" t="s">
        <v>991</v>
      </c>
      <c r="U33" s="245" t="s">
        <v>568</v>
      </c>
      <c r="V33" s="243">
        <v>5</v>
      </c>
      <c r="W33" s="245" t="s">
        <v>904</v>
      </c>
      <c r="X33" s="245" t="s">
        <v>502</v>
      </c>
      <c r="Y33" s="245" t="s">
        <v>502</v>
      </c>
      <c r="Z33" s="245" t="s">
        <v>502</v>
      </c>
      <c r="AA33" s="234" t="s">
        <v>870</v>
      </c>
    </row>
    <row r="34" spans="1:27">
      <c r="A34" s="178">
        <v>25</v>
      </c>
      <c r="B34" s="206" t="s">
        <v>633</v>
      </c>
      <c r="C34" s="203" t="s">
        <v>256</v>
      </c>
      <c r="D34" s="179">
        <v>500</v>
      </c>
      <c r="E34" s="206" t="s">
        <v>402</v>
      </c>
      <c r="F34" s="179">
        <v>140</v>
      </c>
      <c r="G34" s="240">
        <v>44393</v>
      </c>
      <c r="H34" s="234" t="s">
        <v>992</v>
      </c>
      <c r="I34" s="234" t="s">
        <v>993</v>
      </c>
      <c r="J34" s="206" t="s">
        <v>638</v>
      </c>
      <c r="K34" s="206" t="s">
        <v>661</v>
      </c>
      <c r="L34" s="178">
        <v>2019</v>
      </c>
      <c r="M34" s="234" t="s">
        <v>995</v>
      </c>
      <c r="N34" s="234" t="s">
        <v>994</v>
      </c>
      <c r="O34" s="245" t="s">
        <v>568</v>
      </c>
      <c r="P34" s="243">
        <v>50</v>
      </c>
      <c r="Q34" s="245" t="s">
        <v>502</v>
      </c>
      <c r="R34" s="245" t="s">
        <v>502</v>
      </c>
      <c r="S34" s="245" t="s">
        <v>502</v>
      </c>
      <c r="T34" s="245" t="s">
        <v>502</v>
      </c>
      <c r="U34" s="245" t="s">
        <v>502</v>
      </c>
      <c r="V34" s="245" t="s">
        <v>502</v>
      </c>
      <c r="W34" s="245" t="s">
        <v>502</v>
      </c>
      <c r="X34" s="245" t="s">
        <v>502</v>
      </c>
      <c r="Y34" s="245" t="s">
        <v>502</v>
      </c>
      <c r="Z34" s="245" t="s">
        <v>502</v>
      </c>
      <c r="AA34" s="234" t="s">
        <v>880</v>
      </c>
    </row>
    <row r="35" spans="1:27">
      <c r="A35" s="178">
        <f>A34+1</f>
        <v>26</v>
      </c>
      <c r="B35" s="178" t="s">
        <v>424</v>
      </c>
      <c r="C35" s="203" t="s">
        <v>256</v>
      </c>
      <c r="D35" s="179">
        <v>1000</v>
      </c>
      <c r="E35" s="206" t="s">
        <v>586</v>
      </c>
      <c r="F35" s="179">
        <v>100</v>
      </c>
      <c r="G35" s="240">
        <v>44699</v>
      </c>
      <c r="H35" s="234" t="s">
        <v>996</v>
      </c>
      <c r="I35" s="234" t="s">
        <v>998</v>
      </c>
      <c r="J35" s="206" t="s">
        <v>638</v>
      </c>
      <c r="K35" s="206" t="s">
        <v>665</v>
      </c>
      <c r="L35" s="178">
        <v>2019</v>
      </c>
      <c r="M35" s="234" t="s">
        <v>1004</v>
      </c>
      <c r="N35" s="234" t="s">
        <v>997</v>
      </c>
      <c r="O35" s="245" t="s">
        <v>402</v>
      </c>
      <c r="P35" s="243">
        <v>40</v>
      </c>
      <c r="Q35" s="245" t="s">
        <v>1001</v>
      </c>
      <c r="R35" s="245" t="s">
        <v>562</v>
      </c>
      <c r="S35" s="243">
        <v>15</v>
      </c>
      <c r="T35" s="245" t="s">
        <v>1002</v>
      </c>
      <c r="U35" s="245" t="s">
        <v>502</v>
      </c>
      <c r="V35" s="245" t="s">
        <v>502</v>
      </c>
      <c r="W35" s="245" t="s">
        <v>502</v>
      </c>
      <c r="X35" s="245" t="s">
        <v>502</v>
      </c>
      <c r="Y35" s="245" t="s">
        <v>502</v>
      </c>
      <c r="Z35" s="245" t="s">
        <v>502</v>
      </c>
      <c r="AA35" s="234" t="s">
        <v>880</v>
      </c>
    </row>
    <row r="36" spans="1:27">
      <c r="A36" s="178">
        <f t="shared" ref="A36:A46" si="1">A35+1</f>
        <v>27</v>
      </c>
      <c r="B36" s="206" t="s">
        <v>634</v>
      </c>
      <c r="C36" s="207" t="s">
        <v>256</v>
      </c>
      <c r="D36" s="179">
        <v>1000</v>
      </c>
      <c r="E36" s="206" t="s">
        <v>586</v>
      </c>
      <c r="F36" s="179">
        <v>100</v>
      </c>
      <c r="G36" s="240">
        <v>44754</v>
      </c>
      <c r="H36" s="234" t="s">
        <v>1005</v>
      </c>
      <c r="I36" s="234" t="s">
        <v>1016</v>
      </c>
      <c r="J36" s="206" t="s">
        <v>639</v>
      </c>
      <c r="K36" s="206" t="s">
        <v>661</v>
      </c>
      <c r="L36" s="178">
        <v>2019</v>
      </c>
      <c r="M36" s="234" t="s">
        <v>1007</v>
      </c>
      <c r="N36" s="234" t="s">
        <v>1006</v>
      </c>
      <c r="O36" s="245" t="s">
        <v>402</v>
      </c>
      <c r="P36" s="243">
        <v>35</v>
      </c>
      <c r="Q36" s="245" t="s">
        <v>1009</v>
      </c>
      <c r="R36" s="245" t="s">
        <v>562</v>
      </c>
      <c r="S36" s="243">
        <v>20</v>
      </c>
      <c r="T36" s="245" t="s">
        <v>1010</v>
      </c>
      <c r="U36" s="245" t="s">
        <v>568</v>
      </c>
      <c r="V36" s="243">
        <v>5</v>
      </c>
      <c r="W36" s="245" t="s">
        <v>1011</v>
      </c>
      <c r="X36" s="245" t="s">
        <v>502</v>
      </c>
      <c r="Y36" s="245" t="s">
        <v>502</v>
      </c>
      <c r="Z36" s="245" t="s">
        <v>502</v>
      </c>
      <c r="AA36" s="234" t="s">
        <v>870</v>
      </c>
    </row>
    <row r="37" spans="1:27">
      <c r="A37" s="64">
        <f t="shared" si="1"/>
        <v>28</v>
      </c>
      <c r="B37" s="64" t="s">
        <v>448</v>
      </c>
      <c r="C37" s="200" t="s">
        <v>256</v>
      </c>
      <c r="D37" s="201">
        <v>1000</v>
      </c>
      <c r="E37" s="64" t="s">
        <v>402</v>
      </c>
      <c r="F37" s="201">
        <v>100</v>
      </c>
      <c r="G37" s="238">
        <v>44565</v>
      </c>
      <c r="H37" s="64" t="s">
        <v>1014</v>
      </c>
      <c r="I37" s="64" t="s">
        <v>1015</v>
      </c>
      <c r="J37" s="64" t="s">
        <v>637</v>
      </c>
      <c r="K37" s="64" t="s">
        <v>450</v>
      </c>
      <c r="L37" s="235">
        <v>43466</v>
      </c>
      <c r="M37" s="214" t="s">
        <v>629</v>
      </c>
      <c r="N37" s="215" t="s">
        <v>1012</v>
      </c>
      <c r="O37" s="245" t="s">
        <v>562</v>
      </c>
      <c r="P37" s="243">
        <v>30</v>
      </c>
      <c r="Q37" s="245" t="s">
        <v>1013</v>
      </c>
      <c r="R37" s="245" t="s">
        <v>502</v>
      </c>
      <c r="S37" s="245" t="s">
        <v>502</v>
      </c>
      <c r="T37" s="245" t="s">
        <v>502</v>
      </c>
      <c r="U37" s="245" t="s">
        <v>502</v>
      </c>
      <c r="V37" s="245" t="s">
        <v>502</v>
      </c>
      <c r="W37" s="245" t="s">
        <v>502</v>
      </c>
      <c r="X37" s="245" t="s">
        <v>502</v>
      </c>
      <c r="Y37" s="245" t="s">
        <v>502</v>
      </c>
      <c r="Z37" s="245" t="s">
        <v>502</v>
      </c>
      <c r="AA37" s="234" t="s">
        <v>938</v>
      </c>
    </row>
    <row r="38" spans="1:27">
      <c r="A38" s="178">
        <f t="shared" si="1"/>
        <v>29</v>
      </c>
      <c r="B38" s="206" t="s">
        <v>640</v>
      </c>
      <c r="C38" s="207" t="s">
        <v>256</v>
      </c>
      <c r="D38" s="179">
        <v>1000</v>
      </c>
      <c r="E38" s="206" t="s">
        <v>586</v>
      </c>
      <c r="F38" s="179">
        <v>99</v>
      </c>
      <c r="G38" s="240">
        <v>44796</v>
      </c>
      <c r="I38" s="234" t="s">
        <v>1023</v>
      </c>
      <c r="J38" s="206" t="s">
        <v>639</v>
      </c>
      <c r="K38" s="206" t="s">
        <v>661</v>
      </c>
      <c r="L38" s="178">
        <v>2019</v>
      </c>
      <c r="M38" s="234" t="s">
        <v>1022</v>
      </c>
      <c r="N38" s="234" t="s">
        <v>1024</v>
      </c>
      <c r="O38" s="245" t="s">
        <v>1020</v>
      </c>
      <c r="P38" s="243">
        <v>100</v>
      </c>
      <c r="Q38" s="245" t="s">
        <v>1025</v>
      </c>
      <c r="R38" s="245" t="s">
        <v>402</v>
      </c>
      <c r="S38" s="243">
        <v>40</v>
      </c>
      <c r="T38" s="245" t="s">
        <v>1026</v>
      </c>
      <c r="U38" s="245" t="s">
        <v>562</v>
      </c>
      <c r="V38" s="245">
        <v>20</v>
      </c>
      <c r="W38" s="245" t="s">
        <v>1027</v>
      </c>
      <c r="X38" s="245" t="s">
        <v>502</v>
      </c>
      <c r="Y38" s="245" t="s">
        <v>502</v>
      </c>
      <c r="Z38" s="245" t="s">
        <v>502</v>
      </c>
      <c r="AA38" s="234" t="s">
        <v>870</v>
      </c>
    </row>
    <row r="39" spans="1:27">
      <c r="A39" s="178">
        <v>30</v>
      </c>
      <c r="B39" s="178" t="s">
        <v>411</v>
      </c>
      <c r="C39" s="181" t="s">
        <v>256</v>
      </c>
      <c r="D39" s="179">
        <v>200</v>
      </c>
      <c r="E39" s="234" t="s">
        <v>568</v>
      </c>
      <c r="F39" s="179">
        <v>10</v>
      </c>
      <c r="G39" s="240">
        <v>45005</v>
      </c>
      <c r="I39" s="234" t="s">
        <v>1033</v>
      </c>
      <c r="J39" s="206" t="s">
        <v>639</v>
      </c>
      <c r="K39" s="206" t="s">
        <v>663</v>
      </c>
      <c r="L39" s="235">
        <v>41275</v>
      </c>
      <c r="M39" s="234" t="s">
        <v>1032</v>
      </c>
      <c r="N39" s="234" t="s">
        <v>1031</v>
      </c>
      <c r="O39" s="245" t="s">
        <v>502</v>
      </c>
      <c r="P39" s="245" t="s">
        <v>502</v>
      </c>
      <c r="Q39" s="245" t="s">
        <v>502</v>
      </c>
      <c r="R39" s="245" t="s">
        <v>502</v>
      </c>
      <c r="S39" s="245" t="s">
        <v>502</v>
      </c>
      <c r="T39" s="245" t="s">
        <v>502</v>
      </c>
      <c r="U39" s="245" t="s">
        <v>502</v>
      </c>
      <c r="V39" s="245" t="s">
        <v>502</v>
      </c>
      <c r="W39" s="245" t="s">
        <v>502</v>
      </c>
      <c r="X39" s="245" t="s">
        <v>502</v>
      </c>
      <c r="Y39" s="245" t="s">
        <v>502</v>
      </c>
      <c r="Z39" s="245" t="s">
        <v>502</v>
      </c>
      <c r="AA39" s="234" t="s">
        <v>870</v>
      </c>
    </row>
    <row r="40" spans="1:27">
      <c r="A40" s="178">
        <f t="shared" si="1"/>
        <v>31</v>
      </c>
      <c r="B40" s="214" t="s">
        <v>651</v>
      </c>
      <c r="C40" s="207" t="s">
        <v>256</v>
      </c>
      <c r="D40" s="179">
        <v>250</v>
      </c>
      <c r="E40" s="206" t="s">
        <v>586</v>
      </c>
      <c r="F40" s="179">
        <v>50</v>
      </c>
      <c r="J40" s="206" t="s">
        <v>639</v>
      </c>
      <c r="K40" s="206" t="s">
        <v>661</v>
      </c>
    </row>
    <row r="41" spans="1:27">
      <c r="A41" s="178">
        <f t="shared" si="1"/>
        <v>32</v>
      </c>
      <c r="B41" s="214" t="s">
        <v>660</v>
      </c>
      <c r="C41" s="207" t="s">
        <v>256</v>
      </c>
      <c r="D41" s="179">
        <v>250</v>
      </c>
      <c r="E41" s="206" t="s">
        <v>562</v>
      </c>
      <c r="F41" s="179">
        <v>50</v>
      </c>
      <c r="J41" s="215" t="s">
        <v>638</v>
      </c>
      <c r="K41" s="215" t="s">
        <v>662</v>
      </c>
      <c r="L41" s="178">
        <v>2020</v>
      </c>
    </row>
    <row r="42" spans="1:27">
      <c r="A42" s="64">
        <f t="shared" si="1"/>
        <v>33</v>
      </c>
      <c r="B42" s="64" t="s">
        <v>418</v>
      </c>
      <c r="C42" s="200" t="s">
        <v>256</v>
      </c>
      <c r="D42" s="201">
        <v>150</v>
      </c>
      <c r="E42" s="64" t="s">
        <v>562</v>
      </c>
      <c r="F42" s="201">
        <v>26</v>
      </c>
      <c r="G42" s="201"/>
      <c r="J42" s="215" t="s">
        <v>637</v>
      </c>
      <c r="K42" s="215" t="s">
        <v>464</v>
      </c>
      <c r="L42" s="178">
        <v>2022</v>
      </c>
    </row>
    <row r="43" spans="1:27">
      <c r="A43" s="178">
        <f t="shared" si="1"/>
        <v>34</v>
      </c>
      <c r="B43" s="206" t="s">
        <v>655</v>
      </c>
      <c r="C43" s="207" t="s">
        <v>256</v>
      </c>
      <c r="D43" s="179">
        <v>150</v>
      </c>
      <c r="E43" s="206" t="s">
        <v>402</v>
      </c>
      <c r="F43" s="179">
        <v>50</v>
      </c>
      <c r="J43" s="206" t="s">
        <v>639</v>
      </c>
      <c r="K43" s="206" t="s">
        <v>656</v>
      </c>
      <c r="L43" s="210" t="s">
        <v>649</v>
      </c>
    </row>
    <row r="44" spans="1:27">
      <c r="A44" s="178">
        <f t="shared" si="1"/>
        <v>35</v>
      </c>
      <c r="B44" s="178" t="s">
        <v>425</v>
      </c>
      <c r="C44" s="203" t="s">
        <v>256</v>
      </c>
      <c r="D44" s="179">
        <v>125</v>
      </c>
      <c r="E44" s="206" t="s">
        <v>562</v>
      </c>
      <c r="F44" s="179">
        <v>65</v>
      </c>
      <c r="J44" s="206" t="s">
        <v>639</v>
      </c>
      <c r="K44" s="206" t="s">
        <v>644</v>
      </c>
      <c r="L44" s="178">
        <v>2022</v>
      </c>
      <c r="N44" s="202" t="s">
        <v>578</v>
      </c>
    </row>
    <row r="45" spans="1:27">
      <c r="A45" s="178">
        <f t="shared" si="1"/>
        <v>36</v>
      </c>
      <c r="B45" s="178" t="s">
        <v>453</v>
      </c>
      <c r="C45" s="203" t="s">
        <v>256</v>
      </c>
      <c r="D45" s="179">
        <v>125</v>
      </c>
      <c r="F45" s="179">
        <v>65</v>
      </c>
      <c r="J45" s="206" t="s">
        <v>637</v>
      </c>
      <c r="K45" s="202" t="s">
        <v>464</v>
      </c>
      <c r="L45" s="180">
        <v>44228</v>
      </c>
    </row>
    <row r="46" spans="1:27">
      <c r="A46" s="178">
        <f t="shared" si="1"/>
        <v>37</v>
      </c>
      <c r="B46" s="214" t="s">
        <v>648</v>
      </c>
      <c r="C46" s="207" t="s">
        <v>256</v>
      </c>
      <c r="D46" s="179">
        <v>125</v>
      </c>
      <c r="E46" s="206" t="s">
        <v>402</v>
      </c>
      <c r="F46" s="179">
        <v>60</v>
      </c>
      <c r="J46" s="206" t="s">
        <v>639</v>
      </c>
      <c r="K46" s="206" t="s">
        <v>579</v>
      </c>
      <c r="L46" s="209" t="s">
        <v>649</v>
      </c>
    </row>
    <row r="47" spans="1:27">
      <c r="A47" s="178">
        <f>A46+1</f>
        <v>38</v>
      </c>
      <c r="B47" s="206" t="s">
        <v>657</v>
      </c>
      <c r="C47" s="207" t="s">
        <v>256</v>
      </c>
      <c r="D47" s="179">
        <v>125</v>
      </c>
      <c r="E47" s="206" t="s">
        <v>562</v>
      </c>
      <c r="F47" s="179">
        <v>44</v>
      </c>
      <c r="J47" s="206" t="s">
        <v>639</v>
      </c>
      <c r="K47" s="206" t="s">
        <v>658</v>
      </c>
      <c r="L47" s="209" t="s">
        <v>649</v>
      </c>
    </row>
    <row r="48" spans="1:27">
      <c r="A48" s="178">
        <f t="shared" ref="A48:A53" si="2">A47+1</f>
        <v>39</v>
      </c>
      <c r="B48" s="206" t="s">
        <v>672</v>
      </c>
      <c r="C48" s="207" t="s">
        <v>256</v>
      </c>
      <c r="D48" s="179">
        <v>150</v>
      </c>
      <c r="E48" s="206" t="s">
        <v>402</v>
      </c>
      <c r="F48" s="179">
        <v>43</v>
      </c>
      <c r="J48" s="206" t="s">
        <v>638</v>
      </c>
      <c r="K48" s="206" t="s">
        <v>644</v>
      </c>
      <c r="L48" s="209" t="s">
        <v>673</v>
      </c>
    </row>
    <row r="49" spans="1:14">
      <c r="A49" s="178">
        <f t="shared" si="2"/>
        <v>40</v>
      </c>
      <c r="B49" s="206" t="s">
        <v>675</v>
      </c>
      <c r="C49" s="207" t="s">
        <v>256</v>
      </c>
      <c r="D49" s="179">
        <v>150</v>
      </c>
      <c r="E49" s="206" t="s">
        <v>402</v>
      </c>
      <c r="F49" s="179">
        <v>40</v>
      </c>
      <c r="J49" s="206" t="s">
        <v>639</v>
      </c>
      <c r="K49" s="206" t="s">
        <v>661</v>
      </c>
      <c r="L49" s="209" t="s">
        <v>649</v>
      </c>
    </row>
    <row r="50" spans="1:14">
      <c r="A50" s="178">
        <f t="shared" si="2"/>
        <v>41</v>
      </c>
      <c r="B50" s="206" t="s">
        <v>676</v>
      </c>
      <c r="C50" s="207" t="s">
        <v>256</v>
      </c>
      <c r="D50" s="179">
        <v>150</v>
      </c>
      <c r="E50" s="206" t="s">
        <v>402</v>
      </c>
      <c r="F50" s="179">
        <v>40</v>
      </c>
      <c r="J50" s="206" t="s">
        <v>638</v>
      </c>
      <c r="K50" s="206" t="s">
        <v>665</v>
      </c>
      <c r="L50" s="209" t="s">
        <v>654</v>
      </c>
    </row>
    <row r="51" spans="1:14">
      <c r="A51" s="178">
        <f t="shared" si="2"/>
        <v>42</v>
      </c>
      <c r="B51" s="204" t="s">
        <v>591</v>
      </c>
      <c r="C51" s="205" t="s">
        <v>256</v>
      </c>
      <c r="D51" s="179">
        <v>100</v>
      </c>
      <c r="E51" s="204" t="s">
        <v>568</v>
      </c>
      <c r="F51" s="179">
        <v>50</v>
      </c>
      <c r="J51" s="217" t="s">
        <v>638</v>
      </c>
      <c r="K51" s="217" t="s">
        <v>431</v>
      </c>
      <c r="L51" s="210" t="s">
        <v>650</v>
      </c>
      <c r="N51" s="202"/>
    </row>
    <row r="52" spans="1:14">
      <c r="A52" s="64">
        <f t="shared" si="2"/>
        <v>43</v>
      </c>
      <c r="B52" s="64" t="s">
        <v>652</v>
      </c>
      <c r="C52" s="200" t="s">
        <v>256</v>
      </c>
      <c r="D52" s="201">
        <v>100</v>
      </c>
      <c r="E52" s="64" t="s">
        <v>402</v>
      </c>
      <c r="F52" s="201">
        <v>50</v>
      </c>
      <c r="G52" s="201"/>
      <c r="H52" s="64"/>
      <c r="I52" s="64"/>
      <c r="J52" s="64" t="s">
        <v>639</v>
      </c>
      <c r="K52" s="64" t="s">
        <v>653</v>
      </c>
      <c r="L52" s="216" t="s">
        <v>654</v>
      </c>
      <c r="N52" s="64"/>
    </row>
    <row r="53" spans="1:14">
      <c r="A53" s="178">
        <f t="shared" si="2"/>
        <v>44</v>
      </c>
      <c r="B53" s="64" t="s">
        <v>454</v>
      </c>
      <c r="C53" s="200" t="s">
        <v>256</v>
      </c>
      <c r="D53" s="201">
        <v>100</v>
      </c>
      <c r="E53" s="64" t="s">
        <v>562</v>
      </c>
      <c r="F53" s="201">
        <v>50</v>
      </c>
      <c r="G53" s="201"/>
      <c r="H53" s="64"/>
      <c r="I53" s="64"/>
      <c r="J53" s="217" t="s">
        <v>637</v>
      </c>
      <c r="K53" s="217" t="s">
        <v>247</v>
      </c>
      <c r="L53" s="211">
        <v>44378</v>
      </c>
    </row>
    <row r="54" spans="1:14">
      <c r="B54" s="178" t="s">
        <v>455</v>
      </c>
      <c r="C54" s="203" t="s">
        <v>256</v>
      </c>
      <c r="D54" s="179">
        <v>100</v>
      </c>
      <c r="E54" s="202" t="s">
        <v>562</v>
      </c>
      <c r="F54" s="179">
        <v>50</v>
      </c>
      <c r="J54" s="206" t="s">
        <v>638</v>
      </c>
      <c r="K54" s="178" t="s">
        <v>456</v>
      </c>
      <c r="L54" s="180">
        <v>44440</v>
      </c>
    </row>
    <row r="55" spans="1:14">
      <c r="A55" s="178">
        <v>47</v>
      </c>
      <c r="B55" s="178" t="s">
        <v>457</v>
      </c>
      <c r="C55" s="207" t="s">
        <v>256</v>
      </c>
      <c r="D55" s="179">
        <v>100</v>
      </c>
      <c r="E55" s="206" t="s">
        <v>568</v>
      </c>
      <c r="F55" s="179">
        <v>42</v>
      </c>
      <c r="H55" s="64" t="s">
        <v>674</v>
      </c>
      <c r="J55" s="215" t="s">
        <v>638</v>
      </c>
      <c r="K55" s="217" t="s">
        <v>431</v>
      </c>
      <c r="L55" s="180">
        <v>44440</v>
      </c>
    </row>
    <row r="56" spans="1:14">
      <c r="A56" s="178">
        <f>A55+1</f>
        <v>48</v>
      </c>
      <c r="B56" s="178" t="s">
        <v>458</v>
      </c>
      <c r="C56" s="207" t="s">
        <v>256</v>
      </c>
      <c r="D56" s="179">
        <v>100</v>
      </c>
      <c r="E56" s="206" t="s">
        <v>562</v>
      </c>
      <c r="F56" s="179">
        <v>40</v>
      </c>
      <c r="H56" s="206" t="s">
        <v>678</v>
      </c>
      <c r="J56" s="206" t="s">
        <v>637</v>
      </c>
      <c r="K56" s="206" t="s">
        <v>677</v>
      </c>
      <c r="L56" s="180">
        <v>44501</v>
      </c>
    </row>
    <row r="57" spans="1:14">
      <c r="A57" s="178">
        <f>A56+1</f>
        <v>49</v>
      </c>
      <c r="B57" s="206" t="s">
        <v>679</v>
      </c>
      <c r="C57" s="207" t="s">
        <v>256</v>
      </c>
      <c r="D57" s="179">
        <v>125</v>
      </c>
      <c r="E57" s="206" t="s">
        <v>402</v>
      </c>
      <c r="F57" s="179">
        <v>38</v>
      </c>
      <c r="H57" s="206"/>
      <c r="J57" s="206" t="s">
        <v>639</v>
      </c>
      <c r="K57" s="206" t="s">
        <v>661</v>
      </c>
      <c r="L57" s="209" t="s">
        <v>673</v>
      </c>
    </row>
    <row r="58" spans="1:14">
      <c r="A58" s="178">
        <f>A57+1</f>
        <v>50</v>
      </c>
      <c r="B58" s="206" t="s">
        <v>680</v>
      </c>
      <c r="C58" s="207" t="s">
        <v>256</v>
      </c>
      <c r="D58" s="179">
        <v>125</v>
      </c>
      <c r="E58" s="206" t="s">
        <v>402</v>
      </c>
      <c r="F58" s="179">
        <v>37</v>
      </c>
      <c r="H58" s="206" t="s">
        <v>681</v>
      </c>
      <c r="J58" s="206" t="s">
        <v>639</v>
      </c>
      <c r="K58" s="206" t="s">
        <v>658</v>
      </c>
      <c r="L58" s="209">
        <v>43405</v>
      </c>
    </row>
    <row r="59" spans="1:14">
      <c r="A59" s="178">
        <v>51</v>
      </c>
      <c r="B59" s="206" t="s">
        <v>682</v>
      </c>
      <c r="C59" s="207" t="s">
        <v>256</v>
      </c>
      <c r="D59" s="179">
        <v>100</v>
      </c>
      <c r="E59" s="206" t="s">
        <v>562</v>
      </c>
      <c r="F59" s="179">
        <v>30</v>
      </c>
      <c r="H59" s="206"/>
      <c r="J59" s="206" t="s">
        <v>639</v>
      </c>
      <c r="K59" s="206" t="s">
        <v>661</v>
      </c>
      <c r="L59" s="209">
        <v>43313</v>
      </c>
    </row>
    <row r="60" spans="1:14">
      <c r="A60" s="178">
        <v>52</v>
      </c>
      <c r="B60" s="178" t="s">
        <v>465</v>
      </c>
      <c r="C60" s="205" t="s">
        <v>256</v>
      </c>
      <c r="D60" s="179">
        <v>100</v>
      </c>
      <c r="E60" s="204" t="s">
        <v>562</v>
      </c>
      <c r="F60" s="179">
        <v>23</v>
      </c>
      <c r="J60" s="206" t="s">
        <v>639</v>
      </c>
      <c r="K60" s="178" t="s">
        <v>466</v>
      </c>
      <c r="L60" s="180">
        <v>44621</v>
      </c>
    </row>
    <row r="61" spans="1:14">
      <c r="A61" s="178">
        <v>53</v>
      </c>
      <c r="B61" s="206" t="s">
        <v>459</v>
      </c>
      <c r="C61" s="207" t="s">
        <v>256</v>
      </c>
      <c r="D61" s="179">
        <v>100</v>
      </c>
      <c r="E61" s="206" t="s">
        <v>568</v>
      </c>
      <c r="F61" s="179">
        <v>30</v>
      </c>
      <c r="J61" s="206" t="s">
        <v>639</v>
      </c>
      <c r="K61" s="206" t="s">
        <v>658</v>
      </c>
      <c r="L61" s="180">
        <v>44562</v>
      </c>
    </row>
    <row r="62" spans="1:14">
      <c r="A62" s="178">
        <v>54</v>
      </c>
      <c r="B62" s="202" t="s">
        <v>560</v>
      </c>
      <c r="C62" s="203" t="s">
        <v>256</v>
      </c>
      <c r="D62" s="179">
        <v>100</v>
      </c>
      <c r="E62" s="202" t="s">
        <v>562</v>
      </c>
      <c r="F62" s="179">
        <v>21</v>
      </c>
      <c r="J62" s="215" t="s">
        <v>638</v>
      </c>
      <c r="K62" s="215" t="s">
        <v>561</v>
      </c>
      <c r="L62" s="180">
        <v>44562</v>
      </c>
      <c r="N62" s="214" t="s">
        <v>563</v>
      </c>
    </row>
    <row r="63" spans="1:14">
      <c r="B63" s="206" t="s">
        <v>683</v>
      </c>
      <c r="C63" s="207" t="s">
        <v>256</v>
      </c>
      <c r="D63" s="179">
        <v>100</v>
      </c>
      <c r="E63" s="206" t="s">
        <v>402</v>
      </c>
      <c r="F63" s="179">
        <v>30</v>
      </c>
      <c r="J63" s="206" t="s">
        <v>638</v>
      </c>
      <c r="K63" s="206" t="s">
        <v>669</v>
      </c>
      <c r="L63" s="218">
        <v>43497</v>
      </c>
      <c r="M63" s="215" t="s">
        <v>431</v>
      </c>
      <c r="N63" s="202"/>
    </row>
    <row r="64" spans="1:14">
      <c r="A64" s="178">
        <v>55</v>
      </c>
      <c r="B64" s="206" t="s">
        <v>684</v>
      </c>
      <c r="C64" s="207" t="s">
        <v>256</v>
      </c>
      <c r="D64" s="179">
        <v>100</v>
      </c>
      <c r="E64" s="206" t="s">
        <v>402</v>
      </c>
      <c r="F64" s="179">
        <v>30</v>
      </c>
      <c r="J64" s="206" t="s">
        <v>638</v>
      </c>
      <c r="K64" s="206" t="s">
        <v>661</v>
      </c>
      <c r="L64" s="209" t="s">
        <v>649</v>
      </c>
      <c r="N64" s="202"/>
    </row>
    <row r="65" spans="1:14">
      <c r="B65" s="206" t="s">
        <v>685</v>
      </c>
      <c r="C65" s="207" t="s">
        <v>256</v>
      </c>
      <c r="D65" s="179">
        <v>100</v>
      </c>
      <c r="E65" s="206" t="s">
        <v>562</v>
      </c>
      <c r="F65" s="179">
        <v>30</v>
      </c>
      <c r="J65" s="206" t="s">
        <v>637</v>
      </c>
      <c r="K65" s="206" t="s">
        <v>686</v>
      </c>
      <c r="L65" s="209" t="s">
        <v>673</v>
      </c>
      <c r="N65" s="202"/>
    </row>
    <row r="66" spans="1:14">
      <c r="A66" s="178">
        <v>56</v>
      </c>
      <c r="B66" s="206" t="s">
        <v>688</v>
      </c>
      <c r="C66" s="207" t="s">
        <v>256</v>
      </c>
      <c r="D66" s="179">
        <v>100</v>
      </c>
      <c r="E66" s="206" t="s">
        <v>562</v>
      </c>
      <c r="F66" s="179">
        <v>30</v>
      </c>
      <c r="J66" s="206" t="s">
        <v>639</v>
      </c>
      <c r="K66" s="206" t="s">
        <v>661</v>
      </c>
      <c r="L66" s="209">
        <v>43862</v>
      </c>
      <c r="N66" s="202"/>
    </row>
    <row r="67" spans="1:14">
      <c r="A67" s="178">
        <f>+A66+1</f>
        <v>57</v>
      </c>
      <c r="B67" s="204" t="s">
        <v>593</v>
      </c>
      <c r="C67" s="205" t="s">
        <v>256</v>
      </c>
      <c r="D67" s="179">
        <v>100</v>
      </c>
      <c r="E67" s="219" t="s">
        <v>502</v>
      </c>
      <c r="F67" s="179">
        <v>20.5</v>
      </c>
      <c r="J67" s="206" t="s">
        <v>639</v>
      </c>
      <c r="K67" s="206" t="s">
        <v>669</v>
      </c>
      <c r="L67" s="180">
        <v>44652</v>
      </c>
      <c r="N67" s="202"/>
    </row>
    <row r="68" spans="1:14">
      <c r="A68" s="178">
        <f t="shared" ref="A68:A73" si="3">+A67+1</f>
        <v>58</v>
      </c>
      <c r="B68" s="191" t="s">
        <v>532</v>
      </c>
      <c r="C68" s="192" t="s">
        <v>256</v>
      </c>
      <c r="D68" s="179">
        <v>50</v>
      </c>
      <c r="F68" s="179">
        <v>8</v>
      </c>
      <c r="I68" s="214" t="s">
        <v>583</v>
      </c>
      <c r="J68" s="206" t="s">
        <v>461</v>
      </c>
      <c r="K68" s="206" t="s">
        <v>461</v>
      </c>
      <c r="L68" s="214">
        <v>2023</v>
      </c>
      <c r="N68" s="214" t="s">
        <v>584</v>
      </c>
    </row>
    <row r="69" spans="1:14">
      <c r="A69" s="178">
        <f t="shared" si="3"/>
        <v>59</v>
      </c>
      <c r="B69" s="202" t="s">
        <v>589</v>
      </c>
      <c r="C69" s="203" t="s">
        <v>256</v>
      </c>
      <c r="D69" s="179">
        <v>50</v>
      </c>
      <c r="F69" s="179">
        <v>11</v>
      </c>
      <c r="J69" s="215" t="s">
        <v>638</v>
      </c>
      <c r="K69" s="215" t="s">
        <v>561</v>
      </c>
    </row>
    <row r="70" spans="1:14">
      <c r="A70" s="178">
        <f t="shared" si="3"/>
        <v>60</v>
      </c>
      <c r="B70" s="202" t="s">
        <v>590</v>
      </c>
      <c r="C70" s="203" t="s">
        <v>256</v>
      </c>
      <c r="D70" s="179">
        <v>30</v>
      </c>
      <c r="F70" s="179">
        <v>6</v>
      </c>
      <c r="J70" s="206" t="s">
        <v>637</v>
      </c>
      <c r="K70" s="206" t="s">
        <v>669</v>
      </c>
    </row>
    <row r="71" spans="1:14">
      <c r="A71" s="178">
        <f t="shared" si="3"/>
        <v>61</v>
      </c>
      <c r="B71" s="202" t="s">
        <v>571</v>
      </c>
      <c r="C71" s="203" t="s">
        <v>256</v>
      </c>
      <c r="D71" s="179">
        <v>25</v>
      </c>
      <c r="E71" s="202" t="s">
        <v>568</v>
      </c>
      <c r="F71" s="179">
        <v>2.6</v>
      </c>
      <c r="H71" s="202" t="s">
        <v>569</v>
      </c>
      <c r="J71" s="206" t="s">
        <v>637</v>
      </c>
      <c r="K71" s="202" t="s">
        <v>567</v>
      </c>
      <c r="N71" s="202" t="s">
        <v>570</v>
      </c>
    </row>
    <row r="72" spans="1:14">
      <c r="A72" s="178">
        <f t="shared" si="3"/>
        <v>62</v>
      </c>
      <c r="B72" s="206" t="s">
        <v>659</v>
      </c>
      <c r="C72" s="207" t="s">
        <v>256</v>
      </c>
      <c r="D72" s="179">
        <v>400</v>
      </c>
      <c r="E72" s="202"/>
      <c r="H72" s="202"/>
      <c r="J72" s="206" t="s">
        <v>638</v>
      </c>
      <c r="K72" s="206" t="s">
        <v>671</v>
      </c>
      <c r="N72" s="202"/>
    </row>
    <row r="73" spans="1:14">
      <c r="A73" s="178">
        <f t="shared" si="3"/>
        <v>63</v>
      </c>
      <c r="B73" s="206" t="s">
        <v>392</v>
      </c>
      <c r="C73" s="207" t="s">
        <v>256</v>
      </c>
      <c r="D73" s="179">
        <v>1000</v>
      </c>
      <c r="E73" s="202"/>
      <c r="H73" s="202"/>
      <c r="J73" s="206" t="s">
        <v>638</v>
      </c>
      <c r="K73" s="206" t="s">
        <v>466</v>
      </c>
      <c r="N73" s="202"/>
    </row>
    <row r="74" spans="1:14">
      <c r="B74" s="178" t="s">
        <v>460</v>
      </c>
      <c r="C74" s="207" t="s">
        <v>256</v>
      </c>
      <c r="D74" s="179">
        <v>100</v>
      </c>
      <c r="E74" s="206" t="s">
        <v>568</v>
      </c>
      <c r="F74" s="179">
        <v>30</v>
      </c>
      <c r="J74" s="206" t="s">
        <v>461</v>
      </c>
      <c r="K74" s="206" t="s">
        <v>687</v>
      </c>
      <c r="L74" s="178">
        <v>2021</v>
      </c>
    </row>
    <row r="75" spans="1:14">
      <c r="A75" s="178">
        <v>64</v>
      </c>
      <c r="B75" s="206" t="s">
        <v>691</v>
      </c>
      <c r="C75" s="207" t="s">
        <v>256</v>
      </c>
      <c r="D75" s="179">
        <v>100</v>
      </c>
      <c r="F75" s="179">
        <v>29</v>
      </c>
      <c r="J75" s="206" t="s">
        <v>638</v>
      </c>
      <c r="K75" s="206" t="s">
        <v>671</v>
      </c>
      <c r="L75" s="180">
        <v>43344</v>
      </c>
    </row>
    <row r="76" spans="1:14">
      <c r="B76" s="206" t="s">
        <v>692</v>
      </c>
      <c r="C76" s="207" t="s">
        <v>256</v>
      </c>
      <c r="D76" s="179">
        <v>100</v>
      </c>
      <c r="E76" s="206" t="s">
        <v>562</v>
      </c>
      <c r="F76" s="179">
        <v>28</v>
      </c>
      <c r="J76" s="206" t="s">
        <v>638</v>
      </c>
      <c r="K76" s="206" t="s">
        <v>665</v>
      </c>
      <c r="L76" s="209" t="s">
        <v>673</v>
      </c>
    </row>
    <row r="77" spans="1:14">
      <c r="B77" s="206" t="s">
        <v>693</v>
      </c>
      <c r="C77" s="207" t="s">
        <v>256</v>
      </c>
      <c r="D77" s="179">
        <v>100</v>
      </c>
      <c r="E77" s="206" t="s">
        <v>562</v>
      </c>
      <c r="F77" s="179">
        <v>28</v>
      </c>
      <c r="J77" s="206" t="s">
        <v>637</v>
      </c>
      <c r="K77" s="206" t="s">
        <v>694</v>
      </c>
      <c r="L77" s="209">
        <v>43556</v>
      </c>
    </row>
    <row r="78" spans="1:14">
      <c r="B78" s="206" t="s">
        <v>695</v>
      </c>
      <c r="C78" s="207" t="s">
        <v>256</v>
      </c>
      <c r="D78" s="179">
        <v>100</v>
      </c>
      <c r="E78" s="206" t="s">
        <v>562</v>
      </c>
      <c r="F78" s="179">
        <v>25</v>
      </c>
      <c r="J78" s="206" t="s">
        <v>639</v>
      </c>
      <c r="K78" s="206" t="s">
        <v>667</v>
      </c>
      <c r="L78" s="209">
        <v>43496</v>
      </c>
    </row>
    <row r="79" spans="1:14">
      <c r="B79" s="206" t="s">
        <v>696</v>
      </c>
      <c r="C79" s="207" t="s">
        <v>256</v>
      </c>
      <c r="D79" s="179">
        <v>100</v>
      </c>
      <c r="E79" s="206"/>
      <c r="F79" s="179">
        <v>26</v>
      </c>
      <c r="J79" s="206" t="s">
        <v>638</v>
      </c>
      <c r="K79" s="206" t="s">
        <v>665</v>
      </c>
      <c r="L79" s="209">
        <v>43374</v>
      </c>
    </row>
    <row r="80" spans="1:14">
      <c r="A80" s="64">
        <v>61</v>
      </c>
      <c r="B80" s="64" t="s">
        <v>697</v>
      </c>
      <c r="C80" s="200" t="s">
        <v>256</v>
      </c>
      <c r="D80" s="201">
        <v>100</v>
      </c>
      <c r="E80" s="64" t="s">
        <v>562</v>
      </c>
      <c r="F80" s="201">
        <v>25</v>
      </c>
      <c r="G80" s="201"/>
      <c r="H80" s="64"/>
      <c r="I80" s="64"/>
      <c r="J80" s="64" t="s">
        <v>639</v>
      </c>
      <c r="K80" s="64" t="s">
        <v>661</v>
      </c>
      <c r="L80" s="212" t="s">
        <v>673</v>
      </c>
    </row>
    <row r="81" spans="1:26">
      <c r="B81" s="178" t="s">
        <v>462</v>
      </c>
      <c r="F81" s="179">
        <v>27</v>
      </c>
      <c r="K81" s="178" t="s">
        <v>463</v>
      </c>
      <c r="L81" s="178">
        <v>2021</v>
      </c>
    </row>
    <row r="82" spans="1:26">
      <c r="A82" s="178">
        <v>62</v>
      </c>
      <c r="B82" s="206" t="s">
        <v>698</v>
      </c>
      <c r="C82" s="207" t="s">
        <v>256</v>
      </c>
      <c r="D82" s="179">
        <v>100</v>
      </c>
      <c r="E82" s="206" t="s">
        <v>562</v>
      </c>
      <c r="F82" s="179">
        <v>25</v>
      </c>
      <c r="J82" s="206" t="s">
        <v>639</v>
      </c>
      <c r="K82" s="206" t="s">
        <v>661</v>
      </c>
      <c r="L82" s="210" t="s">
        <v>649</v>
      </c>
    </row>
    <row r="83" spans="1:26">
      <c r="B83" s="204" t="s">
        <v>594</v>
      </c>
      <c r="L83" s="180"/>
    </row>
    <row r="84" spans="1:26">
      <c r="A84" s="178">
        <v>63</v>
      </c>
      <c r="B84" s="178" t="s">
        <v>467</v>
      </c>
      <c r="C84" s="207" t="s">
        <v>256</v>
      </c>
      <c r="D84" s="179">
        <v>100</v>
      </c>
      <c r="E84" s="206" t="s">
        <v>562</v>
      </c>
      <c r="F84" s="179">
        <v>25</v>
      </c>
      <c r="J84" s="206" t="s">
        <v>639</v>
      </c>
      <c r="K84" s="206" t="s">
        <v>661</v>
      </c>
      <c r="L84" s="178">
        <v>2021</v>
      </c>
    </row>
    <row r="85" spans="1:26">
      <c r="A85" s="178">
        <v>64</v>
      </c>
      <c r="B85" s="206" t="s">
        <v>701</v>
      </c>
      <c r="C85" s="207" t="s">
        <v>256</v>
      </c>
      <c r="D85" s="179">
        <v>100</v>
      </c>
      <c r="E85" s="206" t="s">
        <v>562</v>
      </c>
      <c r="F85" s="179">
        <v>25</v>
      </c>
      <c r="J85" s="206" t="s">
        <v>639</v>
      </c>
      <c r="K85" s="206" t="s">
        <v>661</v>
      </c>
      <c r="L85" s="180">
        <v>43435</v>
      </c>
    </row>
    <row r="86" spans="1:26">
      <c r="A86" s="178">
        <v>65</v>
      </c>
      <c r="B86" s="206" t="s">
        <v>702</v>
      </c>
      <c r="C86" s="207" t="s">
        <v>256</v>
      </c>
      <c r="D86" s="179">
        <v>100</v>
      </c>
      <c r="E86" s="206" t="s">
        <v>562</v>
      </c>
      <c r="F86" s="179">
        <v>25</v>
      </c>
      <c r="J86" s="206" t="s">
        <v>638</v>
      </c>
      <c r="K86" s="206" t="s">
        <v>669</v>
      </c>
      <c r="L86" s="209" t="s">
        <v>673</v>
      </c>
    </row>
    <row r="87" spans="1:26">
      <c r="A87" s="178">
        <v>66</v>
      </c>
      <c r="B87" s="206" t="s">
        <v>703</v>
      </c>
      <c r="C87" s="207" t="s">
        <v>256</v>
      </c>
      <c r="D87" s="179">
        <v>100</v>
      </c>
      <c r="E87" s="206" t="s">
        <v>402</v>
      </c>
      <c r="F87" s="179">
        <v>25</v>
      </c>
      <c r="H87" s="219" t="s">
        <v>723</v>
      </c>
      <c r="J87" s="206" t="s">
        <v>639</v>
      </c>
      <c r="K87" s="206" t="s">
        <v>661</v>
      </c>
      <c r="L87" s="209" t="s">
        <v>649</v>
      </c>
    </row>
    <row r="88" spans="1:26">
      <c r="A88" s="178">
        <v>67</v>
      </c>
      <c r="B88" s="206" t="s">
        <v>704</v>
      </c>
      <c r="C88" s="207" t="s">
        <v>256</v>
      </c>
      <c r="D88" s="179">
        <v>100</v>
      </c>
      <c r="E88" s="206" t="s">
        <v>562</v>
      </c>
      <c r="F88" s="179">
        <v>25</v>
      </c>
      <c r="J88" s="206" t="s">
        <v>639</v>
      </c>
      <c r="K88" s="206" t="s">
        <v>661</v>
      </c>
      <c r="L88" s="209">
        <v>43709</v>
      </c>
    </row>
    <row r="89" spans="1:26">
      <c r="A89" s="178">
        <v>68</v>
      </c>
      <c r="B89" s="206" t="s">
        <v>705</v>
      </c>
      <c r="C89" s="207" t="s">
        <v>256</v>
      </c>
      <c r="D89" s="179">
        <v>100</v>
      </c>
      <c r="E89" s="206" t="s">
        <v>402</v>
      </c>
      <c r="F89" s="179">
        <v>25</v>
      </c>
      <c r="J89" s="206" t="s">
        <v>639</v>
      </c>
      <c r="K89" s="206" t="s">
        <v>661</v>
      </c>
      <c r="L89" s="209" t="s">
        <v>649</v>
      </c>
    </row>
    <row r="90" spans="1:26">
      <c r="A90" s="178">
        <v>69</v>
      </c>
      <c r="B90" s="206" t="s">
        <v>706</v>
      </c>
      <c r="C90" s="207" t="s">
        <v>256</v>
      </c>
      <c r="D90" s="179">
        <v>100</v>
      </c>
      <c r="E90" s="206" t="s">
        <v>562</v>
      </c>
      <c r="F90" s="179">
        <v>25</v>
      </c>
      <c r="J90" s="206" t="s">
        <v>638</v>
      </c>
      <c r="K90" s="206" t="s">
        <v>707</v>
      </c>
      <c r="L90" s="209" t="s">
        <v>649</v>
      </c>
    </row>
    <row r="91" spans="1:26">
      <c r="B91" s="219" t="s">
        <v>710</v>
      </c>
      <c r="C91" s="220" t="s">
        <v>256</v>
      </c>
      <c r="D91" s="179">
        <v>100</v>
      </c>
      <c r="E91" s="219" t="s">
        <v>562</v>
      </c>
      <c r="F91" s="179">
        <v>21</v>
      </c>
      <c r="J91" s="219" t="s">
        <v>638</v>
      </c>
      <c r="K91" s="219" t="s">
        <v>431</v>
      </c>
      <c r="L91" s="209">
        <v>43282</v>
      </c>
    </row>
    <row r="92" spans="1:26">
      <c r="B92" s="219" t="s">
        <v>711</v>
      </c>
      <c r="C92" s="220" t="s">
        <v>256</v>
      </c>
      <c r="D92" s="179">
        <v>100</v>
      </c>
      <c r="E92" s="219" t="s">
        <v>562</v>
      </c>
      <c r="F92" s="179">
        <v>20</v>
      </c>
      <c r="J92" s="219" t="s">
        <v>638</v>
      </c>
      <c r="K92" s="219" t="s">
        <v>664</v>
      </c>
      <c r="L92" s="222" t="s">
        <v>649</v>
      </c>
    </row>
    <row r="93" spans="1:26">
      <c r="B93" s="219" t="s">
        <v>712</v>
      </c>
      <c r="C93" s="220" t="s">
        <v>256</v>
      </c>
      <c r="D93" s="179">
        <v>75</v>
      </c>
      <c r="E93" s="219" t="s">
        <v>562</v>
      </c>
      <c r="F93" s="179">
        <v>20</v>
      </c>
      <c r="J93" s="219" t="s">
        <v>638</v>
      </c>
      <c r="K93" s="219" t="s">
        <v>713</v>
      </c>
      <c r="L93" s="222" t="s">
        <v>649</v>
      </c>
    </row>
    <row r="94" spans="1:26" s="64" customFormat="1">
      <c r="A94" s="64">
        <v>70</v>
      </c>
      <c r="B94" s="64" t="s">
        <v>469</v>
      </c>
      <c r="C94" s="200" t="s">
        <v>256</v>
      </c>
      <c r="D94" s="201">
        <v>125</v>
      </c>
      <c r="E94" s="64" t="s">
        <v>562</v>
      </c>
      <c r="F94" s="201">
        <v>20</v>
      </c>
      <c r="G94" s="201"/>
      <c r="J94" s="64" t="s">
        <v>461</v>
      </c>
      <c r="K94" s="64" t="s">
        <v>461</v>
      </c>
      <c r="L94" s="64">
        <v>2021</v>
      </c>
      <c r="O94" s="247"/>
      <c r="P94" s="247"/>
      <c r="Q94" s="247"/>
      <c r="R94" s="247"/>
      <c r="S94" s="247"/>
      <c r="T94" s="247"/>
      <c r="U94" s="247"/>
      <c r="V94" s="247"/>
      <c r="W94" s="247"/>
      <c r="X94" s="247"/>
      <c r="Y94" s="247"/>
      <c r="Z94" s="247"/>
    </row>
    <row r="95" spans="1:26">
      <c r="B95" s="202" t="s">
        <v>565</v>
      </c>
      <c r="C95" s="203" t="s">
        <v>256</v>
      </c>
      <c r="N95" s="202" t="s">
        <v>401</v>
      </c>
    </row>
    <row r="96" spans="1:26">
      <c r="B96" s="219" t="s">
        <v>714</v>
      </c>
      <c r="C96" s="220" t="s">
        <v>256</v>
      </c>
      <c r="D96" s="179">
        <v>75</v>
      </c>
      <c r="E96" s="219" t="s">
        <v>562</v>
      </c>
      <c r="F96" s="179">
        <v>20</v>
      </c>
      <c r="J96" s="219" t="s">
        <v>638</v>
      </c>
      <c r="K96" s="219" t="s">
        <v>669</v>
      </c>
      <c r="L96" s="178">
        <v>2019</v>
      </c>
      <c r="N96" s="202"/>
    </row>
    <row r="97" spans="2:26">
      <c r="B97" s="219" t="s">
        <v>715</v>
      </c>
      <c r="C97" s="220" t="s">
        <v>256</v>
      </c>
      <c r="D97" s="179">
        <v>75</v>
      </c>
      <c r="E97" s="219" t="s">
        <v>562</v>
      </c>
      <c r="F97" s="179">
        <v>20</v>
      </c>
      <c r="J97" s="219" t="s">
        <v>638</v>
      </c>
      <c r="K97" s="219" t="s">
        <v>669</v>
      </c>
      <c r="L97" s="178">
        <v>2019</v>
      </c>
      <c r="N97" s="202"/>
    </row>
    <row r="98" spans="2:26">
      <c r="B98" s="219" t="s">
        <v>716</v>
      </c>
      <c r="C98" s="220" t="s">
        <v>256</v>
      </c>
      <c r="D98" s="179">
        <v>75</v>
      </c>
      <c r="E98" s="219" t="s">
        <v>562</v>
      </c>
      <c r="F98" s="179">
        <v>20</v>
      </c>
      <c r="J98" s="215" t="s">
        <v>638</v>
      </c>
      <c r="K98" s="215" t="s">
        <v>717</v>
      </c>
      <c r="L98" s="178">
        <v>2019</v>
      </c>
      <c r="N98" s="202"/>
    </row>
    <row r="99" spans="2:26">
      <c r="B99" s="219" t="s">
        <v>718</v>
      </c>
      <c r="C99" s="220" t="s">
        <v>256</v>
      </c>
      <c r="D99" s="179">
        <v>75</v>
      </c>
      <c r="E99" s="219" t="s">
        <v>562</v>
      </c>
      <c r="F99" s="179">
        <v>20</v>
      </c>
      <c r="J99" s="219" t="s">
        <v>638</v>
      </c>
      <c r="K99" s="219" t="s">
        <v>644</v>
      </c>
      <c r="L99" s="178">
        <v>2021</v>
      </c>
      <c r="N99" s="202"/>
    </row>
    <row r="100" spans="2:26" s="64" customFormat="1">
      <c r="B100" s="64" t="s">
        <v>470</v>
      </c>
      <c r="C100" s="200" t="s">
        <v>256</v>
      </c>
      <c r="D100" s="201">
        <v>75</v>
      </c>
      <c r="E100" s="64" t="s">
        <v>562</v>
      </c>
      <c r="F100" s="201">
        <v>20</v>
      </c>
      <c r="G100" s="201"/>
      <c r="J100" s="64" t="s">
        <v>639</v>
      </c>
      <c r="K100" s="64" t="s">
        <v>719</v>
      </c>
      <c r="L100" s="64">
        <v>2021</v>
      </c>
      <c r="O100" s="247"/>
      <c r="P100" s="247"/>
      <c r="Q100" s="247"/>
      <c r="R100" s="247"/>
      <c r="S100" s="247"/>
      <c r="T100" s="247"/>
      <c r="U100" s="247"/>
      <c r="V100" s="247"/>
      <c r="W100" s="247"/>
      <c r="X100" s="247"/>
      <c r="Y100" s="247"/>
      <c r="Z100" s="247"/>
    </row>
    <row r="101" spans="2:26">
      <c r="B101" s="204" t="s">
        <v>595</v>
      </c>
      <c r="C101" s="203"/>
      <c r="N101" s="202"/>
    </row>
    <row r="102" spans="2:26">
      <c r="B102" s="219" t="s">
        <v>720</v>
      </c>
      <c r="C102" s="220" t="s">
        <v>256</v>
      </c>
      <c r="D102" s="179">
        <v>75</v>
      </c>
      <c r="E102" s="219" t="s">
        <v>562</v>
      </c>
      <c r="F102" s="179">
        <v>20</v>
      </c>
      <c r="J102" s="219" t="s">
        <v>639</v>
      </c>
      <c r="K102" s="219" t="s">
        <v>721</v>
      </c>
      <c r="L102" s="223" t="s">
        <v>649</v>
      </c>
      <c r="N102" s="202"/>
    </row>
    <row r="103" spans="2:26">
      <c r="B103" s="219" t="s">
        <v>722</v>
      </c>
      <c r="C103" s="220" t="s">
        <v>256</v>
      </c>
      <c r="D103" s="179">
        <v>75</v>
      </c>
      <c r="E103" s="219" t="s">
        <v>562</v>
      </c>
      <c r="F103" s="179">
        <v>20</v>
      </c>
      <c r="J103" s="219" t="s">
        <v>638</v>
      </c>
      <c r="K103" s="219" t="s">
        <v>665</v>
      </c>
      <c r="L103" s="223">
        <v>2020</v>
      </c>
      <c r="N103" s="202"/>
    </row>
    <row r="104" spans="2:26">
      <c r="B104" s="64" t="s">
        <v>724</v>
      </c>
      <c r="C104" s="200" t="s">
        <v>256</v>
      </c>
      <c r="D104" s="201">
        <v>75</v>
      </c>
      <c r="E104" s="64" t="s">
        <v>562</v>
      </c>
      <c r="F104" s="201">
        <v>17</v>
      </c>
      <c r="G104" s="201"/>
      <c r="H104" s="64"/>
      <c r="I104" s="64"/>
      <c r="J104" s="64" t="s">
        <v>639</v>
      </c>
      <c r="K104" s="64" t="s">
        <v>721</v>
      </c>
      <c r="L104" s="64">
        <v>2019</v>
      </c>
    </row>
    <row r="105" spans="2:26">
      <c r="B105" s="204" t="s">
        <v>596</v>
      </c>
      <c r="C105" s="203"/>
      <c r="N105" s="202"/>
    </row>
    <row r="106" spans="2:26">
      <c r="B106" s="224" t="s">
        <v>725</v>
      </c>
      <c r="C106" s="225" t="s">
        <v>256</v>
      </c>
      <c r="J106" s="224" t="s">
        <v>638</v>
      </c>
      <c r="K106" s="224" t="s">
        <v>726</v>
      </c>
      <c r="L106" s="178">
        <v>2019</v>
      </c>
      <c r="N106" s="202"/>
    </row>
    <row r="107" spans="2:26">
      <c r="B107" s="224" t="s">
        <v>727</v>
      </c>
      <c r="C107" s="225" t="s">
        <v>256</v>
      </c>
      <c r="D107" s="179">
        <v>75</v>
      </c>
      <c r="F107" s="179">
        <v>16</v>
      </c>
      <c r="J107" s="224" t="s">
        <v>637</v>
      </c>
      <c r="K107" s="224" t="s">
        <v>644</v>
      </c>
      <c r="L107" s="178">
        <v>2020</v>
      </c>
      <c r="N107" s="202"/>
    </row>
    <row r="108" spans="2:26">
      <c r="B108" s="224" t="s">
        <v>728</v>
      </c>
      <c r="C108" s="225" t="s">
        <v>256</v>
      </c>
      <c r="D108" s="179">
        <v>75</v>
      </c>
      <c r="F108" s="179">
        <v>20</v>
      </c>
      <c r="J108" s="224" t="s">
        <v>638</v>
      </c>
      <c r="K108" s="224" t="s">
        <v>561</v>
      </c>
      <c r="L108" s="178">
        <v>2021</v>
      </c>
      <c r="N108" s="202"/>
    </row>
    <row r="109" spans="2:26">
      <c r="B109" s="224" t="s">
        <v>729</v>
      </c>
      <c r="C109" s="225" t="s">
        <v>256</v>
      </c>
      <c r="D109" s="179">
        <v>50</v>
      </c>
      <c r="F109" s="179">
        <v>15</v>
      </c>
      <c r="J109" s="224" t="s">
        <v>638</v>
      </c>
      <c r="K109" s="224" t="s">
        <v>580</v>
      </c>
      <c r="L109" s="178">
        <v>2020</v>
      </c>
      <c r="N109" s="202"/>
    </row>
    <row r="110" spans="2:26">
      <c r="B110" s="204" t="s">
        <v>592</v>
      </c>
      <c r="C110" s="203"/>
      <c r="N110" s="202"/>
    </row>
    <row r="111" spans="2:26">
      <c r="B111" s="224" t="s">
        <v>473</v>
      </c>
      <c r="C111" s="225" t="s">
        <v>256</v>
      </c>
      <c r="D111" s="179">
        <v>50</v>
      </c>
      <c r="F111" s="179">
        <v>15</v>
      </c>
      <c r="J111" s="224" t="s">
        <v>638</v>
      </c>
      <c r="K111" s="224" t="s">
        <v>730</v>
      </c>
      <c r="L111" s="178">
        <v>2021</v>
      </c>
      <c r="N111" s="202"/>
    </row>
    <row r="112" spans="2:26">
      <c r="B112" s="224" t="s">
        <v>731</v>
      </c>
      <c r="C112" s="225" t="s">
        <v>256</v>
      </c>
      <c r="D112" s="179">
        <v>50</v>
      </c>
      <c r="F112" s="179">
        <v>15</v>
      </c>
      <c r="J112" s="224" t="s">
        <v>638</v>
      </c>
      <c r="K112" s="224" t="s">
        <v>661</v>
      </c>
      <c r="L112" s="178">
        <v>2020</v>
      </c>
      <c r="N112" s="202"/>
    </row>
    <row r="113" spans="2:26">
      <c r="B113" s="224" t="s">
        <v>732</v>
      </c>
      <c r="C113" s="225" t="s">
        <v>256</v>
      </c>
      <c r="D113" s="179">
        <v>50</v>
      </c>
      <c r="E113" s="226" t="s">
        <v>562</v>
      </c>
      <c r="F113" s="179">
        <v>15</v>
      </c>
      <c r="J113" s="224" t="s">
        <v>638</v>
      </c>
      <c r="K113" s="224" t="s">
        <v>661</v>
      </c>
      <c r="L113" s="178">
        <v>2019</v>
      </c>
      <c r="N113" s="202"/>
    </row>
    <row r="114" spans="2:26">
      <c r="B114" s="226" t="s">
        <v>733</v>
      </c>
      <c r="C114" s="227" t="s">
        <v>256</v>
      </c>
      <c r="D114" s="179">
        <v>50</v>
      </c>
      <c r="F114" s="179">
        <v>15</v>
      </c>
      <c r="J114" s="226" t="s">
        <v>638</v>
      </c>
      <c r="K114" s="224" t="s">
        <v>661</v>
      </c>
      <c r="L114" s="178">
        <v>2021</v>
      </c>
      <c r="N114" s="202"/>
    </row>
    <row r="115" spans="2:26">
      <c r="B115" s="226" t="s">
        <v>734</v>
      </c>
      <c r="C115" s="227" t="s">
        <v>256</v>
      </c>
      <c r="D115" s="179">
        <v>50</v>
      </c>
      <c r="E115" s="226" t="s">
        <v>562</v>
      </c>
      <c r="F115" s="179">
        <v>14</v>
      </c>
      <c r="J115" s="226" t="s">
        <v>638</v>
      </c>
      <c r="K115" s="226" t="s">
        <v>730</v>
      </c>
      <c r="L115" s="178">
        <v>2019</v>
      </c>
      <c r="N115" s="202"/>
    </row>
    <row r="116" spans="2:26">
      <c r="B116" s="202" t="s">
        <v>566</v>
      </c>
      <c r="C116" s="203" t="s">
        <v>256</v>
      </c>
      <c r="N116" s="202" t="s">
        <v>401</v>
      </c>
    </row>
    <row r="117" spans="2:26">
      <c r="B117" s="178" t="s">
        <v>434</v>
      </c>
    </row>
    <row r="118" spans="2:26">
      <c r="B118" s="204" t="s">
        <v>599</v>
      </c>
      <c r="C118" s="229" t="s">
        <v>256</v>
      </c>
      <c r="D118" s="179">
        <v>50</v>
      </c>
      <c r="E118" s="206" t="s">
        <v>562</v>
      </c>
      <c r="F118" s="179">
        <v>12.7</v>
      </c>
      <c r="J118" s="228" t="s">
        <v>638</v>
      </c>
      <c r="K118" s="228" t="s">
        <v>740</v>
      </c>
      <c r="L118" s="178">
        <v>2021</v>
      </c>
    </row>
    <row r="119" spans="2:26">
      <c r="B119" s="206" t="s">
        <v>645</v>
      </c>
      <c r="C119" s="207" t="s">
        <v>256</v>
      </c>
      <c r="D119" s="179">
        <v>500</v>
      </c>
      <c r="E119" s="206" t="s">
        <v>562</v>
      </c>
      <c r="F119" s="179">
        <v>70</v>
      </c>
    </row>
    <row r="120" spans="2:26">
      <c r="B120" s="206" t="s">
        <v>646</v>
      </c>
      <c r="C120" s="207" t="s">
        <v>256</v>
      </c>
      <c r="D120" s="179">
        <v>500</v>
      </c>
      <c r="E120" s="206" t="s">
        <v>586</v>
      </c>
      <c r="F120" s="179">
        <v>80</v>
      </c>
      <c r="K120" s="206" t="s">
        <v>647</v>
      </c>
    </row>
    <row r="121" spans="2:26">
      <c r="B121" s="64" t="s">
        <v>474</v>
      </c>
      <c r="C121" s="200" t="s">
        <v>256</v>
      </c>
      <c r="D121" s="201">
        <v>50</v>
      </c>
      <c r="E121" s="64" t="s">
        <v>568</v>
      </c>
      <c r="F121" s="201">
        <v>13.75</v>
      </c>
      <c r="G121" s="201"/>
      <c r="H121" s="64"/>
      <c r="I121" s="64"/>
      <c r="J121" s="64" t="s">
        <v>639</v>
      </c>
      <c r="K121" s="64" t="s">
        <v>735</v>
      </c>
      <c r="L121" s="178">
        <v>2021</v>
      </c>
    </row>
    <row r="122" spans="2:26">
      <c r="B122" s="204" t="s">
        <v>602</v>
      </c>
      <c r="C122" s="229" t="s">
        <v>256</v>
      </c>
      <c r="D122" s="179">
        <v>50</v>
      </c>
      <c r="E122" s="228" t="s">
        <v>562</v>
      </c>
      <c r="F122" s="179">
        <v>12.2</v>
      </c>
      <c r="J122" s="228" t="s">
        <v>638</v>
      </c>
      <c r="K122" s="228" t="s">
        <v>661</v>
      </c>
      <c r="L122" s="178">
        <v>2021</v>
      </c>
    </row>
    <row r="123" spans="2:26">
      <c r="B123" s="64" t="s">
        <v>736</v>
      </c>
      <c r="C123" s="200" t="s">
        <v>256</v>
      </c>
      <c r="D123" s="201">
        <v>50</v>
      </c>
      <c r="E123" s="64" t="s">
        <v>568</v>
      </c>
      <c r="F123" s="201">
        <v>13</v>
      </c>
      <c r="G123" s="201"/>
      <c r="H123" s="64"/>
      <c r="I123" s="64"/>
      <c r="J123" s="64" t="s">
        <v>638</v>
      </c>
      <c r="K123" s="64" t="s">
        <v>717</v>
      </c>
      <c r="L123" s="64">
        <v>2019</v>
      </c>
    </row>
    <row r="124" spans="2:26">
      <c r="B124" s="228" t="s">
        <v>737</v>
      </c>
      <c r="C124" s="229" t="s">
        <v>256</v>
      </c>
      <c r="D124" s="179">
        <v>50</v>
      </c>
      <c r="E124" s="228" t="s">
        <v>562</v>
      </c>
      <c r="F124" s="179">
        <v>12.5</v>
      </c>
      <c r="J124" s="228" t="s">
        <v>638</v>
      </c>
      <c r="K124" s="228" t="s">
        <v>661</v>
      </c>
      <c r="L124" s="178">
        <v>2021</v>
      </c>
    </row>
    <row r="125" spans="2:26" s="64" customFormat="1">
      <c r="B125" s="64" t="s">
        <v>738</v>
      </c>
      <c r="C125" s="200" t="s">
        <v>256</v>
      </c>
      <c r="D125" s="201">
        <v>50</v>
      </c>
      <c r="E125" s="64" t="s">
        <v>562</v>
      </c>
      <c r="F125" s="201">
        <v>12.5</v>
      </c>
      <c r="G125" s="201"/>
      <c r="J125" s="64" t="s">
        <v>638</v>
      </c>
      <c r="K125" s="64" t="s">
        <v>661</v>
      </c>
      <c r="L125" s="64">
        <v>2019</v>
      </c>
      <c r="O125" s="247"/>
      <c r="P125" s="247"/>
      <c r="Q125" s="247"/>
      <c r="R125" s="247"/>
      <c r="S125" s="247"/>
      <c r="T125" s="247"/>
      <c r="U125" s="247"/>
      <c r="V125" s="247"/>
      <c r="W125" s="247"/>
      <c r="X125" s="247"/>
      <c r="Y125" s="247"/>
      <c r="Z125" s="247"/>
    </row>
    <row r="126" spans="2:26">
      <c r="B126" s="204" t="s">
        <v>603</v>
      </c>
    </row>
    <row r="127" spans="2:26">
      <c r="B127" s="204" t="s">
        <v>145</v>
      </c>
      <c r="F127" s="179">
        <v>5</v>
      </c>
    </row>
    <row r="128" spans="2:26">
      <c r="B128" s="228" t="s">
        <v>739</v>
      </c>
      <c r="C128" s="229" t="s">
        <v>256</v>
      </c>
      <c r="D128" s="179">
        <v>50</v>
      </c>
      <c r="E128" s="228" t="s">
        <v>562</v>
      </c>
      <c r="F128" s="179">
        <v>12.6</v>
      </c>
      <c r="J128" s="228" t="s">
        <v>638</v>
      </c>
      <c r="K128" s="228" t="s">
        <v>661</v>
      </c>
      <c r="L128" s="178">
        <v>2020</v>
      </c>
    </row>
    <row r="129" spans="2:26">
      <c r="B129" s="228" t="s">
        <v>742</v>
      </c>
      <c r="C129" s="229" t="s">
        <v>256</v>
      </c>
      <c r="D129" s="179">
        <v>50</v>
      </c>
      <c r="E129" s="228" t="s">
        <v>568</v>
      </c>
      <c r="F129" s="179">
        <v>12.8</v>
      </c>
      <c r="J129" s="228" t="s">
        <v>461</v>
      </c>
      <c r="K129" s="228" t="s">
        <v>461</v>
      </c>
      <c r="L129" s="178">
        <v>2021</v>
      </c>
    </row>
    <row r="130" spans="2:26">
      <c r="B130" s="228" t="s">
        <v>743</v>
      </c>
      <c r="C130" s="229" t="s">
        <v>256</v>
      </c>
      <c r="D130" s="179">
        <v>50</v>
      </c>
      <c r="E130" s="228" t="s">
        <v>562</v>
      </c>
      <c r="F130" s="179">
        <v>12.8</v>
      </c>
      <c r="J130" s="228" t="s">
        <v>638</v>
      </c>
      <c r="K130" s="228" t="s">
        <v>661</v>
      </c>
      <c r="L130" s="178">
        <v>2020</v>
      </c>
    </row>
    <row r="131" spans="2:26">
      <c r="B131" s="231" t="s">
        <v>606</v>
      </c>
      <c r="C131" s="232" t="s">
        <v>256</v>
      </c>
      <c r="D131" s="179">
        <v>40</v>
      </c>
      <c r="E131" s="231" t="s">
        <v>568</v>
      </c>
      <c r="F131" s="179">
        <v>10</v>
      </c>
      <c r="J131" s="231" t="s">
        <v>637</v>
      </c>
      <c r="K131" s="231" t="s">
        <v>767</v>
      </c>
      <c r="L131" s="178">
        <v>2021</v>
      </c>
    </row>
    <row r="132" spans="2:26">
      <c r="B132" s="204" t="s">
        <v>600</v>
      </c>
    </row>
    <row r="133" spans="2:26">
      <c r="B133" s="204" t="s">
        <v>601</v>
      </c>
    </row>
    <row r="134" spans="2:26" s="64" customFormat="1">
      <c r="B134" s="64" t="s">
        <v>471</v>
      </c>
      <c r="C134" s="200" t="s">
        <v>256</v>
      </c>
      <c r="D134" s="201">
        <v>50</v>
      </c>
      <c r="E134" s="64" t="s">
        <v>562</v>
      </c>
      <c r="F134" s="201">
        <v>12</v>
      </c>
      <c r="G134" s="201"/>
      <c r="H134" s="64" t="s">
        <v>747</v>
      </c>
      <c r="J134" s="64" t="s">
        <v>638</v>
      </c>
      <c r="K134" s="64" t="s">
        <v>661</v>
      </c>
      <c r="L134" s="64">
        <v>2022</v>
      </c>
      <c r="O134" s="247"/>
      <c r="P134" s="247"/>
      <c r="Q134" s="247"/>
      <c r="R134" s="247"/>
      <c r="S134" s="247"/>
      <c r="T134" s="247"/>
      <c r="U134" s="247"/>
      <c r="V134" s="247"/>
      <c r="W134" s="247"/>
      <c r="X134" s="247"/>
      <c r="Y134" s="247"/>
      <c r="Z134" s="247"/>
    </row>
    <row r="135" spans="2:26" s="64" customFormat="1">
      <c r="B135" s="64" t="s">
        <v>748</v>
      </c>
      <c r="C135" s="200" t="s">
        <v>256</v>
      </c>
      <c r="D135" s="201">
        <v>50</v>
      </c>
      <c r="E135" s="64" t="s">
        <v>562</v>
      </c>
      <c r="F135" s="201">
        <v>12</v>
      </c>
      <c r="G135" s="201"/>
      <c r="H135" s="64" t="s">
        <v>747</v>
      </c>
      <c r="J135" s="64" t="s">
        <v>638</v>
      </c>
      <c r="K135" s="64" t="s">
        <v>661</v>
      </c>
      <c r="L135" s="64">
        <v>2019</v>
      </c>
      <c r="O135" s="247"/>
      <c r="P135" s="247"/>
      <c r="Q135" s="247"/>
      <c r="R135" s="247"/>
      <c r="S135" s="247"/>
      <c r="T135" s="247"/>
      <c r="U135" s="247"/>
      <c r="V135" s="247"/>
      <c r="W135" s="247"/>
      <c r="X135" s="247"/>
      <c r="Y135" s="247"/>
      <c r="Z135" s="247"/>
    </row>
    <row r="136" spans="2:26">
      <c r="B136" s="228" t="s">
        <v>744</v>
      </c>
      <c r="C136" s="229" t="s">
        <v>256</v>
      </c>
      <c r="D136" s="179">
        <v>50</v>
      </c>
      <c r="E136" s="228" t="s">
        <v>562</v>
      </c>
      <c r="F136" s="179">
        <v>13</v>
      </c>
      <c r="J136" s="228" t="s">
        <v>638</v>
      </c>
      <c r="K136" s="228" t="s">
        <v>661</v>
      </c>
      <c r="L136" s="178">
        <v>2019</v>
      </c>
    </row>
    <row r="137" spans="2:26">
      <c r="B137" s="228" t="s">
        <v>745</v>
      </c>
      <c r="C137" s="229" t="s">
        <v>256</v>
      </c>
      <c r="D137" s="179">
        <v>50</v>
      </c>
      <c r="E137" s="228" t="s">
        <v>562</v>
      </c>
      <c r="F137" s="179">
        <v>12.5</v>
      </c>
      <c r="J137" s="228" t="s">
        <v>638</v>
      </c>
      <c r="K137" s="228" t="s">
        <v>661</v>
      </c>
      <c r="L137" s="178">
        <v>2018</v>
      </c>
    </row>
    <row r="138" spans="2:26">
      <c r="B138" s="228" t="s">
        <v>746</v>
      </c>
      <c r="C138" s="229" t="s">
        <v>256</v>
      </c>
      <c r="D138" s="179">
        <v>50</v>
      </c>
      <c r="E138" s="228" t="s">
        <v>568</v>
      </c>
      <c r="F138" s="179">
        <v>12.25</v>
      </c>
      <c r="J138" s="228" t="s">
        <v>638</v>
      </c>
      <c r="K138" s="228" t="s">
        <v>661</v>
      </c>
      <c r="L138" s="178">
        <v>2019</v>
      </c>
    </row>
    <row r="139" spans="2:26">
      <c r="B139" s="228" t="s">
        <v>749</v>
      </c>
      <c r="C139" s="229" t="s">
        <v>256</v>
      </c>
      <c r="D139" s="230">
        <v>50</v>
      </c>
      <c r="E139" s="228" t="s">
        <v>562</v>
      </c>
      <c r="F139" s="179">
        <v>12</v>
      </c>
      <c r="J139" s="228" t="s">
        <v>638</v>
      </c>
      <c r="K139" s="228" t="s">
        <v>661</v>
      </c>
      <c r="L139" s="178">
        <v>2020</v>
      </c>
    </row>
    <row r="140" spans="2:26">
      <c r="B140" s="228" t="s">
        <v>750</v>
      </c>
      <c r="C140" s="229" t="s">
        <v>256</v>
      </c>
      <c r="D140" s="230">
        <v>50</v>
      </c>
      <c r="E140" s="228" t="s">
        <v>562</v>
      </c>
      <c r="F140" s="179">
        <v>11</v>
      </c>
      <c r="H140" s="228" t="s">
        <v>751</v>
      </c>
      <c r="J140" s="228" t="s">
        <v>638</v>
      </c>
      <c r="K140" s="228" t="s">
        <v>754</v>
      </c>
      <c r="L140" s="178">
        <v>2020</v>
      </c>
    </row>
    <row r="141" spans="2:26">
      <c r="B141" s="228" t="s">
        <v>752</v>
      </c>
      <c r="C141" s="229" t="s">
        <v>256</v>
      </c>
      <c r="D141" s="230">
        <v>50</v>
      </c>
      <c r="E141" s="228" t="s">
        <v>562</v>
      </c>
      <c r="F141" s="179">
        <v>11</v>
      </c>
      <c r="H141" s="228" t="s">
        <v>753</v>
      </c>
      <c r="J141" s="228" t="s">
        <v>638</v>
      </c>
      <c r="K141" s="228" t="s">
        <v>754</v>
      </c>
      <c r="L141" s="178">
        <v>2020</v>
      </c>
    </row>
    <row r="142" spans="2:26">
      <c r="B142" s="228" t="s">
        <v>755</v>
      </c>
      <c r="C142" s="229" t="s">
        <v>256</v>
      </c>
      <c r="D142" s="230">
        <v>50</v>
      </c>
      <c r="E142" s="228" t="s">
        <v>562</v>
      </c>
      <c r="F142" s="179">
        <v>10.6</v>
      </c>
      <c r="H142" s="228" t="s">
        <v>756</v>
      </c>
      <c r="J142" s="228" t="s">
        <v>638</v>
      </c>
      <c r="K142" s="228" t="s">
        <v>664</v>
      </c>
      <c r="L142" s="178">
        <v>2019</v>
      </c>
    </row>
    <row r="143" spans="2:26">
      <c r="B143" s="204" t="s">
        <v>605</v>
      </c>
      <c r="C143" s="229" t="s">
        <v>256</v>
      </c>
      <c r="D143" s="179">
        <v>50</v>
      </c>
      <c r="E143" s="228" t="s">
        <v>568</v>
      </c>
      <c r="F143" s="179">
        <v>10.6</v>
      </c>
      <c r="H143" s="228" t="s">
        <v>757</v>
      </c>
      <c r="J143" s="228" t="s">
        <v>638</v>
      </c>
      <c r="K143" s="228" t="s">
        <v>466</v>
      </c>
      <c r="L143" s="178">
        <v>2022</v>
      </c>
    </row>
    <row r="144" spans="2:26">
      <c r="B144" s="228" t="s">
        <v>758</v>
      </c>
      <c r="C144" s="229" t="s">
        <v>256</v>
      </c>
      <c r="D144" s="230">
        <v>50</v>
      </c>
      <c r="E144" s="228" t="s">
        <v>568</v>
      </c>
      <c r="F144" s="179">
        <v>10.5</v>
      </c>
      <c r="H144" s="228" t="s">
        <v>759</v>
      </c>
      <c r="J144" s="228" t="s">
        <v>638</v>
      </c>
      <c r="K144" s="228" t="s">
        <v>561</v>
      </c>
      <c r="L144" s="178">
        <v>2019</v>
      </c>
    </row>
    <row r="145" spans="2:26">
      <c r="B145" s="228" t="s">
        <v>760</v>
      </c>
      <c r="C145" s="229" t="s">
        <v>256</v>
      </c>
      <c r="D145" s="230">
        <v>40</v>
      </c>
      <c r="E145" s="228" t="s">
        <v>562</v>
      </c>
      <c r="F145" s="179">
        <v>10</v>
      </c>
      <c r="H145" s="228"/>
      <c r="J145" s="228" t="s">
        <v>638</v>
      </c>
      <c r="K145" s="228" t="s">
        <v>730</v>
      </c>
      <c r="L145" s="178">
        <v>2019</v>
      </c>
    </row>
    <row r="146" spans="2:26">
      <c r="B146" s="231" t="s">
        <v>761</v>
      </c>
      <c r="C146" s="232" t="s">
        <v>256</v>
      </c>
      <c r="D146" s="230">
        <v>40</v>
      </c>
      <c r="E146" s="231" t="s">
        <v>568</v>
      </c>
      <c r="F146" s="179">
        <v>10</v>
      </c>
      <c r="H146" s="228"/>
      <c r="J146" s="231" t="s">
        <v>461</v>
      </c>
      <c r="K146" s="231" t="s">
        <v>461</v>
      </c>
      <c r="L146" s="64">
        <v>2023</v>
      </c>
    </row>
    <row r="147" spans="2:26">
      <c r="B147" s="64" t="s">
        <v>604</v>
      </c>
      <c r="C147" s="200" t="s">
        <v>256</v>
      </c>
      <c r="D147" s="201">
        <v>40</v>
      </c>
      <c r="E147" s="64" t="s">
        <v>562</v>
      </c>
      <c r="F147" s="201">
        <v>10</v>
      </c>
      <c r="G147" s="201"/>
      <c r="H147" s="64"/>
      <c r="I147" s="64"/>
      <c r="J147" s="64" t="s">
        <v>638</v>
      </c>
      <c r="K147" s="64" t="s">
        <v>669</v>
      </c>
      <c r="L147" s="64">
        <v>2020</v>
      </c>
    </row>
    <row r="148" spans="2:26" s="231" customFormat="1">
      <c r="B148" s="231" t="s">
        <v>768</v>
      </c>
      <c r="C148" s="232" t="s">
        <v>256</v>
      </c>
      <c r="D148" s="233">
        <v>40</v>
      </c>
      <c r="F148" s="233">
        <v>10</v>
      </c>
      <c r="G148" s="233"/>
      <c r="J148" s="231" t="s">
        <v>638</v>
      </c>
      <c r="K148" s="231" t="s">
        <v>769</v>
      </c>
      <c r="L148" s="231">
        <v>2020</v>
      </c>
      <c r="O148" s="248"/>
      <c r="P148" s="248"/>
      <c r="Q148" s="248"/>
      <c r="R148" s="248"/>
      <c r="S148" s="248"/>
      <c r="T148" s="248"/>
      <c r="U148" s="248"/>
      <c r="V148" s="248"/>
      <c r="W148" s="248"/>
      <c r="X148" s="248"/>
      <c r="Y148" s="248"/>
      <c r="Z148" s="248"/>
    </row>
    <row r="149" spans="2:26">
      <c r="B149" s="178" t="s">
        <v>438</v>
      </c>
      <c r="C149" s="232" t="s">
        <v>256</v>
      </c>
      <c r="D149" s="179">
        <v>1900</v>
      </c>
      <c r="E149" s="231" t="s">
        <v>586</v>
      </c>
      <c r="F149" s="179">
        <v>150</v>
      </c>
      <c r="H149" s="231" t="s">
        <v>766</v>
      </c>
      <c r="J149" s="231" t="s">
        <v>638</v>
      </c>
      <c r="K149" s="231" t="s">
        <v>431</v>
      </c>
      <c r="L149" s="178">
        <v>2018</v>
      </c>
    </row>
    <row r="150" spans="2:26">
      <c r="B150" s="178" t="s">
        <v>436</v>
      </c>
      <c r="C150" s="232" t="s">
        <v>256</v>
      </c>
      <c r="D150" s="179">
        <v>500</v>
      </c>
      <c r="E150" s="231" t="s">
        <v>402</v>
      </c>
      <c r="F150" s="179">
        <v>159</v>
      </c>
      <c r="H150" s="231" t="s">
        <v>763</v>
      </c>
      <c r="J150" s="231" t="s">
        <v>762</v>
      </c>
      <c r="K150" s="231" t="s">
        <v>762</v>
      </c>
      <c r="L150" s="178">
        <v>2015</v>
      </c>
    </row>
    <row r="151" spans="2:26">
      <c r="B151" s="178" t="s">
        <v>435</v>
      </c>
      <c r="C151" s="232" t="s">
        <v>256</v>
      </c>
      <c r="D151" s="179">
        <v>500</v>
      </c>
      <c r="E151" s="231" t="s">
        <v>586</v>
      </c>
      <c r="F151" s="179">
        <v>169</v>
      </c>
      <c r="H151" s="231" t="s">
        <v>456</v>
      </c>
      <c r="J151" s="231" t="s">
        <v>456</v>
      </c>
      <c r="K151" s="231" t="s">
        <v>456</v>
      </c>
      <c r="L151" s="178">
        <v>2010</v>
      </c>
    </row>
    <row r="152" spans="2:26">
      <c r="B152" s="178" t="s">
        <v>437</v>
      </c>
      <c r="C152" s="232" t="s">
        <v>764</v>
      </c>
      <c r="D152" s="179">
        <v>230</v>
      </c>
      <c r="E152" s="231" t="s">
        <v>562</v>
      </c>
      <c r="F152" s="179">
        <v>150</v>
      </c>
      <c r="H152" s="231" t="s">
        <v>29</v>
      </c>
      <c r="J152" s="231" t="s">
        <v>638</v>
      </c>
      <c r="K152" s="231" t="s">
        <v>765</v>
      </c>
      <c r="L152" s="178">
        <v>2016</v>
      </c>
    </row>
    <row r="153" spans="2:26">
      <c r="B153" s="178" t="s">
        <v>439</v>
      </c>
      <c r="F153" s="179">
        <v>150</v>
      </c>
    </row>
    <row r="154" spans="2:26">
      <c r="B154" s="178" t="s">
        <v>440</v>
      </c>
      <c r="F154" s="179">
        <v>150</v>
      </c>
    </row>
    <row r="155" spans="2:26">
      <c r="B155" s="178" t="s">
        <v>441</v>
      </c>
      <c r="F155" s="179">
        <v>150</v>
      </c>
    </row>
    <row r="156" spans="2:26">
      <c r="B156" s="178" t="s">
        <v>442</v>
      </c>
      <c r="F156" s="179">
        <v>150</v>
      </c>
    </row>
    <row r="157" spans="2:26">
      <c r="B157" s="178" t="s">
        <v>443</v>
      </c>
      <c r="F157" s="179">
        <v>140</v>
      </c>
    </row>
    <row r="158" spans="2:26">
      <c r="B158" s="178" t="s">
        <v>444</v>
      </c>
      <c r="F158" s="179">
        <v>138</v>
      </c>
    </row>
    <row r="159" spans="2:26">
      <c r="B159" s="178" t="s">
        <v>445</v>
      </c>
      <c r="F159" s="179">
        <v>132</v>
      </c>
    </row>
    <row r="160" spans="2:26">
      <c r="B160" s="178" t="s">
        <v>446</v>
      </c>
      <c r="F160" s="179">
        <v>125</v>
      </c>
    </row>
    <row r="161" spans="2:11">
      <c r="B161" s="178" t="s">
        <v>447</v>
      </c>
      <c r="F161" s="179">
        <v>100</v>
      </c>
    </row>
    <row r="162" spans="2:11">
      <c r="B162" s="204" t="s">
        <v>606</v>
      </c>
    </row>
    <row r="163" spans="2:11">
      <c r="B163" s="204" t="s">
        <v>607</v>
      </c>
    </row>
    <row r="164" spans="2:11">
      <c r="B164" s="204" t="s">
        <v>611</v>
      </c>
      <c r="C164" s="207" t="s">
        <v>256</v>
      </c>
      <c r="D164" s="213">
        <v>100</v>
      </c>
      <c r="E164" s="206" t="s">
        <v>699</v>
      </c>
      <c r="F164" s="179">
        <v>25</v>
      </c>
      <c r="J164" s="206" t="s">
        <v>700</v>
      </c>
    </row>
    <row r="165" spans="2:11">
      <c r="B165" s="206" t="s">
        <v>643</v>
      </c>
      <c r="C165" s="207" t="s">
        <v>256</v>
      </c>
      <c r="E165" s="206" t="s">
        <v>562</v>
      </c>
      <c r="J165" s="206" t="s">
        <v>638</v>
      </c>
      <c r="K165" s="206" t="s">
        <v>664</v>
      </c>
    </row>
    <row r="166" spans="2:11">
      <c r="B166" s="204" t="s">
        <v>612</v>
      </c>
    </row>
    <row r="167" spans="2:11">
      <c r="B167" s="204" t="s">
        <v>613</v>
      </c>
    </row>
    <row r="168" spans="2:11">
      <c r="B168" s="204" t="s">
        <v>614</v>
      </c>
    </row>
    <row r="169" spans="2:11">
      <c r="B169" s="204" t="s">
        <v>615</v>
      </c>
    </row>
    <row r="170" spans="2:11">
      <c r="B170" s="204" t="s">
        <v>616</v>
      </c>
    </row>
    <row r="171" spans="2:11">
      <c r="B171" s="204" t="s">
        <v>617</v>
      </c>
    </row>
    <row r="172" spans="2:11">
      <c r="B172" s="204" t="s">
        <v>618</v>
      </c>
    </row>
    <row r="173" spans="2:11">
      <c r="B173" s="204" t="s">
        <v>619</v>
      </c>
    </row>
    <row r="174" spans="2:11">
      <c r="B174" s="204" t="s">
        <v>608</v>
      </c>
    </row>
    <row r="175" spans="2:11">
      <c r="B175" s="204" t="s">
        <v>609</v>
      </c>
    </row>
    <row r="176" spans="2:11">
      <c r="B176" s="204" t="s">
        <v>610</v>
      </c>
    </row>
    <row r="177" spans="2:14">
      <c r="B177" s="178" t="s">
        <v>449</v>
      </c>
      <c r="F177" s="179">
        <v>100</v>
      </c>
    </row>
    <row r="178" spans="2:14">
      <c r="B178" s="178" t="s">
        <v>451</v>
      </c>
      <c r="C178" s="207" t="s">
        <v>256</v>
      </c>
      <c r="D178" s="179">
        <v>200</v>
      </c>
      <c r="E178" s="206" t="s">
        <v>568</v>
      </c>
      <c r="F178" s="179">
        <v>100</v>
      </c>
      <c r="H178" s="206" t="s">
        <v>635</v>
      </c>
      <c r="K178" s="206" t="s">
        <v>431</v>
      </c>
      <c r="L178" s="178">
        <v>2022</v>
      </c>
      <c r="N178" s="206" t="s">
        <v>624</v>
      </c>
    </row>
    <row r="179" spans="2:14">
      <c r="B179" s="178" t="s">
        <v>468</v>
      </c>
    </row>
    <row r="180" spans="2:14">
      <c r="B180" s="178" t="s">
        <v>512</v>
      </c>
    </row>
    <row r="181" spans="2:14">
      <c r="B181" s="178" t="s">
        <v>514</v>
      </c>
      <c r="C181" s="203" t="s">
        <v>256</v>
      </c>
      <c r="D181" s="179">
        <v>75</v>
      </c>
    </row>
    <row r="182" spans="2:14">
      <c r="B182" s="178" t="s">
        <v>513</v>
      </c>
      <c r="K182" s="5" t="s">
        <v>519</v>
      </c>
    </row>
    <row r="183" spans="2:14">
      <c r="B183" s="204" t="s">
        <v>597</v>
      </c>
    </row>
    <row r="184" spans="2:14">
      <c r="B184" s="204" t="s">
        <v>598</v>
      </c>
    </row>
    <row r="185" spans="2:14">
      <c r="B185" s="178" t="s">
        <v>472</v>
      </c>
    </row>
    <row r="186" spans="2:14">
      <c r="B186" s="178" t="s">
        <v>473</v>
      </c>
    </row>
    <row r="187" spans="2:14">
      <c r="B187" s="178" t="s">
        <v>474</v>
      </c>
    </row>
    <row r="188" spans="2:14">
      <c r="B188" s="202" t="s">
        <v>585</v>
      </c>
      <c r="C188" s="203" t="s">
        <v>256</v>
      </c>
      <c r="K188" s="202" t="s">
        <v>588</v>
      </c>
    </row>
    <row r="189" spans="2:14">
      <c r="B189" s="206" t="s">
        <v>689</v>
      </c>
      <c r="C189" s="207" t="s">
        <v>256</v>
      </c>
      <c r="J189" s="206" t="s">
        <v>638</v>
      </c>
      <c r="K189" s="206" t="s">
        <v>690</v>
      </c>
    </row>
    <row r="190" spans="2:14">
      <c r="B190" s="178" t="s">
        <v>422</v>
      </c>
      <c r="C190" s="181" t="s">
        <v>256</v>
      </c>
      <c r="D190" s="179">
        <v>250</v>
      </c>
      <c r="F190" s="179">
        <v>40</v>
      </c>
      <c r="J190" s="206" t="s">
        <v>637</v>
      </c>
      <c r="K190" s="202" t="s">
        <v>576</v>
      </c>
      <c r="N190" s="202" t="s">
        <v>577</v>
      </c>
    </row>
    <row r="191" spans="2:14">
      <c r="B191" s="228" t="s">
        <v>741</v>
      </c>
      <c r="C191" s="207"/>
      <c r="J191" s="206"/>
      <c r="K191" s="206"/>
    </row>
    <row r="192" spans="2:14">
      <c r="B192" s="206"/>
      <c r="C192" s="207"/>
      <c r="J192" s="206"/>
      <c r="K192" s="206"/>
    </row>
    <row r="194" spans="2:11">
      <c r="B194" s="95" t="s">
        <v>516</v>
      </c>
    </row>
    <row r="195" spans="2:11">
      <c r="B195" s="178" t="s">
        <v>509</v>
      </c>
      <c r="I195" s="178" t="s">
        <v>511</v>
      </c>
      <c r="K195" s="5" t="s">
        <v>520</v>
      </c>
    </row>
    <row r="196" spans="2:11">
      <c r="B196" s="178" t="s">
        <v>510</v>
      </c>
    </row>
    <row r="197" spans="2:11">
      <c r="B197" s="178" t="s">
        <v>517</v>
      </c>
      <c r="C197" s="5" t="s">
        <v>515</v>
      </c>
    </row>
    <row r="198" spans="2:11">
      <c r="B198" s="178" t="s">
        <v>522</v>
      </c>
      <c r="C198" s="5" t="s">
        <v>521</v>
      </c>
    </row>
    <row r="199" spans="2:11">
      <c r="B199" s="178" t="s">
        <v>523</v>
      </c>
      <c r="C199" s="182" t="s">
        <v>524</v>
      </c>
    </row>
    <row r="231" spans="2:14">
      <c r="B231" s="178" t="s">
        <v>429</v>
      </c>
      <c r="C231" s="203" t="s">
        <v>256</v>
      </c>
      <c r="D231" s="179">
        <v>4000</v>
      </c>
      <c r="F231" s="179">
        <v>400</v>
      </c>
      <c r="K231" s="178" t="s">
        <v>431</v>
      </c>
      <c r="L231" s="178">
        <v>2017</v>
      </c>
      <c r="N231" s="202" t="s">
        <v>572</v>
      </c>
    </row>
  </sheetData>
  <autoFilter ref="A2:L187" xr:uid="{DC9C89C9-C58C-431A-80D5-5C7D568EC13B}"/>
  <hyperlinks>
    <hyperlink ref="A1" location="Main!A1" display="Main" xr:uid="{A37A7071-3D61-430B-9870-62023C7BA352}"/>
    <hyperlink ref="C197" r:id="rId1" xr:uid="{61933356-4DAE-46D4-BAAB-523E916DA4CD}"/>
    <hyperlink ref="M32" r:id="rId2" xr:uid="{7C3C37F8-6BFF-44F4-8D86-2F59EFD976D8}"/>
    <hyperlink ref="K182" r:id="rId3" xr:uid="{82D25570-50C8-456F-B7DA-93D23837F857}"/>
    <hyperlink ref="K195" r:id="rId4" xr:uid="{1A3DF5F9-6F01-484D-8DB9-03E61CB068BA}"/>
    <hyperlink ref="C198" r:id="rId5" xr:uid="{EF10DB56-5F70-48B5-A61C-02F154472CAD}"/>
    <hyperlink ref="C199" r:id="rId6" xr:uid="{47D5FBF5-3BBD-473A-BCAE-24754E3588B6}"/>
    <hyperlink ref="M19" r:id="rId7" xr:uid="{45530F9C-6F03-4419-B248-DA5DE522BD64}"/>
  </hyperlinks>
  <pageMargins left="0.7" right="0.7" top="0.75" bottom="0.75" header="0.3" footer="0.3"/>
  <pageSetup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/>
  <cols>
    <col min="1" max="1" width="5" style="172" bestFit="1" customWidth="1"/>
    <col min="2" max="2" width="12.7109375" style="172" customWidth="1"/>
    <col min="3" max="16384" width="9.140625" style="172"/>
  </cols>
  <sheetData>
    <row r="1" spans="1:15">
      <c r="A1" s="5" t="s">
        <v>146</v>
      </c>
    </row>
    <row r="2" spans="1:15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>
      <c r="B3" s="176" t="s">
        <v>497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>
      <c r="B8" s="172" t="s">
        <v>484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>
      <c r="B10" s="172" t="s">
        <v>25</v>
      </c>
      <c r="N10" s="173">
        <v>27843</v>
      </c>
      <c r="O10" s="174">
        <f>N10*1.1</f>
        <v>30627.300000000003</v>
      </c>
    </row>
    <row r="11" spans="1:15">
      <c r="B11" s="172" t="s">
        <v>21</v>
      </c>
      <c r="O11" s="174">
        <v>30294</v>
      </c>
    </row>
    <row r="12" spans="1:15">
      <c r="B12" s="172" t="s">
        <v>19</v>
      </c>
      <c r="N12" s="173">
        <v>15785</v>
      </c>
      <c r="O12" s="174">
        <f>N12*1.1</f>
        <v>17363.5</v>
      </c>
    </row>
    <row r="13" spans="1:15">
      <c r="B13" s="172" t="s">
        <v>485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>
      <c r="B14" s="172" t="s">
        <v>264</v>
      </c>
    </row>
    <row r="15" spans="1:15">
      <c r="B15" s="172" t="s">
        <v>44</v>
      </c>
    </row>
    <row r="16" spans="1:15">
      <c r="B16" s="172" t="s">
        <v>178</v>
      </c>
    </row>
    <row r="17" spans="2:15">
      <c r="B17" s="172" t="s">
        <v>29</v>
      </c>
    </row>
    <row r="18" spans="2:15">
      <c r="B18" s="172" t="s">
        <v>486</v>
      </c>
    </row>
    <row r="19" spans="2:15">
      <c r="B19" s="176" t="s">
        <v>180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>
      <c r="B20" s="172" t="s">
        <v>33</v>
      </c>
    </row>
    <row r="21" spans="2:15">
      <c r="B21" s="172" t="s">
        <v>401</v>
      </c>
      <c r="N21" s="173">
        <v>100</v>
      </c>
      <c r="O21" s="173">
        <v>1000</v>
      </c>
    </row>
    <row r="22" spans="2:15">
      <c r="B22" s="172" t="s">
        <v>40</v>
      </c>
    </row>
    <row r="23" spans="2:15">
      <c r="B23" s="172" t="s">
        <v>50</v>
      </c>
    </row>
    <row r="24" spans="2:15">
      <c r="B24" s="172" t="s">
        <v>52</v>
      </c>
    </row>
    <row r="25" spans="2:15">
      <c r="B25" s="172" t="s">
        <v>304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Z2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0" sqref="D20"/>
    </sheetView>
  </sheetViews>
  <sheetFormatPr defaultColWidth="9.140625" defaultRowHeight="12.75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6">
      <c r="A1" s="5" t="s">
        <v>146</v>
      </c>
    </row>
    <row r="2" spans="1:26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  <c r="Y2" s="188" t="s">
        <v>531</v>
      </c>
    </row>
    <row r="3" spans="1:26">
      <c r="A3" s="72" t="s">
        <v>261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</row>
    <row r="4" spans="1:26">
      <c r="A4" s="72" t="s">
        <v>261</v>
      </c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6" s="20" customFormat="1">
      <c r="A5" s="82" t="s">
        <v>261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208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6" s="20" customFormat="1">
      <c r="A6" s="82" t="s">
        <v>261</v>
      </c>
      <c r="B6" s="5" t="s">
        <v>267</v>
      </c>
      <c r="C6" s="82" t="s">
        <v>268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390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6" s="20" customFormat="1">
      <c r="A7" s="153" t="s">
        <v>261</v>
      </c>
      <c r="B7" s="5" t="s">
        <v>267</v>
      </c>
      <c r="C7" s="153" t="s">
        <v>391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390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6" s="20" customFormat="1">
      <c r="A8" s="85" t="s">
        <v>261</v>
      </c>
      <c r="B8" s="85" t="s">
        <v>271</v>
      </c>
      <c r="C8" s="85" t="s">
        <v>272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6">
      <c r="A9" s="87" t="s">
        <v>261</v>
      </c>
      <c r="B9" s="5" t="s">
        <v>175</v>
      </c>
      <c r="C9" s="10" t="s">
        <v>176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359</v>
      </c>
      <c r="J9" s="67">
        <v>44946</v>
      </c>
    </row>
    <row r="10" spans="1:26">
      <c r="A10" s="87" t="s">
        <v>261</v>
      </c>
      <c r="B10" s="10" t="s">
        <v>177</v>
      </c>
      <c r="C10" s="46" t="s">
        <v>240</v>
      </c>
      <c r="D10" s="52">
        <v>59910</v>
      </c>
      <c r="E10" s="52" cm="1">
        <f t="array" ref="E10">6975000/JPY</f>
        <v>50938.435697071494</v>
      </c>
    </row>
    <row r="11" spans="1:26">
      <c r="A11" s="88" t="s">
        <v>261</v>
      </c>
      <c r="B11" s="88" t="s">
        <v>275</v>
      </c>
      <c r="C11" s="88" t="s">
        <v>276</v>
      </c>
      <c r="D11" s="52"/>
      <c r="E11" s="52"/>
    </row>
    <row r="12" spans="1:26">
      <c r="A12" s="98" t="s">
        <v>261</v>
      </c>
      <c r="B12" s="98" t="s">
        <v>293</v>
      </c>
      <c r="C12" s="98" t="s">
        <v>294</v>
      </c>
      <c r="D12" s="52"/>
      <c r="E12" s="52"/>
    </row>
    <row r="13" spans="1:26">
      <c r="A13" s="98" t="s">
        <v>261</v>
      </c>
      <c r="B13" s="5" t="s">
        <v>171</v>
      </c>
      <c r="C13" s="10" t="s">
        <v>172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208</v>
      </c>
      <c r="J13" s="67">
        <v>44799</v>
      </c>
      <c r="X13" s="10">
        <v>1982</v>
      </c>
    </row>
    <row r="14" spans="1:26" s="1" customFormat="1">
      <c r="A14" s="1" t="s">
        <v>261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390</v>
      </c>
      <c r="J14" s="152">
        <v>44987</v>
      </c>
      <c r="X14" s="1">
        <v>2004</v>
      </c>
      <c r="Y14" s="1">
        <v>56</v>
      </c>
      <c r="Z14" s="190">
        <f>G14/Y14</f>
        <v>372.53416891428571</v>
      </c>
    </row>
    <row r="15" spans="1:26" s="1" customFormat="1">
      <c r="A15" s="1" t="s">
        <v>261</v>
      </c>
      <c r="B15" s="136" t="s">
        <v>340</v>
      </c>
      <c r="C15" s="1" t="s">
        <v>341</v>
      </c>
      <c r="D15" s="2"/>
      <c r="E15" s="3"/>
      <c r="F15" s="3"/>
      <c r="G15" s="3"/>
      <c r="H15" s="4"/>
      <c r="I15" s="4"/>
    </row>
    <row r="16" spans="1:26">
      <c r="B16" s="10" t="s">
        <v>173</v>
      </c>
      <c r="C16" s="10" t="s">
        <v>174</v>
      </c>
      <c r="D16" s="10">
        <v>127.74</v>
      </c>
      <c r="E16" s="52">
        <v>21290</v>
      </c>
    </row>
    <row r="17" spans="2:26" s="1" customFormat="1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6" s="1" customFormat="1">
      <c r="B18" s="1" t="s">
        <v>259</v>
      </c>
      <c r="C18" s="1" t="s">
        <v>260</v>
      </c>
      <c r="D18" s="2"/>
      <c r="E18" s="3"/>
      <c r="F18" s="4"/>
      <c r="G18" s="4"/>
      <c r="H18" s="4"/>
    </row>
    <row r="19" spans="2:26" s="20" customFormat="1">
      <c r="B19" s="114" t="s">
        <v>75</v>
      </c>
      <c r="C19" s="20" t="s">
        <v>76</v>
      </c>
      <c r="D19" s="21">
        <v>102.23</v>
      </c>
      <c r="E19" s="22">
        <f>+D19*[33]Main!$K$3</f>
        <v>20147.20788088</v>
      </c>
      <c r="F19" s="22">
        <f>+[33]Main!$K$5-[33]Main!$K$6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6" s="20" customFormat="1">
      <c r="B20" s="65" t="s">
        <v>258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6" s="20" customFormat="1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6" s="20" customFormat="1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>
      <c r="B24" s="1" t="s">
        <v>54</v>
      </c>
      <c r="C24" s="1"/>
      <c r="D24" s="2"/>
      <c r="E24" s="3">
        <v>31500</v>
      </c>
      <c r="G24" s="52">
        <f>E24</f>
        <v>31500</v>
      </c>
      <c r="Y24" s="10">
        <v>270</v>
      </c>
      <c r="Z24" s="190">
        <f>G24/Y24</f>
        <v>116.66666666666667</v>
      </c>
    </row>
    <row r="25" spans="2:26" s="20" customFormat="1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>
      <c r="B26" s="20" t="s">
        <v>110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>
      <c r="B27" s="63" t="s">
        <v>257</v>
      </c>
    </row>
    <row r="28" spans="2:26">
      <c r="B28" s="165" t="s">
        <v>479</v>
      </c>
    </row>
    <row r="29" spans="2:26">
      <c r="B29" s="206" t="s">
        <v>620</v>
      </c>
      <c r="E29" s="10">
        <v>100</v>
      </c>
      <c r="H29" s="206" t="s">
        <v>621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40625" defaultRowHeight="12.75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>
      <c r="A1" s="5" t="s">
        <v>146</v>
      </c>
    </row>
    <row r="2" spans="1:24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</row>
    <row r="3" spans="1:24" s="52" customFormat="1">
      <c r="A3" s="71" t="s">
        <v>261</v>
      </c>
      <c r="B3" s="52" t="s">
        <v>166</v>
      </c>
      <c r="C3" s="52" t="s">
        <v>167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>
      <c r="A4" s="71" t="s">
        <v>261</v>
      </c>
      <c r="B4" s="52" t="s">
        <v>168</v>
      </c>
      <c r="C4" s="112" t="s">
        <v>323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>
      <c r="A5" s="83" t="s">
        <v>261</v>
      </c>
      <c r="B5" s="83" t="s">
        <v>265</v>
      </c>
      <c r="C5" s="83" t="s">
        <v>266</v>
      </c>
      <c r="D5" s="69"/>
      <c r="E5" s="70"/>
      <c r="F5" s="70"/>
      <c r="G5" s="70"/>
      <c r="H5" s="70"/>
      <c r="I5" s="70"/>
    </row>
    <row r="6" spans="1:24" s="52" customFormat="1">
      <c r="A6" s="84" t="s">
        <v>261</v>
      </c>
      <c r="B6" s="84" t="s">
        <v>269</v>
      </c>
      <c r="C6" s="84" t="s">
        <v>270</v>
      </c>
      <c r="D6" s="69"/>
      <c r="E6" s="70"/>
      <c r="F6" s="70"/>
      <c r="G6" s="70"/>
      <c r="H6" s="70"/>
      <c r="I6" s="70"/>
    </row>
    <row r="7" spans="1:24" s="20" customFormat="1">
      <c r="A7" s="82" t="s">
        <v>261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208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>
      <c r="A8" s="84" t="s">
        <v>261</v>
      </c>
      <c r="B8" s="186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87" t="s">
        <v>390</v>
      </c>
      <c r="J8" s="43">
        <v>45069</v>
      </c>
    </row>
    <row r="9" spans="1:24">
      <c r="A9" s="87" t="s">
        <v>261</v>
      </c>
      <c r="B9" s="87" t="s">
        <v>273</v>
      </c>
      <c r="C9" s="87" t="s">
        <v>274</v>
      </c>
    </row>
    <row r="10" spans="1:24">
      <c r="A10" s="88" t="s">
        <v>261</v>
      </c>
      <c r="B10" s="88" t="s">
        <v>277</v>
      </c>
      <c r="C10" s="88" t="s">
        <v>278</v>
      </c>
    </row>
    <row r="11" spans="1:24" s="52" customFormat="1">
      <c r="A11" s="91" t="s">
        <v>261</v>
      </c>
      <c r="B11" s="59" t="s">
        <v>251</v>
      </c>
      <c r="C11" s="52" t="s">
        <v>165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>
      <c r="A12" s="91" t="s">
        <v>261</v>
      </c>
      <c r="B12" s="91" t="s">
        <v>279</v>
      </c>
      <c r="C12" s="91" t="s">
        <v>280</v>
      </c>
      <c r="D12" s="69"/>
      <c r="E12" s="70"/>
      <c r="F12" s="70"/>
      <c r="G12" s="70"/>
      <c r="H12" s="70"/>
      <c r="I12" s="70"/>
    </row>
    <row r="13" spans="1:24" s="52" customFormat="1">
      <c r="A13" s="93" t="s">
        <v>261</v>
      </c>
      <c r="B13" s="93" t="s">
        <v>281</v>
      </c>
      <c r="C13" s="93" t="s">
        <v>282</v>
      </c>
      <c r="D13" s="69"/>
      <c r="E13" s="70"/>
      <c r="F13" s="70"/>
      <c r="G13" s="70"/>
      <c r="H13" s="70"/>
      <c r="I13" s="70"/>
    </row>
    <row r="14" spans="1:24" s="52" customFormat="1">
      <c r="A14" s="99" t="s">
        <v>261</v>
      </c>
      <c r="B14" s="99" t="s">
        <v>297</v>
      </c>
      <c r="C14" s="99" t="s">
        <v>297</v>
      </c>
      <c r="D14" s="69"/>
      <c r="E14" s="70"/>
      <c r="F14" s="70"/>
      <c r="G14" s="70"/>
      <c r="H14" s="70"/>
      <c r="I14" s="70"/>
    </row>
    <row r="15" spans="1:24" s="52" customFormat="1">
      <c r="A15" s="99" t="s">
        <v>261</v>
      </c>
      <c r="B15" s="99" t="s">
        <v>298</v>
      </c>
      <c r="C15" s="99" t="s">
        <v>299</v>
      </c>
      <c r="D15" s="69"/>
      <c r="E15" s="70"/>
      <c r="F15" s="70"/>
      <c r="G15" s="70"/>
      <c r="H15" s="70"/>
      <c r="I15" s="70"/>
    </row>
    <row r="16" spans="1:24" s="52" customFormat="1">
      <c r="A16" s="104" t="s">
        <v>261</v>
      </c>
      <c r="B16" s="104" t="s">
        <v>302</v>
      </c>
      <c r="C16" s="104" t="s">
        <v>303</v>
      </c>
      <c r="D16" s="69"/>
      <c r="E16" s="70"/>
      <c r="F16" s="70"/>
      <c r="G16" s="70"/>
      <c r="H16" s="70"/>
      <c r="I16" s="70"/>
    </row>
    <row r="17" spans="1:23" s="52" customFormat="1">
      <c r="A17" s="106" t="s">
        <v>261</v>
      </c>
      <c r="B17" s="106" t="s">
        <v>305</v>
      </c>
      <c r="C17" s="106" t="s">
        <v>306</v>
      </c>
      <c r="D17" s="69"/>
      <c r="E17" s="70"/>
      <c r="F17" s="70"/>
      <c r="G17" s="70"/>
      <c r="H17" s="70"/>
      <c r="I17" s="70"/>
    </row>
    <row r="18" spans="1:23" s="52" customFormat="1">
      <c r="A18" s="109" t="s">
        <v>261</v>
      </c>
      <c r="B18" s="109" t="s">
        <v>315</v>
      </c>
      <c r="C18" s="109" t="s">
        <v>316</v>
      </c>
      <c r="D18" s="69"/>
      <c r="E18" s="70"/>
      <c r="F18" s="70"/>
      <c r="G18" s="70"/>
      <c r="H18" s="70"/>
      <c r="I18" s="70"/>
    </row>
    <row r="19" spans="1:23" s="52" customFormat="1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>
      <c r="B21" s="57" t="s">
        <v>104</v>
      </c>
      <c r="C21" s="57" t="s">
        <v>105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>
      <c r="A22" s="108" t="s">
        <v>261</v>
      </c>
      <c r="B22" s="117" t="s">
        <v>309</v>
      </c>
      <c r="C22" s="108" t="s">
        <v>310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>
      <c r="B23" s="120" t="s">
        <v>65</v>
      </c>
      <c r="C23" s="20" t="s">
        <v>66</v>
      </c>
      <c r="D23" s="21">
        <v>312</v>
      </c>
      <c r="E23" s="22">
        <v>19090</v>
      </c>
    </row>
    <row r="24" spans="1:23">
      <c r="B24" s="194" t="s">
        <v>539</v>
      </c>
      <c r="C24" s="194" t="s">
        <v>540</v>
      </c>
    </row>
    <row r="25" spans="1:23">
      <c r="B25" s="194" t="s">
        <v>545</v>
      </c>
      <c r="C25" s="194" t="s">
        <v>546</v>
      </c>
    </row>
    <row r="27" spans="1:23" s="52" customFormat="1">
      <c r="B27" s="58" t="s">
        <v>33</v>
      </c>
      <c r="C27" s="58" t="s">
        <v>154</v>
      </c>
      <c r="D27" s="61">
        <v>0</v>
      </c>
      <c r="E27" s="9">
        <v>100000</v>
      </c>
      <c r="F27" s="70"/>
      <c r="G27" s="70"/>
      <c r="H27" s="70"/>
      <c r="I27" s="70"/>
    </row>
    <row r="28" spans="1:23">
      <c r="B28" s="166" t="s">
        <v>59</v>
      </c>
      <c r="C28" s="166"/>
      <c r="D28" s="167">
        <v>0</v>
      </c>
      <c r="E28" s="168">
        <v>26000</v>
      </c>
    </row>
    <row r="29" spans="1:23">
      <c r="B29" s="57" t="s">
        <v>87</v>
      </c>
      <c r="C29" s="57"/>
      <c r="D29" s="61">
        <v>0</v>
      </c>
      <c r="E29" s="3">
        <v>15000</v>
      </c>
    </row>
    <row r="30" spans="1:23">
      <c r="B30" s="56" t="s">
        <v>250</v>
      </c>
      <c r="D30" s="61">
        <v>0</v>
      </c>
      <c r="E30" s="68">
        <v>75</v>
      </c>
    </row>
    <row r="31" spans="1:23">
      <c r="B31" s="62" t="s">
        <v>252</v>
      </c>
      <c r="D31" s="61">
        <v>0</v>
      </c>
    </row>
    <row r="32" spans="1:23">
      <c r="B32" s="94" t="s">
        <v>283</v>
      </c>
      <c r="E32" s="68">
        <v>424</v>
      </c>
    </row>
    <row r="33" spans="2:5">
      <c r="B33" s="94" t="s">
        <v>285</v>
      </c>
      <c r="E33" s="68">
        <v>159.5</v>
      </c>
    </row>
    <row r="34" spans="2:5">
      <c r="B34" s="165" t="s">
        <v>480</v>
      </c>
    </row>
    <row r="35" spans="2:5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6" sqref="B26"/>
    </sheetView>
  </sheetViews>
  <sheetFormatPr defaultColWidth="9.140625" defaultRowHeight="12.75"/>
  <cols>
    <col min="1" max="1" width="5" style="10" bestFit="1" customWidth="1"/>
    <col min="2" max="2" width="11.85546875" style="10" customWidth="1"/>
    <col min="3" max="16384" width="9.140625" style="10"/>
  </cols>
  <sheetData>
    <row r="1" spans="1:24">
      <c r="A1" s="5" t="s">
        <v>146</v>
      </c>
    </row>
    <row r="2" spans="1:24" s="72" customFormat="1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>
      <c r="A3" s="72" t="s">
        <v>261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>
      <c r="A4" s="72" t="s">
        <v>261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>
      <c r="A5" s="72" t="s">
        <v>261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>
      <c r="A6" s="82" t="s">
        <v>261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>
      <c r="A7" s="82" t="s">
        <v>261</v>
      </c>
      <c r="B7" s="82" t="s">
        <v>262</v>
      </c>
      <c r="C7" s="82" t="s">
        <v>263</v>
      </c>
    </row>
    <row r="8" spans="1:24">
      <c r="A8" s="86" t="s">
        <v>261</v>
      </c>
      <c r="B8" s="11" t="s">
        <v>206</v>
      </c>
      <c r="C8" s="11" t="s">
        <v>207</v>
      </c>
    </row>
    <row r="9" spans="1:24">
      <c r="A9" s="87" t="s">
        <v>261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359</v>
      </c>
      <c r="J9" s="67">
        <v>44971</v>
      </c>
    </row>
    <row r="10" spans="1:24">
      <c r="A10" s="86" t="s">
        <v>261</v>
      </c>
      <c r="B10" s="11" t="s">
        <v>204</v>
      </c>
      <c r="C10" s="11" t="s">
        <v>205</v>
      </c>
    </row>
    <row r="11" spans="1:24">
      <c r="A11" s="98" t="s">
        <v>261</v>
      </c>
      <c r="B11" s="98" t="s">
        <v>293</v>
      </c>
      <c r="C11" s="98" t="s">
        <v>294</v>
      </c>
    </row>
    <row r="12" spans="1:24">
      <c r="A12" s="96" t="s">
        <v>261</v>
      </c>
      <c r="B12" s="10" t="s">
        <v>42</v>
      </c>
      <c r="C12" s="10" t="s">
        <v>43</v>
      </c>
    </row>
    <row r="13" spans="1:24" s="20" customFormat="1">
      <c r="A13" s="98" t="s">
        <v>261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>
      <c r="A14" s="98" t="s">
        <v>261</v>
      </c>
      <c r="B14" s="98" t="s">
        <v>295</v>
      </c>
      <c r="C14" s="98" t="s">
        <v>296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>
      <c r="A15" s="108" t="s">
        <v>261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>
      <c r="A16" s="108" t="s">
        <v>261</v>
      </c>
      <c r="B16" s="108" t="s">
        <v>311</v>
      </c>
      <c r="C16" s="108" t="s">
        <v>312</v>
      </c>
    </row>
    <row r="17" spans="1:23">
      <c r="A17" s="108" t="s">
        <v>261</v>
      </c>
      <c r="B17" s="108" t="s">
        <v>313</v>
      </c>
      <c r="C17" s="108" t="s">
        <v>314</v>
      </c>
    </row>
    <row r="18" spans="1:23">
      <c r="A18" s="110" t="s">
        <v>261</v>
      </c>
      <c r="B18" s="110" t="s">
        <v>317</v>
      </c>
      <c r="C18" s="110" t="s">
        <v>318</v>
      </c>
    </row>
    <row r="19" spans="1:23">
      <c r="A19" s="111" t="s">
        <v>261</v>
      </c>
      <c r="B19" s="111" t="s">
        <v>319</v>
      </c>
      <c r="C19" s="111" t="s">
        <v>320</v>
      </c>
    </row>
    <row r="20" spans="1:23">
      <c r="A20" s="134" t="s">
        <v>261</v>
      </c>
      <c r="B20" s="10" t="s">
        <v>161</v>
      </c>
      <c r="C20" s="10" t="s">
        <v>162</v>
      </c>
    </row>
    <row r="21" spans="1:23">
      <c r="B21" s="1" t="s">
        <v>97</v>
      </c>
      <c r="C21" s="1" t="s">
        <v>98</v>
      </c>
      <c r="D21" s="2">
        <v>2.5099999999999998</v>
      </c>
      <c r="E21" s="3">
        <v>12580</v>
      </c>
    </row>
    <row r="22" spans="1:23">
      <c r="B22" s="10" t="s">
        <v>163</v>
      </c>
      <c r="C22" s="10" t="s">
        <v>164</v>
      </c>
    </row>
    <row r="23" spans="1:23" s="20" customFormat="1">
      <c r="B23" s="20" t="s">
        <v>135</v>
      </c>
      <c r="C23" s="20" t="s">
        <v>136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>
      <c r="B24" s="5" t="s">
        <v>387</v>
      </c>
      <c r="C24" s="146" t="s">
        <v>388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359</v>
      </c>
      <c r="J24" s="67">
        <v>44965</v>
      </c>
    </row>
    <row r="25" spans="1:23">
      <c r="B25" s="149" t="s">
        <v>389</v>
      </c>
    </row>
    <row r="29" spans="1:23">
      <c r="B29" s="1" t="s">
        <v>119</v>
      </c>
      <c r="C29" s="1"/>
      <c r="D29" s="2"/>
      <c r="E29" s="3">
        <v>8333</v>
      </c>
    </row>
    <row r="30" spans="1:23">
      <c r="B30" s="20" t="s">
        <v>64</v>
      </c>
      <c r="C30" s="20"/>
      <c r="D30" s="21"/>
      <c r="E30" s="22">
        <v>22000</v>
      </c>
    </row>
    <row r="31" spans="1:23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ColWidth="9.140625" defaultRowHeight="12.75"/>
  <cols>
    <col min="1" max="1" width="5" style="10" bestFit="1" customWidth="1"/>
    <col min="2" max="2" width="17" style="10" bestFit="1" customWidth="1"/>
    <col min="3" max="16384" width="9.140625" style="10"/>
  </cols>
  <sheetData>
    <row r="1" spans="1:8">
      <c r="A1" s="5" t="s">
        <v>146</v>
      </c>
    </row>
    <row r="2" spans="1:8">
      <c r="B2" s="10" t="s">
        <v>0</v>
      </c>
      <c r="C2" s="10" t="s">
        <v>1</v>
      </c>
      <c r="D2" s="10" t="s">
        <v>2</v>
      </c>
      <c r="E2" s="10" t="s">
        <v>3</v>
      </c>
    </row>
    <row r="3" spans="1:8">
      <c r="A3" s="89" t="s">
        <v>261</v>
      </c>
      <c r="B3" s="10" t="s">
        <v>155</v>
      </c>
      <c r="C3" s="10" t="s">
        <v>156</v>
      </c>
    </row>
    <row r="4" spans="1:8">
      <c r="A4" s="90" t="s">
        <v>261</v>
      </c>
      <c r="B4" s="10" t="s">
        <v>160</v>
      </c>
      <c r="C4" s="10" t="s">
        <v>159</v>
      </c>
    </row>
    <row r="5" spans="1:8">
      <c r="A5" s="92" t="s">
        <v>261</v>
      </c>
      <c r="B5" s="10" t="s">
        <v>157</v>
      </c>
      <c r="C5" s="10" t="s">
        <v>158</v>
      </c>
    </row>
    <row r="6" spans="1:8">
      <c r="A6" s="101" t="s">
        <v>261</v>
      </c>
      <c r="B6" s="101" t="s">
        <v>300</v>
      </c>
      <c r="C6" s="101" t="s">
        <v>301</v>
      </c>
    </row>
    <row r="7" spans="1:8" s="1" customFormat="1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>
      <c r="B8" s="10" t="s">
        <v>197</v>
      </c>
      <c r="C8" s="10" t="s">
        <v>198</v>
      </c>
    </row>
    <row r="9" spans="1:8">
      <c r="B9" s="120" t="s">
        <v>189</v>
      </c>
      <c r="C9" s="20" t="s">
        <v>190</v>
      </c>
      <c r="D9" s="21">
        <v>181.71</v>
      </c>
      <c r="E9" s="22">
        <v>25220</v>
      </c>
    </row>
    <row r="10" spans="1:8">
      <c r="B10" s="194" t="s">
        <v>549</v>
      </c>
      <c r="C10" s="194" t="s">
        <v>550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/>
  <cols>
    <col min="1" max="1" width="5" style="45" bestFit="1" customWidth="1"/>
    <col min="2" max="16384" width="9.140625" style="45"/>
  </cols>
  <sheetData>
    <row r="1" spans="1:3">
      <c r="A1" s="5" t="s">
        <v>146</v>
      </c>
    </row>
    <row r="2" spans="1:3">
      <c r="B2" s="45" t="s">
        <v>150</v>
      </c>
      <c r="C2" s="45">
        <v>7.8498000000000001</v>
      </c>
    </row>
    <row r="3" spans="1:3">
      <c r="B3" s="45" t="s">
        <v>151</v>
      </c>
      <c r="C3" s="45">
        <v>6.74</v>
      </c>
    </row>
    <row r="4" spans="1:3">
      <c r="B4" s="45" t="s">
        <v>215</v>
      </c>
      <c r="C4" s="45">
        <v>1.01</v>
      </c>
    </row>
    <row r="5" spans="1:3">
      <c r="B5" s="45" t="s">
        <v>233</v>
      </c>
      <c r="C5" s="45">
        <v>10.3437</v>
      </c>
    </row>
    <row r="6" spans="1:3">
      <c r="B6" s="46" t="s">
        <v>241</v>
      </c>
      <c r="C6" s="45">
        <v>136.93</v>
      </c>
    </row>
    <row r="7" spans="1:3">
      <c r="B7" s="46" t="s">
        <v>242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>
      <c r="A1" s="5" t="s">
        <v>146</v>
      </c>
    </row>
    <row r="2" spans="1:7">
      <c r="B2" s="6" t="s">
        <v>0</v>
      </c>
      <c r="C2" s="7" t="s">
        <v>149</v>
      </c>
      <c r="D2" s="12" t="s">
        <v>211</v>
      </c>
      <c r="E2" s="46" t="s">
        <v>222</v>
      </c>
      <c r="F2" s="46" t="s">
        <v>244</v>
      </c>
      <c r="G2" s="53" t="s">
        <v>248</v>
      </c>
    </row>
    <row r="3" spans="1:7">
      <c r="B3" s="8" t="s">
        <v>33</v>
      </c>
      <c r="C3" s="7">
        <v>100000</v>
      </c>
      <c r="D3" s="12" t="s">
        <v>212</v>
      </c>
    </row>
    <row r="4" spans="1:7">
      <c r="B4" s="6" t="s">
        <v>87</v>
      </c>
      <c r="C4" s="7">
        <v>15000</v>
      </c>
      <c r="D4" s="12" t="s">
        <v>212</v>
      </c>
    </row>
    <row r="5" spans="1:7">
      <c r="B5" s="6" t="s">
        <v>124</v>
      </c>
      <c r="C5" s="7">
        <v>8000</v>
      </c>
      <c r="D5" s="12" t="s">
        <v>213</v>
      </c>
    </row>
    <row r="6" spans="1:7">
      <c r="B6" s="6" t="s">
        <v>144</v>
      </c>
      <c r="D6" s="12" t="s">
        <v>214</v>
      </c>
    </row>
    <row r="7" spans="1:7">
      <c r="B7" s="6" t="s">
        <v>145</v>
      </c>
      <c r="D7" s="12" t="s">
        <v>214</v>
      </c>
    </row>
    <row r="8" spans="1:7">
      <c r="B8" s="12" t="s">
        <v>209</v>
      </c>
      <c r="D8" s="12" t="s">
        <v>210</v>
      </c>
    </row>
    <row r="9" spans="1:7">
      <c r="B9" s="46" t="s">
        <v>243</v>
      </c>
      <c r="D9" s="46" t="s">
        <v>212</v>
      </c>
      <c r="E9" s="6">
        <v>2021</v>
      </c>
      <c r="F9" s="46" t="s">
        <v>245</v>
      </c>
      <c r="G9" s="53" t="s">
        <v>249</v>
      </c>
    </row>
    <row r="10" spans="1:7">
      <c r="B10" s="53" t="s">
        <v>246</v>
      </c>
      <c r="D10" s="53" t="s">
        <v>247</v>
      </c>
      <c r="E10" s="6">
        <v>2021</v>
      </c>
      <c r="G10" s="53" t="s">
        <v>249</v>
      </c>
    </row>
    <row r="11" spans="1:7">
      <c r="B11" s="162" t="s">
        <v>399</v>
      </c>
      <c r="D11" s="162" t="s">
        <v>400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AI Investors</vt:lpstr>
      <vt:lpstr>AI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2023-06-10T23:51:59Z</dcterms:modified>
  <cp:category/>
  <cp:contentStatus/>
</cp:coreProperties>
</file>