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A98B2003-EC27-4884-8736-7D20F0C3AB0F}" xr6:coauthVersionLast="47" xr6:coauthVersionMax="47" xr10:uidLastSave="{00000000-0000-0000-0000-000000000000}"/>
  <bookViews>
    <workbookView xWindow="-29385" yWindow="1290" windowWidth="28140" windowHeight="18300" activeTab="2" xr2:uid="{00000000-000D-0000-FFFF-FFFF00000000}"/>
  </bookViews>
  <sheets>
    <sheet name="Master" sheetId="75" r:id="rId1"/>
    <sheet name="Main" sheetId="1" r:id="rId2"/>
    <sheet name="Model" sheetId="27" r:id="rId3"/>
    <sheet name="Enbrel" sheetId="52" r:id="rId4"/>
    <sheet name="Lumakras" sheetId="76" r:id="rId5"/>
    <sheet name="Neulasta" sheetId="56" r:id="rId6"/>
    <sheet name="Neupogen" sheetId="57" r:id="rId7"/>
    <sheet name="Epogen" sheetId="64" r:id="rId8"/>
    <sheet name="EPO safety" sheetId="66" r:id="rId9"/>
    <sheet name="Aranesp" sheetId="2" r:id="rId10"/>
    <sheet name="G-CSF" sheetId="30" r:id="rId11"/>
    <sheet name="Sensipar" sheetId="54" r:id="rId12"/>
    <sheet name="Vectibix" sheetId="6" r:id="rId13"/>
    <sheet name="Denosumab" sheetId="9" r:id="rId14"/>
    <sheet name="Denosumab trials" sheetId="50" r:id="rId15"/>
    <sheet name="Kineret" sheetId="63" r:id="rId16"/>
    <sheet name="706" sheetId="7" r:id="rId17"/>
    <sheet name="531" sheetId="8" r:id="rId18"/>
    <sheet name="108" sheetId="46" r:id="rId19"/>
    <sheet name="114" sheetId="15" r:id="rId20"/>
    <sheet name="223" sheetId="71" r:id="rId21"/>
    <sheet name="386" sheetId="51" r:id="rId22"/>
    <sheet name="479" sheetId="58" r:id="rId23"/>
    <sheet name="102" sheetId="55" r:id="rId24"/>
    <sheet name="655" sheetId="74" r:id="rId25"/>
    <sheet name="785" sheetId="70" r:id="rId26"/>
    <sheet name="811" sheetId="73" r:id="rId27"/>
    <sheet name="208" sheetId="72" r:id="rId28"/>
    <sheet name="714" sheetId="53" r:id="rId29"/>
    <sheet name="Failures" sheetId="10" r:id="rId30"/>
    <sheet name="Kepivance" sheetId="5" r:id="rId31"/>
  </sheets>
  <externalReferences>
    <externalReference r:id="rId32"/>
  </externalReferences>
  <definedNames>
    <definedName name="_rev1">[1]Sheet1!$A$8:$G$103</definedName>
    <definedName name="_rev2">[1]Sheet1!$A$105:$G$155</definedName>
    <definedName name="_rev3">[1]Sheet1!$A$157:$G$197</definedName>
    <definedName name="BALANCE_SHEETS_FOR">#REF!</definedName>
    <definedName name="Chart6b">#REF!</definedName>
    <definedName name="INCOME1">[1]Sheet1!$A$1:$S$39</definedName>
    <definedName name="INCOME2">[1]Sheet1!$U$1:$AK$39</definedName>
    <definedName name="INCOME3">[1]Sheet1!$AM$1:$AP$39</definedName>
    <definedName name="incstmt">[1]Sheet1!$A$1:$AP$32</definedName>
    <definedName name="Markets">[1]Sheet1!$A$8:$M$26</definedName>
    <definedName name="MonitorRow">1</definedName>
    <definedName name="page">[1]Sheet1!$A$2:$Q$66</definedName>
    <definedName name="Penetration">[1]Sheet1!$A$31:$M$104</definedName>
    <definedName name="_xlnm.Print_Area" localSheetId="2">Model!$B$1:$DG$51</definedName>
    <definedName name="PROBES___ANTIBODIES1">#REF!</definedName>
    <definedName name="PROBES_ANTIBODIES2">#REF!</definedName>
    <definedName name="revthymitaq">[1]Sheet1!$A$38:$H$46</definedName>
    <definedName name="revtotal">[1]Sheet1!$A$47:$H$70</definedName>
    <definedName name="revviracept">[1]Sheet1!$A$7:$H$37</definedName>
    <definedName name="RIGS_DEVICES">#REF!</definedName>
    <definedName name="Sales">[1]Sheet1!$A$106:$M$179</definedName>
    <definedName name="STATEMENTS_OF_CASH_FLOWS">#REF!</definedName>
    <definedName name="Table_4">#REF!</definedName>
    <definedName name="Table_4b">#REF!</definedName>
    <definedName name="Table_5">#REF!</definedName>
    <definedName name="Table_6">#REF!</definedName>
    <definedName name="Table_7">#REF!</definedName>
    <definedName name="Table10">#REF!</definedName>
    <definedName name="Table5_Naprosyn">#REF!</definedName>
    <definedName name="Table6_Tagamet">#REF!</definedName>
    <definedName name="Table6b">#REF!</definedName>
    <definedName name="Table8">#REF!</definedName>
    <definedName name="Table9">#REF!</definedName>
    <definedName name="Totals">[1]Sheet1!$A$181:$M$235</definedName>
    <definedName name="wrn.CORR." localSheetId="2" hidden="1">{"INCSTMT1",#N/A,FALSE,"COR";"INCSTMT2",#N/A,FALSE,"COR"}</definedName>
    <definedName name="wrn.CORR." hidden="1">{"INCSTMT1",#N/A,FALSE,"COR";"INCSTMT2",#N/A,FALSE,"COR"}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S7" i="27" l="1"/>
  <c r="CT7" i="27" s="1"/>
  <c r="CU7" i="27" s="1"/>
  <c r="CV7" i="27" s="1"/>
  <c r="CW7" i="27" s="1"/>
  <c r="CX7" i="27" s="1"/>
  <c r="CS4" i="27"/>
  <c r="CT4" i="27" s="1"/>
  <c r="CU4" i="27" s="1"/>
  <c r="CV4" i="27" s="1"/>
  <c r="CW4" i="27" s="1"/>
  <c r="CX4" i="27" s="1"/>
  <c r="CS3" i="27"/>
  <c r="CT3" i="27" s="1"/>
  <c r="CU3" i="27" s="1"/>
  <c r="CV3" i="27" s="1"/>
  <c r="CW3" i="27" s="1"/>
  <c r="CX3" i="27" s="1"/>
  <c r="CS9" i="27"/>
  <c r="CT9" i="27" s="1"/>
  <c r="CU9" i="27" s="1"/>
  <c r="CV9" i="27" s="1"/>
  <c r="CW9" i="27" s="1"/>
  <c r="CX9" i="27" s="1"/>
  <c r="CS8" i="27"/>
  <c r="CT8" i="27" s="1"/>
  <c r="CU8" i="27" s="1"/>
  <c r="CV8" i="27" s="1"/>
  <c r="CW8" i="27" s="1"/>
  <c r="CX8" i="27" s="1"/>
  <c r="CT10" i="27"/>
  <c r="CU10" i="27" s="1"/>
  <c r="CV10" i="27" s="1"/>
  <c r="CW10" i="27" s="1"/>
  <c r="CX10" i="27" s="1"/>
  <c r="CS10" i="27"/>
  <c r="CX13" i="27"/>
  <c r="CW13" i="27"/>
  <c r="CV13" i="27"/>
  <c r="CU13" i="27"/>
  <c r="CT13" i="27"/>
  <c r="CS13" i="27"/>
  <c r="CX17" i="27"/>
  <c r="CW17" i="27"/>
  <c r="CV17" i="27"/>
  <c r="CU17" i="27"/>
  <c r="CT17" i="27"/>
  <c r="CS17" i="27"/>
  <c r="CX18" i="27"/>
  <c r="CW18" i="27"/>
  <c r="CV18" i="27"/>
  <c r="CU18" i="27"/>
  <c r="CT18" i="27"/>
  <c r="CS18" i="27"/>
  <c r="CX19" i="27"/>
  <c r="CW19" i="27"/>
  <c r="CV19" i="27"/>
  <c r="CU19" i="27"/>
  <c r="CT19" i="27"/>
  <c r="CS19" i="27"/>
  <c r="CX20" i="27"/>
  <c r="CW20" i="27"/>
  <c r="CV20" i="27"/>
  <c r="CU20" i="27"/>
  <c r="CT20" i="27"/>
  <c r="CS20" i="27"/>
  <c r="CX21" i="27"/>
  <c r="CW21" i="27"/>
  <c r="CV21" i="27"/>
  <c r="CU21" i="27"/>
  <c r="CT21" i="27"/>
  <c r="CS21" i="27"/>
  <c r="CX22" i="27"/>
  <c r="CW22" i="27"/>
  <c r="CV22" i="27"/>
  <c r="CU22" i="27"/>
  <c r="CT22" i="27"/>
  <c r="CS22" i="27"/>
  <c r="CX23" i="27"/>
  <c r="CW23" i="27"/>
  <c r="CV23" i="27"/>
  <c r="CU23" i="27"/>
  <c r="CT23" i="27"/>
  <c r="CS23" i="27"/>
  <c r="CX25" i="27"/>
  <c r="CW25" i="27"/>
  <c r="CV25" i="27"/>
  <c r="CU25" i="27"/>
  <c r="CT25" i="27"/>
  <c r="CS25" i="27"/>
  <c r="CX26" i="27"/>
  <c r="CW26" i="27"/>
  <c r="CV26" i="27"/>
  <c r="CU26" i="27"/>
  <c r="CT26" i="27"/>
  <c r="CS26" i="27"/>
  <c r="CW27" i="27"/>
  <c r="CV27" i="27"/>
  <c r="CU27" i="27"/>
  <c r="CT27" i="27"/>
  <c r="CX27" i="27" s="1"/>
  <c r="CS27" i="27"/>
  <c r="CX28" i="27"/>
  <c r="CW28" i="27"/>
  <c r="CV28" i="27"/>
  <c r="CU28" i="27"/>
  <c r="CT28" i="27"/>
  <c r="CS28" i="27"/>
  <c r="CX29" i="27"/>
  <c r="CW29" i="27"/>
  <c r="CV29" i="27"/>
  <c r="CU29" i="27"/>
  <c r="CT29" i="27"/>
  <c r="CS29" i="27"/>
  <c r="CX30" i="27"/>
  <c r="CW30" i="27"/>
  <c r="CV30" i="27"/>
  <c r="CU30" i="27"/>
  <c r="CT30" i="27"/>
  <c r="CS30" i="27"/>
  <c r="CX31" i="27"/>
  <c r="CW31" i="27"/>
  <c r="CV31" i="27"/>
  <c r="CU31" i="27"/>
  <c r="CT31" i="27"/>
  <c r="CS31" i="27"/>
  <c r="CX32" i="27"/>
  <c r="CW32" i="27"/>
  <c r="CV32" i="27"/>
  <c r="CU32" i="27"/>
  <c r="CT32" i="27"/>
  <c r="CS32" i="27"/>
  <c r="CX34" i="27"/>
  <c r="CW34" i="27"/>
  <c r="CV34" i="27"/>
  <c r="CU34" i="27"/>
  <c r="CT34" i="27"/>
  <c r="CS34" i="27"/>
  <c r="CX35" i="27"/>
  <c r="CW35" i="27"/>
  <c r="CV35" i="27"/>
  <c r="CU35" i="27"/>
  <c r="CT35" i="27"/>
  <c r="CS35" i="27"/>
  <c r="CX36" i="27"/>
  <c r="CW36" i="27"/>
  <c r="CV36" i="27"/>
  <c r="CU36" i="27"/>
  <c r="CT36" i="27"/>
  <c r="CS36" i="27"/>
  <c r="CR60" i="27"/>
  <c r="CQ60" i="27"/>
  <c r="CQ39" i="27"/>
  <c r="CN39" i="27"/>
  <c r="CR39" i="27"/>
  <c r="DY36" i="27"/>
  <c r="DZ36" i="27" s="1"/>
  <c r="EA36" i="27" s="1"/>
  <c r="EB36" i="27" s="1"/>
  <c r="EC36" i="27" s="1"/>
  <c r="ED36" i="27" s="1"/>
  <c r="EE36" i="27" s="1"/>
  <c r="EF36" i="27" s="1"/>
  <c r="EG36" i="27" s="1"/>
  <c r="EH36" i="27" s="1"/>
  <c r="EI36" i="27" s="1"/>
  <c r="EJ36" i="27" s="1"/>
  <c r="DW36" i="27"/>
  <c r="EA46" i="27"/>
  <c r="DW43" i="27"/>
  <c r="DX43" i="27" s="1"/>
  <c r="DV43" i="27"/>
  <c r="DV44" i="27" s="1"/>
  <c r="DU43" i="27"/>
  <c r="DU44" i="27" s="1"/>
  <c r="DW51" i="27"/>
  <c r="DZ11" i="27"/>
  <c r="EA11" i="27" s="1"/>
  <c r="EB11" i="27" s="1"/>
  <c r="EC11" i="27" s="1"/>
  <c r="ED11" i="27" s="1"/>
  <c r="EE11" i="27" s="1"/>
  <c r="EF11" i="27" s="1"/>
  <c r="EG11" i="27" s="1"/>
  <c r="EH11" i="27" s="1"/>
  <c r="EI11" i="27" s="1"/>
  <c r="EJ11" i="27" s="1"/>
  <c r="DY10" i="27"/>
  <c r="DZ10" i="27" s="1"/>
  <c r="EA10" i="27" s="1"/>
  <c r="EB10" i="27" s="1"/>
  <c r="EC10" i="27" s="1"/>
  <c r="ED10" i="27" s="1"/>
  <c r="EE10" i="27" s="1"/>
  <c r="EF10" i="27" s="1"/>
  <c r="EG10" i="27" s="1"/>
  <c r="EH10" i="27" s="1"/>
  <c r="EI10" i="27" s="1"/>
  <c r="EJ10" i="27" s="1"/>
  <c r="DY9" i="27"/>
  <c r="DZ9" i="27" s="1"/>
  <c r="EA9" i="27" s="1"/>
  <c r="EB9" i="27" s="1"/>
  <c r="EC9" i="27" s="1"/>
  <c r="ED9" i="27" s="1"/>
  <c r="EE9" i="27" s="1"/>
  <c r="EF9" i="27" s="1"/>
  <c r="EG9" i="27" s="1"/>
  <c r="EH9" i="27" s="1"/>
  <c r="EI9" i="27" s="1"/>
  <c r="EJ9" i="27" s="1"/>
  <c r="EC2" i="27"/>
  <c r="ED2" i="27" s="1"/>
  <c r="EE2" i="27" s="1"/>
  <c r="EF2" i="27" s="1"/>
  <c r="EG2" i="27" s="1"/>
  <c r="EH2" i="27" s="1"/>
  <c r="EI2" i="27" s="1"/>
  <c r="EJ2" i="27" s="1"/>
  <c r="DW48" i="27"/>
  <c r="DW42" i="27"/>
  <c r="DW40" i="27"/>
  <c r="DW35" i="27"/>
  <c r="DW33" i="27"/>
  <c r="DW31" i="27"/>
  <c r="DW30" i="27"/>
  <c r="DW29" i="27"/>
  <c r="DW28" i="27"/>
  <c r="DW27" i="27"/>
  <c r="DW26" i="27"/>
  <c r="DW25" i="27"/>
  <c r="DW24" i="27"/>
  <c r="DW23" i="27"/>
  <c r="DW22" i="27"/>
  <c r="DW21" i="27"/>
  <c r="DW20" i="27"/>
  <c r="DW19" i="27"/>
  <c r="DW18" i="27"/>
  <c r="DW17" i="27"/>
  <c r="DW16" i="27"/>
  <c r="DW8" i="27"/>
  <c r="DW7" i="27"/>
  <c r="DW6" i="27"/>
  <c r="DW4" i="27"/>
  <c r="DW38" i="27"/>
  <c r="DV38" i="27"/>
  <c r="DV35" i="27"/>
  <c r="DV33" i="27"/>
  <c r="DV31" i="27"/>
  <c r="DV30" i="27"/>
  <c r="DV29" i="27"/>
  <c r="DV28" i="27"/>
  <c r="DV27" i="27"/>
  <c r="DV26" i="27"/>
  <c r="DV25" i="27"/>
  <c r="DV24" i="27"/>
  <c r="DV23" i="27"/>
  <c r="DV22" i="27"/>
  <c r="DV21" i="27"/>
  <c r="DV20" i="27"/>
  <c r="DV19" i="27"/>
  <c r="DV18" i="27"/>
  <c r="DV17" i="27"/>
  <c r="DV16" i="27"/>
  <c r="DV8" i="27"/>
  <c r="DV7" i="27"/>
  <c r="DV6" i="27"/>
  <c r="DV4" i="27"/>
  <c r="DU38" i="27"/>
  <c r="DU35" i="27"/>
  <c r="DU33" i="27"/>
  <c r="DU31" i="27"/>
  <c r="DU30" i="27"/>
  <c r="DU29" i="27"/>
  <c r="DU28" i="27"/>
  <c r="DU27" i="27"/>
  <c r="DU26" i="27"/>
  <c r="DU25" i="27"/>
  <c r="DU24" i="27"/>
  <c r="DU23" i="27"/>
  <c r="DU22" i="27"/>
  <c r="DU21" i="27"/>
  <c r="DU20" i="27"/>
  <c r="DU19" i="27"/>
  <c r="DU18" i="27"/>
  <c r="DU17" i="27"/>
  <c r="DU16" i="27"/>
  <c r="DU8" i="27"/>
  <c r="DU7" i="27"/>
  <c r="DU6" i="27"/>
  <c r="DU4" i="27"/>
  <c r="DT38" i="27"/>
  <c r="DT35" i="27"/>
  <c r="DT33" i="27"/>
  <c r="DT31" i="27"/>
  <c r="DT30" i="27"/>
  <c r="DT29" i="27"/>
  <c r="DT28" i="27"/>
  <c r="DT27" i="27"/>
  <c r="DT26" i="27"/>
  <c r="DT25" i="27"/>
  <c r="DT24" i="27"/>
  <c r="DT23" i="27"/>
  <c r="DT22" i="27"/>
  <c r="DT21" i="27"/>
  <c r="DT20" i="27"/>
  <c r="DT19" i="27"/>
  <c r="DT18" i="27"/>
  <c r="DT17" i="27"/>
  <c r="DT16" i="27"/>
  <c r="DT8" i="27"/>
  <c r="DT7" i="27"/>
  <c r="DT6" i="27"/>
  <c r="DT4" i="27"/>
  <c r="DW3" i="27"/>
  <c r="DV3" i="27"/>
  <c r="DU3" i="27"/>
  <c r="DT3" i="27"/>
  <c r="BZ55" i="27"/>
  <c r="BZ54" i="27"/>
  <c r="BZ53" i="27"/>
  <c r="BV46" i="27"/>
  <c r="BZ46" i="27"/>
  <c r="BV44" i="27"/>
  <c r="BV39" i="27"/>
  <c r="BV41" i="27" s="1"/>
  <c r="BV53" i="27" s="1"/>
  <c r="BW46" i="27"/>
  <c r="CA46" i="27"/>
  <c r="BW44" i="27"/>
  <c r="BW39" i="27"/>
  <c r="BW41" i="27" s="1"/>
  <c r="BW53" i="27" s="1"/>
  <c r="CK46" i="27"/>
  <c r="CL46" i="27"/>
  <c r="CL39" i="27"/>
  <c r="CL41" i="27" s="1"/>
  <c r="BX46" i="27"/>
  <c r="CB44" i="27"/>
  <c r="CA44" i="27"/>
  <c r="BZ44" i="27"/>
  <c r="BY44" i="27"/>
  <c r="BX44" i="27"/>
  <c r="CB39" i="27"/>
  <c r="CB41" i="27" s="1"/>
  <c r="CB53" i="27" s="1"/>
  <c r="CA39" i="27"/>
  <c r="CA41" i="27" s="1"/>
  <c r="CA53" i="27" s="1"/>
  <c r="BZ39" i="27"/>
  <c r="BZ41" i="27" s="1"/>
  <c r="BY39" i="27"/>
  <c r="BY41" i="27" s="1"/>
  <c r="BX39" i="27"/>
  <c r="BX41" i="27" s="1"/>
  <c r="BX53" i="27" s="1"/>
  <c r="CL69" i="27"/>
  <c r="CK69" i="27"/>
  <c r="CI69" i="27"/>
  <c r="CH69" i="27"/>
  <c r="CG69" i="27"/>
  <c r="CJ69" i="27"/>
  <c r="CF46" i="27"/>
  <c r="CJ46" i="27"/>
  <c r="CN43" i="27"/>
  <c r="CM43" i="27"/>
  <c r="CP43" i="27"/>
  <c r="CO43" i="27"/>
  <c r="CN42" i="27"/>
  <c r="CM42" i="27"/>
  <c r="CP42" i="27"/>
  <c r="CO42" i="27"/>
  <c r="CM51" i="27"/>
  <c r="CK44" i="27"/>
  <c r="CN69" i="27"/>
  <c r="CM69" i="27"/>
  <c r="CP69" i="27"/>
  <c r="CO69" i="27"/>
  <c r="CL67" i="27"/>
  <c r="CK67" i="27"/>
  <c r="CO67" i="27"/>
  <c r="CN67" i="27"/>
  <c r="CM67" i="27"/>
  <c r="CP67" i="27"/>
  <c r="CI67" i="27"/>
  <c r="CH67" i="27"/>
  <c r="CG67" i="27"/>
  <c r="CJ67" i="27"/>
  <c r="CJ44" i="27"/>
  <c r="CJ39" i="27"/>
  <c r="CJ41" i="27" s="1"/>
  <c r="CJ53" i="27" s="1"/>
  <c r="CC44" i="27"/>
  <c r="CC39" i="27"/>
  <c r="CC41" i="27" s="1"/>
  <c r="CC53" i="27" s="1"/>
  <c r="DT44" i="27"/>
  <c r="DT45" i="27" s="1"/>
  <c r="DS44" i="27"/>
  <c r="DS45" i="27" s="1"/>
  <c r="CD44" i="27"/>
  <c r="CD39" i="27"/>
  <c r="CD41" i="27" s="1"/>
  <c r="CD53" i="27" s="1"/>
  <c r="CS39" i="27" l="1"/>
  <c r="CS60" i="27" s="1"/>
  <c r="CT39" i="27"/>
  <c r="CT60" i="27" s="1"/>
  <c r="CU39" i="27"/>
  <c r="CU60" i="27" s="1"/>
  <c r="CV39" i="27"/>
  <c r="CV60" i="27" s="1"/>
  <c r="CW39" i="27"/>
  <c r="CX39" i="27"/>
  <c r="DX29" i="27"/>
  <c r="DY29" i="27" s="1"/>
  <c r="DZ29" i="27" s="1"/>
  <c r="EA29" i="27" s="1"/>
  <c r="EB29" i="27" s="1"/>
  <c r="EC29" i="27" s="1"/>
  <c r="ED29" i="27" s="1"/>
  <c r="EE29" i="27" s="1"/>
  <c r="EF29" i="27" s="1"/>
  <c r="EG29" i="27" s="1"/>
  <c r="EH29" i="27" s="1"/>
  <c r="EI29" i="27" s="1"/>
  <c r="EJ29" i="27" s="1"/>
  <c r="DX30" i="27"/>
  <c r="DY30" i="27" s="1"/>
  <c r="DZ30" i="27" s="1"/>
  <c r="EA30" i="27" s="1"/>
  <c r="EB30" i="27" s="1"/>
  <c r="EC30" i="27" s="1"/>
  <c r="ED30" i="27" s="1"/>
  <c r="EE30" i="27" s="1"/>
  <c r="EF30" i="27" s="1"/>
  <c r="EG30" i="27" s="1"/>
  <c r="EH30" i="27" s="1"/>
  <c r="EI30" i="27" s="1"/>
  <c r="EJ30" i="27" s="1"/>
  <c r="DX24" i="27"/>
  <c r="DY24" i="27" s="1"/>
  <c r="DZ24" i="27" s="1"/>
  <c r="EA24" i="27" s="1"/>
  <c r="EB24" i="27" s="1"/>
  <c r="EC24" i="27" s="1"/>
  <c r="ED24" i="27" s="1"/>
  <c r="EE24" i="27" s="1"/>
  <c r="EF24" i="27" s="1"/>
  <c r="EG24" i="27" s="1"/>
  <c r="EH24" i="27" s="1"/>
  <c r="EI24" i="27" s="1"/>
  <c r="EJ24" i="27" s="1"/>
  <c r="DX28" i="27"/>
  <c r="DY28" i="27" s="1"/>
  <c r="DZ28" i="27" s="1"/>
  <c r="EA28" i="27" s="1"/>
  <c r="EB28" i="27" s="1"/>
  <c r="EC28" i="27" s="1"/>
  <c r="ED28" i="27" s="1"/>
  <c r="EE28" i="27" s="1"/>
  <c r="EF28" i="27" s="1"/>
  <c r="EG28" i="27" s="1"/>
  <c r="EH28" i="27" s="1"/>
  <c r="EI28" i="27" s="1"/>
  <c r="EJ28" i="27" s="1"/>
  <c r="DX21" i="27"/>
  <c r="DY21" i="27" s="1"/>
  <c r="DZ21" i="27" s="1"/>
  <c r="EA21" i="27" s="1"/>
  <c r="EB21" i="27" s="1"/>
  <c r="EC21" i="27" s="1"/>
  <c r="ED21" i="27" s="1"/>
  <c r="EE21" i="27" s="1"/>
  <c r="EF21" i="27" s="1"/>
  <c r="EG21" i="27" s="1"/>
  <c r="EH21" i="27" s="1"/>
  <c r="EI21" i="27" s="1"/>
  <c r="EJ21" i="27" s="1"/>
  <c r="DW37" i="27"/>
  <c r="DW39" i="27" s="1"/>
  <c r="DW41" i="27" s="1"/>
  <c r="DX7" i="27"/>
  <c r="DY7" i="27" s="1"/>
  <c r="DZ7" i="27" s="1"/>
  <c r="EA7" i="27" s="1"/>
  <c r="EB7" i="27" s="1"/>
  <c r="EC7" i="27" s="1"/>
  <c r="ED7" i="27" s="1"/>
  <c r="EE7" i="27" s="1"/>
  <c r="EF7" i="27" s="1"/>
  <c r="EG7" i="27" s="1"/>
  <c r="EH7" i="27" s="1"/>
  <c r="EI7" i="27" s="1"/>
  <c r="EJ7" i="27" s="1"/>
  <c r="CM46" i="27"/>
  <c r="DX31" i="27"/>
  <c r="DY31" i="27" s="1"/>
  <c r="DZ31" i="27" s="1"/>
  <c r="EA31" i="27" s="1"/>
  <c r="EB31" i="27" s="1"/>
  <c r="EC31" i="27" s="1"/>
  <c r="ED31" i="27" s="1"/>
  <c r="EE31" i="27" s="1"/>
  <c r="EF31" i="27" s="1"/>
  <c r="EG31" i="27" s="1"/>
  <c r="EH31" i="27" s="1"/>
  <c r="EI31" i="27" s="1"/>
  <c r="EJ31" i="27" s="1"/>
  <c r="DX4" i="27"/>
  <c r="DY4" i="27" s="1"/>
  <c r="DZ4" i="27" s="1"/>
  <c r="EA4" i="27" s="1"/>
  <c r="EB4" i="27" s="1"/>
  <c r="EC4" i="27" s="1"/>
  <c r="ED4" i="27" s="1"/>
  <c r="EE4" i="27" s="1"/>
  <c r="EF4" i="27" s="1"/>
  <c r="EG4" i="27" s="1"/>
  <c r="EH4" i="27" s="1"/>
  <c r="EI4" i="27" s="1"/>
  <c r="EJ4" i="27" s="1"/>
  <c r="DX16" i="27"/>
  <c r="DY16" i="27" s="1"/>
  <c r="DZ16" i="27" s="1"/>
  <c r="EA16" i="27" s="1"/>
  <c r="EB16" i="27" s="1"/>
  <c r="EC16" i="27" s="1"/>
  <c r="ED16" i="27" s="1"/>
  <c r="EE16" i="27" s="1"/>
  <c r="EF16" i="27" s="1"/>
  <c r="EG16" i="27" s="1"/>
  <c r="EH16" i="27" s="1"/>
  <c r="EI16" i="27" s="1"/>
  <c r="EJ16" i="27" s="1"/>
  <c r="DX22" i="27"/>
  <c r="DY22" i="27" s="1"/>
  <c r="DZ22" i="27" s="1"/>
  <c r="EA22" i="27" s="1"/>
  <c r="EB22" i="27" s="1"/>
  <c r="EC22" i="27" s="1"/>
  <c r="ED22" i="27" s="1"/>
  <c r="EE22" i="27" s="1"/>
  <c r="EF22" i="27" s="1"/>
  <c r="EG22" i="27" s="1"/>
  <c r="EH22" i="27" s="1"/>
  <c r="EI22" i="27" s="1"/>
  <c r="EJ22" i="27" s="1"/>
  <c r="DX18" i="27"/>
  <c r="DY18" i="27" s="1"/>
  <c r="DZ18" i="27" s="1"/>
  <c r="EA18" i="27" s="1"/>
  <c r="EB18" i="27" s="1"/>
  <c r="EC18" i="27" s="1"/>
  <c r="ED18" i="27" s="1"/>
  <c r="EE18" i="27" s="1"/>
  <c r="EF18" i="27" s="1"/>
  <c r="EG18" i="27" s="1"/>
  <c r="EH18" i="27" s="1"/>
  <c r="EI18" i="27" s="1"/>
  <c r="EJ18" i="27" s="1"/>
  <c r="DX33" i="27"/>
  <c r="DY33" i="27" s="1"/>
  <c r="DZ33" i="27" s="1"/>
  <c r="EA33" i="27" s="1"/>
  <c r="EB33" i="27" s="1"/>
  <c r="EC33" i="27" s="1"/>
  <c r="ED33" i="27" s="1"/>
  <c r="EE33" i="27" s="1"/>
  <c r="EF33" i="27" s="1"/>
  <c r="EG33" i="27" s="1"/>
  <c r="EH33" i="27" s="1"/>
  <c r="EI33" i="27" s="1"/>
  <c r="EJ33" i="27" s="1"/>
  <c r="DX3" i="27"/>
  <c r="DY3" i="27" s="1"/>
  <c r="DX25" i="27"/>
  <c r="DY25" i="27" s="1"/>
  <c r="DZ25" i="27" s="1"/>
  <c r="EA25" i="27" s="1"/>
  <c r="EB25" i="27" s="1"/>
  <c r="EC25" i="27" s="1"/>
  <c r="ED25" i="27" s="1"/>
  <c r="EE25" i="27" s="1"/>
  <c r="EF25" i="27" s="1"/>
  <c r="EG25" i="27" s="1"/>
  <c r="EH25" i="27" s="1"/>
  <c r="EI25" i="27" s="1"/>
  <c r="EJ25" i="27" s="1"/>
  <c r="DX8" i="27"/>
  <c r="DY8" i="27" s="1"/>
  <c r="DZ8" i="27" s="1"/>
  <c r="EA8" i="27" s="1"/>
  <c r="EB8" i="27" s="1"/>
  <c r="EC8" i="27" s="1"/>
  <c r="ED8" i="27" s="1"/>
  <c r="EE8" i="27" s="1"/>
  <c r="EF8" i="27" s="1"/>
  <c r="EG8" i="27" s="1"/>
  <c r="EH8" i="27" s="1"/>
  <c r="EI8" i="27" s="1"/>
  <c r="EJ8" i="27" s="1"/>
  <c r="DX27" i="27"/>
  <c r="DY27" i="27" s="1"/>
  <c r="DZ27" i="27" s="1"/>
  <c r="EA27" i="27" s="1"/>
  <c r="EB27" i="27" s="1"/>
  <c r="EC27" i="27" s="1"/>
  <c r="ED27" i="27" s="1"/>
  <c r="EE27" i="27" s="1"/>
  <c r="EF27" i="27" s="1"/>
  <c r="EG27" i="27" s="1"/>
  <c r="EH27" i="27" s="1"/>
  <c r="EI27" i="27" s="1"/>
  <c r="EJ27" i="27" s="1"/>
  <c r="DT37" i="27"/>
  <c r="DX23" i="27"/>
  <c r="DY23" i="27" s="1"/>
  <c r="DZ23" i="27" s="1"/>
  <c r="EA23" i="27" s="1"/>
  <c r="EB23" i="27" s="1"/>
  <c r="EC23" i="27" s="1"/>
  <c r="ED23" i="27" s="1"/>
  <c r="EE23" i="27" s="1"/>
  <c r="EF23" i="27" s="1"/>
  <c r="EG23" i="27" s="1"/>
  <c r="EH23" i="27" s="1"/>
  <c r="EI23" i="27" s="1"/>
  <c r="EJ23" i="27" s="1"/>
  <c r="DX6" i="27"/>
  <c r="DY6" i="27" s="1"/>
  <c r="DZ6" i="27" s="1"/>
  <c r="EA6" i="27" s="1"/>
  <c r="EB6" i="27" s="1"/>
  <c r="EC6" i="27" s="1"/>
  <c r="ED6" i="27" s="1"/>
  <c r="EE6" i="27" s="1"/>
  <c r="EF6" i="27" s="1"/>
  <c r="EG6" i="27" s="1"/>
  <c r="EH6" i="27" s="1"/>
  <c r="EI6" i="27" s="1"/>
  <c r="EJ6" i="27" s="1"/>
  <c r="DX17" i="27"/>
  <c r="DY17" i="27" s="1"/>
  <c r="DZ17" i="27" s="1"/>
  <c r="EA17" i="27" s="1"/>
  <c r="EB17" i="27" s="1"/>
  <c r="EC17" i="27" s="1"/>
  <c r="ED17" i="27" s="1"/>
  <c r="EE17" i="27" s="1"/>
  <c r="EF17" i="27" s="1"/>
  <c r="EG17" i="27" s="1"/>
  <c r="EH17" i="27" s="1"/>
  <c r="EI17" i="27" s="1"/>
  <c r="EJ17" i="27" s="1"/>
  <c r="DX44" i="27"/>
  <c r="DY43" i="27"/>
  <c r="DY44" i="27" s="1"/>
  <c r="BW54" i="27"/>
  <c r="BW55" i="27"/>
  <c r="CA55" i="27"/>
  <c r="DW44" i="27"/>
  <c r="DW46" i="27"/>
  <c r="BX55" i="27"/>
  <c r="BV55" i="27"/>
  <c r="BX54" i="27"/>
  <c r="BV54" i="27"/>
  <c r="DX19" i="27"/>
  <c r="DY19" i="27" s="1"/>
  <c r="DZ19" i="27" s="1"/>
  <c r="EA19" i="27" s="1"/>
  <c r="EB19" i="27" s="1"/>
  <c r="EC19" i="27" s="1"/>
  <c r="ED19" i="27" s="1"/>
  <c r="EE19" i="27" s="1"/>
  <c r="EF19" i="27" s="1"/>
  <c r="EG19" i="27" s="1"/>
  <c r="EH19" i="27" s="1"/>
  <c r="EI19" i="27" s="1"/>
  <c r="EJ19" i="27" s="1"/>
  <c r="DX20" i="27"/>
  <c r="DY20" i="27" s="1"/>
  <c r="DZ20" i="27" s="1"/>
  <c r="EA20" i="27" s="1"/>
  <c r="EB20" i="27" s="1"/>
  <c r="EC20" i="27" s="1"/>
  <c r="ED20" i="27" s="1"/>
  <c r="EE20" i="27" s="1"/>
  <c r="EF20" i="27" s="1"/>
  <c r="EG20" i="27" s="1"/>
  <c r="EH20" i="27" s="1"/>
  <c r="EI20" i="27" s="1"/>
  <c r="EJ20" i="27" s="1"/>
  <c r="CA54" i="27"/>
  <c r="DX26" i="27"/>
  <c r="DV37" i="27"/>
  <c r="DV39" i="27" s="1"/>
  <c r="DV41" i="27" s="1"/>
  <c r="DU37" i="27"/>
  <c r="DU39" i="27" s="1"/>
  <c r="DU41" i="27" s="1"/>
  <c r="BV45" i="27"/>
  <c r="BW45" i="27"/>
  <c r="CM44" i="27"/>
  <c r="CJ54" i="27"/>
  <c r="CN44" i="27"/>
  <c r="CP44" i="27"/>
  <c r="CL44" i="27"/>
  <c r="CL45" i="27" s="1"/>
  <c r="CJ55" i="27"/>
  <c r="CB54" i="27"/>
  <c r="CB55" i="27"/>
  <c r="CO44" i="27"/>
  <c r="BY45" i="27"/>
  <c r="BY47" i="27" s="1"/>
  <c r="BY49" i="27" s="1"/>
  <c r="BY50" i="27" s="1"/>
  <c r="BZ45" i="27"/>
  <c r="CA45" i="27"/>
  <c r="BX45" i="27"/>
  <c r="CB45" i="27"/>
  <c r="CN46" i="27"/>
  <c r="CN51" i="27"/>
  <c r="CK39" i="27"/>
  <c r="CK41" i="27" s="1"/>
  <c r="CJ45" i="27"/>
  <c r="CC54" i="27"/>
  <c r="CC55" i="27"/>
  <c r="CC45" i="27"/>
  <c r="CD54" i="27"/>
  <c r="CD55" i="27"/>
  <c r="CD45" i="27"/>
  <c r="CW60" i="27" l="1"/>
  <c r="CX60" i="27"/>
  <c r="DZ43" i="27"/>
  <c r="EA43" i="27" s="1"/>
  <c r="DV45" i="27"/>
  <c r="DV56" i="27" s="1"/>
  <c r="DV53" i="27"/>
  <c r="CA47" i="27"/>
  <c r="CA56" i="27"/>
  <c r="BX47" i="27"/>
  <c r="BX56" i="27"/>
  <c r="DY26" i="27"/>
  <c r="DZ26" i="27" s="1"/>
  <c r="EA26" i="27" s="1"/>
  <c r="EB26" i="27" s="1"/>
  <c r="EC26" i="27" s="1"/>
  <c r="ED26" i="27" s="1"/>
  <c r="EE26" i="27" s="1"/>
  <c r="EF26" i="27" s="1"/>
  <c r="EG26" i="27" s="1"/>
  <c r="EH26" i="27" s="1"/>
  <c r="EI26" i="27" s="1"/>
  <c r="EJ26" i="27" s="1"/>
  <c r="BV47" i="27"/>
  <c r="BV56" i="27"/>
  <c r="DW45" i="27"/>
  <c r="DW47" i="27" s="1"/>
  <c r="DW49" i="27" s="1"/>
  <c r="DW50" i="27" s="1"/>
  <c r="DW53" i="27"/>
  <c r="BZ47" i="27"/>
  <c r="BZ56" i="27"/>
  <c r="DZ3" i="27"/>
  <c r="BW47" i="27"/>
  <c r="BW49" i="27" s="1"/>
  <c r="BW56" i="27"/>
  <c r="DU45" i="27"/>
  <c r="DU56" i="27" s="1"/>
  <c r="DU53" i="27"/>
  <c r="CB56" i="27"/>
  <c r="CB47" i="27"/>
  <c r="CK54" i="27"/>
  <c r="CK45" i="27"/>
  <c r="CK47" i="27" s="1"/>
  <c r="CO46" i="27"/>
  <c r="CO51" i="27"/>
  <c r="CK55" i="27"/>
  <c r="CJ56" i="27"/>
  <c r="CJ47" i="27"/>
  <c r="CC47" i="27"/>
  <c r="CC56" i="27"/>
  <c r="CD56" i="27"/>
  <c r="CD47" i="27"/>
  <c r="DZ44" i="27" l="1"/>
  <c r="DV47" i="27"/>
  <c r="BW50" i="27"/>
  <c r="BW57" i="27"/>
  <c r="BZ49" i="27"/>
  <c r="BZ58" i="27"/>
  <c r="BV49" i="27"/>
  <c r="BV58" i="27"/>
  <c r="DU47" i="27"/>
  <c r="DU49" i="27" s="1"/>
  <c r="DU50" i="27" s="1"/>
  <c r="CO39" i="27"/>
  <c r="EA3" i="27"/>
  <c r="BW58" i="27"/>
  <c r="BX49" i="27"/>
  <c r="BX58" i="27"/>
  <c r="CA49" i="27"/>
  <c r="CA58" i="27"/>
  <c r="EA44" i="27"/>
  <c r="EB43" i="27"/>
  <c r="DV49" i="27"/>
  <c r="DV57" i="27" s="1"/>
  <c r="CB58" i="27"/>
  <c r="CB49" i="27"/>
  <c r="CM39" i="27"/>
  <c r="CM41" i="27" s="1"/>
  <c r="CM45" i="27" s="1"/>
  <c r="CM47" i="27" s="1"/>
  <c r="CM48" i="27" s="1"/>
  <c r="CM58" i="27" s="1"/>
  <c r="CK53" i="27"/>
  <c r="CK56" i="27"/>
  <c r="CL47" i="27"/>
  <c r="CK58" i="27"/>
  <c r="CP46" i="27"/>
  <c r="CP51" i="27"/>
  <c r="DX51" i="27" s="1"/>
  <c r="DY51" i="27" s="1"/>
  <c r="DZ51" i="27" s="1"/>
  <c r="EA51" i="27" s="1"/>
  <c r="EB51" i="27" s="1"/>
  <c r="EC51" i="27" s="1"/>
  <c r="ED51" i="27" s="1"/>
  <c r="EE51" i="27" s="1"/>
  <c r="EF51" i="27" s="1"/>
  <c r="EG51" i="27" s="1"/>
  <c r="EH51" i="27" s="1"/>
  <c r="EI51" i="27" s="1"/>
  <c r="EJ51" i="27" s="1"/>
  <c r="CL54" i="27"/>
  <c r="CL55" i="27"/>
  <c r="DX38" i="27"/>
  <c r="CJ58" i="27"/>
  <c r="CJ49" i="27"/>
  <c r="CC58" i="27"/>
  <c r="CC49" i="27"/>
  <c r="CD49" i="27"/>
  <c r="CD58" i="27"/>
  <c r="CN41" i="27" l="1"/>
  <c r="CN45" i="27" s="1"/>
  <c r="CN47" i="27" s="1"/>
  <c r="CN48" i="27" s="1"/>
  <c r="CN58" i="27" s="1"/>
  <c r="DY38" i="27"/>
  <c r="BX50" i="27"/>
  <c r="BX57" i="27"/>
  <c r="EB3" i="27"/>
  <c r="DU57" i="27"/>
  <c r="CA50" i="27"/>
  <c r="CA57" i="27"/>
  <c r="BV50" i="27"/>
  <c r="BV57" i="27"/>
  <c r="BZ50" i="27"/>
  <c r="BZ57" i="27"/>
  <c r="EB44" i="27"/>
  <c r="EC43" i="27"/>
  <c r="CM54" i="27"/>
  <c r="CB57" i="27"/>
  <c r="CB50" i="27"/>
  <c r="CM55" i="27"/>
  <c r="DX35" i="27"/>
  <c r="CM53" i="27"/>
  <c r="CL56" i="27"/>
  <c r="CL53" i="27"/>
  <c r="CM56" i="27"/>
  <c r="CM49" i="27"/>
  <c r="CK49" i="27"/>
  <c r="CK57" i="27" s="1"/>
  <c r="CM40" i="27"/>
  <c r="CL58" i="27"/>
  <c r="CO41" i="27"/>
  <c r="CO45" i="27" s="1"/>
  <c r="CO47" i="27" s="1"/>
  <c r="CO48" i="27" s="1"/>
  <c r="CO58" i="27" s="1"/>
  <c r="CO54" i="27"/>
  <c r="CO55" i="27"/>
  <c r="CO60" i="27"/>
  <c r="CJ50" i="27"/>
  <c r="CJ57" i="27"/>
  <c r="CC57" i="27"/>
  <c r="CC50" i="27"/>
  <c r="CD57" i="27"/>
  <c r="CD50" i="27"/>
  <c r="CN60" i="27" l="1"/>
  <c r="CN54" i="27"/>
  <c r="CN55" i="27"/>
  <c r="CP39" i="27"/>
  <c r="CP55" i="27" s="1"/>
  <c r="DY35" i="27"/>
  <c r="DX37" i="27"/>
  <c r="DX39" i="27" s="1"/>
  <c r="DX41" i="27" s="1"/>
  <c r="EC3" i="27"/>
  <c r="DZ38" i="27"/>
  <c r="ED43" i="27"/>
  <c r="EC44" i="27"/>
  <c r="CN56" i="27"/>
  <c r="CK50" i="27"/>
  <c r="CN49" i="27"/>
  <c r="CN50" i="27" s="1"/>
  <c r="CN40" i="27"/>
  <c r="CL49" i="27"/>
  <c r="CL57" i="27" s="1"/>
  <c r="CM50" i="27"/>
  <c r="CM57" i="27"/>
  <c r="CN53" i="27"/>
  <c r="CO40" i="27"/>
  <c r="CO56" i="27"/>
  <c r="CO53" i="27"/>
  <c r="CO49" i="27"/>
  <c r="CH44" i="27"/>
  <c r="CG44" i="27"/>
  <c r="CF44" i="27"/>
  <c r="CE44" i="27"/>
  <c r="CI44" i="27"/>
  <c r="CI39" i="27"/>
  <c r="CM60" i="27" s="1"/>
  <c r="CH39" i="27"/>
  <c r="CL60" i="27" s="1"/>
  <c r="CG39" i="27"/>
  <c r="CF39" i="27"/>
  <c r="CE39" i="27"/>
  <c r="CE60" i="27" s="1"/>
  <c r="BD46" i="27"/>
  <c r="BD44" i="27"/>
  <c r="BD5" i="27"/>
  <c r="BD37" i="27" s="1"/>
  <c r="BD39" i="27" s="1"/>
  <c r="BD41" i="27" s="1"/>
  <c r="BC5" i="27"/>
  <c r="BC37" i="27" s="1"/>
  <c r="BB5" i="27"/>
  <c r="BB37" i="27" s="1"/>
  <c r="BA5" i="27"/>
  <c r="BA37" i="27" s="1"/>
  <c r="AZ5" i="27"/>
  <c r="AZ37" i="27" s="1"/>
  <c r="AY5" i="27"/>
  <c r="AY37" i="27" s="1"/>
  <c r="AV69" i="27"/>
  <c r="AV72" i="27"/>
  <c r="AU72" i="27"/>
  <c r="AV71" i="27"/>
  <c r="AU71" i="27"/>
  <c r="AV63" i="27"/>
  <c r="AV46" i="27"/>
  <c r="AV44" i="27"/>
  <c r="AV38" i="27"/>
  <c r="AW38" i="27" s="1"/>
  <c r="AX38" i="27" s="1"/>
  <c r="AV37" i="27"/>
  <c r="AV5" i="27"/>
  <c r="AW16" i="27"/>
  <c r="AX16" i="27" s="1"/>
  <c r="AW18" i="27"/>
  <c r="AX18" i="27" s="1"/>
  <c r="AW19" i="27"/>
  <c r="AX19" i="27" s="1"/>
  <c r="AW20" i="27"/>
  <c r="AX20" i="27" s="1"/>
  <c r="AW29" i="27"/>
  <c r="AX29" i="27" s="1"/>
  <c r="AU3" i="27"/>
  <c r="AU63" i="27" s="1"/>
  <c r="AS51" i="27"/>
  <c r="AT51" i="27" s="1"/>
  <c r="DL51" i="27" s="1"/>
  <c r="DM51" i="27" s="1"/>
  <c r="DN51" i="27" s="1"/>
  <c r="DO51" i="27" s="1"/>
  <c r="DP51" i="27" s="1"/>
  <c r="DQ51" i="27" s="1"/>
  <c r="DR51" i="27" s="1"/>
  <c r="DS51" i="27" s="1"/>
  <c r="AS43" i="27"/>
  <c r="AS44" i="27" s="1"/>
  <c r="AR63" i="27"/>
  <c r="AR46" i="27"/>
  <c r="AR44" i="27"/>
  <c r="AR38" i="27"/>
  <c r="AR29" i="27"/>
  <c r="AS29" i="27" s="1"/>
  <c r="AT29" i="27" s="1"/>
  <c r="AR19" i="27"/>
  <c r="AV67" i="27" s="1"/>
  <c r="AR18" i="27"/>
  <c r="AS18" i="27" s="1"/>
  <c r="AT18" i="27" s="1"/>
  <c r="AR16" i="27"/>
  <c r="AV70" i="27" s="1"/>
  <c r="AR8" i="27"/>
  <c r="AR7" i="27"/>
  <c r="AV64" i="27" s="1"/>
  <c r="AR6" i="27"/>
  <c r="AR4" i="27"/>
  <c r="AV62" i="27" s="1"/>
  <c r="AQ46" i="27"/>
  <c r="AQ44" i="27"/>
  <c r="AQ19" i="27"/>
  <c r="AQ29" i="27"/>
  <c r="AQ18" i="27"/>
  <c r="AQ16" i="27"/>
  <c r="AQ8" i="27"/>
  <c r="AU8" i="27" s="1"/>
  <c r="AQ7" i="27"/>
  <c r="AU7" i="27" s="1"/>
  <c r="AU64" i="27" s="1"/>
  <c r="AQ6" i="27"/>
  <c r="AU6" i="27" s="1"/>
  <c r="AQ4" i="27"/>
  <c r="AU4" i="27" s="1"/>
  <c r="AU62" i="27" s="1"/>
  <c r="AT42" i="27"/>
  <c r="AT71" i="27" s="1"/>
  <c r="DK51" i="27"/>
  <c r="DK48" i="27"/>
  <c r="DK43" i="27"/>
  <c r="DK42" i="27"/>
  <c r="DK40" i="27"/>
  <c r="DK38" i="27"/>
  <c r="AQ72" i="27"/>
  <c r="AP72" i="27"/>
  <c r="AO72" i="27"/>
  <c r="AS71" i="27"/>
  <c r="AR71" i="27"/>
  <c r="AQ71" i="27"/>
  <c r="AP71" i="27"/>
  <c r="AO71" i="27"/>
  <c r="AS20" i="27"/>
  <c r="AT20" i="27" s="1"/>
  <c r="AU20" i="27" s="1"/>
  <c r="AU69" i="27" s="1"/>
  <c r="AT43" i="27"/>
  <c r="AR72" i="27"/>
  <c r="AP44" i="27"/>
  <c r="AP66" i="27"/>
  <c r="AP63" i="27"/>
  <c r="AT3" i="27"/>
  <c r="AT63" i="27" s="1"/>
  <c r="AS3" i="27"/>
  <c r="AW3" i="27" s="1"/>
  <c r="AQ63" i="27"/>
  <c r="AP29" i="27"/>
  <c r="AP19" i="27"/>
  <c r="DK19" i="27" s="1"/>
  <c r="AP18" i="27"/>
  <c r="AP16" i="27"/>
  <c r="AP8" i="27"/>
  <c r="AT8" i="27" s="1"/>
  <c r="AP7" i="27"/>
  <c r="AT7" i="27" s="1"/>
  <c r="AX7" i="27" s="1"/>
  <c r="AP6" i="27"/>
  <c r="AT6" i="27" s="1"/>
  <c r="AX6" i="27" s="1"/>
  <c r="AP4" i="27"/>
  <c r="AP5" i="27" s="1"/>
  <c r="AO66" i="27"/>
  <c r="AO63" i="27"/>
  <c r="AO46" i="27"/>
  <c r="AO44" i="27"/>
  <c r="AO29" i="27"/>
  <c r="AO18" i="27"/>
  <c r="AO16" i="27"/>
  <c r="AO8" i="27"/>
  <c r="AS8" i="27" s="1"/>
  <c r="AW8" i="27" s="1"/>
  <c r="AO7" i="27"/>
  <c r="AS7" i="27" s="1"/>
  <c r="AO6" i="27"/>
  <c r="DK3" i="27"/>
  <c r="AO4" i="27"/>
  <c r="AO5" i="27" s="1"/>
  <c r="AN72" i="27"/>
  <c r="AN71" i="27"/>
  <c r="AN66" i="27"/>
  <c r="AN63" i="27"/>
  <c r="AN46" i="27"/>
  <c r="AN18" i="27"/>
  <c r="AN29" i="27"/>
  <c r="AN16" i="27"/>
  <c r="AN8" i="27"/>
  <c r="AN7" i="27"/>
  <c r="AN6" i="27"/>
  <c r="AN4" i="27"/>
  <c r="AN5" i="27" s="1"/>
  <c r="DD7" i="27"/>
  <c r="AM104" i="27"/>
  <c r="AM109" i="27" s="1"/>
  <c r="AM111" i="27" s="1"/>
  <c r="AM97" i="27"/>
  <c r="AM95" i="27"/>
  <c r="DJ3" i="27"/>
  <c r="AN44" i="27"/>
  <c r="DJ43" i="27"/>
  <c r="DJ42" i="27"/>
  <c r="DJ38" i="27"/>
  <c r="AM72" i="27"/>
  <c r="AM71" i="27"/>
  <c r="AM66" i="27"/>
  <c r="AM63" i="27"/>
  <c r="AL46" i="27"/>
  <c r="AL18" i="27"/>
  <c r="AL16" i="27"/>
  <c r="AL15" i="27"/>
  <c r="AL8" i="27"/>
  <c r="AL7" i="27"/>
  <c r="AL6" i="27"/>
  <c r="AL4" i="27"/>
  <c r="AL5" i="27" s="1"/>
  <c r="AM46" i="27"/>
  <c r="AM44" i="27"/>
  <c r="AM29" i="27"/>
  <c r="AM18" i="27"/>
  <c r="AM16" i="27"/>
  <c r="AM8" i="27"/>
  <c r="AM7" i="27"/>
  <c r="AM6" i="27"/>
  <c r="AM4" i="27"/>
  <c r="AK46" i="27"/>
  <c r="AK18" i="27"/>
  <c r="AK16" i="27"/>
  <c r="AK15" i="27"/>
  <c r="AK8" i="27"/>
  <c r="AK7" i="27"/>
  <c r="AK6" i="27"/>
  <c r="AK4" i="27"/>
  <c r="AK5" i="27" s="1"/>
  <c r="AJ46" i="27"/>
  <c r="AJ15" i="27"/>
  <c r="AJ18" i="27"/>
  <c r="AJ16" i="27"/>
  <c r="AJ8" i="27"/>
  <c r="AJ7" i="27"/>
  <c r="AJ6" i="27"/>
  <c r="AJ4" i="27"/>
  <c r="AJ5" i="27" s="1"/>
  <c r="DI3" i="27"/>
  <c r="AJ66" i="27"/>
  <c r="AK66" i="27"/>
  <c r="AL66" i="27"/>
  <c r="AJ72" i="27"/>
  <c r="AJ44" i="27"/>
  <c r="AI72" i="27"/>
  <c r="AH72" i="27"/>
  <c r="AG72" i="27"/>
  <c r="AF72" i="27"/>
  <c r="AE72" i="27"/>
  <c r="AI71" i="27"/>
  <c r="AH71" i="27"/>
  <c r="AG71" i="27"/>
  <c r="AF71" i="27"/>
  <c r="AE71" i="27"/>
  <c r="AH15" i="27"/>
  <c r="AH18" i="27"/>
  <c r="AH16" i="27"/>
  <c r="AH8" i="27"/>
  <c r="AH7" i="27"/>
  <c r="AH6" i="27"/>
  <c r="AH4" i="27"/>
  <c r="AH5" i="27" s="1"/>
  <c r="AI66" i="27"/>
  <c r="AH66" i="27"/>
  <c r="AG66" i="27"/>
  <c r="AI63" i="27"/>
  <c r="AH63" i="27"/>
  <c r="AG63" i="27"/>
  <c r="AI44" i="27"/>
  <c r="AI18" i="27"/>
  <c r="AI16" i="27"/>
  <c r="AI8" i="27"/>
  <c r="AI7" i="27"/>
  <c r="AI6" i="27"/>
  <c r="AI4" i="27"/>
  <c r="AI5" i="27" s="1"/>
  <c r="AE6" i="27"/>
  <c r="AF6" i="27"/>
  <c r="AG6" i="27"/>
  <c r="AD6" i="27"/>
  <c r="AA6" i="27"/>
  <c r="AC6" i="27"/>
  <c r="AE7" i="27"/>
  <c r="AF7" i="27"/>
  <c r="AG7" i="27"/>
  <c r="AD7" i="27"/>
  <c r="AA7" i="27"/>
  <c r="AB7" i="27"/>
  <c r="AC7" i="27"/>
  <c r="DH3" i="27"/>
  <c r="AE8" i="27"/>
  <c r="AF8" i="27"/>
  <c r="AG8" i="27"/>
  <c r="AD8" i="27"/>
  <c r="AA8" i="27"/>
  <c r="AB8" i="27"/>
  <c r="AE4" i="27"/>
  <c r="AE5" i="27" s="1"/>
  <c r="AF4" i="27"/>
  <c r="AF5" i="27" s="1"/>
  <c r="AG4" i="27"/>
  <c r="AG5" i="27" s="1"/>
  <c r="AD4" i="27"/>
  <c r="AD5" i="27" s="1"/>
  <c r="AE15" i="27"/>
  <c r="AF15" i="27"/>
  <c r="AG15" i="27"/>
  <c r="AE16" i="27"/>
  <c r="AF16" i="27"/>
  <c r="AG16" i="27"/>
  <c r="AG70" i="27" s="1"/>
  <c r="AE18" i="27"/>
  <c r="AF18" i="27"/>
  <c r="AG18" i="27"/>
  <c r="DI38" i="27"/>
  <c r="DI43" i="27"/>
  <c r="AA15" i="27"/>
  <c r="AB15" i="27"/>
  <c r="AA4" i="27"/>
  <c r="AA5" i="27" s="1"/>
  <c r="AB4" i="27"/>
  <c r="AB5" i="27" s="1"/>
  <c r="AH44" i="27"/>
  <c r="DK54" i="27"/>
  <c r="DL54" i="27" s="1"/>
  <c r="DM54" i="27" s="1"/>
  <c r="DN54" i="27" s="1"/>
  <c r="DO54" i="27" s="1"/>
  <c r="DP54" i="27" s="1"/>
  <c r="DQ54" i="27" s="1"/>
  <c r="DR54" i="27" s="1"/>
  <c r="DS54" i="27" s="1"/>
  <c r="DI51" i="27"/>
  <c r="DJ51" i="27" s="1"/>
  <c r="DI42" i="27"/>
  <c r="DI46" i="27"/>
  <c r="DI48" i="27"/>
  <c r="AG44" i="27"/>
  <c r="AA16" i="27"/>
  <c r="AB16" i="27"/>
  <c r="AD16" i="27"/>
  <c r="DH18" i="27"/>
  <c r="DH38" i="27"/>
  <c r="AE63" i="27"/>
  <c r="AE66" i="27"/>
  <c r="AE44" i="27"/>
  <c r="AF66" i="27"/>
  <c r="AF63" i="27"/>
  <c r="AF44" i="27"/>
  <c r="DH51" i="27"/>
  <c r="DD3" i="27"/>
  <c r="DD63" i="27" s="1"/>
  <c r="DE3" i="27"/>
  <c r="DF3" i="27"/>
  <c r="DG3" i="27"/>
  <c r="K4" i="27"/>
  <c r="K5" i="27" s="1"/>
  <c r="L4" i="27"/>
  <c r="L5" i="27" s="1"/>
  <c r="M4" i="27"/>
  <c r="M5" i="27" s="1"/>
  <c r="N4" i="27"/>
  <c r="O4" i="27"/>
  <c r="O5" i="27" s="1"/>
  <c r="Q4" i="27"/>
  <c r="Q5" i="27" s="1"/>
  <c r="R4" i="27"/>
  <c r="S4" i="27"/>
  <c r="T4" i="27"/>
  <c r="T5" i="27" s="1"/>
  <c r="U4" i="27"/>
  <c r="U5" i="27" s="1"/>
  <c r="V4" i="27"/>
  <c r="V5" i="27" s="1"/>
  <c r="W4" i="27"/>
  <c r="X4" i="27"/>
  <c r="X5" i="27" s="1"/>
  <c r="Y4" i="27"/>
  <c r="Z4" i="27"/>
  <c r="G4" i="27"/>
  <c r="G5" i="27" s="1"/>
  <c r="H4" i="27"/>
  <c r="H37" i="27" s="1"/>
  <c r="I4" i="27"/>
  <c r="I62" i="27" s="1"/>
  <c r="J4" i="27"/>
  <c r="J5" i="27" s="1"/>
  <c r="DA5" i="27"/>
  <c r="DB5" i="27"/>
  <c r="DC5" i="27"/>
  <c r="C5" i="27"/>
  <c r="D5" i="27"/>
  <c r="E5" i="27"/>
  <c r="F5" i="27"/>
  <c r="P5" i="27"/>
  <c r="AC5" i="27"/>
  <c r="DD6" i="27"/>
  <c r="O6" i="27"/>
  <c r="Q6" i="27"/>
  <c r="S6" i="27"/>
  <c r="T6" i="27"/>
  <c r="U6" i="27"/>
  <c r="V6" i="27"/>
  <c r="W6" i="27"/>
  <c r="X6" i="27"/>
  <c r="Y6" i="27"/>
  <c r="Z6" i="27"/>
  <c r="G6" i="27"/>
  <c r="I6" i="27"/>
  <c r="J6" i="27"/>
  <c r="L6" i="27"/>
  <c r="M6" i="27"/>
  <c r="N6" i="27"/>
  <c r="O7" i="27"/>
  <c r="O64" i="27" s="1"/>
  <c r="Q7" i="27"/>
  <c r="R7" i="27"/>
  <c r="S7" i="27"/>
  <c r="T7" i="27"/>
  <c r="T64" i="27" s="1"/>
  <c r="U7" i="27"/>
  <c r="V7" i="27"/>
  <c r="W7" i="27"/>
  <c r="X7" i="27"/>
  <c r="Y7" i="27"/>
  <c r="Z7" i="27"/>
  <c r="I7" i="27"/>
  <c r="L7" i="27"/>
  <c r="L64" i="27" s="1"/>
  <c r="M7" i="27"/>
  <c r="N7" i="27"/>
  <c r="N64" i="27" s="1"/>
  <c r="DD8" i="27"/>
  <c r="DE8" i="27"/>
  <c r="S8" i="27"/>
  <c r="T8" i="27"/>
  <c r="U8" i="27"/>
  <c r="V8" i="27"/>
  <c r="W8" i="27"/>
  <c r="X8" i="27"/>
  <c r="Y8" i="27"/>
  <c r="Z8" i="27"/>
  <c r="I8" i="27"/>
  <c r="J8" i="27"/>
  <c r="K8" i="27"/>
  <c r="L8" i="27"/>
  <c r="M8" i="27"/>
  <c r="N8" i="27"/>
  <c r="O8" i="27"/>
  <c r="Q8" i="27"/>
  <c r="R8" i="27"/>
  <c r="S15" i="27"/>
  <c r="T15" i="27"/>
  <c r="V15" i="27"/>
  <c r="W15" i="27"/>
  <c r="X15" i="27"/>
  <c r="Y15" i="27"/>
  <c r="Z15" i="27"/>
  <c r="I15" i="27"/>
  <c r="J15" i="27"/>
  <c r="K15" i="27"/>
  <c r="L15" i="27"/>
  <c r="M15" i="27"/>
  <c r="N15" i="27"/>
  <c r="O15" i="27"/>
  <c r="R15" i="27"/>
  <c r="S16" i="27"/>
  <c r="T16" i="27"/>
  <c r="T70" i="27" s="1"/>
  <c r="V16" i="27"/>
  <c r="V70" i="27" s="1"/>
  <c r="W16" i="27"/>
  <c r="X16" i="27"/>
  <c r="Y16" i="27"/>
  <c r="Y70" i="27" s="1"/>
  <c r="Z16" i="27"/>
  <c r="DG18" i="27"/>
  <c r="DA37" i="27"/>
  <c r="DA39" i="27" s="1"/>
  <c r="DA41" i="27" s="1"/>
  <c r="DB37" i="27"/>
  <c r="DB39" i="27" s="1"/>
  <c r="DC37" i="27"/>
  <c r="DC39" i="27" s="1"/>
  <c r="C37" i="27"/>
  <c r="D37" i="27"/>
  <c r="E37" i="27"/>
  <c r="F37" i="27"/>
  <c r="F39" i="27" s="1"/>
  <c r="F92" i="27" s="1"/>
  <c r="P37" i="27"/>
  <c r="DF38" i="27"/>
  <c r="DF66" i="27" s="1"/>
  <c r="DG38" i="27"/>
  <c r="C38" i="27"/>
  <c r="D38" i="27"/>
  <c r="E38" i="27"/>
  <c r="G38" i="27"/>
  <c r="H38" i="27"/>
  <c r="I38" i="27"/>
  <c r="M66" i="27" s="1"/>
  <c r="J38" i="27"/>
  <c r="N38" i="27"/>
  <c r="R66" i="27" s="1"/>
  <c r="O38" i="27"/>
  <c r="S66" i="27" s="1"/>
  <c r="P38" i="27"/>
  <c r="T66" i="27" s="1"/>
  <c r="Q38" i="27"/>
  <c r="Q66" i="27" s="1"/>
  <c r="DE42" i="27"/>
  <c r="DF42" i="27"/>
  <c r="DG42" i="27"/>
  <c r="DH42" i="27"/>
  <c r="DE43" i="27"/>
  <c r="DF43" i="27"/>
  <c r="DG43" i="27"/>
  <c r="DH43" i="27"/>
  <c r="G43" i="27"/>
  <c r="G44" i="27" s="1"/>
  <c r="H43" i="27"/>
  <c r="H44" i="27" s="1"/>
  <c r="I43" i="27"/>
  <c r="I44" i="27" s="1"/>
  <c r="J43" i="27"/>
  <c r="J44" i="27" s="1"/>
  <c r="K43" i="27"/>
  <c r="O72" i="27" s="1"/>
  <c r="M43" i="27"/>
  <c r="Q72" i="27" s="1"/>
  <c r="N43" i="27"/>
  <c r="N44" i="27" s="1"/>
  <c r="DA44" i="27"/>
  <c r="DB44" i="27"/>
  <c r="DC44" i="27"/>
  <c r="DD44" i="27"/>
  <c r="C44" i="27"/>
  <c r="D44" i="27"/>
  <c r="E44" i="27"/>
  <c r="L44" i="27"/>
  <c r="O44" i="27"/>
  <c r="P44" i="27"/>
  <c r="Q44" i="27"/>
  <c r="R44" i="27"/>
  <c r="S44" i="27"/>
  <c r="T44" i="27"/>
  <c r="U44" i="27"/>
  <c r="V44" i="27"/>
  <c r="W44" i="27"/>
  <c r="X44" i="27"/>
  <c r="Y44" i="27"/>
  <c r="Z44" i="27"/>
  <c r="AA44" i="27"/>
  <c r="AB44" i="27"/>
  <c r="AC44" i="27"/>
  <c r="AD44" i="27"/>
  <c r="DE46" i="27"/>
  <c r="DF46" i="27"/>
  <c r="DE48" i="27"/>
  <c r="DF48" i="27"/>
  <c r="DG48" i="27"/>
  <c r="DF51" i="27"/>
  <c r="DG51" i="27"/>
  <c r="DD50" i="27"/>
  <c r="DE50" i="27"/>
  <c r="DC62" i="27"/>
  <c r="DB63" i="27"/>
  <c r="DC63" i="27"/>
  <c r="G63" i="27"/>
  <c r="H63" i="27"/>
  <c r="I63" i="27"/>
  <c r="J63" i="27"/>
  <c r="K63" i="27"/>
  <c r="L63" i="27"/>
  <c r="M63" i="27"/>
  <c r="N63" i="27"/>
  <c r="O63" i="27"/>
  <c r="P63" i="27"/>
  <c r="Q63" i="27"/>
  <c r="R63" i="27"/>
  <c r="S63" i="27"/>
  <c r="T63" i="27"/>
  <c r="U63" i="27"/>
  <c r="V63" i="27"/>
  <c r="W63" i="27"/>
  <c r="X63" i="27"/>
  <c r="Y63" i="27"/>
  <c r="Z63" i="27"/>
  <c r="AA63" i="27"/>
  <c r="AB63" i="27"/>
  <c r="AC63" i="27"/>
  <c r="AD63" i="27"/>
  <c r="V66" i="27"/>
  <c r="W66" i="27"/>
  <c r="X66" i="27"/>
  <c r="Y66" i="27"/>
  <c r="Z66" i="27"/>
  <c r="AA66" i="27"/>
  <c r="AB66" i="27"/>
  <c r="AC66" i="27"/>
  <c r="AD66" i="27"/>
  <c r="U70" i="27"/>
  <c r="DN71" i="27"/>
  <c r="DO71" i="27"/>
  <c r="O71" i="27"/>
  <c r="P71" i="27"/>
  <c r="Q71" i="27"/>
  <c r="R71" i="27"/>
  <c r="S71" i="27"/>
  <c r="T71" i="27"/>
  <c r="U71" i="27"/>
  <c r="V71" i="27"/>
  <c r="W71" i="27"/>
  <c r="X71" i="27"/>
  <c r="Y71" i="27"/>
  <c r="Z71" i="27"/>
  <c r="AA71" i="27"/>
  <c r="AB71" i="27"/>
  <c r="AC71" i="27"/>
  <c r="AD71" i="27"/>
  <c r="P72" i="27"/>
  <c r="S72" i="27"/>
  <c r="T72" i="27"/>
  <c r="U72" i="27"/>
  <c r="V72" i="27"/>
  <c r="W72" i="27"/>
  <c r="X72" i="27"/>
  <c r="Y72" i="27"/>
  <c r="Z72" i="27"/>
  <c r="AA72" i="27"/>
  <c r="AB72" i="27"/>
  <c r="AC72" i="27"/>
  <c r="AD72" i="27"/>
  <c r="Q132" i="27"/>
  <c r="R132" i="27" s="1"/>
  <c r="S132" i="27" s="1"/>
  <c r="T132" i="27" s="1"/>
  <c r="Q138" i="27"/>
  <c r="R138" i="27" s="1"/>
  <c r="S138" i="27" s="1"/>
  <c r="T138" i="27" s="1"/>
  <c r="U138" i="27" s="1"/>
  <c r="F88" i="27"/>
  <c r="I103" i="27"/>
  <c r="I104" i="27" s="1"/>
  <c r="I109" i="27" s="1"/>
  <c r="I111" i="27" s="1"/>
  <c r="J88" i="27"/>
  <c r="K88" i="27"/>
  <c r="L88" i="27"/>
  <c r="M88" i="27"/>
  <c r="N88" i="27"/>
  <c r="O88" i="27"/>
  <c r="P89" i="27"/>
  <c r="P88" i="27" s="1"/>
  <c r="Q88" i="27"/>
  <c r="R88" i="27"/>
  <c r="S88" i="27"/>
  <c r="T88" i="27"/>
  <c r="U88" i="27"/>
  <c r="V88" i="27"/>
  <c r="W89" i="27"/>
  <c r="W88" i="27" s="1"/>
  <c r="X88" i="27"/>
  <c r="Y88" i="27"/>
  <c r="Z103" i="27"/>
  <c r="Z88" i="27" s="1"/>
  <c r="AA88" i="27"/>
  <c r="AB88" i="27"/>
  <c r="F95" i="27"/>
  <c r="I95" i="27"/>
  <c r="J95" i="27"/>
  <c r="K95" i="27"/>
  <c r="L95" i="27"/>
  <c r="M95" i="27"/>
  <c r="N95" i="27"/>
  <c r="O95" i="27"/>
  <c r="Q95" i="27"/>
  <c r="R95" i="27"/>
  <c r="S95" i="27"/>
  <c r="T95" i="27"/>
  <c r="U95" i="27"/>
  <c r="V95" i="27"/>
  <c r="X95" i="27"/>
  <c r="Y95" i="27"/>
  <c r="Z95" i="27"/>
  <c r="AA95" i="27"/>
  <c r="F97" i="27"/>
  <c r="I97" i="27"/>
  <c r="J97" i="27"/>
  <c r="K97" i="27"/>
  <c r="L97" i="27"/>
  <c r="M97" i="27"/>
  <c r="N97" i="27"/>
  <c r="O97" i="27"/>
  <c r="P97" i="27"/>
  <c r="Q97" i="27"/>
  <c r="R97" i="27"/>
  <c r="S97" i="27"/>
  <c r="T97" i="27"/>
  <c r="U97" i="27"/>
  <c r="V97" i="27"/>
  <c r="W97" i="27"/>
  <c r="X97" i="27"/>
  <c r="Y97" i="27"/>
  <c r="Z97" i="27"/>
  <c r="AA97" i="27"/>
  <c r="F104" i="27"/>
  <c r="F109" i="27" s="1"/>
  <c r="F111" i="27" s="1"/>
  <c r="J104" i="27"/>
  <c r="J109" i="27" s="1"/>
  <c r="J111" i="27" s="1"/>
  <c r="K104" i="27"/>
  <c r="K109" i="27" s="1"/>
  <c r="K111" i="27" s="1"/>
  <c r="L104" i="27"/>
  <c r="L109" i="27" s="1"/>
  <c r="L111" i="27" s="1"/>
  <c r="M104" i="27"/>
  <c r="M109" i="27" s="1"/>
  <c r="M111" i="27" s="1"/>
  <c r="N104" i="27"/>
  <c r="N109" i="27" s="1"/>
  <c r="N111" i="27" s="1"/>
  <c r="O104" i="27"/>
  <c r="O109" i="27" s="1"/>
  <c r="O111" i="27" s="1"/>
  <c r="P104" i="27"/>
  <c r="P109" i="27" s="1"/>
  <c r="P111" i="27" s="1"/>
  <c r="Q104" i="27"/>
  <c r="Q109" i="27" s="1"/>
  <c r="Q111" i="27" s="1"/>
  <c r="R104" i="27"/>
  <c r="R109" i="27" s="1"/>
  <c r="R111" i="27" s="1"/>
  <c r="S104" i="27"/>
  <c r="S109" i="27" s="1"/>
  <c r="S111" i="27" s="1"/>
  <c r="T104" i="27"/>
  <c r="T109" i="27" s="1"/>
  <c r="T111" i="27" s="1"/>
  <c r="U104" i="27"/>
  <c r="U109" i="27" s="1"/>
  <c r="U111" i="27" s="1"/>
  <c r="V104" i="27"/>
  <c r="V109" i="27" s="1"/>
  <c r="V111" i="27" s="1"/>
  <c r="W104" i="27"/>
  <c r="W109" i="27" s="1"/>
  <c r="W111" i="27" s="1"/>
  <c r="X104" i="27"/>
  <c r="X109" i="27" s="1"/>
  <c r="X111" i="27" s="1"/>
  <c r="Y104" i="27"/>
  <c r="Y109" i="27" s="1"/>
  <c r="Y111" i="27" s="1"/>
  <c r="AA104" i="27"/>
  <c r="AA109" i="27" s="1"/>
  <c r="AA111" i="27" s="1"/>
  <c r="E113" i="27"/>
  <c r="F113" i="27" s="1"/>
  <c r="H113" i="27"/>
  <c r="I113" i="27" s="1"/>
  <c r="J113" i="27" s="1"/>
  <c r="L113" i="27"/>
  <c r="M113" i="27" s="1"/>
  <c r="N113" i="27" s="1"/>
  <c r="P113" i="27"/>
  <c r="Q113" i="27" s="1"/>
  <c r="R113" i="27" s="1"/>
  <c r="T113" i="27"/>
  <c r="U113" i="27" s="1"/>
  <c r="V113" i="27" s="1"/>
  <c r="X113" i="27"/>
  <c r="Y113" i="27" s="1"/>
  <c r="F114" i="27"/>
  <c r="W117" i="27"/>
  <c r="X117" i="27"/>
  <c r="Y117" i="27"/>
  <c r="J4" i="1"/>
  <c r="J7" i="1" s="1"/>
  <c r="AK72" i="27"/>
  <c r="AJ63" i="27"/>
  <c r="AJ71" i="27"/>
  <c r="AL71" i="27"/>
  <c r="AK63" i="27"/>
  <c r="AL72" i="27"/>
  <c r="AK44" i="27"/>
  <c r="AL44" i="27"/>
  <c r="AK71" i="27"/>
  <c r="AL63" i="27"/>
  <c r="AQ66" i="27"/>
  <c r="CP60" i="27" l="1"/>
  <c r="CP41" i="27"/>
  <c r="CP45" i="27" s="1"/>
  <c r="CP47" i="27" s="1"/>
  <c r="CP48" i="27" s="1"/>
  <c r="CP58" i="27" s="1"/>
  <c r="BD45" i="27"/>
  <c r="BD47" i="27" s="1"/>
  <c r="BD49" i="27" s="1"/>
  <c r="BD50" i="27" s="1"/>
  <c r="G37" i="27"/>
  <c r="CP53" i="27"/>
  <c r="CP56" i="27"/>
  <c r="CP54" i="27"/>
  <c r="AS63" i="27"/>
  <c r="AS72" i="27"/>
  <c r="O66" i="27"/>
  <c r="AS16" i="27"/>
  <c r="AT16" i="27" s="1"/>
  <c r="AU16" i="27" s="1"/>
  <c r="AU70" i="27" s="1"/>
  <c r="AV39" i="27"/>
  <c r="AV55" i="27" s="1"/>
  <c r="EA38" i="27"/>
  <c r="ED3" i="27"/>
  <c r="CL50" i="27"/>
  <c r="DX53" i="27"/>
  <c r="DX45" i="27"/>
  <c r="DX47" i="27" s="1"/>
  <c r="DX48" i="27" s="1"/>
  <c r="DX49" i="27" s="1"/>
  <c r="DX50" i="27" s="1"/>
  <c r="DZ35" i="27"/>
  <c r="DY37" i="27"/>
  <c r="DY39" i="27" s="1"/>
  <c r="DY41" i="27" s="1"/>
  <c r="DY45" i="27" s="1"/>
  <c r="DY47" i="27" s="1"/>
  <c r="ED44" i="27"/>
  <c r="EE43" i="27"/>
  <c r="P62" i="27"/>
  <c r="DG63" i="27"/>
  <c r="AQ64" i="27"/>
  <c r="DL43" i="27"/>
  <c r="DL72" i="27" s="1"/>
  <c r="AS4" i="27"/>
  <c r="AS62" i="27" s="1"/>
  <c r="DL3" i="27"/>
  <c r="DM3" i="27" s="1"/>
  <c r="DN3" i="27" s="1"/>
  <c r="DO3" i="27" s="1"/>
  <c r="DP3" i="27" s="1"/>
  <c r="DQ3" i="27" s="1"/>
  <c r="I88" i="27"/>
  <c r="CN57" i="27"/>
  <c r="AB62" i="27"/>
  <c r="DL42" i="27"/>
  <c r="DM71" i="27" s="1"/>
  <c r="AC70" i="27"/>
  <c r="AF61" i="27"/>
  <c r="CF60" i="27"/>
  <c r="CJ60" i="27"/>
  <c r="AR5" i="27"/>
  <c r="AR37" i="27" s="1"/>
  <c r="AV65" i="27" s="1"/>
  <c r="CG60" i="27"/>
  <c r="CK60" i="27"/>
  <c r="CO50" i="27"/>
  <c r="CO57" i="27"/>
  <c r="CE41" i="27"/>
  <c r="CE53" i="27" s="1"/>
  <c r="CE54" i="27"/>
  <c r="CE55" i="27"/>
  <c r="CI60" i="27"/>
  <c r="CI55" i="27"/>
  <c r="CI54" i="27"/>
  <c r="CI41" i="27"/>
  <c r="CF55" i="27"/>
  <c r="CF54" i="27"/>
  <c r="CF41" i="27"/>
  <c r="CF53" i="27" s="1"/>
  <c r="CG54" i="27"/>
  <c r="CG55" i="27"/>
  <c r="CG41" i="27"/>
  <c r="CG53" i="27" s="1"/>
  <c r="CH41" i="27"/>
  <c r="CH53" i="27" s="1"/>
  <c r="CH60" i="27"/>
  <c r="CH55" i="27"/>
  <c r="CH54" i="27"/>
  <c r="AL64" i="27"/>
  <c r="DG6" i="27"/>
  <c r="AM70" i="27"/>
  <c r="AX3" i="27"/>
  <c r="M64" i="27"/>
  <c r="AG64" i="27"/>
  <c r="DG44" i="27"/>
  <c r="DF16" i="27"/>
  <c r="G61" i="27"/>
  <c r="AL62" i="27"/>
  <c r="AK64" i="27"/>
  <c r="AQ70" i="27"/>
  <c r="AR62" i="27"/>
  <c r="DG72" i="27"/>
  <c r="AT4" i="27"/>
  <c r="AT5" i="27" s="1"/>
  <c r="AT61" i="27" s="1"/>
  <c r="AE62" i="27"/>
  <c r="AO62" i="27"/>
  <c r="DH63" i="27"/>
  <c r="P64" i="27"/>
  <c r="AK70" i="27"/>
  <c r="M99" i="27"/>
  <c r="R72" i="27"/>
  <c r="S62" i="27"/>
  <c r="K44" i="27"/>
  <c r="F99" i="27"/>
  <c r="DF71" i="27"/>
  <c r="Z70" i="27"/>
  <c r="U37" i="27"/>
  <c r="U39" i="27" s="1"/>
  <c r="U54" i="27" s="1"/>
  <c r="W64" i="27"/>
  <c r="J99" i="27"/>
  <c r="AA70" i="27"/>
  <c r="AP61" i="27"/>
  <c r="AG62" i="27"/>
  <c r="AP62" i="27"/>
  <c r="AE70" i="27"/>
  <c r="AK62" i="27"/>
  <c r="J62" i="27"/>
  <c r="AT72" i="27"/>
  <c r="AT44" i="27"/>
  <c r="DI63" i="27"/>
  <c r="DH72" i="27"/>
  <c r="DJ7" i="27"/>
  <c r="AE61" i="27"/>
  <c r="AA64" i="27"/>
  <c r="DH15" i="27"/>
  <c r="Y64" i="27"/>
  <c r="Z104" i="27"/>
  <c r="Z109" i="27" s="1"/>
  <c r="Z111" i="27" s="1"/>
  <c r="DH16" i="27"/>
  <c r="AB70" i="27"/>
  <c r="I99" i="27"/>
  <c r="DF72" i="27"/>
  <c r="AI62" i="27"/>
  <c r="X99" i="27"/>
  <c r="AN62" i="27"/>
  <c r="AB64" i="27"/>
  <c r="DE6" i="27"/>
  <c r="AJ61" i="27"/>
  <c r="DH7" i="27"/>
  <c r="AN64" i="27"/>
  <c r="AK37" i="27"/>
  <c r="AK39" i="27" s="1"/>
  <c r="AK41" i="27" s="1"/>
  <c r="DJ6" i="27"/>
  <c r="DH4" i="27"/>
  <c r="DH5" i="27" s="1"/>
  <c r="DE44" i="27"/>
  <c r="S5" i="27"/>
  <c r="S61" i="27" s="1"/>
  <c r="AO70" i="27"/>
  <c r="AH62" i="27"/>
  <c r="N62" i="27"/>
  <c r="AF64" i="27"/>
  <c r="AM62" i="27"/>
  <c r="AD62" i="27"/>
  <c r="AH70" i="27"/>
  <c r="DK6" i="27"/>
  <c r="DK46" i="27"/>
  <c r="DJ4" i="27"/>
  <c r="Y62" i="27"/>
  <c r="E39" i="27"/>
  <c r="E41" i="27" s="1"/>
  <c r="E45" i="27" s="1"/>
  <c r="E47" i="27" s="1"/>
  <c r="E49" i="27" s="1"/>
  <c r="W62" i="27"/>
  <c r="DG15" i="27"/>
  <c r="AH61" i="27"/>
  <c r="O37" i="27"/>
  <c r="O39" i="27" s="1"/>
  <c r="O140" i="27" s="1"/>
  <c r="O142" i="27" s="1"/>
  <c r="O99" i="27"/>
  <c r="DF8" i="27"/>
  <c r="J61" i="27"/>
  <c r="U62" i="27"/>
  <c r="DG66" i="27"/>
  <c r="DK71" i="27"/>
  <c r="AM64" i="27"/>
  <c r="M44" i="27"/>
  <c r="AI37" i="27"/>
  <c r="AI39" i="27" s="1"/>
  <c r="AI54" i="27" s="1"/>
  <c r="W95" i="27"/>
  <c r="W99" i="27" s="1"/>
  <c r="AD64" i="27"/>
  <c r="DG16" i="27"/>
  <c r="Q61" i="27"/>
  <c r="DI71" i="27"/>
  <c r="AA37" i="27"/>
  <c r="AA39" i="27" s="1"/>
  <c r="AA137" i="27" s="1"/>
  <c r="AA139" i="27" s="1"/>
  <c r="AE64" i="27"/>
  <c r="AH64" i="27"/>
  <c r="DG7" i="27"/>
  <c r="AD37" i="27"/>
  <c r="AD39" i="27" s="1"/>
  <c r="AD54" i="27" s="1"/>
  <c r="J37" i="27"/>
  <c r="J39" i="27" s="1"/>
  <c r="J92" i="27" s="1"/>
  <c r="X37" i="27"/>
  <c r="X39" i="27" s="1"/>
  <c r="I37" i="27"/>
  <c r="I39" i="27" s="1"/>
  <c r="I41" i="27" s="1"/>
  <c r="I45" i="27" s="1"/>
  <c r="I47" i="27" s="1"/>
  <c r="I49" i="27" s="1"/>
  <c r="I114" i="27" s="1"/>
  <c r="T99" i="27"/>
  <c r="DI4" i="27"/>
  <c r="AF62" i="27"/>
  <c r="S99" i="27"/>
  <c r="DF44" i="27"/>
  <c r="U61" i="27"/>
  <c r="AJ62" i="27"/>
  <c r="AI61" i="27"/>
  <c r="N5" i="27"/>
  <c r="N61" i="27" s="1"/>
  <c r="AE37" i="27"/>
  <c r="N37" i="27"/>
  <c r="N39" i="27" s="1"/>
  <c r="M62" i="27"/>
  <c r="U64" i="27"/>
  <c r="DK4" i="27"/>
  <c r="DK5" i="27" s="1"/>
  <c r="DJ71" i="27"/>
  <c r="X64" i="27"/>
  <c r="R99" i="27"/>
  <c r="DF15" i="27"/>
  <c r="DJ15" i="27"/>
  <c r="AM99" i="27"/>
  <c r="AQ62" i="27"/>
  <c r="AI70" i="27"/>
  <c r="AM5" i="27"/>
  <c r="AM61" i="27" s="1"/>
  <c r="AF37" i="27"/>
  <c r="AF39" i="27" s="1"/>
  <c r="DI8" i="27"/>
  <c r="DK44" i="27"/>
  <c r="AJ64" i="27"/>
  <c r="Z5" i="27"/>
  <c r="Z61" i="27" s="1"/>
  <c r="DB61" i="27"/>
  <c r="AB37" i="27"/>
  <c r="AB39" i="27" s="1"/>
  <c r="DI7" i="27"/>
  <c r="Y5" i="27"/>
  <c r="Y61" i="27" s="1"/>
  <c r="AC62" i="27"/>
  <c r="M37" i="27"/>
  <c r="DF6" i="27"/>
  <c r="X70" i="27"/>
  <c r="P95" i="27"/>
  <c r="P99" i="27" s="1"/>
  <c r="DE73" i="27"/>
  <c r="Z62" i="27"/>
  <c r="AI64" i="27"/>
  <c r="R62" i="27"/>
  <c r="DK18" i="27"/>
  <c r="DF7" i="27"/>
  <c r="G39" i="27"/>
  <c r="G41" i="27" s="1"/>
  <c r="G45" i="27" s="1"/>
  <c r="G47" i="27" s="1"/>
  <c r="G49" i="27" s="1"/>
  <c r="Q62" i="27"/>
  <c r="K61" i="27"/>
  <c r="U66" i="27"/>
  <c r="K62" i="27"/>
  <c r="DF4" i="27"/>
  <c r="DF5" i="27" s="1"/>
  <c r="DI16" i="27"/>
  <c r="DG4" i="27"/>
  <c r="AG61" i="27"/>
  <c r="X62" i="27"/>
  <c r="DH6" i="27"/>
  <c r="AH37" i="27"/>
  <c r="AL61" i="27"/>
  <c r="S37" i="27"/>
  <c r="S39" i="27" s="1"/>
  <c r="S55" i="27" s="1"/>
  <c r="AS19" i="27"/>
  <c r="DF63" i="27"/>
  <c r="DH68" i="27"/>
  <c r="DK29" i="27"/>
  <c r="K37" i="27"/>
  <c r="N66" i="27"/>
  <c r="I5" i="27"/>
  <c r="T37" i="27"/>
  <c r="W70" i="27"/>
  <c r="L99" i="27"/>
  <c r="C39" i="27"/>
  <c r="C41" i="27" s="1"/>
  <c r="C45" i="27" s="1"/>
  <c r="C47" i="27" s="1"/>
  <c r="C49" i="27" s="1"/>
  <c r="C50" i="27" s="1"/>
  <c r="H39" i="27"/>
  <c r="H41" i="27" s="1"/>
  <c r="H45" i="27" s="1"/>
  <c r="H47" i="27" s="1"/>
  <c r="DK8" i="27"/>
  <c r="AD70" i="27"/>
  <c r="AT69" i="27"/>
  <c r="Y37" i="27"/>
  <c r="Y39" i="27" s="1"/>
  <c r="Y92" i="27" s="1"/>
  <c r="DD4" i="27"/>
  <c r="AC64" i="27"/>
  <c r="W37" i="27"/>
  <c r="O62" i="27"/>
  <c r="DJ72" i="27"/>
  <c r="AN70" i="27"/>
  <c r="DL20" i="27"/>
  <c r="DM20" i="27" s="1"/>
  <c r="DN20" i="27" s="1"/>
  <c r="DO20" i="27" s="1"/>
  <c r="DP20" i="27" s="1"/>
  <c r="DQ20" i="27" s="1"/>
  <c r="W5" i="27"/>
  <c r="DG71" i="27"/>
  <c r="AM37" i="27"/>
  <c r="AM39" i="27" s="1"/>
  <c r="DJ8" i="27"/>
  <c r="T62" i="27"/>
  <c r="V99" i="27"/>
  <c r="S64" i="27"/>
  <c r="DC61" i="27"/>
  <c r="U132" i="27"/>
  <c r="V132" i="27" s="1"/>
  <c r="W132" i="27" s="1"/>
  <c r="X132" i="27" s="1"/>
  <c r="AK61" i="27"/>
  <c r="AO61" i="27"/>
  <c r="T61" i="27"/>
  <c r="P61" i="27"/>
  <c r="DC60" i="27"/>
  <c r="DC41" i="27"/>
  <c r="DC45" i="27" s="1"/>
  <c r="DL7" i="27"/>
  <c r="DM7" i="27" s="1"/>
  <c r="DN7" i="27" s="1"/>
  <c r="DO7" i="27" s="1"/>
  <c r="DP7" i="27" s="1"/>
  <c r="DQ7" i="27" s="1"/>
  <c r="AW7" i="27"/>
  <c r="AS64" i="27"/>
  <c r="DB60" i="27"/>
  <c r="DB41" i="27"/>
  <c r="DB45" i="27" s="1"/>
  <c r="O61" i="27"/>
  <c r="V62" i="27"/>
  <c r="L62" i="27"/>
  <c r="AB61" i="27"/>
  <c r="DJ44" i="27"/>
  <c r="Y99" i="27"/>
  <c r="P66" i="27"/>
  <c r="DK72" i="27"/>
  <c r="AO37" i="27"/>
  <c r="AQ5" i="27"/>
  <c r="AT64" i="27"/>
  <c r="AV66" i="27"/>
  <c r="DA45" i="27"/>
  <c r="Q37" i="27"/>
  <c r="AG37" i="27"/>
  <c r="AG39" i="27" s="1"/>
  <c r="AJ70" i="27"/>
  <c r="AS38" i="27"/>
  <c r="AN37" i="27"/>
  <c r="DE63" i="27"/>
  <c r="P39" i="27"/>
  <c r="AF70" i="27"/>
  <c r="AA62" i="27"/>
  <c r="AL70" i="27"/>
  <c r="AP70" i="27"/>
  <c r="R37" i="27"/>
  <c r="R39" i="27" s="1"/>
  <c r="R140" i="27" s="1"/>
  <c r="R142" i="27" s="1"/>
  <c r="DK16" i="27"/>
  <c r="AR66" i="27"/>
  <c r="AP64" i="27"/>
  <c r="AJ37" i="27"/>
  <c r="R5" i="27"/>
  <c r="V61" i="27" s="1"/>
  <c r="DJ18" i="27"/>
  <c r="Z37" i="27"/>
  <c r="Z39" i="27" s="1"/>
  <c r="Z137" i="27" s="1"/>
  <c r="Z139" i="27" s="1"/>
  <c r="DE4" i="27"/>
  <c r="H5" i="27"/>
  <c r="H61" i="27" s="1"/>
  <c r="K99" i="27"/>
  <c r="DI15" i="27"/>
  <c r="AO64" i="27"/>
  <c r="X61" i="27"/>
  <c r="DI44" i="27"/>
  <c r="DI6" i="27"/>
  <c r="AR70" i="27"/>
  <c r="DH71" i="27"/>
  <c r="D39" i="27"/>
  <c r="D41" i="27" s="1"/>
  <c r="D45" i="27" s="1"/>
  <c r="D47" i="27" s="1"/>
  <c r="D49" i="27" s="1"/>
  <c r="D50" i="27" s="1"/>
  <c r="AQ37" i="27"/>
  <c r="AU5" i="27"/>
  <c r="DK7" i="27"/>
  <c r="V37" i="27"/>
  <c r="DH44" i="27"/>
  <c r="DG8" i="27"/>
  <c r="Q99" i="27"/>
  <c r="L37" i="27"/>
  <c r="V64" i="27"/>
  <c r="AP37" i="27"/>
  <c r="AP39" i="27" s="1"/>
  <c r="AP55" i="27" s="1"/>
  <c r="DI72" i="27"/>
  <c r="AN61" i="27"/>
  <c r="AA99" i="27"/>
  <c r="DI18" i="27"/>
  <c r="R64" i="27"/>
  <c r="Z99" i="27"/>
  <c r="N99" i="27"/>
  <c r="DH8" i="27"/>
  <c r="DJ16" i="27"/>
  <c r="AL37" i="27"/>
  <c r="AL39" i="27" s="1"/>
  <c r="AX8" i="27"/>
  <c r="DL8" i="27"/>
  <c r="DM8" i="27" s="1"/>
  <c r="DN8" i="27" s="1"/>
  <c r="DO8" i="27" s="1"/>
  <c r="DP8" i="27" s="1"/>
  <c r="DQ8" i="27" s="1"/>
  <c r="V138" i="27"/>
  <c r="AU18" i="27"/>
  <c r="DL18" i="27"/>
  <c r="DM18" i="27" s="1"/>
  <c r="DN18" i="27" s="1"/>
  <c r="DO18" i="27" s="1"/>
  <c r="U99" i="27"/>
  <c r="AU29" i="27"/>
  <c r="DL29" i="27"/>
  <c r="DM29" i="27" s="1"/>
  <c r="DN29" i="27" s="1"/>
  <c r="DO29" i="27" s="1"/>
  <c r="DP29" i="27" s="1"/>
  <c r="DQ29" i="27" s="1"/>
  <c r="DR29" i="27" s="1"/>
  <c r="AC37" i="27"/>
  <c r="AS6" i="27"/>
  <c r="DE7" i="27"/>
  <c r="Q64" i="27"/>
  <c r="Z64" i="27"/>
  <c r="AR64" i="27"/>
  <c r="CP49" i="27" l="1"/>
  <c r="CP50" i="27" s="1"/>
  <c r="CP40" i="27"/>
  <c r="AV41" i="27"/>
  <c r="AT70" i="27"/>
  <c r="AV54" i="27"/>
  <c r="DL16" i="27"/>
  <c r="DM16" i="27" s="1"/>
  <c r="DN16" i="27" s="1"/>
  <c r="DO16" i="27" s="1"/>
  <c r="DP16" i="27" s="1"/>
  <c r="DQ16" i="27" s="1"/>
  <c r="CP57" i="27"/>
  <c r="AW4" i="27"/>
  <c r="AW5" i="27" s="1"/>
  <c r="AS70" i="27"/>
  <c r="AS5" i="27"/>
  <c r="AS61" i="27" s="1"/>
  <c r="DY48" i="27"/>
  <c r="DY49" i="27" s="1"/>
  <c r="DY50" i="27" s="1"/>
  <c r="EE3" i="27"/>
  <c r="EB38" i="27"/>
  <c r="EA35" i="27"/>
  <c r="DZ37" i="27"/>
  <c r="DZ39" i="27" s="1"/>
  <c r="DZ41" i="27" s="1"/>
  <c r="DZ45" i="27" s="1"/>
  <c r="DZ47" i="27" s="1"/>
  <c r="DZ48" i="27" s="1"/>
  <c r="DZ49" i="27" s="1"/>
  <c r="DZ50" i="27" s="1"/>
  <c r="EF43" i="27"/>
  <c r="EE44" i="27"/>
  <c r="AV61" i="27"/>
  <c r="DL44" i="27"/>
  <c r="AR61" i="27"/>
  <c r="DL71" i="27"/>
  <c r="CE45" i="27"/>
  <c r="CE47" i="27" s="1"/>
  <c r="CH45" i="27"/>
  <c r="CH47" i="27" s="1"/>
  <c r="CE56" i="27"/>
  <c r="CI45" i="27"/>
  <c r="CI53" i="27"/>
  <c r="CF45" i="27"/>
  <c r="CG45" i="27"/>
  <c r="AX4" i="27"/>
  <c r="AX5" i="27" s="1"/>
  <c r="DL4" i="27"/>
  <c r="DL5" i="27" s="1"/>
  <c r="DL61" i="27" s="1"/>
  <c r="AT62" i="27"/>
  <c r="AA140" i="27"/>
  <c r="AA142" i="27" s="1"/>
  <c r="AK54" i="27"/>
  <c r="AK55" i="27"/>
  <c r="AA41" i="27"/>
  <c r="AA45" i="27" s="1"/>
  <c r="AA143" i="27"/>
  <c r="AA145" i="27" s="1"/>
  <c r="AA65" i="27"/>
  <c r="AA55" i="27"/>
  <c r="AK60" i="27"/>
  <c r="AA131" i="27"/>
  <c r="AA133" i="27" s="1"/>
  <c r="U131" i="27"/>
  <c r="U133" i="27" s="1"/>
  <c r="U41" i="27"/>
  <c r="U53" i="27" s="1"/>
  <c r="U129" i="27" s="1"/>
  <c r="U137" i="27"/>
  <c r="U139" i="27" s="1"/>
  <c r="U140" i="27"/>
  <c r="U142" i="27" s="1"/>
  <c r="U143" i="27"/>
  <c r="U145" i="27" s="1"/>
  <c r="AA92" i="27"/>
  <c r="U92" i="27"/>
  <c r="U134" i="27"/>
  <c r="U136" i="27" s="1"/>
  <c r="U55" i="27"/>
  <c r="O54" i="27"/>
  <c r="O92" i="27"/>
  <c r="O137" i="27"/>
  <c r="O139" i="27" s="1"/>
  <c r="DI64" i="27"/>
  <c r="DJ62" i="27"/>
  <c r="DH70" i="27"/>
  <c r="DF64" i="27"/>
  <c r="AA134" i="27"/>
  <c r="AA136" i="27" s="1"/>
  <c r="AA54" i="27"/>
  <c r="AR39" i="27"/>
  <c r="AR55" i="27" s="1"/>
  <c r="S60" i="27"/>
  <c r="O131" i="27"/>
  <c r="O133" i="27" s="1"/>
  <c r="O143" i="27"/>
  <c r="O145" i="27" s="1"/>
  <c r="O55" i="27"/>
  <c r="O41" i="27"/>
  <c r="O134" i="27"/>
  <c r="O136" i="27" s="1"/>
  <c r="E58" i="27"/>
  <c r="N92" i="27"/>
  <c r="N143" i="27"/>
  <c r="N145" i="27" s="1"/>
  <c r="N140" i="27"/>
  <c r="N142" i="27" s="1"/>
  <c r="N55" i="27"/>
  <c r="N54" i="27"/>
  <c r="N131" i="27"/>
  <c r="N133" i="27" s="1"/>
  <c r="N137" i="27"/>
  <c r="N139" i="27" s="1"/>
  <c r="N134" i="27"/>
  <c r="N136" i="27" s="1"/>
  <c r="DH37" i="27"/>
  <c r="DH39" i="27" s="1"/>
  <c r="DH54" i="27" s="1"/>
  <c r="AC61" i="27"/>
  <c r="DJ5" i="27"/>
  <c r="Y41" i="27"/>
  <c r="Y45" i="27" s="1"/>
  <c r="AE65" i="27"/>
  <c r="W39" i="27"/>
  <c r="W60" i="27" s="1"/>
  <c r="Y143" i="27"/>
  <c r="Y145" i="27" s="1"/>
  <c r="I50" i="27"/>
  <c r="Y137" i="27"/>
  <c r="AD61" i="27"/>
  <c r="I58" i="27"/>
  <c r="AP54" i="27"/>
  <c r="I92" i="27"/>
  <c r="AB65" i="27"/>
  <c r="M65" i="27"/>
  <c r="Y60" i="27"/>
  <c r="DG64" i="27"/>
  <c r="DH64" i="27"/>
  <c r="X65" i="27"/>
  <c r="S134" i="27"/>
  <c r="S136" i="27" s="1"/>
  <c r="DG37" i="27"/>
  <c r="DG39" i="27" s="1"/>
  <c r="AE39" i="27"/>
  <c r="AE54" i="27" s="1"/>
  <c r="AH65" i="27"/>
  <c r="AF41" i="27"/>
  <c r="AF45" i="27" s="1"/>
  <c r="AF60" i="27"/>
  <c r="AI41" i="27"/>
  <c r="AP41" i="27"/>
  <c r="AP45" i="27" s="1"/>
  <c r="N65" i="27"/>
  <c r="AP65" i="27"/>
  <c r="AF65" i="27"/>
  <c r="AI65" i="27"/>
  <c r="DI5" i="27"/>
  <c r="DI61" i="27" s="1"/>
  <c r="DI62" i="27"/>
  <c r="J41" i="27"/>
  <c r="J45" i="27" s="1"/>
  <c r="J47" i="27" s="1"/>
  <c r="J58" i="27" s="1"/>
  <c r="AM65" i="27"/>
  <c r="AI55" i="27"/>
  <c r="AH39" i="27"/>
  <c r="AH41" i="27" s="1"/>
  <c r="AH53" i="27" s="1"/>
  <c r="AF54" i="27"/>
  <c r="Y134" i="27"/>
  <c r="Y136" i="27" s="1"/>
  <c r="M39" i="27"/>
  <c r="M60" i="27" s="1"/>
  <c r="AF55" i="27"/>
  <c r="Z65" i="27"/>
  <c r="DK37" i="27"/>
  <c r="DK39" i="27" s="1"/>
  <c r="AB41" i="27"/>
  <c r="AB54" i="27"/>
  <c r="AB55" i="27"/>
  <c r="G58" i="27"/>
  <c r="AU61" i="27"/>
  <c r="Y65" i="27"/>
  <c r="Y54" i="27"/>
  <c r="E114" i="27"/>
  <c r="E50" i="27"/>
  <c r="AQ61" i="27"/>
  <c r="Y140" i="27"/>
  <c r="Y142" i="27" s="1"/>
  <c r="Y131" i="27"/>
  <c r="Y133" i="27" s="1"/>
  <c r="Y55" i="27"/>
  <c r="S143" i="27"/>
  <c r="S145" i="27" s="1"/>
  <c r="DG5" i="27"/>
  <c r="DG62" i="27"/>
  <c r="DH62" i="27"/>
  <c r="S54" i="27"/>
  <c r="S65" i="27"/>
  <c r="AS67" i="27"/>
  <c r="AT19" i="27"/>
  <c r="DL19" i="27" s="1"/>
  <c r="S140" i="27"/>
  <c r="S142" i="27" s="1"/>
  <c r="DF37" i="27"/>
  <c r="DF39" i="27" s="1"/>
  <c r="T39" i="27"/>
  <c r="T60" i="27" s="1"/>
  <c r="T65" i="27"/>
  <c r="V39" i="27"/>
  <c r="V92" i="27" s="1"/>
  <c r="V65" i="27"/>
  <c r="R134" i="27"/>
  <c r="R136" i="27" s="1"/>
  <c r="DD62" i="27"/>
  <c r="DD5" i="27"/>
  <c r="DD61" i="27" s="1"/>
  <c r="N41" i="27"/>
  <c r="N60" i="27"/>
  <c r="AK65" i="27"/>
  <c r="AA61" i="27"/>
  <c r="W61" i="27"/>
  <c r="M61" i="27"/>
  <c r="I61" i="27"/>
  <c r="S137" i="27"/>
  <c r="S139" i="27" s="1"/>
  <c r="S41" i="27"/>
  <c r="S45" i="27" s="1"/>
  <c r="K39" i="27"/>
  <c r="K65" i="27"/>
  <c r="S131" i="27"/>
  <c r="S133" i="27" s="1"/>
  <c r="AP60" i="27"/>
  <c r="W65" i="27"/>
  <c r="S92" i="27"/>
  <c r="O65" i="27"/>
  <c r="DD37" i="27"/>
  <c r="DD39" i="27" s="1"/>
  <c r="Q39" i="27"/>
  <c r="Q65" i="27"/>
  <c r="U65" i="27"/>
  <c r="P55" i="27"/>
  <c r="P41" i="27"/>
  <c r="P134" i="27"/>
  <c r="P136" i="27" s="1"/>
  <c r="P131" i="27"/>
  <c r="P133" i="27" s="1"/>
  <c r="P54" i="27"/>
  <c r="P92" i="27"/>
  <c r="P137" i="27"/>
  <c r="P139" i="27" s="1"/>
  <c r="P140" i="27"/>
  <c r="P142" i="27" s="1"/>
  <c r="P143" i="27"/>
  <c r="P145" i="27" s="1"/>
  <c r="R61" i="27"/>
  <c r="R131" i="27"/>
  <c r="R133" i="27" s="1"/>
  <c r="AJ65" i="27"/>
  <c r="AJ39" i="27"/>
  <c r="AR65" i="27"/>
  <c r="AN39" i="27"/>
  <c r="AN65" i="27"/>
  <c r="AQ65" i="27"/>
  <c r="AQ39" i="27"/>
  <c r="AL65" i="27"/>
  <c r="AL41" i="27"/>
  <c r="AL55" i="27"/>
  <c r="AL54" i="27"/>
  <c r="AT38" i="27"/>
  <c r="AS66" i="27"/>
  <c r="R65" i="27"/>
  <c r="AM54" i="27"/>
  <c r="AM92" i="27"/>
  <c r="AM55" i="27"/>
  <c r="AM60" i="27"/>
  <c r="AM41" i="27"/>
  <c r="AK53" i="27"/>
  <c r="AK45" i="27"/>
  <c r="AB60" i="27"/>
  <c r="X131" i="27"/>
  <c r="X133" i="27" s="1"/>
  <c r="X140" i="27"/>
  <c r="X142" i="27" s="1"/>
  <c r="X143" i="27"/>
  <c r="X145" i="27" s="1"/>
  <c r="X137" i="27"/>
  <c r="X41" i="27"/>
  <c r="X134" i="27"/>
  <c r="X136" i="27" s="1"/>
  <c r="X92" i="27"/>
  <c r="X54" i="27"/>
  <c r="X55" i="27"/>
  <c r="H58" i="27"/>
  <c r="H49" i="27"/>
  <c r="AD41" i="27"/>
  <c r="AD60" i="27"/>
  <c r="AD55" i="27"/>
  <c r="P65" i="27"/>
  <c r="L39" i="27"/>
  <c r="L65" i="27"/>
  <c r="R54" i="27"/>
  <c r="R41" i="27"/>
  <c r="R143" i="27"/>
  <c r="R145" i="27" s="1"/>
  <c r="R60" i="27"/>
  <c r="R55" i="27"/>
  <c r="R137" i="27"/>
  <c r="R139" i="27" s="1"/>
  <c r="R92" i="27"/>
  <c r="AO65" i="27"/>
  <c r="AO39" i="27"/>
  <c r="AD65" i="27"/>
  <c r="DE62" i="27"/>
  <c r="DF62" i="27"/>
  <c r="DE5" i="27"/>
  <c r="DI37" i="27"/>
  <c r="Z131" i="27"/>
  <c r="Z133" i="27" s="1"/>
  <c r="Z134" i="27"/>
  <c r="Z136" i="27" s="1"/>
  <c r="Z55" i="27"/>
  <c r="Z54" i="27"/>
  <c r="Z143" i="27"/>
  <c r="Z145" i="27" s="1"/>
  <c r="Z92" i="27"/>
  <c r="Z140" i="27"/>
  <c r="Z142" i="27" s="1"/>
  <c r="Z41" i="27"/>
  <c r="AG54" i="27"/>
  <c r="AG41" i="27"/>
  <c r="AG55" i="27"/>
  <c r="L61" i="27"/>
  <c r="AC65" i="27"/>
  <c r="AC39" i="27"/>
  <c r="AG65" i="27"/>
  <c r="AV53" i="27"/>
  <c r="AV45" i="27"/>
  <c r="DE37" i="27"/>
  <c r="W138" i="27"/>
  <c r="G50" i="27"/>
  <c r="G114" i="27"/>
  <c r="AW6" i="27"/>
  <c r="AW37" i="27" s="1"/>
  <c r="AW39" i="27" s="1"/>
  <c r="AS37" i="27"/>
  <c r="DL6" i="27"/>
  <c r="CH56" i="27" l="1"/>
  <c r="AX37" i="27"/>
  <c r="AX39" i="27" s="1"/>
  <c r="DM4" i="27"/>
  <c r="EB35" i="27"/>
  <c r="EA37" i="27"/>
  <c r="EA39" i="27" s="1"/>
  <c r="EA41" i="27" s="1"/>
  <c r="EA45" i="27" s="1"/>
  <c r="EC38" i="27"/>
  <c r="EF3" i="27"/>
  <c r="EG43" i="27"/>
  <c r="EF44" i="27"/>
  <c r="AA53" i="27"/>
  <c r="AA129" i="27" s="1"/>
  <c r="CI47" i="27"/>
  <c r="CI56" i="27"/>
  <c r="CE49" i="27"/>
  <c r="CE58" i="27"/>
  <c r="CF56" i="27"/>
  <c r="CF47" i="27"/>
  <c r="CG56" i="27"/>
  <c r="CG47" i="27"/>
  <c r="CH49" i="27"/>
  <c r="CH58" i="27"/>
  <c r="DH55" i="27"/>
  <c r="U45" i="27"/>
  <c r="U47" i="27" s="1"/>
  <c r="AA130" i="27"/>
  <c r="Y53" i="27"/>
  <c r="Y129" i="27" s="1"/>
  <c r="DH60" i="27"/>
  <c r="U130" i="27"/>
  <c r="AF53" i="27"/>
  <c r="DH65" i="27"/>
  <c r="J49" i="27"/>
  <c r="J50" i="27" s="1"/>
  <c r="DJ61" i="27"/>
  <c r="O130" i="27"/>
  <c r="DJ37" i="27"/>
  <c r="DJ39" i="27" s="1"/>
  <c r="W41" i="27"/>
  <c r="W53" i="27" s="1"/>
  <c r="W129" i="27" s="1"/>
  <c r="N130" i="27"/>
  <c r="W143" i="27"/>
  <c r="W145" i="27" s="1"/>
  <c r="AR54" i="27"/>
  <c r="AV60" i="27"/>
  <c r="DK61" i="27"/>
  <c r="V60" i="27"/>
  <c r="AR41" i="27"/>
  <c r="W140" i="27"/>
  <c r="W142" i="27" s="1"/>
  <c r="M131" i="27"/>
  <c r="M133" i="27" s="1"/>
  <c r="W55" i="27"/>
  <c r="W92" i="27"/>
  <c r="M134" i="27"/>
  <c r="M136" i="27" s="1"/>
  <c r="W137" i="27"/>
  <c r="W139" i="27" s="1"/>
  <c r="W134" i="27"/>
  <c r="W136" i="27" s="1"/>
  <c r="W131" i="27"/>
  <c r="W133" i="27" s="1"/>
  <c r="W54" i="27"/>
  <c r="O53" i="27"/>
  <c r="O129" i="27" s="1"/>
  <c r="O45" i="27"/>
  <c r="AA60" i="27"/>
  <c r="M41" i="27"/>
  <c r="M53" i="27" s="1"/>
  <c r="M129" i="27" s="1"/>
  <c r="M92" i="27"/>
  <c r="M143" i="27"/>
  <c r="M145" i="27" s="1"/>
  <c r="M54" i="27"/>
  <c r="AP53" i="27"/>
  <c r="AE41" i="27"/>
  <c r="AE45" i="27" s="1"/>
  <c r="AE56" i="27" s="1"/>
  <c r="AE55" i="27"/>
  <c r="AE60" i="27"/>
  <c r="AH60" i="27"/>
  <c r="AL60" i="27"/>
  <c r="AI60" i="27"/>
  <c r="M55" i="27"/>
  <c r="AI45" i="27"/>
  <c r="AI53" i="27"/>
  <c r="DG65" i="27"/>
  <c r="S130" i="27"/>
  <c r="M137" i="27"/>
  <c r="M139" i="27" s="1"/>
  <c r="M140" i="27"/>
  <c r="M142" i="27" s="1"/>
  <c r="V55" i="27"/>
  <c r="V137" i="27"/>
  <c r="V139" i="27" s="1"/>
  <c r="V131" i="27"/>
  <c r="V133" i="27" s="1"/>
  <c r="AB45" i="27"/>
  <c r="AB53" i="27"/>
  <c r="P130" i="27"/>
  <c r="Z60" i="27"/>
  <c r="V140" i="27"/>
  <c r="V142" i="27" s="1"/>
  <c r="V134" i="27"/>
  <c r="V136" i="27" s="1"/>
  <c r="V143" i="27"/>
  <c r="V145" i="27" s="1"/>
  <c r="V41" i="27"/>
  <c r="V53" i="27" s="1"/>
  <c r="V129" i="27" s="1"/>
  <c r="V54" i="27"/>
  <c r="AH54" i="27"/>
  <c r="AH55" i="27"/>
  <c r="DD41" i="27"/>
  <c r="DD45" i="27" s="1"/>
  <c r="DD47" i="27" s="1"/>
  <c r="DD58" i="27" s="1"/>
  <c r="DD60" i="27"/>
  <c r="AA56" i="27"/>
  <c r="AA47" i="27"/>
  <c r="X60" i="27"/>
  <c r="T55" i="27"/>
  <c r="T143" i="27"/>
  <c r="T145" i="27" s="1"/>
  <c r="T92" i="27"/>
  <c r="T54" i="27"/>
  <c r="T41" i="27"/>
  <c r="T140" i="27"/>
  <c r="T142" i="27" s="1"/>
  <c r="T137" i="27"/>
  <c r="T139" i="27" s="1"/>
  <c r="T134" i="27"/>
  <c r="T136" i="27" s="1"/>
  <c r="T131" i="27"/>
  <c r="T133" i="27" s="1"/>
  <c r="DF54" i="27"/>
  <c r="DF41" i="27"/>
  <c r="DF55" i="27"/>
  <c r="N45" i="27"/>
  <c r="N53" i="27"/>
  <c r="N129" i="27" s="1"/>
  <c r="AT67" i="27"/>
  <c r="AT37" i="27"/>
  <c r="AT65" i="27" s="1"/>
  <c r="AU19" i="27"/>
  <c r="S53" i="27"/>
  <c r="S129" i="27" s="1"/>
  <c r="R130" i="27"/>
  <c r="K143" i="27"/>
  <c r="K145" i="27" s="1"/>
  <c r="K54" i="27"/>
  <c r="K140" i="27"/>
  <c r="K142" i="27" s="1"/>
  <c r="K134" i="27"/>
  <c r="K136" i="27" s="1"/>
  <c r="K92" i="27"/>
  <c r="K137" i="27"/>
  <c r="K139" i="27" s="1"/>
  <c r="K131" i="27"/>
  <c r="K133" i="27" s="1"/>
  <c r="O60" i="27"/>
  <c r="K55" i="27"/>
  <c r="K60" i="27"/>
  <c r="K41" i="27"/>
  <c r="DH61" i="27"/>
  <c r="DG61" i="27"/>
  <c r="AO60" i="27"/>
  <c r="AO41" i="27"/>
  <c r="AO55" i="27"/>
  <c r="AO54" i="27"/>
  <c r="X53" i="27"/>
  <c r="X129" i="27" s="1"/>
  <c r="X45" i="27"/>
  <c r="AM45" i="27"/>
  <c r="AM53" i="27"/>
  <c r="AL53" i="27"/>
  <c r="AL45" i="27"/>
  <c r="Y56" i="27"/>
  <c r="Y47" i="27"/>
  <c r="P45" i="27"/>
  <c r="P53" i="27"/>
  <c r="P129" i="27" s="1"/>
  <c r="L55" i="27"/>
  <c r="L140" i="27"/>
  <c r="L142" i="27" s="1"/>
  <c r="L143" i="27"/>
  <c r="L145" i="27" s="1"/>
  <c r="L54" i="27"/>
  <c r="L137" i="27"/>
  <c r="L139" i="27" s="1"/>
  <c r="L134" i="27"/>
  <c r="L136" i="27" s="1"/>
  <c r="L41" i="27"/>
  <c r="L60" i="27"/>
  <c r="L92" i="27"/>
  <c r="L131" i="27"/>
  <c r="L133" i="27" s="1"/>
  <c r="AQ54" i="27"/>
  <c r="AQ60" i="27"/>
  <c r="AQ41" i="27"/>
  <c r="AQ55" i="27"/>
  <c r="DM5" i="27"/>
  <c r="DM61" i="27" s="1"/>
  <c r="DN4" i="27"/>
  <c r="AT66" i="27"/>
  <c r="AU38" i="27"/>
  <c r="AU66" i="27" s="1"/>
  <c r="DL38" i="27"/>
  <c r="DM38" i="27" s="1"/>
  <c r="DN38" i="27" s="1"/>
  <c r="DO38" i="27" s="1"/>
  <c r="DP38" i="27" s="1"/>
  <c r="DQ38" i="27" s="1"/>
  <c r="Z130" i="27"/>
  <c r="AD53" i="27"/>
  <c r="AD45" i="27"/>
  <c r="DI39" i="27"/>
  <c r="DI65" i="27"/>
  <c r="H114" i="27"/>
  <c r="H50" i="27"/>
  <c r="AG45" i="27"/>
  <c r="AG53" i="27"/>
  <c r="DF61" i="27"/>
  <c r="DE61" i="27"/>
  <c r="R53" i="27"/>
  <c r="R129" i="27" s="1"/>
  <c r="R45" i="27"/>
  <c r="AN55" i="27"/>
  <c r="AN60" i="27"/>
  <c r="AN41" i="27"/>
  <c r="AN54" i="27"/>
  <c r="AR60" i="27"/>
  <c r="Q55" i="27"/>
  <c r="Q143" i="27"/>
  <c r="Q145" i="27" s="1"/>
  <c r="Q92" i="27"/>
  <c r="Q54" i="27"/>
  <c r="Q41" i="27"/>
  <c r="Q131" i="27"/>
  <c r="Q133" i="27" s="1"/>
  <c r="Q60" i="27"/>
  <c r="Q134" i="27"/>
  <c r="Q136" i="27" s="1"/>
  <c r="Q140" i="27"/>
  <c r="Q142" i="27" s="1"/>
  <c r="U60" i="27"/>
  <c r="Q137" i="27"/>
  <c r="Q139" i="27" s="1"/>
  <c r="AH45" i="27"/>
  <c r="AH56" i="27" s="1"/>
  <c r="DG54" i="27"/>
  <c r="DG55" i="27"/>
  <c r="DG60" i="27"/>
  <c r="Z53" i="27"/>
  <c r="Z129" i="27" s="1"/>
  <c r="Z45" i="27"/>
  <c r="AK47" i="27"/>
  <c r="AK56" i="27"/>
  <c r="AJ55" i="27"/>
  <c r="AJ41" i="27"/>
  <c r="AJ54" i="27"/>
  <c r="AJ60" i="27"/>
  <c r="P60" i="27"/>
  <c r="AV47" i="27"/>
  <c r="AV56" i="27"/>
  <c r="AP47" i="27"/>
  <c r="AP56" i="27"/>
  <c r="X138" i="27"/>
  <c r="AF47" i="27"/>
  <c r="AF56" i="27"/>
  <c r="DF65" i="27"/>
  <c r="DE39" i="27"/>
  <c r="AG60" i="27"/>
  <c r="AC60" i="27"/>
  <c r="AC41" i="27"/>
  <c r="AC55" i="27"/>
  <c r="AC54" i="27"/>
  <c r="AS39" i="27"/>
  <c r="AS65" i="27"/>
  <c r="DL37" i="27"/>
  <c r="DM6" i="27"/>
  <c r="S56" i="27"/>
  <c r="S47" i="27"/>
  <c r="ED38" i="27" l="1"/>
  <c r="EG3" i="27"/>
  <c r="EC35" i="27"/>
  <c r="EB37" i="27"/>
  <c r="EB39" i="27" s="1"/>
  <c r="EB41" i="27" s="1"/>
  <c r="EB45" i="27" s="1"/>
  <c r="EH43" i="27"/>
  <c r="EG44" i="27"/>
  <c r="U56" i="27"/>
  <c r="CE50" i="27"/>
  <c r="CE57" i="27"/>
  <c r="CI58" i="27"/>
  <c r="CI49" i="27"/>
  <c r="CF58" i="27"/>
  <c r="CF49" i="27"/>
  <c r="CG58" i="27"/>
  <c r="CG49" i="27"/>
  <c r="CH50" i="27"/>
  <c r="CH57" i="27"/>
  <c r="DK65" i="27"/>
  <c r="AE47" i="27"/>
  <c r="AE58" i="27" s="1"/>
  <c r="W45" i="27"/>
  <c r="W47" i="27" s="1"/>
  <c r="W130" i="27"/>
  <c r="J114" i="27"/>
  <c r="DJ65" i="27"/>
  <c r="V45" i="27"/>
  <c r="V56" i="27" s="1"/>
  <c r="M45" i="27"/>
  <c r="M47" i="27" s="1"/>
  <c r="DG41" i="27"/>
  <c r="DG40" i="27" s="1"/>
  <c r="AE53" i="27"/>
  <c r="AR53" i="27"/>
  <c r="AR45" i="27"/>
  <c r="DI41" i="27"/>
  <c r="DI45" i="27" s="1"/>
  <c r="DI47" i="27" s="1"/>
  <c r="DI49" i="27" s="1"/>
  <c r="O47" i="27"/>
  <c r="O56" i="27"/>
  <c r="M130" i="27"/>
  <c r="V130" i="27"/>
  <c r="AH47" i="27"/>
  <c r="AH58" i="27" s="1"/>
  <c r="AI56" i="27"/>
  <c r="AI47" i="27"/>
  <c r="T130" i="27"/>
  <c r="AB47" i="27"/>
  <c r="AB56" i="27"/>
  <c r="K130" i="27"/>
  <c r="T45" i="27"/>
  <c r="T53" i="27"/>
  <c r="T129" i="27" s="1"/>
  <c r="N47" i="27"/>
  <c r="N56" i="27"/>
  <c r="DF53" i="27"/>
  <c r="DF45" i="27"/>
  <c r="AT39" i="27"/>
  <c r="K45" i="27"/>
  <c r="K53" i="27"/>
  <c r="K129" i="27" s="1"/>
  <c r="AA49" i="27"/>
  <c r="AA58" i="27"/>
  <c r="AU67" i="27"/>
  <c r="AU37" i="27"/>
  <c r="AU65" i="27" s="1"/>
  <c r="Z47" i="27"/>
  <c r="Z56" i="27"/>
  <c r="Q130" i="27"/>
  <c r="DN5" i="27"/>
  <c r="DN61" i="27" s="1"/>
  <c r="DO4" i="27"/>
  <c r="AM56" i="27"/>
  <c r="AM47" i="27"/>
  <c r="Q45" i="27"/>
  <c r="Q53" i="27"/>
  <c r="Q129" i="27" s="1"/>
  <c r="AD47" i="27"/>
  <c r="AD56" i="27"/>
  <c r="X56" i="27"/>
  <c r="X47" i="27"/>
  <c r="AQ53" i="27"/>
  <c r="AQ45" i="27"/>
  <c r="R47" i="27"/>
  <c r="R56" i="27"/>
  <c r="AG56" i="27"/>
  <c r="AG47" i="27"/>
  <c r="DE41" i="27"/>
  <c r="DE45" i="27" s="1"/>
  <c r="DE47" i="27" s="1"/>
  <c r="DE58" i="27" s="1"/>
  <c r="AJ45" i="27"/>
  <c r="AJ53" i="27"/>
  <c r="DJ41" i="27"/>
  <c r="DJ45" i="27" s="1"/>
  <c r="DJ56" i="27" s="1"/>
  <c r="L130" i="27"/>
  <c r="P56" i="27"/>
  <c r="P47" i="27"/>
  <c r="Y49" i="27"/>
  <c r="Y58" i="27"/>
  <c r="AO53" i="27"/>
  <c r="AO45" i="27"/>
  <c r="AN45" i="27"/>
  <c r="AN53" i="27"/>
  <c r="DK41" i="27"/>
  <c r="DK45" i="27" s="1"/>
  <c r="DI54" i="27"/>
  <c r="DI55" i="27"/>
  <c r="DI60" i="27"/>
  <c r="AK49" i="27"/>
  <c r="AK58" i="27"/>
  <c r="L53" i="27"/>
  <c r="L129" i="27" s="1"/>
  <c r="L45" i="27"/>
  <c r="AL56" i="27"/>
  <c r="AL47" i="27"/>
  <c r="DE57" i="27"/>
  <c r="DE55" i="27"/>
  <c r="DE60" i="27"/>
  <c r="DE54" i="27"/>
  <c r="DF60" i="27"/>
  <c r="Y138" i="27"/>
  <c r="Y139" i="27" s="1"/>
  <c r="Y130" i="27" s="1"/>
  <c r="X139" i="27"/>
  <c r="X130" i="27" s="1"/>
  <c r="AP49" i="27"/>
  <c r="AP58" i="27"/>
  <c r="DJ60" i="27"/>
  <c r="DK60" i="27"/>
  <c r="S49" i="27"/>
  <c r="S58" i="27"/>
  <c r="DR38" i="27"/>
  <c r="DN6" i="27"/>
  <c r="DM37" i="27"/>
  <c r="DL65" i="27"/>
  <c r="DL39" i="27"/>
  <c r="AF49" i="27"/>
  <c r="AF58" i="27"/>
  <c r="AS55" i="27"/>
  <c r="AS41" i="27"/>
  <c r="AS45" i="27" s="1"/>
  <c r="AS54" i="27"/>
  <c r="AS60" i="27"/>
  <c r="DH41" i="27"/>
  <c r="AC53" i="27"/>
  <c r="AC45" i="27"/>
  <c r="U58" i="27"/>
  <c r="U49" i="27"/>
  <c r="AV58" i="27"/>
  <c r="AV49" i="27"/>
  <c r="EE38" i="27" l="1"/>
  <c r="EH3" i="27"/>
  <c r="W56" i="27"/>
  <c r="ED35" i="27"/>
  <c r="EC37" i="27"/>
  <c r="EC39" i="27" s="1"/>
  <c r="EC41" i="27" s="1"/>
  <c r="EC45" i="27" s="1"/>
  <c r="EI43" i="27"/>
  <c r="EH44" i="27"/>
  <c r="CI57" i="27"/>
  <c r="CI50" i="27"/>
  <c r="CF57" i="27"/>
  <c r="CF50" i="27"/>
  <c r="CG57" i="27"/>
  <c r="CG50" i="27"/>
  <c r="DG45" i="27"/>
  <c r="DG47" i="27" s="1"/>
  <c r="AE49" i="27"/>
  <c r="AE57" i="27" s="1"/>
  <c r="M56" i="27"/>
  <c r="DI56" i="27"/>
  <c r="DG53" i="27"/>
  <c r="V47" i="27"/>
  <c r="V49" i="27" s="1"/>
  <c r="DI53" i="27"/>
  <c r="AH49" i="27"/>
  <c r="AH57" i="27" s="1"/>
  <c r="AR47" i="27"/>
  <c r="AR56" i="27"/>
  <c r="DI40" i="27"/>
  <c r="O58" i="27"/>
  <c r="O49" i="27"/>
  <c r="DE53" i="27"/>
  <c r="AI58" i="27"/>
  <c r="AI49" i="27"/>
  <c r="AU39" i="27"/>
  <c r="AU60" i="27" s="1"/>
  <c r="AB49" i="27"/>
  <c r="AB58" i="27"/>
  <c r="DE56" i="27"/>
  <c r="AA50" i="27"/>
  <c r="AA57" i="27"/>
  <c r="AA114" i="27"/>
  <c r="AT41" i="27"/>
  <c r="AT45" i="27" s="1"/>
  <c r="AT60" i="27"/>
  <c r="AT54" i="27"/>
  <c r="AT55" i="27"/>
  <c r="K56" i="27"/>
  <c r="K47" i="27"/>
  <c r="M49" i="27"/>
  <c r="M58" i="27"/>
  <c r="DF56" i="27"/>
  <c r="DF47" i="27"/>
  <c r="AS40" i="27"/>
  <c r="N58" i="27"/>
  <c r="N49" i="27"/>
  <c r="T47" i="27"/>
  <c r="T56" i="27"/>
  <c r="AD58" i="27"/>
  <c r="AD49" i="27"/>
  <c r="P49" i="27"/>
  <c r="P58" i="27"/>
  <c r="DK56" i="27"/>
  <c r="DK47" i="27"/>
  <c r="Q47" i="27"/>
  <c r="Q56" i="27"/>
  <c r="AM58" i="27"/>
  <c r="AM49" i="27"/>
  <c r="AN47" i="27"/>
  <c r="AN56" i="27"/>
  <c r="W49" i="27"/>
  <c r="W58" i="27"/>
  <c r="R49" i="27"/>
  <c r="R58" i="27"/>
  <c r="AK57" i="27"/>
  <c r="AK50" i="27"/>
  <c r="AL49" i="27"/>
  <c r="AL58" i="27"/>
  <c r="DO5" i="27"/>
  <c r="DO61" i="27" s="1"/>
  <c r="DP4" i="27"/>
  <c r="Y50" i="27"/>
  <c r="Y114" i="27"/>
  <c r="Y57" i="27"/>
  <c r="L56" i="27"/>
  <c r="L47" i="27"/>
  <c r="AO47" i="27"/>
  <c r="AO56" i="27"/>
  <c r="AQ56" i="27"/>
  <c r="AQ47" i="27"/>
  <c r="AG58" i="27"/>
  <c r="AG49" i="27"/>
  <c r="AJ47" i="27"/>
  <c r="AJ56" i="27"/>
  <c r="DJ40" i="27"/>
  <c r="X58" i="27"/>
  <c r="X49" i="27"/>
  <c r="Z58" i="27"/>
  <c r="Z49" i="27"/>
  <c r="DI50" i="27"/>
  <c r="DI57" i="27"/>
  <c r="AF50" i="27"/>
  <c r="AF57" i="27"/>
  <c r="DM65" i="27"/>
  <c r="DM39" i="27"/>
  <c r="DH53" i="27"/>
  <c r="DH45" i="27"/>
  <c r="DH40" i="27"/>
  <c r="AS56" i="27"/>
  <c r="AS47" i="27"/>
  <c r="DO6" i="27"/>
  <c r="DN37" i="27"/>
  <c r="AP50" i="27"/>
  <c r="AP57" i="27"/>
  <c r="S57" i="27"/>
  <c r="S114" i="27"/>
  <c r="S50" i="27"/>
  <c r="U114" i="27"/>
  <c r="U57" i="27"/>
  <c r="U50" i="27"/>
  <c r="AV57" i="27"/>
  <c r="AV50" i="27"/>
  <c r="DL41" i="27"/>
  <c r="DL45" i="27" s="1"/>
  <c r="DL60" i="27"/>
  <c r="AC56" i="27"/>
  <c r="AC47" i="27"/>
  <c r="EI3" i="27" l="1"/>
  <c r="EE35" i="27"/>
  <c r="ED37" i="27"/>
  <c r="ED39" i="27" s="1"/>
  <c r="ED41" i="27" s="1"/>
  <c r="ED45" i="27" s="1"/>
  <c r="AE50" i="27"/>
  <c r="EF38" i="27"/>
  <c r="EJ43" i="27"/>
  <c r="EJ44" i="27" s="1"/>
  <c r="EI44" i="27"/>
  <c r="AH88" i="27"/>
  <c r="DI88" i="27" s="1"/>
  <c r="DJ46" i="27" s="1"/>
  <c r="DJ47" i="27" s="1"/>
  <c r="AH50" i="27"/>
  <c r="DG56" i="27"/>
  <c r="V58" i="27"/>
  <c r="AR58" i="27"/>
  <c r="AR49" i="27"/>
  <c r="O50" i="27"/>
  <c r="S73" i="27" s="1"/>
  <c r="O114" i="27"/>
  <c r="O57" i="27"/>
  <c r="AI50" i="27"/>
  <c r="AI73" i="27" s="1"/>
  <c r="AI57" i="27"/>
  <c r="AT40" i="27"/>
  <c r="AB57" i="27"/>
  <c r="AB50" i="27"/>
  <c r="AF73" i="27" s="1"/>
  <c r="M114" i="27"/>
  <c r="M50" i="27"/>
  <c r="M57" i="27"/>
  <c r="K58" i="27"/>
  <c r="K49" i="27"/>
  <c r="T58" i="27"/>
  <c r="T49" i="27"/>
  <c r="N50" i="27"/>
  <c r="N57" i="27"/>
  <c r="N114" i="27"/>
  <c r="AT56" i="27"/>
  <c r="AT47" i="27"/>
  <c r="DF49" i="27"/>
  <c r="DF58" i="27"/>
  <c r="DK58" i="27"/>
  <c r="DK49" i="27"/>
  <c r="L49" i="27"/>
  <c r="L58" i="27"/>
  <c r="X50" i="27"/>
  <c r="X57" i="27"/>
  <c r="X114" i="27"/>
  <c r="Z57" i="27"/>
  <c r="Z114" i="27"/>
  <c r="Z50" i="27"/>
  <c r="R57" i="27"/>
  <c r="R50" i="27"/>
  <c r="R114" i="27"/>
  <c r="P57" i="27"/>
  <c r="P114" i="27"/>
  <c r="P50" i="27"/>
  <c r="AD50" i="27"/>
  <c r="AD57" i="27"/>
  <c r="AO49" i="27"/>
  <c r="AO58" i="27"/>
  <c r="W114" i="27"/>
  <c r="W50" i="27"/>
  <c r="AA73" i="27" s="1"/>
  <c r="W57" i="27"/>
  <c r="AQ49" i="27"/>
  <c r="AQ58" i="27"/>
  <c r="Q58" i="27"/>
  <c r="Q49" i="27"/>
  <c r="AJ49" i="27"/>
  <c r="AJ58" i="27"/>
  <c r="AG50" i="27"/>
  <c r="AK73" i="27" s="1"/>
  <c r="AG57" i="27"/>
  <c r="AN49" i="27"/>
  <c r="AN58" i="27"/>
  <c r="AL50" i="27"/>
  <c r="AP73" i="27" s="1"/>
  <c r="AL57" i="27"/>
  <c r="DQ4" i="27"/>
  <c r="DP5" i="27"/>
  <c r="DP61" i="27" s="1"/>
  <c r="AM50" i="27"/>
  <c r="AM57" i="27"/>
  <c r="AM114" i="27"/>
  <c r="DG49" i="27"/>
  <c r="DG58" i="27"/>
  <c r="AS48" i="27"/>
  <c r="AS58" i="27" s="1"/>
  <c r="DM60" i="27"/>
  <c r="DM41" i="27"/>
  <c r="DM40" i="27" s="1"/>
  <c r="DM43" i="27"/>
  <c r="DH56" i="27"/>
  <c r="DH47" i="27"/>
  <c r="Y73" i="27"/>
  <c r="DN65" i="27"/>
  <c r="DN39" i="27"/>
  <c r="AC49" i="27"/>
  <c r="AC58" i="27"/>
  <c r="DP6" i="27"/>
  <c r="DO37" i="27"/>
  <c r="DL40" i="27"/>
  <c r="AE73" i="27"/>
  <c r="DL56" i="27"/>
  <c r="DL47" i="27"/>
  <c r="V114" i="27"/>
  <c r="V57" i="27"/>
  <c r="V50" i="27"/>
  <c r="EF35" i="27" l="1"/>
  <c r="EE37" i="27"/>
  <c r="EE39" i="27" s="1"/>
  <c r="EE41" i="27" s="1"/>
  <c r="EE45" i="27" s="1"/>
  <c r="EJ3" i="27"/>
  <c r="AH73" i="27"/>
  <c r="EG38" i="27"/>
  <c r="AM73" i="27"/>
  <c r="AR50" i="27"/>
  <c r="AV73" i="27" s="1"/>
  <c r="AR57" i="27"/>
  <c r="AL73" i="27"/>
  <c r="W73" i="27"/>
  <c r="T57" i="27"/>
  <c r="T50" i="27"/>
  <c r="T73" i="27" s="1"/>
  <c r="T114" i="27"/>
  <c r="AT48" i="27"/>
  <c r="AT58" i="27" s="1"/>
  <c r="K57" i="27"/>
  <c r="K50" i="27"/>
  <c r="O73" i="27" s="1"/>
  <c r="K114" i="27"/>
  <c r="R73" i="27"/>
  <c r="DF57" i="27"/>
  <c r="DF50" i="27"/>
  <c r="DF73" i="27" s="1"/>
  <c r="AO50" i="27"/>
  <c r="AO73" i="27" s="1"/>
  <c r="AO57" i="27"/>
  <c r="DG57" i="27"/>
  <c r="DG50" i="27"/>
  <c r="AJ50" i="27"/>
  <c r="AJ73" i="27" s="1"/>
  <c r="AJ57" i="27"/>
  <c r="AD73" i="27"/>
  <c r="AB73" i="27"/>
  <c r="Q50" i="27"/>
  <c r="Q57" i="27"/>
  <c r="Q114" i="27"/>
  <c r="AN57" i="27"/>
  <c r="AN50" i="27"/>
  <c r="DQ5" i="27"/>
  <c r="L50" i="27"/>
  <c r="P73" i="27" s="1"/>
  <c r="L57" i="27"/>
  <c r="L114" i="27"/>
  <c r="AQ57" i="27"/>
  <c r="AQ50" i="27"/>
  <c r="DK50" i="27"/>
  <c r="DK57" i="27"/>
  <c r="DQ6" i="27"/>
  <c r="DP37" i="27"/>
  <c r="DP39" i="27" s="1"/>
  <c r="DL48" i="27"/>
  <c r="DL49" i="27" s="1"/>
  <c r="DM44" i="27"/>
  <c r="DM45" i="27" s="1"/>
  <c r="DM72" i="27"/>
  <c r="AS49" i="27"/>
  <c r="AC50" i="27"/>
  <c r="AC57" i="27"/>
  <c r="DN60" i="27"/>
  <c r="DN41" i="27"/>
  <c r="DN40" i="27" s="1"/>
  <c r="DN43" i="27"/>
  <c r="DH48" i="27"/>
  <c r="DH49" i="27" s="1"/>
  <c r="V73" i="27"/>
  <c r="Z73" i="27"/>
  <c r="DO65" i="27"/>
  <c r="DO39" i="27"/>
  <c r="DJ48" i="27"/>
  <c r="DJ49" i="27" s="1"/>
  <c r="EH38" i="27" l="1"/>
  <c r="X73" i="27"/>
  <c r="EG35" i="27"/>
  <c r="EF37" i="27"/>
  <c r="EF39" i="27" s="1"/>
  <c r="EF41" i="27" s="1"/>
  <c r="EF45" i="27" s="1"/>
  <c r="AT49" i="27"/>
  <c r="AT50" i="27" s="1"/>
  <c r="AT73" i="27" s="1"/>
  <c r="DG73" i="27"/>
  <c r="Q73" i="27"/>
  <c r="U73" i="27"/>
  <c r="AN73" i="27"/>
  <c r="AR73" i="27"/>
  <c r="AQ73" i="27"/>
  <c r="AU73" i="27"/>
  <c r="DM56" i="27"/>
  <c r="DJ50" i="27"/>
  <c r="DJ57" i="27"/>
  <c r="DJ88" i="27"/>
  <c r="DK88" i="27" s="1"/>
  <c r="DL88" i="27" s="1"/>
  <c r="DN45" i="27"/>
  <c r="DO43" i="27"/>
  <c r="DO60" i="27"/>
  <c r="DO41" i="27"/>
  <c r="AC73" i="27"/>
  <c r="AG73" i="27"/>
  <c r="DH50" i="27"/>
  <c r="DH57" i="27"/>
  <c r="DL57" i="27"/>
  <c r="DL50" i="27"/>
  <c r="DL73" i="27" s="1"/>
  <c r="DP41" i="27"/>
  <c r="DP60" i="27"/>
  <c r="DP43" i="27"/>
  <c r="AS50" i="27"/>
  <c r="AS73" i="27" s="1"/>
  <c r="AS57" i="27"/>
  <c r="DN44" i="27"/>
  <c r="DN72" i="27"/>
  <c r="DQ37" i="27"/>
  <c r="DQ39" i="27" s="1"/>
  <c r="EH35" i="27" l="1"/>
  <c r="EG37" i="27"/>
  <c r="EG39" i="27" s="1"/>
  <c r="EG41" i="27" s="1"/>
  <c r="EG45" i="27" s="1"/>
  <c r="EI38" i="27"/>
  <c r="AT57" i="27"/>
  <c r="DO72" i="27"/>
  <c r="DO44" i="27"/>
  <c r="DO45" i="27" s="1"/>
  <c r="DQ43" i="27"/>
  <c r="DP44" i="27"/>
  <c r="DP45" i="27" s="1"/>
  <c r="DH73" i="27"/>
  <c r="DI73" i="27"/>
  <c r="DM46" i="27"/>
  <c r="DM47" i="27" s="1"/>
  <c r="DJ73" i="27"/>
  <c r="DK73" i="27"/>
  <c r="DR37" i="27"/>
  <c r="DR39" i="27" s="1"/>
  <c r="DP40" i="27"/>
  <c r="DO40" i="27"/>
  <c r="DN56" i="27"/>
  <c r="DQ60" i="27"/>
  <c r="DQ41" i="27"/>
  <c r="DQ40" i="27" s="1"/>
  <c r="EJ38" i="27" l="1"/>
  <c r="EI35" i="27"/>
  <c r="EH37" i="27"/>
  <c r="EH39" i="27" s="1"/>
  <c r="EH41" i="27" s="1"/>
  <c r="EH45" i="27" s="1"/>
  <c r="DP56" i="27"/>
  <c r="DM48" i="27"/>
  <c r="DM49" i="27" s="1"/>
  <c r="DQ44" i="27"/>
  <c r="DQ45" i="27" s="1"/>
  <c r="DR43" i="27"/>
  <c r="DT39" i="27"/>
  <c r="DS37" i="27"/>
  <c r="DS39" i="27" s="1"/>
  <c r="DO56" i="27"/>
  <c r="DR41" i="27"/>
  <c r="DR60" i="27"/>
  <c r="EJ35" i="27" l="1"/>
  <c r="EJ37" i="27" s="1"/>
  <c r="EJ39" i="27" s="1"/>
  <c r="EJ41" i="27" s="1"/>
  <c r="EJ45" i="27" s="1"/>
  <c r="EI37" i="27"/>
  <c r="EI39" i="27" s="1"/>
  <c r="EI41" i="27" s="1"/>
  <c r="EI45" i="27" s="1"/>
  <c r="DQ56" i="27"/>
  <c r="DM50" i="27"/>
  <c r="DM73" i="27" s="1"/>
  <c r="DM57" i="27"/>
  <c r="DM88" i="27"/>
  <c r="DS60" i="27"/>
  <c r="DR44" i="27"/>
  <c r="DR45" i="27" s="1"/>
  <c r="DT60" i="27"/>
  <c r="DR40" i="27"/>
  <c r="DR56" i="27" l="1"/>
  <c r="DN46" i="27"/>
  <c r="DN47" i="27" s="1"/>
  <c r="DS56" i="27" l="1"/>
  <c r="DT56" i="27"/>
  <c r="DN48" i="27"/>
  <c r="DN49" i="27" s="1"/>
  <c r="DN57" i="27" l="1"/>
  <c r="DN50" i="27"/>
  <c r="DN73" i="27" s="1"/>
  <c r="DN88" i="27"/>
  <c r="DO46" i="27" l="1"/>
  <c r="DO47" i="27" s="1"/>
  <c r="DO48" i="27" l="1"/>
  <c r="DO49" i="27" s="1"/>
  <c r="DO50" i="27" l="1"/>
  <c r="DO73" i="27" s="1"/>
  <c r="DO57" i="27"/>
  <c r="DO88" i="27"/>
  <c r="DP46" i="27" l="1"/>
  <c r="DP47" i="27" s="1"/>
  <c r="DP48" i="27" l="1"/>
  <c r="DP49" i="27" s="1"/>
  <c r="DP50" i="27" l="1"/>
  <c r="DP57" i="27"/>
  <c r="DP88" i="27"/>
  <c r="DQ46" i="27" l="1"/>
  <c r="DQ47" i="27" s="1"/>
  <c r="DQ48" i="27" l="1"/>
  <c r="DQ49" i="27" s="1"/>
  <c r="DQ57" i="27" l="1"/>
  <c r="DQ50" i="27"/>
  <c r="DQ88" i="27"/>
  <c r="DR46" i="27" l="1"/>
  <c r="DR47" i="27" s="1"/>
  <c r="DR48" i="27" l="1"/>
  <c r="DR49" i="27" s="1"/>
  <c r="DR50" i="27" l="1"/>
  <c r="DR57" i="27"/>
  <c r="DR88" i="27"/>
  <c r="DS47" i="27" l="1"/>
  <c r="DS48" i="27" l="1"/>
  <c r="DS49" i="27" s="1"/>
  <c r="DS57" i="27" l="1"/>
  <c r="DS50" i="27"/>
  <c r="DS88" i="27"/>
  <c r="DT47" i="27" l="1"/>
  <c r="DT48" i="27" l="1"/>
  <c r="DT49" i="27" s="1"/>
  <c r="DT50" i="27" l="1"/>
  <c r="DT57" i="27"/>
  <c r="DT88" i="27"/>
  <c r="DV50" i="27" l="1"/>
  <c r="EA47" i="27" l="1"/>
  <c r="EA48" i="27" l="1"/>
  <c r="EA49" i="27" s="1"/>
  <c r="EA50" i="27" l="1"/>
  <c r="EA88" i="27"/>
  <c r="EB46" i="27" l="1"/>
  <c r="EB47" i="27" s="1"/>
  <c r="EB48" i="27" l="1"/>
  <c r="EB49" i="27" s="1"/>
  <c r="EB50" i="27" l="1"/>
  <c r="EB88" i="27"/>
  <c r="EC46" i="27" l="1"/>
  <c r="EC47" i="27" s="1"/>
  <c r="EC48" i="27" l="1"/>
  <c r="EC49" i="27" s="1"/>
  <c r="EC50" i="27" l="1"/>
  <c r="EC88" i="27"/>
  <c r="ED46" i="27" l="1"/>
  <c r="ED47" i="27" s="1"/>
  <c r="ED48" i="27" l="1"/>
  <c r="ED49" i="27" s="1"/>
  <c r="ED50" i="27" l="1"/>
  <c r="ED88" i="27"/>
  <c r="EE46" i="27" l="1"/>
  <c r="EE47" i="27" s="1"/>
  <c r="EE48" i="27" l="1"/>
  <c r="EE49" i="27" s="1"/>
  <c r="EE50" i="27" l="1"/>
  <c r="EE88" i="27"/>
  <c r="EF46" i="27" l="1"/>
  <c r="EF47" i="27" s="1"/>
  <c r="EF48" i="27" l="1"/>
  <c r="EF49" i="27" s="1"/>
  <c r="EF50" i="27" l="1"/>
  <c r="EF88" i="27"/>
  <c r="EG46" i="27" l="1"/>
  <c r="EG47" i="27" s="1"/>
  <c r="EG48" i="27" l="1"/>
  <c r="EG49" i="27" s="1"/>
  <c r="EG50" i="27" l="1"/>
  <c r="EG88" i="27"/>
  <c r="EH46" i="27" l="1"/>
  <c r="EH47" i="27" s="1"/>
  <c r="EH48" i="27" l="1"/>
  <c r="EH49" i="27" s="1"/>
  <c r="EH50" i="27" l="1"/>
  <c r="EH88" i="27"/>
  <c r="EI46" i="27" l="1"/>
  <c r="EI47" i="27" s="1"/>
  <c r="EI48" i="27" l="1"/>
  <c r="EI49" i="27" s="1"/>
  <c r="EI50" i="27" l="1"/>
  <c r="EI88" i="27"/>
  <c r="EJ46" i="27" l="1"/>
  <c r="EJ47" i="27" s="1"/>
  <c r="EJ48" i="27" l="1"/>
  <c r="EJ49" i="27" s="1"/>
  <c r="EK49" i="27" l="1"/>
  <c r="EL49" i="27" s="1"/>
  <c r="EM49" i="27" s="1"/>
  <c r="EN49" i="27" s="1"/>
  <c r="EO49" i="27" s="1"/>
  <c r="EP49" i="27" s="1"/>
  <c r="EQ49" i="27" s="1"/>
  <c r="ER49" i="27" s="1"/>
  <c r="ES49" i="27" s="1"/>
  <c r="ET49" i="27" s="1"/>
  <c r="EU49" i="27" s="1"/>
  <c r="EV49" i="27" s="1"/>
  <c r="EW49" i="27" s="1"/>
  <c r="EX49" i="27" s="1"/>
  <c r="EY49" i="27" s="1"/>
  <c r="EZ49" i="27" s="1"/>
  <c r="FA49" i="27" s="1"/>
  <c r="FB49" i="27" s="1"/>
  <c r="FC49" i="27" s="1"/>
  <c r="FD49" i="27" s="1"/>
  <c r="FE49" i="27" s="1"/>
  <c r="FF49" i="27" s="1"/>
  <c r="FG49" i="27" s="1"/>
  <c r="FH49" i="27" s="1"/>
  <c r="FI49" i="27" s="1"/>
  <c r="FJ49" i="27" s="1"/>
  <c r="FK49" i="27" s="1"/>
  <c r="FL49" i="27" s="1"/>
  <c r="FM49" i="27" s="1"/>
  <c r="FN49" i="27" s="1"/>
  <c r="FO49" i="27" s="1"/>
  <c r="FP49" i="27" s="1"/>
  <c r="FQ49" i="27" s="1"/>
  <c r="FR49" i="27" s="1"/>
  <c r="FS49" i="27" s="1"/>
  <c r="FT49" i="27" s="1"/>
  <c r="FU49" i="27" s="1"/>
  <c r="FV49" i="27" s="1"/>
  <c r="FW49" i="27" s="1"/>
  <c r="FX49" i="27" s="1"/>
  <c r="FY49" i="27" s="1"/>
  <c r="FZ49" i="27" s="1"/>
  <c r="GA49" i="27" s="1"/>
  <c r="GB49" i="27" s="1"/>
  <c r="GC49" i="27" s="1"/>
  <c r="GD49" i="27" s="1"/>
  <c r="GE49" i="27" s="1"/>
  <c r="GF49" i="27" s="1"/>
  <c r="GG49" i="27" s="1"/>
  <c r="GH49" i="27" s="1"/>
  <c r="GI49" i="27" s="1"/>
  <c r="GJ49" i="27" s="1"/>
  <c r="GK49" i="27" s="1"/>
  <c r="GL49" i="27" s="1"/>
  <c r="GM49" i="27" s="1"/>
  <c r="GN49" i="27" s="1"/>
  <c r="GO49" i="27" s="1"/>
  <c r="GP49" i="27" s="1"/>
  <c r="GQ49" i="27" s="1"/>
  <c r="GR49" i="27" s="1"/>
  <c r="EM55" i="27" s="1"/>
  <c r="EM56" i="27" s="1"/>
  <c r="EJ50" i="27"/>
  <c r="EJ88" i="27"/>
  <c r="GS49" i="27" l="1"/>
  <c r="GT49" i="27" s="1"/>
  <c r="GU49" i="27" s="1"/>
  <c r="GV49" i="27" s="1"/>
  <c r="GW49" i="27" s="1"/>
  <c r="GX49" i="27" s="1"/>
  <c r="GY49" i="27" s="1"/>
  <c r="GZ49" i="27" s="1"/>
  <c r="HA49" i="27" s="1"/>
  <c r="HB49" i="27" s="1"/>
  <c r="D158" i="2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Shkreli</author>
    <author>Bloomberg</author>
    <author>RBC</author>
    <author>Marek Biestek</author>
    <author>MSMB</author>
    <author>Martin</author>
    <author>tc={D6A92409-CA99-40A1-88DC-B7A73ABD2D61}</author>
    <author>tc={44E7E711-BCC1-4AD2-8680-58369B8354DF}</author>
    <author>tc={3CC28BE0-8712-41A4-9E7A-C2331E672FA9}</author>
    <author>tc={E609C7CB-3EB7-4FF0-803C-2DC500014A2B}</author>
  </authors>
  <commentList>
    <comment ref="Y3" authorId="0" shapeId="0" xr:uid="{00000000-0006-0000-0100-000001000000}">
      <text>
        <r>
          <rPr>
            <sz val="8"/>
            <color indexed="81"/>
            <rFont val="Tahoma"/>
            <family val="2"/>
          </rPr>
          <t>12 days of inventory vs normal range of 9-14</t>
        </r>
      </text>
    </comment>
    <comment ref="Z3" authorId="0" shapeId="0" xr:uid="{00000000-0006-0000-0100-000002000000}">
      <text>
        <r>
          <rPr>
            <sz val="8"/>
            <color indexed="81"/>
            <rFont val="Tahoma"/>
            <family val="2"/>
          </rPr>
          <t>10 days of inventory, down from 12. normal range is 9-14.
640 consensus</t>
        </r>
      </text>
    </comment>
    <comment ref="AD3" authorId="1" shapeId="0" xr:uid="{00000000-0006-0000-0100-000003000000}">
      <text>
        <r>
          <rPr>
            <sz val="8"/>
            <color indexed="81"/>
            <rFont val="Tahoma"/>
            <family val="2"/>
          </rPr>
          <t xml:space="preserve">
Tracking at roughly 637
citi: 592</t>
        </r>
      </text>
    </comment>
    <comment ref="AJ3" authorId="0" shapeId="0" xr:uid="{00000000-0006-0000-0100-000004000000}">
      <text>
        <r>
          <rPr>
            <b/>
            <sz val="8"/>
            <color indexed="81"/>
            <rFont val="Tahoma"/>
            <family val="2"/>
          </rPr>
          <t>Martin Shkreli:</t>
        </r>
        <r>
          <rPr>
            <sz val="8"/>
            <color indexed="81"/>
            <rFont val="Tahoma"/>
            <family val="2"/>
          </rPr>
          <t xml:space="preserve">
624 consensus</t>
        </r>
      </text>
    </comment>
    <comment ref="DL3" authorId="1" shapeId="0" xr:uid="{00000000-0006-0000-0100-000005000000}">
      <text>
        <r>
          <rPr>
            <b/>
            <sz val="8"/>
            <color indexed="81"/>
            <rFont val="Tahoma"/>
            <family val="2"/>
          </rPr>
          <t>Bloomberg:</t>
        </r>
        <r>
          <rPr>
            <sz val="8"/>
            <color indexed="81"/>
            <rFont val="Tahoma"/>
            <family val="2"/>
          </rPr>
          <t xml:space="preserve">
Bundling begins
Donut hole?
Part D?</t>
        </r>
      </text>
    </comment>
    <comment ref="DN3" authorId="0" shapeId="0" xr:uid="{00000000-0006-0000-0100-000006000000}">
      <text>
        <r>
          <rPr>
            <b/>
            <sz val="8"/>
            <color indexed="81"/>
            <rFont val="Tahoma"/>
            <family val="2"/>
          </rPr>
          <t>Martin Shkreli:</t>
        </r>
        <r>
          <rPr>
            <sz val="8"/>
            <color indexed="81"/>
            <rFont val="Tahoma"/>
            <family val="2"/>
          </rPr>
          <t xml:space="preserve">
Official patent expiry?</t>
        </r>
      </text>
    </comment>
    <comment ref="Y4" authorId="0" shapeId="0" xr:uid="{00000000-0006-0000-0100-000007000000}">
      <text>
        <r>
          <rPr>
            <sz val="8"/>
            <color indexed="81"/>
            <rFont val="Tahoma"/>
            <family val="2"/>
          </rPr>
          <t>11 days of inventory. Normal range 10-14.</t>
        </r>
        <r>
          <rPr>
            <sz val="8"/>
            <color indexed="81"/>
            <rFont val="Tahoma"/>
            <family val="2"/>
          </rPr>
          <t xml:space="preserve">
1060 consensus</t>
        </r>
      </text>
    </comment>
    <comment ref="Z4" authorId="0" shapeId="0" xr:uid="{00000000-0006-0000-0100-000008000000}">
      <text>
        <r>
          <rPr>
            <sz val="8"/>
            <color indexed="81"/>
            <rFont val="Tahoma"/>
            <family val="2"/>
          </rPr>
          <t>11 days of inventory, flat q/q. normal range 10-14</t>
        </r>
        <r>
          <rPr>
            <sz val="8"/>
            <color indexed="81"/>
            <rFont val="Tahoma"/>
            <family val="2"/>
          </rPr>
          <t xml:space="preserve">
1108 consensus</t>
        </r>
      </text>
    </comment>
    <comment ref="AA4" authorId="0" shapeId="0" xr:uid="{00000000-0006-0000-0100-000009000000}">
      <text>
        <r>
          <rPr>
            <b/>
            <sz val="8"/>
            <color indexed="81"/>
            <rFont val="Tahoma"/>
            <family val="2"/>
          </rPr>
          <t>Martin Shkreli:</t>
        </r>
        <r>
          <rPr>
            <sz val="8"/>
            <color indexed="81"/>
            <rFont val="Tahoma"/>
            <family val="2"/>
          </rPr>
          <t xml:space="preserve">
2.6% price increase in December</t>
        </r>
      </text>
    </comment>
    <comment ref="AD4" authorId="1" shapeId="0" xr:uid="{00000000-0006-0000-0100-00000A000000}">
      <text>
        <r>
          <rPr>
            <b/>
            <sz val="8"/>
            <color indexed="81"/>
            <rFont val="Tahoma"/>
            <family val="2"/>
          </rPr>
          <t>Bloomberg:</t>
        </r>
        <r>
          <rPr>
            <sz val="8"/>
            <color indexed="81"/>
            <rFont val="Tahoma"/>
            <family val="2"/>
          </rPr>
          <t xml:space="preserve">
US tracking at 433
citi at 394</t>
        </r>
      </text>
    </comment>
    <comment ref="AF4" authorId="0" shapeId="0" xr:uid="{00000000-0006-0000-0100-00000B000000}">
      <text>
        <r>
          <rPr>
            <b/>
            <sz val="8"/>
            <color indexed="81"/>
            <rFont val="Tahoma"/>
            <family val="2"/>
          </rPr>
          <t>Martin Shkreli:</t>
        </r>
        <r>
          <rPr>
            <sz val="8"/>
            <color indexed="81"/>
            <rFont val="Tahoma"/>
            <family val="2"/>
          </rPr>
          <t xml:space="preserve">
Management notes current ESA business remains stable at Lehman roadshow.</t>
        </r>
      </text>
    </comment>
    <comment ref="AH4" authorId="2" shapeId="0" xr:uid="{00000000-0006-0000-0100-00000C000000}">
      <text>
        <r>
          <rPr>
            <b/>
            <sz val="8"/>
            <color indexed="81"/>
            <rFont val="Tahoma"/>
            <family val="2"/>
          </rPr>
          <t>RBC:</t>
        </r>
        <r>
          <rPr>
            <sz val="8"/>
            <color indexed="81"/>
            <rFont val="Tahoma"/>
            <family val="2"/>
          </rPr>
          <t xml:space="preserve">
Q208: Expect to exit 2008 at lower Aranesp sales rates.</t>
        </r>
      </text>
    </comment>
    <comment ref="AJ4" authorId="0" shapeId="0" xr:uid="{00000000-0006-0000-0100-00000D000000}">
      <text>
        <r>
          <rPr>
            <b/>
            <sz val="8"/>
            <color indexed="81"/>
            <rFont val="Tahoma"/>
            <family val="2"/>
          </rPr>
          <t>Martin Shkreli:</t>
        </r>
        <r>
          <rPr>
            <sz val="8"/>
            <color indexed="81"/>
            <rFont val="Tahoma"/>
            <family val="2"/>
          </rPr>
          <t xml:space="preserve">
647 consensus</t>
        </r>
      </text>
    </comment>
    <comment ref="AK4" authorId="3" shapeId="0" xr:uid="{00000000-0006-0000-0100-00000E000000}">
      <text>
        <r>
          <rPr>
            <b/>
            <sz val="8"/>
            <color indexed="81"/>
            <rFont val="Tahoma"/>
            <family val="2"/>
          </rPr>
          <t>Marek Biestek:</t>
        </r>
        <r>
          <rPr>
            <sz val="8"/>
            <color indexed="81"/>
            <rFont val="Tahoma"/>
            <family val="2"/>
          </rPr>
          <t xml:space="preserve">
BMO 703 IMS down q/q, JNJ bad</t>
        </r>
      </text>
    </comment>
    <comment ref="DH4" authorId="0" shapeId="0" xr:uid="{00000000-0006-0000-0100-00000F000000}">
      <text>
        <r>
          <rPr>
            <b/>
            <sz val="8"/>
            <color indexed="81"/>
            <rFont val="Tahoma"/>
            <family val="2"/>
          </rPr>
          <t>Martin Shkreli:</t>
        </r>
        <r>
          <rPr>
            <sz val="8"/>
            <color indexed="81"/>
            <rFont val="Tahoma"/>
            <family val="2"/>
          </rPr>
          <t xml:space="preserve">
had AoC data at the time of guidance.</t>
        </r>
      </text>
    </comment>
    <comment ref="DI4" authorId="0" shapeId="0" xr:uid="{00000000-0006-0000-0100-000010000000}">
      <text>
        <r>
          <rPr>
            <b/>
            <sz val="8"/>
            <color indexed="81"/>
            <rFont val="Tahoma"/>
            <family val="2"/>
          </rPr>
          <t>Martin Shkreli:</t>
        </r>
        <r>
          <rPr>
            <sz val="8"/>
            <color indexed="81"/>
            <rFont val="Tahoma"/>
            <family val="2"/>
          </rPr>
          <t xml:space="preserve">
JPM at 3.0bn, 1.4bn for US, 1.6bn for OUS</t>
        </r>
      </text>
    </comment>
    <comment ref="DL4" authorId="4" shapeId="0" xr:uid="{00000000-0006-0000-0100-000011000000}">
      <text>
        <r>
          <rPr>
            <b/>
            <sz val="9"/>
            <color indexed="81"/>
            <rFont val="Tahoma"/>
            <family val="2"/>
          </rPr>
          <t>MSMB:</t>
        </r>
        <r>
          <rPr>
            <sz val="9"/>
            <color indexed="81"/>
            <rFont val="Tahoma"/>
            <family val="2"/>
          </rPr>
          <t xml:space="preserve">
Donut hole?
Part D?</t>
        </r>
      </text>
    </comment>
    <comment ref="AN5" authorId="4" shapeId="0" xr:uid="{00000000-0006-0000-0100-000012000000}">
      <text>
        <r>
          <rPr>
            <b/>
            <sz val="9"/>
            <color indexed="81"/>
            <rFont val="Tahoma"/>
            <family val="2"/>
          </rPr>
          <t>MSMB:</t>
        </r>
        <r>
          <rPr>
            <sz val="9"/>
            <color indexed="81"/>
            <rFont val="Tahoma"/>
            <family val="2"/>
          </rPr>
          <t xml:space="preserve">
European pricing cuts?</t>
        </r>
      </text>
    </comment>
    <comment ref="Y6" authorId="0" shapeId="0" xr:uid="{00000000-0006-0000-0100-000013000000}">
      <text>
        <r>
          <rPr>
            <b/>
            <sz val="8"/>
            <color indexed="81"/>
            <rFont val="Tahoma"/>
            <family val="2"/>
          </rPr>
          <t>Martin Shkreli:</t>
        </r>
        <r>
          <rPr>
            <sz val="8"/>
            <color indexed="81"/>
            <rFont val="Tahoma"/>
            <family val="2"/>
          </rPr>
          <t xml:space="preserve">
12 days in the channel</t>
        </r>
      </text>
    </comment>
    <comment ref="Z6" authorId="0" shapeId="0" xr:uid="{00000000-0006-0000-0100-000014000000}">
      <text>
        <r>
          <rPr>
            <sz val="8"/>
            <color indexed="81"/>
            <rFont val="Tahoma"/>
            <family val="2"/>
          </rPr>
          <t>16 days of inventory, up 4 days q/q, above normal range of 11-15</t>
        </r>
        <r>
          <rPr>
            <sz val="8"/>
            <color indexed="81"/>
            <rFont val="Tahoma"/>
            <family val="2"/>
          </rPr>
          <t xml:space="preserve">
303 consensus</t>
        </r>
      </text>
    </comment>
    <comment ref="AD6" authorId="1" shapeId="0" xr:uid="{00000000-0006-0000-0100-000015000000}">
      <text>
        <r>
          <rPr>
            <b/>
            <sz val="8"/>
            <color indexed="81"/>
            <rFont val="Tahoma"/>
            <family val="2"/>
          </rPr>
          <t>Bloomberg:</t>
        </r>
        <r>
          <rPr>
            <sz val="8"/>
            <color indexed="81"/>
            <rFont val="Tahoma"/>
            <family val="2"/>
          </rPr>
          <t xml:space="preserve">
US neupogen tracking at 216</t>
        </r>
      </text>
    </comment>
    <comment ref="AJ6" authorId="0" shapeId="0" xr:uid="{00000000-0006-0000-0100-000016000000}">
      <text>
        <r>
          <rPr>
            <b/>
            <sz val="8"/>
            <color indexed="81"/>
            <rFont val="Tahoma"/>
            <family val="2"/>
          </rPr>
          <t>Martin Shkreli:</t>
        </r>
        <r>
          <rPr>
            <sz val="8"/>
            <color indexed="81"/>
            <rFont val="Tahoma"/>
            <family val="2"/>
          </rPr>
          <t xml:space="preserve">
318 consensus</t>
        </r>
      </text>
    </comment>
    <comment ref="DM6" authorId="0" shapeId="0" xr:uid="{00000000-0006-0000-0100-000017000000}">
      <text>
        <r>
          <rPr>
            <b/>
            <sz val="8"/>
            <color indexed="81"/>
            <rFont val="Tahoma"/>
            <family val="2"/>
          </rPr>
          <t>Martin Shkreli:</t>
        </r>
        <r>
          <rPr>
            <sz val="8"/>
            <color indexed="81"/>
            <rFont val="Tahoma"/>
            <family val="2"/>
          </rPr>
          <t xml:space="preserve">
Official patent expiry?</t>
        </r>
      </text>
    </comment>
    <comment ref="Y7" authorId="0" shapeId="0" xr:uid="{00000000-0006-0000-0100-000018000000}">
      <text>
        <r>
          <rPr>
            <sz val="8"/>
            <color indexed="81"/>
            <rFont val="Tahoma"/>
            <family val="2"/>
          </rPr>
          <t>8 days of inventory</t>
        </r>
      </text>
    </comment>
    <comment ref="Z7" authorId="0" shapeId="0" xr:uid="{00000000-0006-0000-0100-000019000000}">
      <text>
        <r>
          <rPr>
            <sz val="8"/>
            <color indexed="81"/>
            <rFont val="Tahoma"/>
            <family val="2"/>
          </rPr>
          <t>10 days of inventory, up 2 days q/q, below normal levels of 11-15. 1st cycle penetration ~50%</t>
        </r>
        <r>
          <rPr>
            <sz val="8"/>
            <color indexed="81"/>
            <rFont val="Tahoma"/>
            <family val="2"/>
          </rPr>
          <t xml:space="preserve">
740 consensus</t>
        </r>
      </text>
    </comment>
    <comment ref="AB7" authorId="0" shapeId="0" xr:uid="{00000000-0006-0000-0100-00001A000000}">
      <text>
        <r>
          <rPr>
            <b/>
            <sz val="8"/>
            <color indexed="81"/>
            <rFont val="Tahoma"/>
            <family val="2"/>
          </rPr>
          <t>Martin Shkreli:</t>
        </r>
        <r>
          <rPr>
            <sz val="8"/>
            <color indexed="81"/>
            <rFont val="Tahoma"/>
            <family val="2"/>
          </rPr>
          <t xml:space="preserve">
sales force distracted by ESA issues</t>
        </r>
      </text>
    </comment>
    <comment ref="AJ7" authorId="0" shapeId="0" xr:uid="{00000000-0006-0000-0100-00001B000000}">
      <text>
        <r>
          <rPr>
            <b/>
            <sz val="8"/>
            <color indexed="81"/>
            <rFont val="Tahoma"/>
            <family val="2"/>
          </rPr>
          <t>Martin Shkreli:</t>
        </r>
        <r>
          <rPr>
            <sz val="8"/>
            <color indexed="81"/>
            <rFont val="Tahoma"/>
            <family val="2"/>
          </rPr>
          <t xml:space="preserve">
847 consensus</t>
        </r>
      </text>
    </comment>
    <comment ref="Z8" authorId="0" shapeId="0" xr:uid="{00000000-0006-0000-0100-00001C000000}">
      <text>
        <r>
          <rPr>
            <b/>
            <sz val="8"/>
            <color indexed="81"/>
            <rFont val="Tahoma"/>
            <family val="2"/>
          </rPr>
          <t>Martin Shkreli:</t>
        </r>
        <r>
          <rPr>
            <sz val="8"/>
            <color indexed="81"/>
            <rFont val="Tahoma"/>
            <family val="2"/>
          </rPr>
          <t xml:space="preserve">
729 consensus
31m was 1x</t>
        </r>
      </text>
    </comment>
    <comment ref="AJ8" authorId="0" shapeId="0" xr:uid="{00000000-0006-0000-0100-00001D000000}">
      <text>
        <r>
          <rPr>
            <b/>
            <sz val="8"/>
            <color indexed="81"/>
            <rFont val="Tahoma"/>
            <family val="2"/>
          </rPr>
          <t>Martin Shkreli:</t>
        </r>
        <r>
          <rPr>
            <sz val="8"/>
            <color indexed="81"/>
            <rFont val="Tahoma"/>
            <family val="2"/>
          </rPr>
          <t xml:space="preserve">
833 consensus</t>
        </r>
      </text>
    </comment>
    <comment ref="AK8" authorId="3" shapeId="0" xr:uid="{00000000-0006-0000-0100-00001E000000}">
      <text>
        <r>
          <rPr>
            <b/>
            <sz val="8"/>
            <color indexed="81"/>
            <rFont val="Tahoma"/>
            <family val="2"/>
          </rPr>
          <t>Marek Biestek:</t>
        </r>
        <r>
          <rPr>
            <sz val="8"/>
            <color indexed="81"/>
            <rFont val="Tahoma"/>
            <family val="2"/>
          </rPr>
          <t xml:space="preserve">
Consensus of 907</t>
        </r>
      </text>
    </comment>
    <comment ref="DM8" authorId="0" shapeId="0" xr:uid="{00000000-0006-0000-0100-00001F000000}">
      <text>
        <r>
          <rPr>
            <b/>
            <sz val="8"/>
            <color indexed="81"/>
            <rFont val="Tahoma"/>
            <family val="2"/>
          </rPr>
          <t>Martin Shkreli:</t>
        </r>
        <r>
          <rPr>
            <sz val="8"/>
            <color indexed="81"/>
            <rFont val="Tahoma"/>
            <family val="2"/>
          </rPr>
          <t xml:space="preserve">
Official patent expiry?</t>
        </r>
      </text>
    </comment>
    <comment ref="DN8" authorId="0" shapeId="0" xr:uid="{00000000-0006-0000-0100-000020000000}">
      <text>
        <r>
          <rPr>
            <b/>
            <sz val="8"/>
            <color indexed="81"/>
            <rFont val="Tahoma"/>
            <family val="2"/>
          </rPr>
          <t>Martin Shkreli:</t>
        </r>
        <r>
          <rPr>
            <sz val="8"/>
            <color indexed="81"/>
            <rFont val="Tahoma"/>
            <family val="2"/>
          </rPr>
          <t xml:space="preserve">
Get back sales from WYE?</t>
        </r>
      </text>
    </comment>
    <comment ref="Z16" authorId="0" shapeId="0" xr:uid="{00000000-0006-0000-0100-000021000000}">
      <text>
        <r>
          <rPr>
            <b/>
            <sz val="8"/>
            <color indexed="81"/>
            <rFont val="Tahoma"/>
            <family val="2"/>
          </rPr>
          <t>Martin Shkreli:</t>
        </r>
        <r>
          <rPr>
            <sz val="8"/>
            <color indexed="81"/>
            <rFont val="Tahoma"/>
            <family val="2"/>
          </rPr>
          <t xml:space="preserve">
90 consensus</t>
        </r>
      </text>
    </comment>
    <comment ref="DD16" authorId="0" shapeId="0" xr:uid="{00000000-0006-0000-0100-000022000000}">
      <text>
        <r>
          <rPr>
            <b/>
            <sz val="8"/>
            <color indexed="81"/>
            <rFont val="Tahoma"/>
            <family val="2"/>
          </rPr>
          <t>Martin Shkreli:</t>
        </r>
        <r>
          <rPr>
            <sz val="8"/>
            <color indexed="81"/>
            <rFont val="Tahoma"/>
            <family val="2"/>
          </rPr>
          <t xml:space="preserve">
other</t>
        </r>
      </text>
    </comment>
    <comment ref="B19" authorId="0" shapeId="0" xr:uid="{00000000-0006-0000-0100-000023000000}">
      <text>
        <r>
          <rPr>
            <b/>
            <sz val="8"/>
            <color indexed="81"/>
            <rFont val="Tahoma"/>
            <family val="2"/>
          </rPr>
          <t>Martin Shkreli:</t>
        </r>
        <r>
          <rPr>
            <sz val="8"/>
            <color indexed="81"/>
            <rFont val="Tahoma"/>
            <family val="2"/>
          </rPr>
          <t xml:space="preserve">
filing late 08/early 09</t>
        </r>
      </text>
    </comment>
    <comment ref="B38" authorId="0" shapeId="0" xr:uid="{00000000-0006-0000-0100-000024000000}">
      <text>
        <r>
          <rPr>
            <b/>
            <sz val="8"/>
            <color indexed="81"/>
            <rFont val="Tahoma"/>
            <family val="2"/>
          </rPr>
          <t>Martin Shkreli:</t>
        </r>
        <r>
          <rPr>
            <sz val="8"/>
            <color indexed="81"/>
            <rFont val="Tahoma"/>
            <family val="2"/>
          </rPr>
          <t xml:space="preserve">
includes kirin R&amp;D revenue, novantrone, infergen</t>
        </r>
      </text>
    </comment>
    <comment ref="W39" authorId="0" shapeId="0" xr:uid="{00000000-0006-0000-0100-000025000000}">
      <text>
        <r>
          <rPr>
            <b/>
            <sz val="8"/>
            <color indexed="81"/>
            <rFont val="Tahoma"/>
            <family val="2"/>
          </rPr>
          <t>Martin Shkreli:</t>
        </r>
        <r>
          <rPr>
            <sz val="8"/>
            <color indexed="81"/>
            <rFont val="Tahoma"/>
            <family val="2"/>
          </rPr>
          <t xml:space="preserve">
3324 consensus</t>
        </r>
      </text>
    </comment>
    <comment ref="Y39" authorId="0" shapeId="0" xr:uid="{00000000-0006-0000-0100-000026000000}">
      <text>
        <r>
          <rPr>
            <b/>
            <sz val="8"/>
            <color indexed="81"/>
            <rFont val="Tahoma"/>
            <family val="2"/>
          </rPr>
          <t>Martin Shkreli:</t>
        </r>
        <r>
          <rPr>
            <sz val="8"/>
            <color indexed="81"/>
            <rFont val="Tahoma"/>
            <family val="2"/>
          </rPr>
          <t xml:space="preserve">
inventory left channel</t>
        </r>
      </text>
    </comment>
    <comment ref="AA39" authorId="0" shapeId="0" xr:uid="{00000000-0006-0000-0100-000027000000}">
      <text>
        <r>
          <rPr>
            <b/>
            <sz val="8"/>
            <color indexed="81"/>
            <rFont val="Tahoma"/>
            <family val="2"/>
          </rPr>
          <t>Martin Shkreli:</t>
        </r>
        <r>
          <rPr>
            <sz val="8"/>
            <color indexed="81"/>
            <rFont val="Tahoma"/>
            <family val="2"/>
          </rPr>
          <t xml:space="preserve">
3768 mean</t>
        </r>
      </text>
    </comment>
    <comment ref="AJ39" authorId="0" shapeId="0" xr:uid="{00000000-0006-0000-0100-000028000000}">
      <text>
        <r>
          <rPr>
            <b/>
            <sz val="8"/>
            <color indexed="81"/>
            <rFont val="Tahoma"/>
            <family val="2"/>
          </rPr>
          <t>Martin Shkreli:</t>
        </r>
        <r>
          <rPr>
            <sz val="8"/>
            <color indexed="81"/>
            <rFont val="Tahoma"/>
            <family val="2"/>
          </rPr>
          <t xml:space="preserve">
3577 consensus</t>
        </r>
      </text>
    </comment>
    <comment ref="DG39" authorId="0" shapeId="0" xr:uid="{00000000-0006-0000-0100-000029000000}">
      <text>
        <r>
          <rPr>
            <b/>
            <sz val="8"/>
            <color indexed="81"/>
            <rFont val="Tahoma"/>
            <family val="2"/>
          </rPr>
          <t>Martin Shkreli:</t>
        </r>
        <r>
          <rPr>
            <sz val="8"/>
            <color indexed="81"/>
            <rFont val="Tahoma"/>
            <family val="2"/>
          </rPr>
          <t xml:space="preserve">
14.0 - 14.3B guidance
was 13.9 - 14.4B</t>
        </r>
      </text>
    </comment>
    <comment ref="DH39" authorId="0" shapeId="0" xr:uid="{00000000-0006-0000-0100-00002A000000}">
      <text>
        <r>
          <rPr>
            <b/>
            <sz val="8"/>
            <color indexed="81"/>
            <rFont val="Tahoma"/>
            <family val="2"/>
          </rPr>
          <t>Martin Shkreli:</t>
        </r>
        <r>
          <rPr>
            <sz val="8"/>
            <color indexed="81"/>
            <rFont val="Tahoma"/>
            <family val="2"/>
          </rPr>
          <t xml:space="preserve">
15.4 - 16.0 guidance
15746 mean
suspending revenue guidance</t>
        </r>
      </text>
    </comment>
    <comment ref="DJ39" authorId="0" shapeId="0" xr:uid="{00000000-0006-0000-0100-00002B000000}">
      <text>
        <r>
          <rPr>
            <b/>
            <sz val="8"/>
            <color indexed="81"/>
            <rFont val="Tahoma"/>
            <family val="2"/>
          </rPr>
          <t>Martin Shkreli:</t>
        </r>
        <r>
          <rPr>
            <sz val="8"/>
            <color indexed="81"/>
            <rFont val="Tahoma"/>
            <family val="2"/>
          </rPr>
          <t xml:space="preserve">
14.4-14.8bn guidance</t>
        </r>
      </text>
    </comment>
    <comment ref="DL39" authorId="5" shapeId="0" xr:uid="{00000000-0006-0000-0100-00002C000000}">
      <text>
        <r>
          <rPr>
            <b/>
            <sz val="9"/>
            <color indexed="81"/>
            <rFont val="Tahoma"/>
            <family val="2"/>
          </rPr>
          <t>Martin:</t>
        </r>
        <r>
          <rPr>
            <sz val="9"/>
            <color indexed="81"/>
            <rFont val="Tahoma"/>
            <family val="2"/>
          </rPr>
          <t xml:space="preserve">
Q410: 15.1-15.5</t>
        </r>
      </text>
    </comment>
    <comment ref="DH43" authorId="0" shapeId="0" xr:uid="{00000000-0006-0000-0100-00002D000000}">
      <text>
        <r>
          <rPr>
            <b/>
            <sz val="8"/>
            <color indexed="81"/>
            <rFont val="Tahoma"/>
            <family val="2"/>
          </rPr>
          <t>Martin Shkreli:</t>
        </r>
        <r>
          <rPr>
            <sz val="8"/>
            <color indexed="81"/>
            <rFont val="Tahoma"/>
            <family val="2"/>
          </rPr>
          <t xml:space="preserve">
Epogen couple hundred million, Aranesp somewhat more than that
a large amount goes to WYE.
4-6% is corporate G&amp;A</t>
        </r>
      </text>
    </comment>
    <comment ref="DJ43" authorId="0" shapeId="0" xr:uid="{00000000-0006-0000-0100-00002E000000}">
      <text>
        <r>
          <rPr>
            <b/>
            <sz val="8"/>
            <color indexed="81"/>
            <rFont val="Tahoma"/>
            <family val="2"/>
          </rPr>
          <t>Martin Shkreli:</t>
        </r>
        <r>
          <rPr>
            <sz val="8"/>
            <color indexed="81"/>
            <rFont val="Tahoma"/>
            <family val="2"/>
          </rPr>
          <t xml:space="preserve">
"Costs will grow faster than revenues" - R&amp;D meeting 2008</t>
        </r>
      </text>
    </comment>
    <comment ref="BW49" authorId="6" shapeId="0" xr:uid="{D6A92409-CA99-40A1-88DC-B7A73ABD2D61}">
      <text>
        <t>[Threaded comment]
Your version of Excel allows you to read this threaded comment; however, any edits to it will get removed if the file is opened in a newer version of Excel. Learn more: https://go.microsoft.com/fwlink/?linkid=870924
Comment:
    2230m NGNI</t>
      </text>
    </comment>
    <comment ref="CA49" authorId="7" shapeId="0" xr:uid="{44E7E711-BCC1-4AD2-8680-58369B8354DF}">
      <text>
        <t>[Threaded comment]
Your version of Excel allows you to read this threaded comment; however, any edits to it will get removed if the file is opened in a newer version of Excel. Learn more: https://go.microsoft.com/fwlink/?linkid=870924
Comment:
    NG NI: 2476m</t>
      </text>
    </comment>
    <comment ref="CK49" authorId="8" shapeId="0" xr:uid="{3CC28BE0-8712-41A4-9E7A-C2331E672FA9}">
      <text>
        <t>[Threaded comment]
Your version of Excel allows you to read this threaded comment; however, any edits to it will get removed if the file is opened in a newer version of Excel. Learn more: https://go.microsoft.com/fwlink/?linkid=870924
Comment:
    NGNI 2530</t>
      </text>
    </comment>
    <comment ref="CL49" authorId="9" shapeId="0" xr:uid="{E609C7CB-3EB7-4FF0-803C-2DC500014A2B}">
      <text>
        <t>[Threaded comment]
Your version of Excel allows you to read this threaded comment; however, any edits to it will get removed if the file is opened in a newer version of Excel. Learn more: https://go.microsoft.com/fwlink/?linkid=870924
Comment:
    2202m NG NI</t>
      </text>
    </comment>
    <comment ref="AJ50" authorId="0" shapeId="0" xr:uid="{00000000-0006-0000-0100-00002F000000}">
      <text>
        <r>
          <rPr>
            <b/>
            <sz val="8"/>
            <color indexed="81"/>
            <rFont val="Tahoma"/>
            <family val="2"/>
          </rPr>
          <t>Martin Shkreli:</t>
        </r>
        <r>
          <rPr>
            <sz val="8"/>
            <color indexed="81"/>
            <rFont val="Tahoma"/>
            <family val="2"/>
          </rPr>
          <t xml:space="preserve">
1.16 consensus</t>
        </r>
      </text>
    </comment>
    <comment ref="DD50" authorId="0" shapeId="0" xr:uid="{00000000-0006-0000-0100-000030000000}">
      <text>
        <r>
          <rPr>
            <b/>
            <sz val="8"/>
            <color indexed="81"/>
            <rFont val="Tahoma"/>
            <family val="2"/>
          </rPr>
          <t>Martin Shkreli:</t>
        </r>
        <r>
          <rPr>
            <sz val="8"/>
            <color indexed="81"/>
            <rFont val="Tahoma"/>
            <family val="2"/>
          </rPr>
          <t xml:space="preserve">
1.85-1.95 guidance</t>
        </r>
      </text>
    </comment>
    <comment ref="DE50" authorId="0" shapeId="0" xr:uid="{00000000-0006-0000-0100-000031000000}">
      <text>
        <r>
          <rPr>
            <b/>
            <sz val="8"/>
            <color indexed="81"/>
            <rFont val="Tahoma"/>
            <family val="2"/>
          </rPr>
          <t>Martin Shkreli:</t>
        </r>
        <r>
          <rPr>
            <sz val="8"/>
            <color indexed="81"/>
            <rFont val="Tahoma"/>
            <family val="2"/>
          </rPr>
          <t xml:space="preserve">
2.30-4.0 guidance</t>
        </r>
      </text>
    </comment>
    <comment ref="DF50" authorId="0" shapeId="0" xr:uid="{00000000-0006-0000-0100-000032000000}">
      <text>
        <r>
          <rPr>
            <b/>
            <sz val="8"/>
            <color indexed="81"/>
            <rFont val="Tahoma"/>
            <family val="2"/>
          </rPr>
          <t>Martin Shkreli:</t>
        </r>
        <r>
          <rPr>
            <sz val="8"/>
            <color indexed="81"/>
            <rFont val="Tahoma"/>
            <family val="2"/>
          </rPr>
          <t xml:space="preserve">
2.70-2.85 initial guidance, then 2.80-2.90</t>
        </r>
      </text>
    </comment>
    <comment ref="DG50" authorId="0" shapeId="0" xr:uid="{00000000-0006-0000-0100-000033000000}">
      <text>
        <r>
          <rPr>
            <b/>
            <sz val="8"/>
            <color indexed="81"/>
            <rFont val="Tahoma"/>
            <family val="2"/>
          </rPr>
          <t>Martin Shkreli:</t>
        </r>
        <r>
          <rPr>
            <sz val="8"/>
            <color indexed="81"/>
            <rFont val="Tahoma"/>
            <family val="2"/>
          </rPr>
          <t xml:space="preserve">
3.75 - 3.85 guidance,
was 3.60-3.70</t>
        </r>
      </text>
    </comment>
    <comment ref="DH50" authorId="0" shapeId="0" xr:uid="{00000000-0006-0000-0100-000034000000}">
      <text>
        <r>
          <rPr>
            <sz val="8"/>
            <color indexed="81"/>
            <rFont val="Tahoma"/>
            <family val="2"/>
          </rPr>
          <t>4.13-4.23 post-Ncd.
Q2 call notes 4.28 given impact of acquisitions
--5/24 says tracking to 4.30
4.30 - 4.50 guidance
on Q1 call said low-end of guidance, assumes PEG-EPO impact</t>
        </r>
      </text>
    </comment>
    <comment ref="DJ50" authorId="0" shapeId="0" xr:uid="{00000000-0006-0000-0100-000035000000}">
      <text>
        <r>
          <rPr>
            <b/>
            <sz val="8"/>
            <color indexed="81"/>
            <rFont val="Tahoma"/>
            <family val="2"/>
          </rPr>
          <t>Martin Shkreli:</t>
        </r>
        <r>
          <rPr>
            <sz val="8"/>
            <color indexed="81"/>
            <rFont val="Tahoma"/>
            <family val="2"/>
          </rPr>
          <t xml:space="preserve">
4.55-4.75 EPS guidance Q109</t>
        </r>
      </text>
    </comment>
    <comment ref="DL50" authorId="5" shapeId="0" xr:uid="{00000000-0006-0000-0100-000036000000}">
      <text>
        <r>
          <rPr>
            <b/>
            <sz val="9"/>
            <color indexed="81"/>
            <rFont val="Tahoma"/>
            <family val="2"/>
          </rPr>
          <t>Martin:</t>
        </r>
        <r>
          <rPr>
            <sz val="9"/>
            <color indexed="81"/>
            <rFont val="Tahoma"/>
            <family val="2"/>
          </rPr>
          <t xml:space="preserve">
Q410: 5.00-5.20</t>
        </r>
      </text>
    </comment>
    <comment ref="DH51" authorId="0" shapeId="0" xr:uid="{00000000-0006-0000-0100-000037000000}">
      <text>
        <r>
          <rPr>
            <b/>
            <sz val="8"/>
            <color indexed="81"/>
            <rFont val="Tahoma"/>
            <family val="2"/>
          </rPr>
          <t>Martin Shkreli:</t>
        </r>
        <r>
          <rPr>
            <sz val="8"/>
            <color indexed="81"/>
            <rFont val="Tahoma"/>
            <family val="2"/>
          </rPr>
          <t xml:space="preserve">
will spend as much as 2006 on buyback--nanula 3/07 meeting with bear</t>
        </r>
      </text>
    </comment>
    <comment ref="DL58" authorId="5" shapeId="0" xr:uid="{00000000-0006-0000-0100-000038000000}">
      <text>
        <r>
          <rPr>
            <b/>
            <sz val="9"/>
            <color indexed="81"/>
            <rFont val="Tahoma"/>
            <family val="2"/>
          </rPr>
          <t>Martin:</t>
        </r>
        <r>
          <rPr>
            <sz val="9"/>
            <color indexed="81"/>
            <rFont val="Tahoma"/>
            <family val="2"/>
          </rPr>
          <t xml:space="preserve">
Q410: 19-20%</t>
        </r>
      </text>
    </comment>
    <comment ref="DF60" authorId="0" shapeId="0" xr:uid="{00000000-0006-0000-0100-000039000000}">
      <text>
        <r>
          <rPr>
            <b/>
            <sz val="8"/>
            <color indexed="81"/>
            <rFont val="Tahoma"/>
            <family val="2"/>
          </rPr>
          <t>Martin Shkreli:</t>
        </r>
        <r>
          <rPr>
            <sz val="8"/>
            <color indexed="81"/>
            <rFont val="Tahoma"/>
            <family val="2"/>
          </rPr>
          <t xml:space="preserve">
12-16% guidance</t>
        </r>
      </text>
    </comment>
    <comment ref="DG71" authorId="0" shapeId="0" xr:uid="{00000000-0006-0000-0100-00003A000000}">
      <text>
        <r>
          <rPr>
            <b/>
            <sz val="8"/>
            <color indexed="81"/>
            <rFont val="Tahoma"/>
            <family val="2"/>
          </rPr>
          <t>Martin Shkreli:</t>
        </r>
        <r>
          <rPr>
            <sz val="8"/>
            <color indexed="81"/>
            <rFont val="Tahoma"/>
            <family val="2"/>
          </rPr>
          <t xml:space="preserve">
30-40% growth guidance</t>
        </r>
      </text>
    </comment>
    <comment ref="DF73" authorId="0" shapeId="0" xr:uid="{00000000-0006-0000-0100-00003B000000}">
      <text>
        <r>
          <rPr>
            <b/>
            <sz val="8"/>
            <color indexed="81"/>
            <rFont val="Tahoma"/>
            <family val="2"/>
          </rPr>
          <t>Martin Shkreli:</t>
        </r>
        <r>
          <rPr>
            <sz val="8"/>
            <color indexed="81"/>
            <rFont val="Tahoma"/>
            <family val="2"/>
          </rPr>
          <t xml:space="preserve">
12-16% guidance</t>
        </r>
      </text>
    </comment>
  </commentList>
</comments>
</file>

<file path=xl/sharedStrings.xml><?xml version="1.0" encoding="utf-8"?>
<sst xmlns="http://schemas.openxmlformats.org/spreadsheetml/2006/main" count="1543" uniqueCount="1321">
  <si>
    <t>A randomized, double-blind, placebo-controlled, phase III study of filgrastim in remission induction and consolidation therapy for adults with de novo AML.</t>
  </si>
  <si>
    <t>Blood 1997;90:4710-8. Heil et al.</t>
  </si>
  <si>
    <t>Name</t>
  </si>
  <si>
    <t>Indication</t>
  </si>
  <si>
    <t>Phase</t>
  </si>
  <si>
    <t>Main</t>
  </si>
  <si>
    <t>Economics</t>
  </si>
  <si>
    <t>Competition</t>
  </si>
  <si>
    <t>16% required transfusions for Aranesp vs. 17% for Procrit</t>
  </si>
  <si>
    <r>
      <t>&gt;80% of patients in both arms achieved target hg levels (</t>
    </r>
    <r>
      <rPr>
        <i/>
        <sz val="10"/>
        <rFont val="Arial"/>
        <family val="2"/>
      </rPr>
      <t>what are the exact #s?)</t>
    </r>
  </si>
  <si>
    <t>Safety</t>
  </si>
  <si>
    <t>Efficacy</t>
  </si>
  <si>
    <t>December 2004 edition of The Oncologist</t>
  </si>
  <si>
    <t>EPOGEN (Epoetin alfa)</t>
  </si>
  <si>
    <t>Branded name</t>
  </si>
  <si>
    <t>Generic name</t>
  </si>
  <si>
    <t>darbepoetin alfa</t>
  </si>
  <si>
    <t>ESRD</t>
  </si>
  <si>
    <t>KDOQI</t>
  </si>
  <si>
    <t>KDOQI recommends usage when Hb falls below 9 and targets 11-13 (this is being re-evaluated). Label recommends 10-12.</t>
  </si>
  <si>
    <t>Europe approves deep tank to replace roller bottle in 2008.</t>
  </si>
  <si>
    <t>cms has not yet provided local carriers with coding instructions</t>
  </si>
  <si>
    <t xml:space="preserve">  Epogen is a separately billable drug - not included in the composite rate. Momentum building to include ESAs in composite rate. Why?</t>
  </si>
  <si>
    <t>Dose has increased at 8% CAGR since 1991--Bear, USRDS</t>
  </si>
  <si>
    <t>CREATE/CHOIR show problems when dosing EPO to 13 Hb. 20% of ESRD patients have Hb over 13. ~45% &gt; 12. Audit now in place calling for 25% reduction if &gt;13.</t>
  </si>
  <si>
    <t>epoetin alfa</t>
  </si>
  <si>
    <t>Audit began in Q1-Q2 2006.</t>
  </si>
  <si>
    <t>Sensipar y/y</t>
  </si>
  <si>
    <t>TNF-inhibitor</t>
  </si>
  <si>
    <t>Q406: AMG706: present GIST p2 data</t>
  </si>
  <si>
    <t>B-cell CLL</t>
  </si>
  <si>
    <t>AMG655</t>
  </si>
  <si>
    <t>Chronic Pain</t>
  </si>
  <si>
    <t>IGF-1 inhibitor</t>
  </si>
  <si>
    <t>Calcimimetic</t>
  </si>
  <si>
    <t>TPO agonist</t>
  </si>
  <si>
    <t>Peptide that is an agonist at the TPO receptor and linked it to the Fc region of immunoglobulin.</t>
  </si>
  <si>
    <t xml:space="preserve">    5/11/2007: CMS announces 10g/dl starting Hg level. 28% of patients begin at 11 or above.</t>
  </si>
  <si>
    <t>August 10-14 2007: Final CMS decision on NCA for EPO - draft proposal disclosed 5/14</t>
  </si>
  <si>
    <t>Oral dosing is a disadvantage as it is not separately billable in dialysis. However, there is Part D coverage.</t>
  </si>
  <si>
    <t xml:space="preserve">  "There is much unrecognized parathyroidism. CKD patients are not always looking for the onset of this disease".</t>
  </si>
  <si>
    <t>4-year data??</t>
  </si>
  <si>
    <t>FDA wanted a 3-year extension of this study.</t>
  </si>
  <si>
    <t>UCB</t>
  </si>
  <si>
    <t>HORIZON Phase 3 Aclasta study n=7700</t>
  </si>
  <si>
    <t>70% decline in spine fractures, 40% decline in hip fractures vs placebo.</t>
  </si>
  <si>
    <t>Phase 2 RA in metastatic bone disease</t>
  </si>
  <si>
    <t>Q209</t>
  </si>
  <si>
    <t>Q309</t>
  </si>
  <si>
    <t>Q409</t>
  </si>
  <si>
    <t>Mircera, Procrit, Dynepo (Epoeitin Delta), FG-2216, Hematide, Epo-Zeta.</t>
  </si>
  <si>
    <t>AMG557</t>
  </si>
  <si>
    <t>B7-T-cell inhibitor</t>
  </si>
  <si>
    <t>4/25/2006: Amgen's response to Roche's response to Amgen's complaint</t>
  </si>
  <si>
    <t>3/27/2006: q3w approval for Aranesp - March 6 2006 PDUFA in chemo-induced anemia</t>
  </si>
  <si>
    <t>eltrombopag (GSK) - 81% of patients achieved the primary clinical endpoint of this study, which was an increase of having a platelet count &gt;50,000mL after 6 weeks</t>
  </si>
  <si>
    <t>Palifermin</t>
  </si>
  <si>
    <t>fTBI/HD Chemo with Autologous Peripheral Blood Progenitor Cell Transplantation - ASH 2006</t>
  </si>
  <si>
    <t>Neulasta prophylaxis against febrile neutropenia in NHL patients undergoing chemo - ASH 2006</t>
  </si>
  <si>
    <t>Neulasta in High-Dose Cytarabine in AML</t>
  </si>
  <si>
    <t>Thyroid, GIST, mCRC, NSCLC</t>
  </si>
  <si>
    <t>3 weeks median time to reach target hg for Aranesp</t>
  </si>
  <si>
    <t>Cash &amp; Equiv</t>
  </si>
  <si>
    <t>Marketable</t>
  </si>
  <si>
    <t>A/R</t>
  </si>
  <si>
    <t>AMG108</t>
  </si>
  <si>
    <t>AMG951</t>
  </si>
  <si>
    <t>AMG623</t>
  </si>
  <si>
    <t>AMG517</t>
  </si>
  <si>
    <t>AMG131</t>
  </si>
  <si>
    <t>Aranesp vs placebo study stopped after interim analysis of n=484. Study showed a 10% higher incidence of locoregional failure and distant recurrence</t>
  </si>
  <si>
    <t>Published Head-to-Head Data Show Aranesp Dosed Every Two Weeks is Comparable to Epoetin Alfa Dosed Once-a-Week</t>
  </si>
  <si>
    <t>200 mcg of Aranesp q2w is as effective as 40000U of Procrit qw in boosting hg and reducing need for blood transfusions in pts with breast cancer and chemo-induced anemia.</t>
  </si>
  <si>
    <t>Head-to-Head Study of Treatments for Chemotherapy-Related Anemia Found Patients Treated With Procrit(R) Demonstrated Greater Increase in Red Blood Cell Levels, Required Less Transfused Blood</t>
  </si>
  <si>
    <t>Cohorts</t>
  </si>
  <si>
    <t>Procrit 40000CU qw, Aranesp 200mcg q2w</t>
  </si>
  <si>
    <t>Primary Endpoint</t>
  </si>
  <si>
    <t>immunoglobulin G2, anti-(human osteoclast differentiation factor) (human monoclonal AMG162 heavy chain), disulfide with human monoclonal AMG162 light chain, dimer</t>
  </si>
  <si>
    <t>NEJM SNP study</t>
  </si>
  <si>
    <t>Showed implications for RANKL/OPG mutations</t>
  </si>
  <si>
    <t xml:space="preserve">Tyrphostin derivative - initial attempts to inhibit IGF-IR enzymatic activity resulted in these compounds that showed weak activity in blocking IGF-IR autophosphorylation (IC50 = 7-13uM) but some selectivity over InsR (4-8x). </t>
  </si>
  <si>
    <t>17000 (wikipedia)</t>
  </si>
  <si>
    <t>Avastin</t>
  </si>
  <si>
    <t>DNA</t>
  </si>
  <si>
    <t>Lung</t>
  </si>
  <si>
    <t>Breast</t>
  </si>
  <si>
    <t>Gleevec</t>
  </si>
  <si>
    <t>NVS</t>
  </si>
  <si>
    <t>Stomach</t>
  </si>
  <si>
    <t>Herceptin</t>
  </si>
  <si>
    <t>Tarceva</t>
  </si>
  <si>
    <t>DNA/OSI</t>
  </si>
  <si>
    <t>Alimta</t>
  </si>
  <si>
    <t>LLY</t>
  </si>
  <si>
    <t>Cytokinetics</t>
  </si>
  <si>
    <t>NSCLC, Cancer</t>
  </si>
  <si>
    <t>Q404</t>
  </si>
  <si>
    <t>Kineret</t>
  </si>
  <si>
    <t>Products</t>
  </si>
  <si>
    <t>COGS</t>
  </si>
  <si>
    <t>GM</t>
  </si>
  <si>
    <t>GM%</t>
  </si>
  <si>
    <t>Pretax</t>
  </si>
  <si>
    <t>Tax</t>
  </si>
  <si>
    <t>FY05</t>
  </si>
  <si>
    <t>FY04</t>
  </si>
  <si>
    <t>Enrolls FOLFOX+Avastin failures to FOLFIRI/Vectibix or FOLFIRI/Avastin</t>
  </si>
  <si>
    <t>anti-myostatin antibody</t>
  </si>
  <si>
    <t>AMG785</t>
  </si>
  <si>
    <t>Bone Loss</t>
  </si>
  <si>
    <t>Myosin Activator</t>
  </si>
  <si>
    <t>Phase 2/3 2L SPIRITT n=600</t>
  </si>
  <si>
    <t>Guidelines</t>
  </si>
  <si>
    <t>Febrile neutropenia, treatment and prophylaxis</t>
  </si>
  <si>
    <t>NCCN recommends use in 1st-cycle if 20% chance of neutropenia, ASCO recommends if 40% chance.</t>
  </si>
  <si>
    <t>Japanese Phase 2 study n=50</t>
  </si>
  <si>
    <t>Data in 2008 - only data other than pacce in 2007-2008!</t>
  </si>
  <si>
    <t>Still enrolling as of Q4 2006 call.</t>
  </si>
  <si>
    <t>Data in 2009</t>
  </si>
  <si>
    <t>cohorts</t>
  </si>
  <si>
    <t>protocol</t>
  </si>
  <si>
    <t>Neulasta administered in the first cycle of myelosuppressive chemo</t>
  </si>
  <si>
    <t>results</t>
  </si>
  <si>
    <t>5/15/2005 - presented at ASCO, Abstract #8111</t>
  </si>
  <si>
    <t>Q206: 3 early stage programs terminated. Two oncology in solid tumor, two diabetes and 1 IPF advanced into clinical development. One new diabetes and 1 new pain drug entered the clinic</t>
  </si>
  <si>
    <t>AMG403</t>
  </si>
  <si>
    <t>AMG479</t>
  </si>
  <si>
    <t xml:space="preserve">two amino acids of the two kinases that line the ATP-binding cleft are strictly conserved and only two residues (Ala85 and His87) in InsR versus Thr and Arg in IGF-IR) which do not have a direct interaction with ATP but are in close proximity to the binding site are different. </t>
  </si>
  <si>
    <t>Phase 3 '103 Study - Anemia of Cancer - Failed and Showed Mortality Detriment</t>
  </si>
  <si>
    <t>1/25/2007 - Amgen discloses '103 failure on earnings call. Claims risk/benefit is at best 'neutral'.</t>
  </si>
  <si>
    <t>n=985 anemia of cancer patients. 60% were Stage IV and patients did not receive concurrent chemotherapy or radiotherapy.</t>
  </si>
  <si>
    <t>AMG379</t>
  </si>
  <si>
    <t>Bradykinin</t>
  </si>
  <si>
    <t>AMG745</t>
  </si>
  <si>
    <t>Cachexia</t>
  </si>
  <si>
    <t>1.3m cancer patients will undergo chemo in 2006. 800k (67%) become anemic.</t>
  </si>
  <si>
    <t>#8612 tests q3w 500mcg Aranesp in chemo-induced anemia - note the higher dose</t>
  </si>
  <si>
    <t>Reported negative results for higher hemoglobin cohort: 17.5% events vs 13.5%. Resulted in 2007 label modifications.</t>
  </si>
  <si>
    <t>CREATE in Predialysis Phase III study n=603 - 2006 results</t>
  </si>
  <si>
    <t>19.3% event rate in high-dose (15 g/dL) vs 15.6% in low-dose (13g/dL).</t>
  </si>
  <si>
    <t>Study 8601 - Open-label, single-arm Phase III QOL study n=429 receiving dialysis</t>
  </si>
  <si>
    <t>Studies 8701 (n=106 and did not show SS improvement), 8904 (n=152) and 8604 (n=118) were double-blind randomized studies.</t>
  </si>
  <si>
    <t>"Normal Hematocrit" (NHCT) in Dialysis Phase III study n=1265 - Results in 1996. Amgen-sponsered, Besarab et al 1998.</t>
  </si>
  <si>
    <t>CHOIR in Predialysis Phase III study n=1432 - Results in 2006. JNJ-sponsored, Sinhg et al 2006.</t>
  </si>
  <si>
    <t>Questions</t>
  </si>
  <si>
    <t>FDA has found hyporesponders may be responsible for the higher mortality found in several CRF trials. Does this have implications for oncology?</t>
  </si>
  <si>
    <t>treatment for 52 weeks. In patients who require repeated sessions of</t>
  </si>
  <si>
    <t xml:space="preserve">chemotherapy, 12 weeks is also an artificial limitation. </t>
  </si>
  <si>
    <t>*     Continued use of the drug in non-responders after four weeks of</t>
  </si>
  <si>
    <t>treatment. ASH believe s the literature reflects that ESAs should not be</t>
  </si>
  <si>
    <t>continued after eight weeks in the absence of response, assuming the</t>
  </si>
  <si>
    <t xml:space="preserve">appropriate dose increase has been attempted in low-responders. </t>
  </si>
  <si>
    <t>*     Other proposed limitations of use of ESAs concerning continued</t>
  </si>
  <si>
    <t xml:space="preserve">  10/2003: BEST and Henke et al (Lancet) become available. Henke studied NeoRecormin.</t>
  </si>
  <si>
    <t>5/28/2008: NICE recommends initiation at 8g/dL.</t>
  </si>
  <si>
    <t>Reduction by G-CSF of fever and neutropenia induced by chemotherapy in patients with SCLC</t>
  </si>
  <si>
    <t>NEJM 1991;325:164-70. Crawford et al.</t>
  </si>
  <si>
    <t>Temporal and geographic variation in the use of hematopoietic growth factors in older women receiving breast cancer chemotherapy.</t>
  </si>
  <si>
    <t>JCO 2005;23:8620-8.</t>
  </si>
  <si>
    <t>Randomized trial of dose-dense versus conventionally scheduled and sequential versus concurrent combination chemotherapy</t>
  </si>
  <si>
    <t>as postoperative adjuvant treatment of node-positive primary breast cancer: first report of intergroup trial C9741/CALGB9741.</t>
  </si>
  <si>
    <t>JCO 2003;21:1431-9. Citron et al.</t>
  </si>
  <si>
    <t>Are growth factors leukemogenic?</t>
  </si>
  <si>
    <t>Leukemia 1996;10:175-7. Brodsky, et al.</t>
  </si>
  <si>
    <t>Enrollment completed late 2006. 3-year fracture data expected 9/16/08 - ASMBR 9:45am oral presentation.</t>
  </si>
  <si>
    <t>OPG binds competitively to RANKL (aka ODF/OPGL/TRANCE). RANKL binds to TRAF2 and TRAF6 on osteoclasts or osteoclast precursors</t>
  </si>
  <si>
    <t>Will hire 600-1200 reps targeted towards GPs.</t>
  </si>
  <si>
    <t>Osteoclasts break down bone (resorption).</t>
  </si>
  <si>
    <t>Phase 3 PMO "141 study" n=1100 (Denosumab vs Fosamax) - Presented in May 2008. Poster and presentation at ASMBR 2008.</t>
  </si>
  <si>
    <t>Phase 3 PMO transition from alendronate n=500 "234 study" - ASMBR 2008 poster.</t>
  </si>
  <si>
    <t>6 month Fos then randomized to 1 year denosumab or Fos.</t>
  </si>
  <si>
    <t xml:space="preserve">1-year data showed superior BMD to Fosamax. Hip 40% improvement. </t>
  </si>
  <si>
    <t>% change in urinary NTX/creatinine was measured</t>
  </si>
  <si>
    <t>placebo and 0.3, 1.0mg of AMG162 yielded ~30-40% decrease. 3mg/kg (n=7) of amg162 showed -75%.</t>
  </si>
  <si>
    <t>FY00</t>
  </si>
  <si>
    <t>FY01</t>
  </si>
  <si>
    <t>Epogen y/y</t>
  </si>
  <si>
    <t>Aranesp y/y</t>
  </si>
  <si>
    <t>EPOs y/y</t>
  </si>
  <si>
    <t>possible DYAX collaboration</t>
  </si>
  <si>
    <t>GCSF % of sales</t>
  </si>
  <si>
    <t>GCSF GM%</t>
  </si>
  <si>
    <t xml:space="preserve">  EPO contribution</t>
  </si>
  <si>
    <t xml:space="preserve">  GCSF contribution</t>
  </si>
  <si>
    <r>
      <t>Fully human monoclonal antibody, C</t>
    </r>
    <r>
      <rPr>
        <vertAlign val="subscript"/>
        <sz val="10"/>
        <rFont val="Arial"/>
        <family val="2"/>
      </rPr>
      <t>64</t>
    </r>
    <r>
      <rPr>
        <sz val="10"/>
        <rFont val="Arial"/>
        <family val="2"/>
      </rPr>
      <t>0</t>
    </r>
    <r>
      <rPr>
        <vertAlign val="subscript"/>
        <sz val="10"/>
        <rFont val="Arial"/>
        <family val="2"/>
      </rPr>
      <t>4</t>
    </r>
    <r>
      <rPr>
        <sz val="10"/>
        <rFont val="Arial"/>
        <family val="2"/>
      </rPr>
      <t>H</t>
    </r>
    <r>
      <rPr>
        <vertAlign val="subscript"/>
        <sz val="10"/>
        <rFont val="Arial"/>
        <family val="2"/>
      </rPr>
      <t>9912</t>
    </r>
    <r>
      <rPr>
        <sz val="10"/>
        <rFont val="Arial"/>
        <family val="2"/>
      </rPr>
      <t>N</t>
    </r>
    <r>
      <rPr>
        <vertAlign val="subscript"/>
        <sz val="10"/>
        <rFont val="Arial"/>
        <family val="2"/>
      </rPr>
      <t>1724</t>
    </r>
    <r>
      <rPr>
        <sz val="10"/>
        <rFont val="Arial"/>
        <family val="2"/>
      </rPr>
      <t>O</t>
    </r>
    <r>
      <rPr>
        <vertAlign val="subscript"/>
        <sz val="10"/>
        <rFont val="Arial"/>
        <family val="2"/>
      </rPr>
      <t>2004</t>
    </r>
    <r>
      <rPr>
        <sz val="10"/>
        <rFont val="Arial"/>
        <family val="2"/>
      </rPr>
      <t>S</t>
    </r>
    <r>
      <rPr>
        <vertAlign val="subscript"/>
        <sz val="10"/>
        <rFont val="Arial"/>
        <family val="2"/>
      </rPr>
      <t>50;</t>
    </r>
    <r>
      <rPr>
        <sz val="10"/>
        <rFont val="Arial"/>
        <family val="2"/>
      </rPr>
      <t xml:space="preserve"> 144.7 kDa. CAS registry number: 615258-40-7</t>
    </r>
  </si>
  <si>
    <t>Analysis of risk factors for myelodysplasias, leukemias and death from infection among patients with congenital neutropenia.</t>
  </si>
  <si>
    <t>Peptibody</t>
  </si>
  <si>
    <t>Antibody</t>
  </si>
  <si>
    <t>n=200 for both pre and post-splenectomy</t>
  </si>
  <si>
    <t>Phase 2 chemo-induced thrombocytopenia - initiated Q1 2006 - data in 2008</t>
  </si>
  <si>
    <t>Phase 2 MDS - initiated Q106</t>
  </si>
  <si>
    <t>ECOG 0-1, 3L, egfr stratification</t>
  </si>
  <si>
    <t>95% rash, 23% fatigue, 20% diarrhea</t>
  </si>
  <si>
    <t>other bone resorptive factors are regulated through rankl/opg: PTH, PTHrP, PGE2, 1,25(OH)2D, IL-1, TNFa, IL-17, corticosteroids, PTHrP</t>
  </si>
  <si>
    <t>OTH inhibits OPG and stimulate RANKL expression in vivo: ma et al, endocrinology, 142:4047-4054</t>
  </si>
  <si>
    <t>Common Pathways in Breast and Bone: New Targets for Treatment of Bone Metastases: Colin Dunstan, AZNAC Research Institute, U of Sydney</t>
  </si>
  <si>
    <t>Does the concurrent use of anthracycline and G-CSF influence the risk of secondary leukaemia in breast cancer women?</t>
  </si>
  <si>
    <t>Ann Oncol 2005;16:1209-10. Di Cosimo et al.</t>
  </si>
  <si>
    <t>AML in a donor after G-CSF-primed peripheral blood stem cell harvest.</t>
  </si>
  <si>
    <t>Bone Marrow Transplant 2004;33:661-5.</t>
  </si>
  <si>
    <t>The Research on Adverse Drug Events and Reports (RADAR) project.</t>
  </si>
  <si>
    <t>JAMA 2005;293;2131-40. Bennett et al.</t>
  </si>
  <si>
    <t>Detection of MDS/AML evolving from aplastic anemia in children, treated with recombinant human G-CSF</t>
  </si>
  <si>
    <t>Haematologica 2003;88:ECR31. Imashuku et al.</t>
  </si>
  <si>
    <t>A controlled study of recombinant human G-CSF in elderly patients after treatment for AML.</t>
  </si>
  <si>
    <t>NEJM 1995;332:1678-83. Dombret et al.</t>
  </si>
  <si>
    <t>The incidence of leukemia and mortality from sepsis in patients with severe congenital neutropenia receiving long-term G-CSF therapy</t>
  </si>
  <si>
    <t>Blood 2006;107:4628-35. Rosenberg et al.</t>
  </si>
  <si>
    <t>n=312 from 3 trials (NSCLC, breast and gynecological cancer)</t>
  </si>
  <si>
    <t>200 mcg of Aranesp q2w is as effective as 40000U of Procrit qw</t>
  </si>
  <si>
    <t>Enbrel (etanercept)</t>
  </si>
  <si>
    <t>Neulasta (pegfilgrastim)</t>
  </si>
  <si>
    <t>Neupogen (filgrastim)</t>
  </si>
  <si>
    <t>Kepivance (palifermin)</t>
  </si>
  <si>
    <t>Type 2 Diabetes</t>
  </si>
  <si>
    <t>Pain</t>
  </si>
  <si>
    <t>AMG386</t>
  </si>
  <si>
    <t>AMG317</t>
  </si>
  <si>
    <t>Asthma</t>
  </si>
  <si>
    <t>AMG102</t>
  </si>
  <si>
    <t>Leptin (r-metHuLeptin)</t>
  </si>
  <si>
    <t>TH.CN?</t>
  </si>
  <si>
    <t>n=3800 patients to assess mortality and cardiovascular morbidity in CKD patients?</t>
  </si>
  <si>
    <t>n=184, open-label, uncontrolled, multi-center.</t>
  </si>
  <si>
    <t>BC 1L + chemo</t>
  </si>
  <si>
    <t>Filed</t>
  </si>
  <si>
    <t>Donald Silverberg - thought leader</t>
  </si>
  <si>
    <t xml:space="preserve">  20-30% of pts with HF also suffer from anemia. 5m HF in the US.</t>
  </si>
  <si>
    <t>p2 (Study 170) 1-year data. N=319 with NYHA 2-4, LVEF &lt;40%, Hb 9-12.5. HR for HF hospitalization and mortality was 0.68 p=0.1</t>
  </si>
  <si>
    <t>Randomized Head-to-Head Trial Shows Aranesp Dosed Every Two Weeks is Comparable to Epoetin Alfa Dosed Once a Week in Breast Cancer Patients</t>
  </si>
  <si>
    <t>Lipodystrophy</t>
  </si>
  <si>
    <t>Hypothalamic amenorrhea</t>
  </si>
  <si>
    <t>n=150 Vectibix + Chemo, to begin in 2H 2007. Data in 2010-2011</t>
  </si>
  <si>
    <t>IMCL '025 proving survival benefit in 3L - does AMGN have such a study?</t>
  </si>
  <si>
    <t>Study 408 pivotal</t>
  </si>
  <si>
    <t>24% of Procrit pts had 1 or more SAE</t>
  </si>
  <si>
    <t>Oral mucositis for BMT is $50m-$100m opportunity - Lehman</t>
  </si>
  <si>
    <t>BMT is 11k pts/yr</t>
  </si>
  <si>
    <t>RANKL is the cytokine that directly activates osteoclasts to resorb bone. OPG is its natural inhibitor.</t>
  </si>
  <si>
    <t>RANKL plays an important role in mammary gland development and sex hormone actions. It is also regulated in the mammary gland during pregnancy.</t>
  </si>
  <si>
    <t>Results showed non-inferiority.</t>
  </si>
  <si>
    <t>Phase III PROTOS in dialysis</t>
  </si>
  <si>
    <t>n=572</t>
  </si>
  <si>
    <t>Phase III STRIATA</t>
  </si>
  <si>
    <t>Phase III RUBRA</t>
  </si>
  <si>
    <t>Phase III MAXIMA (CERA vs Epogen) in dialysis (ASN #SA-PO205)</t>
  </si>
  <si>
    <t>scientific data, rely on poor quality data, or are in conflict with expert</t>
  </si>
  <si>
    <t xml:space="preserve">scientific analysis. </t>
  </si>
  <si>
    <t>In addition, ASH notes that the proposed policy does not take into</t>
  </si>
  <si>
    <t>consideration recommendations made by FDA's Oncology Drug Advisory Committee</t>
  </si>
  <si>
    <t>Hey Martin-Sorry for another email ---ASH just came out against the new epo CMS rules---here’s the ASH press release:</t>
  </si>
  <si>
    <t>Br J Hematol 2006;135:642-50. Bennet et al.</t>
  </si>
  <si>
    <t>Treatment of breast cancer with chemotherapy in combination with filgrastim</t>
  </si>
  <si>
    <t>Drugs 2002;62:Suppl 117-31. Frasci et al.</t>
  </si>
  <si>
    <t>Pricing</t>
  </si>
  <si>
    <t>RA</t>
  </si>
  <si>
    <t>immunoglobulin G2, anti-(human RANK ligand) (human monoclonal AMG162 heavy chain), disulfide with human monoclonal AMG162 light chain, dimer</t>
  </si>
  <si>
    <t>Attention ASH members:</t>
  </si>
  <si>
    <t>On May 14th, the Centers for Medicare &amp; Medicaid Services (CMS) posted a</t>
  </si>
  <si>
    <t>proposed national coverage policy that would govern Medicare coverage of</t>
  </si>
  <si>
    <t>ESAs in cancer and related neoplastic conditions.</t>
  </si>
  <si>
    <t>Of paramount importance to ASH is to ensure that all coverage decisions are</t>
  </si>
  <si>
    <t>guided by the best available scientific evidence to ensure the highest</t>
  </si>
  <si>
    <t>GOG-191 - Procrit in cervical cancer</t>
  </si>
  <si>
    <t>PREPARE - Aranesp in neoadjuvant breast cancer</t>
  </si>
  <si>
    <t>980297 - NSCLC</t>
  </si>
  <si>
    <t>EPO-CAN-20</t>
  </si>
  <si>
    <t>BRAVE</t>
  </si>
  <si>
    <t>ENHANCE</t>
  </si>
  <si>
    <t>DAHANCA</t>
  </si>
  <si>
    <t>2000-0161</t>
  </si>
  <si>
    <t>2001-0103</t>
  </si>
  <si>
    <t>Cochrane collaboration</t>
  </si>
  <si>
    <t>Z-FAST - zometa data ASCO 2005 - #533 - Dr Brufsky</t>
  </si>
  <si>
    <t>IC50: VEGF-R1: 3nM, R-2: 3nM, R-3: 6nM, RET: 91mM, c-Kit: 8nM, PDGF-R: 207nM</t>
  </si>
  <si>
    <t>Baseline</t>
  </si>
  <si>
    <t>6 colorectal, 5 sarcoma, 4 breast/gist/ovarian/thyroid/nsclc, 12 other</t>
  </si>
  <si>
    <t>mostly mild-to-moderate in severity and reversible. 58% did not experience SAE or DLT. 72% experienced an AE. 35% fatigue, 23% headache, some HTN</t>
  </si>
  <si>
    <t>Day 1: Cmax  417ng/mL +- 92, T1/2 6.98hr +- 1.92, CL/F 50.1+-22.2, C24 29.3+-21.9, AUC 0-24, 2.84+-0.99</t>
  </si>
  <si>
    <t>Day 21: Cmax 425 +-249, T1/2 5.05+- 2.24, Cl/F 101 +-43, C24 11.7 +- 12.9, AUC 1.55 +-0.96</t>
  </si>
  <si>
    <t>AMG 386</t>
  </si>
  <si>
    <t>"A broad range of experimental studies revealed that IGF-IR function is implicated in most of the hallmarks of cancer - self-sufficiency in growth signals, evasion from apoptosis, tissue invasion, metastasis, as well as angiogenesis."</t>
  </si>
  <si>
    <t>Revenue y/y</t>
  </si>
  <si>
    <t>R&amp;D % of sales</t>
  </si>
  <si>
    <t>SG&amp;A % of sales</t>
  </si>
  <si>
    <t>R&amp;D y/y</t>
  </si>
  <si>
    <t>Abstract 3547, 3548 at ASCO - demonstrates PFS/RR similar independent of EGFr status</t>
  </si>
  <si>
    <t>Brand Name</t>
  </si>
  <si>
    <t>Generic Name</t>
  </si>
  <si>
    <t>no premedication as opposed to cmab</t>
  </si>
  <si>
    <t>FY08</t>
  </si>
  <si>
    <t>ACC 2006 - p2 Aranesp data in CHF</t>
  </si>
  <si>
    <t>SOLD TO BIOVITRUM IN Q3 2008</t>
  </si>
  <si>
    <t>Medicare covers dialysis patients</t>
  </si>
  <si>
    <t>n=1700, data in 2009</t>
  </si>
  <si>
    <t>Enbrel long-term Phase III in psoriasis (PASI 75 47% at week 12, 60% at 24, 63% at 48, 51% at 96).</t>
  </si>
  <si>
    <t>July 2008: Revised label released.</t>
  </si>
  <si>
    <t xml:space="preserve">  2004: ODAC committee reviewed EPO safety in CIA.</t>
  </si>
  <si>
    <t>Baucus to introduce bill to reverse decision - 10/9/07.</t>
  </si>
  <si>
    <t>Well-tolerated up to 125mg QD using intermittent schedule</t>
  </si>
  <si>
    <t>34/43 reached day 50 tumor assessment</t>
  </si>
  <si>
    <t>2 PRs (leiomyosarcoma, thyroid), 4 MRs (GIST, thyroid, breast and carcinoid; 8-29% reduction in longest diameter), 14 SDs. 20/34 DCR.</t>
  </si>
  <si>
    <t>6 maintained SD for at least 134 days. 3 maintained SD for at least 218 days.</t>
  </si>
  <si>
    <t>favorable exposure, 7hrs T1/2; no accumulation during first 3 weeks.</t>
  </si>
  <si>
    <t>FY15</t>
  </si>
  <si>
    <t>Not issued yet, &gt;2028</t>
  </si>
  <si>
    <t>Induces internalization of the receptor (downregulates expression at the plasma membrane). Multiple Myeloma study conducted. P1/2 NSCLC at Moffitt</t>
  </si>
  <si>
    <t>Lineage-specific hematopoietic growth factors</t>
  </si>
  <si>
    <t>NEJM 2006;365:2034-45. Kaushansky et al.</t>
  </si>
  <si>
    <t>Potential AE of G-CSF:</t>
  </si>
  <si>
    <t>Illustrative papers:</t>
  </si>
  <si>
    <t>G-CSF does not induce long-term DNA instability in healthy peripheral blood stem cell donors.</t>
  </si>
  <si>
    <t>amgen: david lacey, bill boyle, scott simonet, paul kostenuik, casey capparelli, sean morony</t>
  </si>
  <si>
    <t>http://conman.au.dk/dahanca/get_media_file.php?mediaid=125</t>
  </si>
  <si>
    <t>Q206</t>
  </si>
  <si>
    <t>EPS y/y</t>
  </si>
  <si>
    <t>9/27/2007: Senate/House joint resolution proposed to reverse CMS decision.</t>
  </si>
  <si>
    <t>Bone mets are one of the most frequent causes of pain in cancer pts and may lead to SREs such as fractures, bone surgery/radiation, etc.</t>
  </si>
  <si>
    <t>4/20/2006: Roche files CERA in the US</t>
  </si>
  <si>
    <t>Q306</t>
  </si>
  <si>
    <t xml:space="preserve">  1/2007: CMS issues dialysis coverage policy after an extensive review.</t>
  </si>
  <si>
    <t>In a variety of experimental settings, interference with IGF-IR function results in inhibition of cancer cell proliferation, survival, anchorage independent growth in vitro, inhibition of tumor growth and formation of metastasis in vivo and sensitization of cancer cells to various chemotherapeutic and radiation regimens.</t>
  </si>
  <si>
    <t>71%, 0% ROW?</t>
  </si>
  <si>
    <t>Clinical Trials</t>
  </si>
  <si>
    <t>50mg, 100mg, 125mg, 175mg qd or 25mg bid for 21 days in 28 day cycles. 125mg in continuous dosing regimen.</t>
  </si>
  <si>
    <t>MTD</t>
  </si>
  <si>
    <t>Mircera Phase III - ASN 2006</t>
  </si>
  <si>
    <t>Poster SA-PO208 suggests CERA in pre-dialysis patients demonstrates a tighter control over Aranesp in the first 8 weeks. Only 12.4% of CERA pts went above 13g/dL vs 33.5% for Aranesp.</t>
  </si>
  <si>
    <t>This may suggest CERA is different from Aranesp (legally) and also clinically advantageous.</t>
  </si>
  <si>
    <t>Timeline</t>
  </si>
  <si>
    <t>Vectibix (fka ABX-EGF)</t>
  </si>
  <si>
    <t>Reimbursement to docs for patients undergoing BMT is usually capitated, so AMGN has less pricing power.</t>
  </si>
  <si>
    <t>NEJM p3 pivotal trial</t>
  </si>
  <si>
    <t>Q206: Denosumab: complete p2 RA study - data submitted to ACR</t>
  </si>
  <si>
    <t>Phase 2 study in multiple myeloma - November 2005 start - February 2007 completion?</t>
  </si>
  <si>
    <t>Brand name</t>
  </si>
  <si>
    <t>denosumab</t>
  </si>
  <si>
    <t>Osteoporosis, Bone Metastases, Rheumatoid Arthritis, Multiple Myeloma</t>
  </si>
  <si>
    <t>n=100</t>
  </si>
  <si>
    <t>Oral</t>
  </si>
  <si>
    <t>When tumor cells invade bone, they secrete growth factors that stimulate RANK ligand production, promoting increased bone resorption.</t>
  </si>
  <si>
    <t xml:space="preserve">  n=138 imatinib-refractory received 125mg qd until PD or tox. 120 protocol eligible</t>
  </si>
  <si>
    <t xml:space="preserve">  RECIST, FDG-PET and Choi criteria were measured.</t>
  </si>
  <si>
    <t>AMG-114 is a hyperglycosylated version of Aranesp (sialylated rEPO). It has additional covalently-attached carbohydrate groups.</t>
  </si>
  <si>
    <t>n=255 IV biphos-naïve BC patients with bone mets, evaluated denosumab qm or q3m.</t>
  </si>
  <si>
    <t>urinary n-telopeptide levels, a biomarker for bone turnover, are increased by metastatic bone disease.</t>
  </si>
  <si>
    <t>at wk 13, there was a median decrease in UNT for each denosumab cohort from 63% to 82%. P3 will evaluate 120mg qm.</t>
  </si>
  <si>
    <t>nausea, vomiting, asthenia, diarrhea side effects</t>
  </si>
  <si>
    <t>n=49 prostate, breast, MM on IV biphos, 2x as many received normalization on bone turnover when switched to denosumab</t>
  </si>
  <si>
    <t>BMS-554417, BMS-536924</t>
  </si>
  <si>
    <t>INSM18 - igf-IR kinase inhibitor in phase 1</t>
  </si>
  <si>
    <t>p1/2 GBM late 2006; p2 in RCC late 2006/early 2007</t>
  </si>
  <si>
    <t>CK-1827452</t>
  </si>
  <si>
    <t>Heart Failure</t>
  </si>
  <si>
    <t>Neulasta</t>
  </si>
  <si>
    <t>Enbrel</t>
  </si>
  <si>
    <t>Sensipar</t>
  </si>
  <si>
    <t>Aranesp (darbepoetin alfa)</t>
  </si>
  <si>
    <t>Dosage</t>
  </si>
  <si>
    <t>Price</t>
  </si>
  <si>
    <t>Use of G-CSF to sustain dose intensity in breast cancer patients receiving adjuvant chemotherapy: a pilot study</t>
  </si>
  <si>
    <t>Cancer Control 1996;3:519-23.</t>
  </si>
  <si>
    <t>Growth factor allows effective dose-intensive regimen in advanced breast cancer patients.</t>
  </si>
  <si>
    <t>HB target was 15.5g/dl. Patients were not anemic.</t>
  </si>
  <si>
    <t>Inventories</t>
  </si>
  <si>
    <t>OCA</t>
  </si>
  <si>
    <t>TCA</t>
  </si>
  <si>
    <t>PP&amp;E</t>
  </si>
  <si>
    <t>Intangibles + Goodwill</t>
  </si>
  <si>
    <t>OA</t>
  </si>
  <si>
    <t>Total Assets</t>
  </si>
  <si>
    <t>DSO</t>
  </si>
  <si>
    <t>A/P</t>
  </si>
  <si>
    <t>Accrued Liabilities</t>
  </si>
  <si>
    <t>Convertible</t>
  </si>
  <si>
    <t>TCL</t>
  </si>
  <si>
    <t>Deferred Tax</t>
  </si>
  <si>
    <t>Other LT Debt</t>
  </si>
  <si>
    <t>ONCL</t>
  </si>
  <si>
    <t>TL</t>
  </si>
  <si>
    <t>NET CASH</t>
  </si>
  <si>
    <t>Stockholders' Equity</t>
  </si>
  <si>
    <t>CFFO</t>
  </si>
  <si>
    <t>NI</t>
  </si>
  <si>
    <t>Options Expense</t>
  </si>
  <si>
    <t>ABC</t>
  </si>
  <si>
    <t>CAH</t>
  </si>
  <si>
    <t>MCK</t>
  </si>
  <si>
    <t>Heads</t>
  </si>
  <si>
    <t>Incentives</t>
  </si>
  <si>
    <t>Vectibix (panitumumab)</t>
  </si>
  <si>
    <t>Recombinant GM-CSF after autologous bone marrow transplantation for lymphoid cancer</t>
  </si>
  <si>
    <t>NEJM 1991; 324;1773-8; Neumanaitis et al.</t>
  </si>
  <si>
    <t>A randomized controlled Phase III trial of recombinant human G-CSF for treatment of severe chronic neutropenia.</t>
  </si>
  <si>
    <t>Blood 1993;81:2496-502. Dale et al.</t>
  </si>
  <si>
    <t>Phase 3 '154 Study - SCLC - Data in May 2007</t>
  </si>
  <si>
    <t xml:space="preserve"> </t>
  </si>
  <si>
    <t xml:space="preserve">  Label previously indicated an upper limit of 12 g/dL, but now indicates using as little EPO as necessary to avoid transfusions.</t>
  </si>
  <si>
    <t>Chemotherapy-Induced Anemia, Chronic Kidney Disease, End-Stage Renal Disease.</t>
  </si>
  <si>
    <t>Negative outcome resulted in 1996 label modification. Study ran between 1993 and 1996 with dialysis patients on maintenance EPO.</t>
  </si>
  <si>
    <t>Randomized dialysis patients to target 42% vs 30% hematocrit. Primary endpoint was time to death/MI comparison.</t>
  </si>
  <si>
    <t>35% death vs 29% for high-dose for normal-dose.</t>
  </si>
  <si>
    <t>Two arms randomized to 13.5g/dL vs 11.3g/dL with time to event as primary endpoint.</t>
  </si>
  <si>
    <t>10.6% lumbar spine bone mineral density change of 10.6% for denosumab and -2.7% for placebo. Hip was 5.8% vs -2.9%.</t>
  </si>
  <si>
    <t>GEPAR-TRIO: TAC in BC patients</t>
  </si>
  <si>
    <t>Neulasta 7% vs Neupogen 18% patients with FN</t>
  </si>
  <si>
    <t>5% neutropenia-related hospitalizations vs. 9%. And a decrease in antibiotic use.</t>
  </si>
  <si>
    <t>had short-term agonistic activity, but then strong and durable downregulation against MCF-7 and T61</t>
  </si>
  <si>
    <t>Di-diabody: fully human bispecific antibody to IGF-IR and EGFR. Binds to both targets simultaneously</t>
  </si>
  <si>
    <t>NVP-ADW742</t>
  </si>
  <si>
    <t>cyclolignan derivative, PPP</t>
  </si>
  <si>
    <t>76% of denosumab patients and 38% of IV biphos achieved normal levels of bone turnover</t>
  </si>
  <si>
    <t>10 days vs 112 days time to &lt;50nm</t>
  </si>
  <si>
    <t>p3 investigating the frequency of SREs in advanced BC</t>
  </si>
  <si>
    <t>p3 in prevention of bone mets in prostate cancer</t>
  </si>
  <si>
    <t>"Normal Hematocrit Study" - in dialysis, NEJM 97 or 98? Steve Schwab and Tony Besserp were authors</t>
  </si>
  <si>
    <t xml:space="preserve">  Hematocrit goals? Try to get patients between 33-36? Initiate treatment below 30?</t>
  </si>
  <si>
    <t>Internal launch meeting/"party" 4/8/05</t>
  </si>
  <si>
    <t>Company founded 4/8/1980</t>
  </si>
  <si>
    <t>Epo+Nesp</t>
  </si>
  <si>
    <t>ASP+6% is standard methodology. UNH more supportive of EPOs than other payors.</t>
  </si>
  <si>
    <t>1,400, enrollment complete</t>
  </si>
  <si>
    <t>Phase III HALT Breast Cancer study - data in 2008</t>
  </si>
  <si>
    <t>Data</t>
  </si>
  <si>
    <t>2-year data in 2007</t>
  </si>
  <si>
    <t>Q109</t>
  </si>
  <si>
    <t xml:space="preserve">  Generic drug only IV approved for now -- EPAR 2007.</t>
  </si>
  <si>
    <t>93% of Aranesp pts achieved hg &gt;=11g/dl</t>
  </si>
  <si>
    <t>reduced rate of tumor progression by 48%</t>
  </si>
  <si>
    <t>Neulasta first cycle n=349 vs. neulasta second or subsequent cycle at physician's discretion n=352.</t>
  </si>
  <si>
    <t>Sensipar/Mimpara</t>
  </si>
  <si>
    <t>Clinical Studies</t>
  </si>
  <si>
    <t>OPTIMA</t>
  </si>
  <si>
    <t>cinacalcet</t>
  </si>
  <si>
    <t>http://content.nejm.org/cgi/content/short/350/15/1516</t>
  </si>
  <si>
    <t>randomized trial of 162 vs IV biphosphonates in cancer patients with bone mets on established IV biphosphonates and evidence of elevated bone resorption.</t>
  </si>
  <si>
    <t>131-hr half life as per ASCO 2006 abstract title - 200mcg q3w study</t>
  </si>
  <si>
    <t>PK of 706, pmab and carbo/tax for NSCLC - asco 2006 abstract title</t>
  </si>
  <si>
    <t>In Late 2004,Amgen plans to initiate p1/2 studies of 114 in chemo-induced anemia. The company has promised rapid development.</t>
  </si>
  <si>
    <t>"Sensipar is still the new kid on the block, but Sensipar vs. Vitamin D is a therapeutic controversey. Many are using the two in combination."</t>
  </si>
  <si>
    <t>Neulasta y/y</t>
  </si>
  <si>
    <t xml:space="preserve">h7C10 (F50035) Pierre Fabre and Merck - humanized IgG1 anti-IGF-IR binds to IGF-I at IC50 4.2nM and IGF-2 at 3.1nM. </t>
  </si>
  <si>
    <t>19D12 - SGP - fully humanized anti-IGF-I4 - blocks autophosphorylation as well as downstream signaling, induces downregulation.</t>
  </si>
  <si>
    <t>Connective Tissue Oncology Society (CTOS) meeting in Venice, Italy 2006. Robert Benjamin - MD Anderson</t>
  </si>
  <si>
    <t>Market</t>
  </si>
  <si>
    <t>Revenue</t>
  </si>
  <si>
    <t>R&amp;D</t>
  </si>
  <si>
    <t>SG&amp;A</t>
  </si>
  <si>
    <t>Tax Rate</t>
  </si>
  <si>
    <t>Shares</t>
  </si>
  <si>
    <t>EPS</t>
  </si>
  <si>
    <t>Other</t>
  </si>
  <si>
    <t xml:space="preserve">  Met all primary endpoints. Patients who underwent adjuvant aromatase therapy.</t>
  </si>
  <si>
    <t>Less than 1% of patients have had infusion reactions compared to 19-28% of cmab patients.</t>
  </si>
  <si>
    <t>Chemistry</t>
  </si>
  <si>
    <t>IMCL/BMY</t>
  </si>
  <si>
    <t>Sales</t>
  </si>
  <si>
    <t>randomized, active-controlled AMG162 in BC patients with bone mets not previously treated with IV biphosphonates - presented at ASCO 2006</t>
  </si>
  <si>
    <t>Consensus Aranesp</t>
  </si>
  <si>
    <t>Consensus Epogen</t>
  </si>
  <si>
    <t>Consensus Neulasta</t>
  </si>
  <si>
    <t>Consensus Neupogen</t>
  </si>
  <si>
    <t>Phase 3 pancreatic cancer study was planned for Q107?</t>
  </si>
  <si>
    <t>4 weeks median time to reach target hg for Procrit</t>
  </si>
  <si>
    <t>93% of Aranesp pts remained in target hg level after reaching it</t>
  </si>
  <si>
    <t>91% of Procrit pts remained in target hg level after reaching it</t>
  </si>
  <si>
    <t>6% of Aranesp pts required a blood transfusion</t>
  </si>
  <si>
    <t>n=264 in Low/Intermediate-1 Risk MDS.</t>
  </si>
  <si>
    <t>PREPARE Phase III mBC - #517 ASCO 2008</t>
  </si>
  <si>
    <t xml:space="preserve">n=733 Chemo+- Aranesp. </t>
  </si>
  <si>
    <t>50/356 died with Aranesp vs 32/377 with placebo. 97/356 events in Aranesp vs 79/377 with placebo.</t>
  </si>
  <si>
    <t>4/1/2006: Hematocrit audit for Epogen???</t>
  </si>
  <si>
    <t>Consensus Revenue</t>
  </si>
  <si>
    <t>Consensus GM</t>
  </si>
  <si>
    <t>Will doctors become less comfortable with 13 as a ceiling?</t>
  </si>
  <si>
    <t>Guidelines were revised in May 2006 according to Dr Johnson.</t>
  </si>
  <si>
    <t>CPM (Clinical Performance Measures) Project - Medicare and CMS' national initiative to collect data on dialysis patients. Reports are published annually.</t>
  </si>
  <si>
    <t>Kepivance</t>
  </si>
  <si>
    <t>Oncology 1995;9:684.</t>
  </si>
  <si>
    <t>Q101</t>
  </si>
  <si>
    <t>Q201</t>
  </si>
  <si>
    <t>Q301</t>
  </si>
  <si>
    <t>Q401</t>
  </si>
  <si>
    <t>Q207: PACCE PFS data - Avastin +- pmab in 1L mCRC</t>
  </si>
  <si>
    <t>Q107: AMG531: p3 database lock</t>
  </si>
  <si>
    <t>50% of mBC patients get IV bisphos</t>
  </si>
  <si>
    <t>Safety/Efficacy</t>
  </si>
  <si>
    <t>Worse fracture rate worried the street.</t>
  </si>
  <si>
    <t>Recombinant human keratinocyte growth factor. Binding KGF to its receptor results in proliferation of epithelial cells.</t>
  </si>
  <si>
    <t>anakinra</t>
  </si>
  <si>
    <t>IL-1R antagonist</t>
  </si>
  <si>
    <t>NGF antagonist</t>
  </si>
  <si>
    <t>TREAT</t>
  </si>
  <si>
    <t>2007-0782 - Amgen-sponsored trial in mBC, mNSCLC and mCRC. N=6186, OS/PFS in Aranesp up to 12g/dL. Results in 2010?</t>
  </si>
  <si>
    <t>Aranesp is substantially similar to Epogen/Procrit with respect to safety and efficacy. Improvement in Hb is usually seen 2-6 weeks after initiation of treatment.</t>
  </si>
  <si>
    <t>2.9% increase on 12/16/2006.</t>
  </si>
  <si>
    <t>Molecule</t>
  </si>
  <si>
    <t>June 2006: Morrow says "cost-shifting by managed care, more copays and more co-insurance, more prior authorization in dermatology and psoriasis" are dragging Enbrel down.</t>
  </si>
  <si>
    <t>Copay assistance program helping.</t>
  </si>
  <si>
    <t xml:space="preserve">6/1989. </t>
  </si>
  <si>
    <t>Amgen owns 100% WW.</t>
  </si>
  <si>
    <t>7-H-pyrrolo[2,3-d]pyrimidin-2,4-diamine derivative - improved IGF-IR inhibitory activity and cellular selectivity over InsR. Equipotent in biochemical assays (IC50 &lt;200nM), which are based on truncated versions of the receptors but they show selectivity for IGF-IR over InsR (10-50x) in cellular autophosphorylation assays (with native forms of the receptors)</t>
  </si>
  <si>
    <t xml:space="preserve">  Stopped early for survival benefit in Avastin alone vs Avastin+Vectibix!</t>
  </si>
  <si>
    <t>10/19/2007: Aetna policy issued, less restrictive than CMS.</t>
  </si>
  <si>
    <t>81% of Aranesp patients remained in target range of 11-13g/dL vs. 75% of Procrit</t>
  </si>
  <si>
    <t>Patients spent 2 hours commuting to oncologists office and 2 hours receiving therapy while at the office.</t>
  </si>
  <si>
    <t>Q303</t>
  </si>
  <si>
    <t>Q403</t>
  </si>
  <si>
    <t>FY03</t>
  </si>
  <si>
    <t>Q104</t>
  </si>
  <si>
    <t>Q204</t>
  </si>
  <si>
    <t>Q304</t>
  </si>
  <si>
    <t>etanercept</t>
  </si>
  <si>
    <t>Humira - Phase III REVEAL in psoriasis - AAD 2007 - n=1212</t>
  </si>
  <si>
    <t>Humira Phase III psoriasis - CHAMPION</t>
  </si>
  <si>
    <t>71% achieved PASI 75 at 16 weeks.</t>
  </si>
  <si>
    <t>80% had PASI 75 response at 16 weeks.</t>
  </si>
  <si>
    <t>4/18/2006: completed enrollment for 706 p2 in thyroid cancer</t>
  </si>
  <si>
    <t>Q206: AMG706: p2 data in 2nd-line GIST</t>
  </si>
  <si>
    <t>2 Phase 2 AMG706 vs Avastin in NSCLC - late 2006 or early 2007 initiation - one with patients eligible for Avastin, one without</t>
  </si>
  <si>
    <t>Guidelines of the NCCN on the use of myeloid growth factors with cancer chemotherapy: a review of the evidence.</t>
  </si>
  <si>
    <t>J Natl Compr Canc Netw 2005;3:557-71. Lyman et al.</t>
  </si>
  <si>
    <t>Pegfilgrastim lowers side-effects of chemotherapy</t>
  </si>
  <si>
    <t>fully human mab to IL-15</t>
  </si>
  <si>
    <t>Amgen reformulated 714 in a more commercially productive cell line and plans to enter p1 in 2006.</t>
  </si>
  <si>
    <t>Actual</t>
  </si>
  <si>
    <t>Neulasta 45% vs Neupogen 67% patients with gr3/4 neutropenia</t>
  </si>
  <si>
    <t>Study 171+Study170   pooled data show 0.67 HR p=0.064 for hospitalization. MI 2% in both groups.</t>
  </si>
  <si>
    <t xml:space="preserve">  Study 171 had 6 deaths, all on Aranesp. Study 170 had 18 deaths on Placebo and 11 deaths on Aranesp</t>
  </si>
  <si>
    <t>TREAT: CV morbidity &amp; mortality in T2D with CKD/anemia n=4000,  initiated 11/2004</t>
  </si>
  <si>
    <t>Reduces complications caused by uncontrolled bone mineral metabolism.</t>
  </si>
  <si>
    <t>Commentary</t>
  </si>
  <si>
    <t>CHF</t>
  </si>
  <si>
    <t>aromatase inhibitors are increasingly prescribed for BC patients, induce bone loss.</t>
  </si>
  <si>
    <t>shows 4mg IV zometa q5m upfront prevents bone loss in women receiving adjuvant letrozole</t>
  </si>
  <si>
    <t>Secondary Hyperparathyroidism in Dialysis patients; parathyroid carcinoma</t>
  </si>
  <si>
    <t>patients progressing after Sutent/Nexavar</t>
  </si>
  <si>
    <t>Marketing</t>
  </si>
  <si>
    <t>AMG222</t>
  </si>
  <si>
    <t>Servier</t>
  </si>
  <si>
    <t>89% in oral iron/no iron group. 25% received txfusion.</t>
  </si>
  <si>
    <t>94% achieved &gt;=11 g/dL between wk 5 and end of treatment in iron group. 12% received txfusion.</t>
  </si>
  <si>
    <t>90% of Procrit pts achieved hg &gt;=11g/dl</t>
  </si>
  <si>
    <t>Q108</t>
  </si>
  <si>
    <t>Q208</t>
  </si>
  <si>
    <t>Q308</t>
  </si>
  <si>
    <t>Q408</t>
  </si>
  <si>
    <t>Antigenicity was a problem with the old OPG.</t>
  </si>
  <si>
    <t>High-dose long-term corticosteroids, IVIG or Rh0(D)IG - SOC is generally not useful. Splenectomy is another option.</t>
  </si>
  <si>
    <t>No sequence homology with endogenous thrombopoietin.</t>
  </si>
  <si>
    <t>Protocol amendment eliminated the 6ug dose.</t>
  </si>
  <si>
    <t>n=24 in phase 1, n=21 in phase 2. 6 weeks of dosing, 6 weeks of followup.</t>
  </si>
  <si>
    <t>Side effects included contusions, ecchymosis or both, in 67% of patients.</t>
  </si>
  <si>
    <t>Sclerostin antibody</t>
  </si>
  <si>
    <t>n</t>
  </si>
  <si>
    <t>http://www.amgen.com/media/media_pr_detail.jsp?releaseID=940630</t>
  </si>
  <si>
    <t>500mcg Q3W for chemo-induced anemia data:</t>
  </si>
  <si>
    <t>Dropped epratuzumab</t>
  </si>
  <si>
    <t>Dropped alfimiprase</t>
  </si>
  <si>
    <t>Dropped PEG-TNF (2nd-gen enbrel)</t>
  </si>
  <si>
    <t>AMG531</t>
  </si>
  <si>
    <t>Q306: CERA Boston case procedural matters decision</t>
  </si>
  <si>
    <t>ESRD-related anemia</t>
  </si>
  <si>
    <t>bad data</t>
  </si>
  <si>
    <t>FY09</t>
  </si>
  <si>
    <t>DNA collaboration</t>
  </si>
  <si>
    <t>Cancer</t>
  </si>
  <si>
    <t>SLE</t>
  </si>
  <si>
    <t>Q203</t>
  </si>
  <si>
    <t>Q103</t>
  </si>
  <si>
    <t>FY02</t>
  </si>
  <si>
    <t>Q402</t>
  </si>
  <si>
    <t>Chemo-induced neutropenia</t>
  </si>
  <si>
    <t>JPMorgan</t>
  </si>
  <si>
    <t>FY11</t>
  </si>
  <si>
    <t>$8,000/mo</t>
  </si>
  <si>
    <t>Price Comparison</t>
  </si>
  <si>
    <t>source: Genentech -&gt; NYTimes</t>
  </si>
  <si>
    <t>Drug</t>
  </si>
  <si>
    <t>Mgfr</t>
  </si>
  <si>
    <t>Price/Month</t>
  </si>
  <si>
    <t>Erbitux</t>
  </si>
  <si>
    <t>Colorectal</t>
  </si>
  <si>
    <t>100%, NPSP</t>
  </si>
  <si>
    <t>IV as patients are already "hooked up" to the dialysis machine.</t>
  </si>
  <si>
    <t>IV requires 20% more EPO than SC.</t>
  </si>
  <si>
    <t>Fresenius Is 35% of the dialysis market. DaVita is 30%. Amgen signed a 5-year deal (2011 exp.) with Fresenius. Fresenius may have "outs".</t>
  </si>
  <si>
    <t>Camptosar</t>
  </si>
  <si>
    <t>PFE</t>
  </si>
  <si>
    <t>Colon</t>
  </si>
  <si>
    <t>Gemzar</t>
  </si>
  <si>
    <t>46% decrease in tumor progression rate versus control</t>
  </si>
  <si>
    <t>hazard ratio 66%</t>
  </si>
  <si>
    <t>avastin hazard ratio 54% in 1L</t>
  </si>
  <si>
    <t>8% response rate</t>
  </si>
  <si>
    <t>Papers</t>
  </si>
  <si>
    <t>EPO tecting the Endothelium, TE Peterson - British Journal of Pharmacology; March 2007:150, 823-825</t>
  </si>
  <si>
    <t xml:space="preserve">The EPO protein (30.4 kDa) is produced/secreted from the kidney and stimulates the proliferation and differentiation of erythroid precursors in the bone marrow. </t>
  </si>
  <si>
    <t>AMG706</t>
  </si>
  <si>
    <t>n=1250 - halted due to mortality in 706 group.</t>
  </si>
  <si>
    <t>IP</t>
  </si>
  <si>
    <t>Aranesp</t>
  </si>
  <si>
    <t>Epogen</t>
  </si>
  <si>
    <t>Neupogen</t>
  </si>
  <si>
    <t>Week 17 1.2 vs 0.8</t>
  </si>
  <si>
    <t>Median time to 1g/dl increase 35 days with Procrit vs 48 days with Aranesp (p-0.006)</t>
  </si>
  <si>
    <t>Consensus R&amp;D</t>
  </si>
  <si>
    <t>Consensus SG&amp;A</t>
  </si>
  <si>
    <t>Consensus Tax</t>
  </si>
  <si>
    <t>4 weeks: 47% of Procrit achieved PE, 33% of Aranesp achieved PE, p-val &lt;0.05</t>
  </si>
  <si>
    <t>Disease State</t>
  </si>
  <si>
    <t>anemia caused by chemotherapy in cancer patients</t>
  </si>
  <si>
    <t>n=358 hb &lt;11g/l cancer patients</t>
  </si>
  <si>
    <t>FY12</t>
  </si>
  <si>
    <t>Mean hb change:</t>
  </si>
  <si>
    <t>Week 9: 1.0 vs 0.5 Aranesp</t>
  </si>
  <si>
    <t>Week 5: 0.7 vs 0.3 Aranesp</t>
  </si>
  <si>
    <t>Week 13: 1.3 vs. 0.7</t>
  </si>
  <si>
    <t>350k dialysis patients in the US</t>
  </si>
  <si>
    <t xml:space="preserve">  3/9/2007: FDA holds public health advisory. Labels updated with boxed warnings. http://www.fda.gov/bbs/topics/NEWS/2007/NEW01582.html</t>
  </si>
  <si>
    <t>May: Aranesp 154 results (April 10 deadline for ODAC)</t>
  </si>
  <si>
    <t>Phase 3 PMO (osteopenic) prevention study n=330</t>
  </si>
  <si>
    <t>Hormone-induced bone loss in prostate cancer ("TIBL")</t>
  </si>
  <si>
    <t>n=250, enrollment complete, data possibly in 2H07. BMD endpoint.</t>
  </si>
  <si>
    <t xml:space="preserve">head-to-head with IV bisphosphonates </t>
  </si>
  <si>
    <t>Phase 3 SRE Solid Tumors</t>
  </si>
  <si>
    <t>BEST - Breast Cancer - EPO vs placebo</t>
  </si>
  <si>
    <t xml:space="preserve">OS detriment but no effect on PFS. </t>
  </si>
  <si>
    <t>Henke et al HNC</t>
  </si>
  <si>
    <t>Imbalances, locoregional endpoint difficult to measure.</t>
  </si>
  <si>
    <t>n=600 treated to 13-14 g/dl Hb. First formal survival study vs placebo.</t>
  </si>
  <si>
    <t xml:space="preserve">No stratification, deaths are adjudicated. DSMB-evaluated. </t>
  </si>
  <si>
    <t>mgmt positive, antibody in p2 for osteoarthritis. Data could be on Q3 or at ACR</t>
  </si>
  <si>
    <t>2-year extension study??? Yearly scans.</t>
  </si>
  <si>
    <t>Op Expenses</t>
  </si>
  <si>
    <t>Fully human IgG2 antibody against the EGF receptor. High affinity Kd = 5 X 10^-11 M</t>
  </si>
  <si>
    <t>20% of events have been experienced and DSMB recommends continuation. More patient-years than CHOIR.</t>
  </si>
  <si>
    <t>EVOLVE Phase III - Data in 2011</t>
  </si>
  <si>
    <t>CRI study failed does not justify continuation</t>
  </si>
  <si>
    <t>n=180, enrollment starting in Q1 2007, data in 2008</t>
  </si>
  <si>
    <t>ASCO 2006: p1 of pmab+706 and chemo in nsclc</t>
  </si>
  <si>
    <t>Phase 1/2 AMG706+Pmab+Carboplatin+Paclitaxel in 1L/2L NSCLC</t>
  </si>
  <si>
    <t>n=55, Data in 2007</t>
  </si>
  <si>
    <t>increase in hemoglobin of one gram or more per dl within the first four weeks</t>
  </si>
  <si>
    <t>Results</t>
  </si>
  <si>
    <t>Q406: Denosumab: p2 RA data at ACR</t>
  </si>
  <si>
    <t>Enbrel % of sales</t>
  </si>
  <si>
    <t>Enbrel GM%</t>
  </si>
  <si>
    <t xml:space="preserve">  Enbrel contribution</t>
  </si>
  <si>
    <t xml:space="preserve">  Other contribution</t>
  </si>
  <si>
    <t>EU 2004, US 2012-15</t>
  </si>
  <si>
    <t>Other Rev % of Sales</t>
  </si>
  <si>
    <t>Minor % of sales</t>
  </si>
  <si>
    <t>Minor GM%</t>
  </si>
  <si>
    <t xml:space="preserve">  Minor contribution</t>
  </si>
  <si>
    <t xml:space="preserve">  further improvement in BMD, consistent with fosamax</t>
  </si>
  <si>
    <t>AMG714, HuMax-IL15</t>
  </si>
  <si>
    <t>60% decrease in incidence of febrile neutropenia across all cycles (4% vs. 10%)</t>
  </si>
  <si>
    <t>50% decrease in chemo dose reductions (7% vs. 14%)</t>
  </si>
  <si>
    <t>Neulasta first cycle vs. Neulasta later cycles</t>
  </si>
  <si>
    <t>Recruitment halted on 2/23/07.</t>
  </si>
  <si>
    <t>FY13</t>
  </si>
  <si>
    <t>FY14</t>
  </si>
  <si>
    <t>febrile neutropenia defined as absolute neutrophil count (ANC) &lt; than 10(9)/L and temp &gt; 38degreesC.</t>
  </si>
  <si>
    <t>TNF-A soluble receptor</t>
  </si>
  <si>
    <t>Phase III HALT study - data in Q3/Q4 2007</t>
  </si>
  <si>
    <t>Phase II RCC</t>
  </si>
  <si>
    <t>80kU q2w vs 40kU qw resulted in 1.6 g/dL vs 1.8 g/dL change from baseline to completion.</t>
  </si>
  <si>
    <t>9.6% required txfusion vs 11.1%.</t>
  </si>
  <si>
    <t>85% of AMG531 patients achieved a platelet response</t>
  </si>
  <si>
    <t>Current Treatment</t>
  </si>
  <si>
    <t>250 study had patients &lt;1% EGFr+ cells, 3/23 PRs, 7/23 SD, 10/23 DC (43%). Median PFS 13.3wks</t>
  </si>
  <si>
    <t>167 study had patients &gt;10% EGFr+ cells, 3/39 PRs, 8/39 SD, median PFS 7.6wks.</t>
  </si>
  <si>
    <t>two p3s in treatment-induced bone loss (one BC one PC)</t>
  </si>
  <si>
    <t>two p2s in advanced cancer pts (two at ASCO)</t>
  </si>
  <si>
    <t>p2 for MM</t>
  </si>
  <si>
    <t>10m suffer from bone mets WW. 452k in the US have cancer with bone mets</t>
  </si>
  <si>
    <t>Ratiograstim/filgrastim from Ratiopharm, biograstim from CT Arzneimittel and Tevagrastim from Teva. Teva will launch by YE08.</t>
  </si>
  <si>
    <t>http://www.fda.gov/ohrms/dockets/ac/07/briefing/2007-4315b1-01-FDA.pdf</t>
  </si>
  <si>
    <t>40% of 8m CKD patients are anemic (&lt;12g/dl. 10% are &lt;11g/dl). 45% of chemo patients are anemic and Amgen feels 55% are getting Epo.</t>
  </si>
  <si>
    <t>Phase 1b Open-Label, Dose-Finding AMG706+Pmab+Gem+Cis for 1L or 2L therapy (more than 1 prior chemo is exclusion)</t>
  </si>
  <si>
    <t>Phase 1b AMG706+Pmab+FOLFIRI/FOLFOX4 in 1L/2L mCRC</t>
  </si>
  <si>
    <t>Outlicensing</t>
  </si>
  <si>
    <t>during a May 10th meeting, particularly a determination that the anemia of</t>
  </si>
  <si>
    <t>myelodysplasia (MDS) should not be included in decisions for restricted use.</t>
  </si>
  <si>
    <t>As FDA is the agency responsible for evaluating drugs for safety and</t>
  </si>
  <si>
    <t>efficacy, the Society believes CMS has overstepped its authority by</t>
  </si>
  <si>
    <t>attempting to make scientific judgments and issuing its proposal prior to</t>
  </si>
  <si>
    <t>FDA's final decisions on this issue.</t>
  </si>
  <si>
    <t>YE08/Q109: File Denosumab.</t>
  </si>
  <si>
    <t>Phase 3 RED-HF - n=3400 NYHA II-IV - initiated 6/2006</t>
  </si>
  <si>
    <t xml:space="preserve">  KRAS mutations may be a predictive genetic marker.</t>
  </si>
  <si>
    <t>Phase IB Healthy Postmenopausal Women</t>
  </si>
  <si>
    <t>Single doses inreased BMD.</t>
  </si>
  <si>
    <t xml:space="preserve">  HR=1.17, p=0.11 after prognistic factors were considered. Entry criteria included Hb &lt;11g/dL.</t>
  </si>
  <si>
    <t>phase 2 RA data on bone erosion in rheumatoid arthritis at ACR (4Q06)</t>
  </si>
  <si>
    <t>authorities would like to see study broadened to understand 706 in NSCLC circumstances beyond those currently treated by Avastin</t>
  </si>
  <si>
    <t>thus Avastin cannot be used as a global comparator</t>
  </si>
  <si>
    <t>primary endpoint: improvement of platelet count</t>
  </si>
  <si>
    <t xml:space="preserve">  Possible ocular tox and thrombosis with Promacta.</t>
  </si>
  <si>
    <t xml:space="preserve">      Panel voted not to change HB ceiling of 12 g/dl.</t>
  </si>
  <si>
    <t>Trend towards higher mortality p=0.08 was NS.</t>
  </si>
  <si>
    <t>Neulasta 1.4% vs. Nupogen 4.6% patients with FN per cycle</t>
  </si>
  <si>
    <t>VEGF-R1-R2-R3, c-Kit, Ret and PDGF-R intracellcular antagonist. Tie-2??? No inhibition?</t>
  </si>
  <si>
    <t>also be meeting with key congressional offices on May 22nd to discuss these</t>
  </si>
  <si>
    <t>concerns.</t>
  </si>
  <si>
    <t>Op Income</t>
  </si>
  <si>
    <t>If you have any questions, please contact the ASH Government Relations &amp;</t>
  </si>
  <si>
    <t xml:space="preserve">Practice Department at grassroots@hematology.org.  </t>
  </si>
  <si>
    <t>***********************************************************************</t>
  </si>
  <si>
    <t xml:space="preserve">Bear Stearns is not responsible for any recommendation, solicitation, </t>
  </si>
  <si>
    <t xml:space="preserve">offer or agreement or any information about any transaction, customer </t>
  </si>
  <si>
    <t>account or account activity contained in this communication.</t>
  </si>
  <si>
    <t>Phase 3 1L NSCLC (chemo +-706) in 2H07 (was Q107, Q406) - expect data in 2010</t>
  </si>
  <si>
    <t>Phase 2 AMG706 vs Avastin in 1L HER2- BC</t>
  </si>
  <si>
    <t>n=275, Enrolling as of Q4 2006, data in 2008.</t>
  </si>
  <si>
    <t>Phase III Post-splenectomy</t>
  </si>
  <si>
    <t>n=60, positive results on Q4 2006 call.</t>
  </si>
  <si>
    <t>n=60, results due in Q2 2007.</t>
  </si>
  <si>
    <t>Phase III Pre-splenectomy</t>
  </si>
  <si>
    <t>Phase III Open-Label</t>
  </si>
  <si>
    <t>One animal study showed the effect of treatment was sustained for 21 days postinjection, compared to 12 days for Aranesp and 7 days for Epogen.</t>
  </si>
  <si>
    <t>4.9% increase in April</t>
  </si>
  <si>
    <t>Products y/y</t>
  </si>
  <si>
    <t>SG&amp;A y/y</t>
  </si>
  <si>
    <t>Royalties y/y</t>
  </si>
  <si>
    <t>IGF-I and IGF-II bind to IGF-IR and convert the receptor from the unphosphorlyated to the activated form.</t>
  </si>
  <si>
    <t>16% of Procrit pts required a blood transfusion</t>
  </si>
  <si>
    <t>Baseline hg: 10.5 g/dL for Aranesp, 10.6 g/dL for Procrit</t>
  </si>
  <si>
    <t>Mean chg in hg: 1.9g/dL for Aranesp, 1.7g/dL for Procrit</t>
  </si>
  <si>
    <t>April 12th 2007: New KDOQI guidelines at NKF?</t>
  </si>
  <si>
    <t>27th San Antonio Breast Cancer Symposium, Abstract #6030</t>
  </si>
  <si>
    <t>Launched</t>
  </si>
  <si>
    <t>Lee Schwartzberg, MD, FACP, medical director of the West Clinic, Memphis Tenn.</t>
  </si>
  <si>
    <t>n=141</t>
  </si>
  <si>
    <t>that signals, nf-kb and JNK activation which actives and maturates osteoclasts (induces TRAP, CTR, avb3, c-src, cathespin k)</t>
  </si>
  <si>
    <t>p1/2 randomized, controlled dose-ranging study</t>
  </si>
  <si>
    <t>Haematologica 2005;90:45-43. Donadieu et al.</t>
  </si>
  <si>
    <t>Malignant myeloid transformation in congenital forms of neutropenia</t>
  </si>
  <si>
    <t>J Isr Med Assoc 2003;4:1011-4. Freedman et al.</t>
  </si>
  <si>
    <t>Severe chronic neutropenia: treatment and follow-up of patients in the Severe Chronic Neutropenia International Registry</t>
  </si>
  <si>
    <t>ITP: idiopathic thrombocytopenic purpura. Patients develop autoantibodies to their own platelets.</t>
  </si>
  <si>
    <t xml:space="preserve">  Sensipar gets PTH down while the vitamin D analogs do not? There are survival benefits associated with Vitamin D.</t>
  </si>
  <si>
    <t>n=65, data in 2007</t>
  </si>
  <si>
    <t>n=95 for NSCLC, n=77 for lymphoma</t>
  </si>
  <si>
    <t>Enrollment complete, data available in 2H 2007</t>
  </si>
  <si>
    <t>FY06</t>
  </si>
  <si>
    <t xml:space="preserve">  Other GM%</t>
  </si>
  <si>
    <t>"Imbalance" in the number of deaths across the four arms of the study.</t>
  </si>
  <si>
    <t>Investigators report all deaths are unrelated to the study drugs.</t>
  </si>
  <si>
    <t xml:space="preserve">  Efficacy data under review according to Amgen. Data to be published in Q2 2007 (was originally early 2007).</t>
  </si>
  <si>
    <t xml:space="preserve">  Company noted "clear evidence of biological activity".</t>
  </si>
  <si>
    <t>Zemplar, Hectorol</t>
  </si>
  <si>
    <t>calcimimetic, reduces PTH and phosphorous</t>
  </si>
  <si>
    <t>AMG114</t>
  </si>
  <si>
    <t>Injectable</t>
  </si>
  <si>
    <t>ESRD mortality study - Lipitor did not work in this patient population but there is reason to believe Sensipar will</t>
  </si>
  <si>
    <t>vascular calcification occurs in these patients.</t>
  </si>
  <si>
    <t>mouse monoclonal antibody (a-IR-3) directed against a-subunit of IGF-IR (6). Antibodies have to avoid blocking insulin-induced InsR activation</t>
  </si>
  <si>
    <t>EM164 - IMGN/SNY</t>
  </si>
  <si>
    <t>downstream signaling includes phosphorylated insulin receptor substrate-1, phosphorylated PKB or phosphorylated p70-s6 kinase</t>
  </si>
  <si>
    <t>IMC-A14 - binds at 0.04nM. This antibody induces receptor internalization and down-regulation, substantially reducing the # of available IGF-Irs on the cell surface.</t>
  </si>
  <si>
    <t>decrease in proliferation marker Ki67 and increase in TUNEL+ cells</t>
  </si>
  <si>
    <t>CP-751,871 - PFE p1 - fully human IgG2 anti-IGF-IR antibody generated by Xenomouse. Dissociation constant of 1.5nM. IC50 1.8nM in culture. IGF-1 induced receptor autophosphorylation IC50 of 0.42nM</t>
  </si>
  <si>
    <t>rankl inhibition reduces tumor growth in animal models of metatatic disease</t>
  </si>
  <si>
    <t>primary endpoint: reduction in serum M or myeloma protein</t>
  </si>
  <si>
    <t>bone turnover in metastatic breast cancer data at ASCO</t>
  </si>
  <si>
    <t>May 20th 2007: CERA PDUFA date</t>
  </si>
  <si>
    <t>ASP+6% is the current reimbursement schedule.</t>
  </si>
  <si>
    <t>Q106</t>
  </si>
  <si>
    <t>Q406</t>
  </si>
  <si>
    <t>Consensus Enbrel</t>
  </si>
  <si>
    <t>Q206: Sensipar's EVOLVE initiated</t>
  </si>
  <si>
    <t>JNJ</t>
  </si>
  <si>
    <t>I</t>
  </si>
  <si>
    <t>3 PRs out of 7 - p2 ongoing and fully enrolled (started in 2005) #3030</t>
  </si>
  <si>
    <t>A double-blind placebo-controlled trial of G-CSF in elderly patients with previously untreated AML: a SWOG study (9031).</t>
  </si>
  <si>
    <t>Blood 1998;91:3607-15.</t>
  </si>
  <si>
    <t>Myelodysplasia and leukemia after treatment of aplastic anemia with G-CSF.</t>
  </si>
  <si>
    <t>NEJM 1992;326:1294-5.</t>
  </si>
  <si>
    <t>The colony stimulating factors. Discovery, development and clinical applications</t>
  </si>
  <si>
    <t>Cancer 1990;65:2185-95.</t>
  </si>
  <si>
    <t>G-CSF and GM-CSF.</t>
  </si>
  <si>
    <t>NEJM 1992;327:99-106. Lieschke et al.</t>
  </si>
  <si>
    <t>Medicare database meta-analysis from 1991 to 1999. 1.7% vs 1.0% developed AML/MDS (GCSF/no GCSF).</t>
  </si>
  <si>
    <t>Not statistically robust, Amgen downplays as irrelevant, minimum reaction from Wall Street.</t>
  </si>
  <si>
    <t>AMG208</t>
  </si>
  <si>
    <t>Cmet inhibitor</t>
  </si>
  <si>
    <t>Oral small molecule</t>
  </si>
  <si>
    <t>AMG811</t>
  </si>
  <si>
    <t>Lupus</t>
  </si>
  <si>
    <t>Nplate</t>
  </si>
  <si>
    <t>4/16/2007 - Amgen press release discloses '103 details.</t>
  </si>
  <si>
    <t>1/27/2007 - Dear Doctor letter sent to oncologists.</t>
  </si>
  <si>
    <t>Reducing RBC transfusions was the primary endpoint and was not met (p=0.32, HR=0.85).</t>
  </si>
  <si>
    <t xml:space="preserve">  SS % of patients with a hemoglobin response (p&lt;0.0001), % of patients with hemoglobin correction (p&lt;0.001), and % of patients with hematopoietic response (p=0.002).</t>
  </si>
  <si>
    <t>48.5% deaths vs 46.0% deaths in placebo (HR=1.29, p=0.006).</t>
  </si>
  <si>
    <t>Patients received 6.75mcg/kg q4w.</t>
  </si>
  <si>
    <t>Mat</t>
  </si>
  <si>
    <t>Dis</t>
  </si>
  <si>
    <t>NPV</t>
  </si>
  <si>
    <t>primary endpoint: evaluation of patient safety</t>
  </si>
  <si>
    <t>Manufacturing</t>
  </si>
  <si>
    <t>10/16/2007: FDA letters released showing FDA concurs that CMS decision is appropriate. http://www.house.gov/stark/news/110th/letters/20071012-esa.pdf</t>
  </si>
  <si>
    <t>degree of patient safety and to protect against not only the overuse of</t>
  </si>
  <si>
    <t>ESAs, but their underuse and misuse as well. Consequently, the Society is</t>
  </si>
  <si>
    <t>deeply concerned that CMS's proposed coverage decision inappropriately</t>
  </si>
  <si>
    <t>restricts use of ESAs because a number of the proposals are not supported by</t>
  </si>
  <si>
    <t>8/30/2007: ASCO asks CMS to reconsider EPO reimbursement. Unlikely to see a major revision.</t>
  </si>
  <si>
    <t>7/2007: CMS revises reimbursement for EPOs, lowering threshold to &lt;10g/dL.</t>
  </si>
  <si>
    <t>Osteoarthritis</t>
  </si>
  <si>
    <t>Mechanism</t>
  </si>
  <si>
    <t>Recombinant Protein</t>
  </si>
  <si>
    <t>Oral RTK inhibitor</t>
  </si>
  <si>
    <t>Phase 2 metastatic thyroid cancer - Enrollment completed in April 2006 - Published NEJM 2008</t>
  </si>
  <si>
    <t>BRAF V600E gene showed tumor response.</t>
  </si>
  <si>
    <t>administration. ASH believes these proposals are not clear or scientifically</t>
  </si>
  <si>
    <t xml:space="preserve">based, and should be excluded from coverage limitations. </t>
  </si>
  <si>
    <t>ASH believes CMS's proposed policy would have significant adverse</t>
  </si>
  <si>
    <t>consequences for patients with hematologic malignancies, particularly MDS.</t>
  </si>
  <si>
    <t>The Society will share its scientific justifications and recommendations</t>
  </si>
  <si>
    <t>with CMS by June 14 - the close of the public comment period, and hopes that</t>
  </si>
  <si>
    <t>the final policy will address its concerns. ASH's Committee on Practice will</t>
  </si>
  <si>
    <t>FY07</t>
  </si>
  <si>
    <t>April/May: Judge Young sets hearing date</t>
  </si>
  <si>
    <t>just began p3s in 9/2005</t>
  </si>
  <si>
    <t>Q102</t>
  </si>
  <si>
    <t>Q202</t>
  </si>
  <si>
    <t>Q302</t>
  </si>
  <si>
    <t xml:space="preserve">    5/10/2007: FDA holds advisory committee. Proposes restricting label to certain tumor types and defining a baseline hemoglobin target.</t>
  </si>
  <si>
    <t>Phase II open-label in ITP - NEJM 2006, Bussel et al.</t>
  </si>
  <si>
    <t>Thrombopoietic receptor "peptibody" agonist, stimulates thrombopoiesis.</t>
  </si>
  <si>
    <t>Subcutaneous qw.</t>
  </si>
  <si>
    <t xml:space="preserve">  4/41 patients had transient post-treatment worsening of thrombocytopenia.</t>
  </si>
  <si>
    <t>Treatment was effective even in patients who had splenectomy. Efficacy was dose-dependent.</t>
  </si>
  <si>
    <t xml:space="preserve">  Target range was 50k-400k platelets per cubic mm.</t>
  </si>
  <si>
    <t xml:space="preserve">  10/16 patients received targeted platelet range with 1 or 3ug/kg qw for 6 weeks.</t>
  </si>
  <si>
    <t>70,000-100,000 patients prevalence in the US. Annual incidence is 16,000.</t>
  </si>
  <si>
    <t>kinase inhibitors - problems due to high sequence identity at the kinase domains of IGF-IR and InsR (84%) and the ATP-binding pocket (100%)</t>
  </si>
  <si>
    <t>Interim GIST data became available during Q2 and will be presented in Q4. Evidence of clinical activity but median follow-up only ten months and median survival was not reached at that point.</t>
  </si>
  <si>
    <t>Cholecystitis and gall bladder enlargement observed - 2-3% of patients have developed this.</t>
  </si>
  <si>
    <t>Q105</t>
  </si>
  <si>
    <t>Q205</t>
  </si>
  <si>
    <t>Q305</t>
  </si>
  <si>
    <t>Q405</t>
  </si>
  <si>
    <t>Q107</t>
  </si>
  <si>
    <t>Q207</t>
  </si>
  <si>
    <t>Q307</t>
  </si>
  <si>
    <t>Q407</t>
  </si>
  <si>
    <t>AEs similar</t>
  </si>
  <si>
    <t>2 phase 2 studies presented at ASCO.</t>
  </si>
  <si>
    <t>Phase 1 First In Human in n=43 advanced solid tumors - Roy Herbst at MD Anderson</t>
  </si>
  <si>
    <t>Am J Hematol 2003;72:82-93 Dale et al.</t>
  </si>
  <si>
    <t>Nplate (romiplostim)</t>
  </si>
  <si>
    <t>Takeda</t>
  </si>
  <si>
    <t>II</t>
  </si>
  <si>
    <t>AMG223</t>
  </si>
  <si>
    <t>Phase III head-to-head vs Renagel</t>
  </si>
  <si>
    <t>Tetraploid myeloid cells in donors of peripheral blood stem cells treated with rhG-CSF.</t>
  </si>
  <si>
    <t>Bone Marrow Transplant 2003;32:31-4. Kaplinsky et al.</t>
  </si>
  <si>
    <t>Am J Hematology 2003;73:33-6. Shapira et al.</t>
  </si>
  <si>
    <t>G-CSF and the risk of secondary myeloid malignancy after etoposide treatment.</t>
  </si>
  <si>
    <t>Blood 2003;101:3863-7. Relling et al.</t>
  </si>
  <si>
    <t>AML: and MDS after doxorubicin-cyclophosphamide adjuvant therapy for operable breast cancer: the NSABP experience.</t>
  </si>
  <si>
    <t>JCO 2003;21:1195-204. Smith et al.</t>
  </si>
  <si>
    <t>Patients with &gt;2g/dl increase by week 9 (44 vs 25, p=0.0006), by end of study (57 vs 41) = 0.0027</t>
  </si>
  <si>
    <t>5/15/05 - Presented at ASCO - Waltzman, #8030</t>
  </si>
  <si>
    <t>Final results of a phase 3, randomized, open-label study of Aranesp 200mcg q2w vs Procrit qw in chemo-induced anemia - Glaspy, ASCO 2005 #8125</t>
  </si>
  <si>
    <t>n=1220 hb &lt;11g/dl cancer patients.</t>
  </si>
  <si>
    <t>Acquired by AMLN</t>
  </si>
  <si>
    <t>7.1 vs 6.5% change in FACT-An (Aranesp vs Procrit). 4.2 vs 3.5 in FACT-F. 10.2 vs 10.2 baseline hb, 11.8 vs 11.9 end of study hb</t>
  </si>
  <si>
    <t>78% vs 81% patients achieving hb target. 74% vs 80% patients maintaing target. 21% vs 16% patients receiving RBC txfusion (Aranesp vs Procrit)</t>
  </si>
  <si>
    <t>all p-vals NS. Glaspy notes the study demonstrates non-inferiority</t>
  </si>
  <si>
    <t>Procrit 40k qw or Procrit 120k q3w after 3 weeks of everyone receiving 40k qw. NCCTG Study N02C2 - Steensma ASCO 2005 #8031</t>
  </si>
  <si>
    <t>Patients receiving txfusion: 23% for 40k vs. 18% for 120k, p=0.22</t>
  </si>
  <si>
    <t>Patients receiving txfusion during maintenance only: 13% vs 15%. Mean hb at end of study: 12.0 vs 11.5 p=0.0006.</t>
  </si>
  <si>
    <t>Mean increase from baseline to end: 1.8 vs. 1.4 p=0.01. Patients achieving target of 13 g/dl: 65% vs 43% p&lt;0.0001.</t>
  </si>
  <si>
    <t>Large Community-Based Clinical Trial in Older Cancer Patients Suggests Benefits of Neulasta in First and Subsequent Cycles Of Chemotherapy</t>
  </si>
  <si>
    <t>patients</t>
  </si>
  <si>
    <t>older cancer patients with solid tumors</t>
  </si>
  <si>
    <t>HGF/SF antibody</t>
  </si>
  <si>
    <t>IL-4 and IL-13 antibody</t>
  </si>
  <si>
    <t>Angiopoietin fusion protein</t>
  </si>
  <si>
    <t>TRAIL Soluble Protein</t>
  </si>
  <si>
    <t>IL-1 antibody</t>
  </si>
  <si>
    <t>Comments</t>
  </si>
  <si>
    <t>Reduction of oral mucositis in hematologic malignancies.</t>
  </si>
  <si>
    <t>Chemo-induced mucositis in solid tumors.</t>
  </si>
  <si>
    <t>Q206: Denosumab: interim p2 PMO data dose-finding study - will complete in 2007. 3-year as expected</t>
  </si>
  <si>
    <t>Vectibix</t>
  </si>
  <si>
    <t>mCRC in patients who have failed prior oxaliplatin- and irinotecan-containing regimens.</t>
  </si>
  <si>
    <t>September 28th 2006: Vectibix PDUFA</t>
  </si>
  <si>
    <t>January 2007: Q4 2006 earnings - Vectibix interim data</t>
  </si>
  <si>
    <t>May provide a registration pathway, however Zactima may also file in mTC.</t>
  </si>
  <si>
    <t>Phase 1 thyroid cancer dose-finding study</t>
  </si>
  <si>
    <t>panitumumab</t>
  </si>
  <si>
    <t>Dosing</t>
  </si>
  <si>
    <t>Q2W vs QW for Erbitux</t>
  </si>
  <si>
    <t>Guidance</t>
  </si>
  <si>
    <t>Peak sales of $2B</t>
  </si>
  <si>
    <t>Week 8 RR 9%, 10% ORR, 38% SD</t>
  </si>
  <si>
    <t>n=150 Vectibix, to begin in 2H 2007. Data in 2010-2011</t>
  </si>
  <si>
    <t>CERA attempting to launch in 2007. 4 patents on epo in the US were infringed upon by TKTX and AVE.</t>
  </si>
  <si>
    <t>September 2001. 10% share in dialysis (generally hospital-based dialysis clinics use Aranesp as they get a bundled price).</t>
  </si>
  <si>
    <t>Regulatory</t>
  </si>
  <si>
    <t>Recommended for approval by EMEA. What date?</t>
  </si>
  <si>
    <t>27% benefit rate, 3 PR and 24 SD&gt;= 22 weeks. At week 8, 23% OR by FDG-PET, 33% OR by Choi. Median PFS 16wks, 26-week PFS of 27%, MOS 59 weeks.</t>
  </si>
  <si>
    <t>55% diarrhea, 48% HTN, 45% fatigue, 47% headache, 35% nausea</t>
  </si>
  <si>
    <t>GIST Phase II Data</t>
  </si>
  <si>
    <t>Study began in August 2006. Completed Enrollment of n=1150 in 1/08. PFS primary.</t>
  </si>
  <si>
    <t>Phase 3 "181" 2L mCRC chemo +- pmab n=1100 - currently enrolling as of Q406 - Data in 2009-2010.</t>
  </si>
  <si>
    <t>FOLFIRI PFS/OS co-primary n=1100 will complete by Q108</t>
  </si>
  <si>
    <t>9/4/2007: Senate passes non-binding resolution calling on CMS to reconsider NCD.</t>
  </si>
  <si>
    <t>Mucositis market is 400k pts/yr (patients with solids receiving chemo/radiation)</t>
  </si>
  <si>
    <t>Street expectations of $300m</t>
  </si>
  <si>
    <t>AMGN has said at 2004 R&amp;D day it expected peak WW sales &gt;1B.</t>
  </si>
  <si>
    <t>Head and Neck p3 trial started 10/04. Data to support FDA filing/off-label use in 06-07</t>
  </si>
  <si>
    <t>Phase II in MDS in combination with Revlimid</t>
  </si>
  <si>
    <t>Activation triggers the initiation of activation of the Ras-Raf-MAPK and PI3K-PKB pathways (primarily result in proliferation, transformation and inhibition of apoptosis)</t>
  </si>
  <si>
    <t>Upregulated levels of IGF-1R and its cognate ligands have been observed in a variety of tumors.</t>
  </si>
  <si>
    <t>MDS and AML in patients with congenital neutropenia receiving G-CSF therapy.</t>
  </si>
  <si>
    <t>Blood 2000;96:429-36. Freedman et al.</t>
  </si>
  <si>
    <t>Hematological malignancies developing in previously healthy individuals who received hematopoietic growth factors: report from RADAR</t>
  </si>
  <si>
    <t>AMG-208</t>
  </si>
  <si>
    <t>c-Met small molecule inhibitor</t>
  </si>
  <si>
    <t>Phase I/II n=66 in advanced solid tumors</t>
  </si>
  <si>
    <t>Angipoietin antagonist</t>
  </si>
  <si>
    <t>Phase I/II - mBC</t>
  </si>
  <si>
    <t>IFN-gamma antibody</t>
  </si>
  <si>
    <t>AMG-811</t>
  </si>
  <si>
    <t>Interferon-gamma antibody</t>
  </si>
  <si>
    <t>Phase I/II in lupus</t>
  </si>
  <si>
    <t>Phase II 2L mCRC KRAS mutants, including AMG655 arm n=150</t>
  </si>
  <si>
    <t>GBM, RCC</t>
  </si>
  <si>
    <t>IV half-life 3x that of Procrit.</t>
  </si>
  <si>
    <t>Phase III ARCTOS (CERA vs Aranesp) in CKD</t>
  </si>
  <si>
    <t>n=324 EPO-naïve patients randomized to CERA q2w vs Aranesp qw for 28 weeks.</t>
  </si>
  <si>
    <t xml:space="preserve">  CERA responders then were randomized to CERA q2w or CERA qm.</t>
  </si>
  <si>
    <t>CERA had a 97.5% RR, Aranesp had 96.3%.</t>
  </si>
  <si>
    <t>Phase III AMICUS (CERA vs Epogen) in dialysis</t>
  </si>
  <si>
    <t>n=181 (135 CERA, 46 Epogen). CERA was dosed q2w, Epogen tiw.</t>
  </si>
  <si>
    <t>CERA had a 93.3% RR vs 91.3% for Epogen.</t>
  </si>
  <si>
    <t>n=673 treated with Epo for 4 weeks then randomized to Epogen tiw, CERA q2w or CERA qm.</t>
  </si>
  <si>
    <t>10/3/08: DC Judge Young grants permanent injunction vs Mircera.</t>
  </si>
  <si>
    <t>no survival benefit - may be occluded by crossover confound (intentional?)</t>
  </si>
  <si>
    <t>Avastin+IFL has 11 months PFS, Vectibix+FOLFIRI has additional 4m PFS. 15m PFS would be impressive for PACCE.</t>
  </si>
  <si>
    <t>15% of Aranesp pts had 1 or more SAE</t>
  </si>
  <si>
    <t>Procrit q2w study positive at ASCO 2006</t>
  </si>
  <si>
    <t>Lancet Oncology 2004;5;461.</t>
  </si>
  <si>
    <t>Vectibix y/y</t>
  </si>
  <si>
    <t>ALL</t>
  </si>
  <si>
    <t>n=824 oxali, n=229 irino</t>
  </si>
  <si>
    <t xml:space="preserve">  25% of events interim data becomes available in Q2 2007</t>
  </si>
  <si>
    <t xml:space="preserve">    5/18/2007:  ASCO and ASH dispute CMS decision.</t>
  </si>
  <si>
    <t>ASH will be commenting on the proposed policy and is planning a meeting with</t>
  </si>
  <si>
    <t>CMS to discuss concerns, in particular:</t>
  </si>
  <si>
    <t>*     Exclusion of use of ESAs to treat anemia of myelodysplasia. MDS is a</t>
  </si>
  <si>
    <t>bone marrow failure syndrome that can lead to leukemia. Effective treatment</t>
  </si>
  <si>
    <t>options for MDS are limited. As ASH indicated in preliminary comments to CMS</t>
  </si>
  <si>
    <t>and to the FDA, there is evidence to support the use of ESAs in patients</t>
  </si>
  <si>
    <t>with anemia associated with low-risk MDS (less than 5 percent blasts in</t>
  </si>
  <si>
    <t xml:space="preserve">their bone marrow) to decrease the need for blood transfusions. </t>
  </si>
  <si>
    <t>*     Maximum covered treatment duration of 12 weeks/year. ASH believes</t>
  </si>
  <si>
    <t>that the treatment recommendation should be based upon the disease. For</t>
  </si>
  <si>
    <t>chronic anemia of MDS, for example, the patient may require chronic</t>
  </si>
  <si>
    <t>FY10</t>
  </si>
  <si>
    <t xml:space="preserve">  98% of cancer patients are below 12 at treatment initiation -- Amgen. 86%-97%?</t>
  </si>
  <si>
    <t>Safety concerns have plagued EPO usage.</t>
  </si>
  <si>
    <t xml:space="preserve">  1/2007: Amgen announces phase 3 '103 Anemia of Cancer study showed a survival detriment for Aranesp. Amgen issues a Dear Doctor letter.</t>
  </si>
  <si>
    <t xml:space="preserve">  2006: CHOIR completes and is published (CHOIR didn’t follow patients into dialysis).</t>
  </si>
  <si>
    <t>p2 presented at EULAR in n=55 who had failed at least one DMARD. At week 14 - 53% had ACR50 and 25% had ACR70. placebo had 36% ACR 50 and 21% ACR70.</t>
  </si>
  <si>
    <t>meta-analysis for CHF did well, p3s initiating in Q4 2005?</t>
  </si>
  <si>
    <t>disappointing p2 results, probably gets cancelled</t>
  </si>
  <si>
    <t>mab that inhibits HGF (hepatocyte growth factor)</t>
  </si>
  <si>
    <t>Paragraph 4 certified 6/2008. Filed 3/10/2008.</t>
  </si>
  <si>
    <t>Neulasta 3.7% vs Neupogen 4.9% patients with SAEs related to infections.</t>
  </si>
  <si>
    <t>all #s a little better with Cipro</t>
  </si>
  <si>
    <t>non-randomized study</t>
  </si>
  <si>
    <t>May 10: EPO ODAC meeting</t>
  </si>
  <si>
    <t>Operating Margin</t>
  </si>
  <si>
    <t>Net Margin</t>
  </si>
  <si>
    <t>Works extremely well against Glivec-resistant tumors in xenograft PCs</t>
  </si>
  <si>
    <t>Doubled platelets counts for 94% of patients with ITP</t>
  </si>
  <si>
    <t>"No doubt it increases BMD"--RP.</t>
  </si>
  <si>
    <t>Chemo-Induced Thrombocytopenia, MDS</t>
  </si>
  <si>
    <t>Biggest market according to Amgen. One must treat prophylactically.</t>
  </si>
  <si>
    <t>Administration</t>
  </si>
  <si>
    <t>47 other kinases are not inhibited by AMG706 at less than 1 UM. C-Kit profile similar to Glivec</t>
  </si>
  <si>
    <t>MDS - 21k new patients/yr - Aranesp has high response rate - q3w dosing, 500mcg - #6564</t>
  </si>
  <si>
    <t>n=196, 100 received IV iron</t>
  </si>
  <si>
    <t>n=227 had positive 6-month results. 12-month results confirmed these and will be published in 2007.</t>
  </si>
  <si>
    <t>Phase 2 2-year PMO data as ASMBR 9/23-9/27</t>
  </si>
  <si>
    <t>Aranesp is given mostly SC, some IV. Dosing intervals range from qw to qm. Procrit dosing is qw and sometimes q2w or longer.</t>
  </si>
  <si>
    <t>Recombinant sialylated erythropoietin.</t>
  </si>
  <si>
    <t>Phase 3 DAHANCA 10 HNC</t>
  </si>
  <si>
    <t>Q206: AMG531: ITP phase 3 complete enrollment for both studies</t>
  </si>
  <si>
    <t>Q206: Aranesp RED-HF enrollment begins</t>
  </si>
  <si>
    <t>Q206: Aranesp p3 cancer of anemia study enrollment completed</t>
  </si>
  <si>
    <t>48-week update at ASH 2006?</t>
  </si>
  <si>
    <t>8 SAE infections requiring hospitalization vs 1 in placebo. 11% SAE infections vs 5.5% for placebo. 4 neoplasms vs 1 for placebo.</t>
  </si>
  <si>
    <t>scFv-Fc-IGF-IR: chimeric single-chain antibody generated by fusing Fc domain of human IgG1 with the Fv region of 1H7 (previously characterized mouse mab)</t>
  </si>
  <si>
    <t>Q2 2006: company notes price stability, segment growth and overall share gains. ASP adoption is less than 25% in Managed Care. CAP unlikely to impact business. ASP+15% is the average now.</t>
  </si>
  <si>
    <t>Unknown</t>
  </si>
  <si>
    <t>Penetration</t>
  </si>
  <si>
    <t>Q3: 50%, Q4: 50% (of the 600,000 first-cycle chemo)</t>
  </si>
  <si>
    <r>
      <t>Reference:</t>
    </r>
    <r>
      <rPr>
        <sz val="10"/>
        <color indexed="63"/>
        <rFont val="Verdana"/>
        <family val="2"/>
      </rPr>
      <t xml:space="preserve"> Jagasia MH, Greer JP, Morgan DS, et al. Pegfilgrastim after high-dose chemotherapy and autologous peripheral blood stem cell transplant: phase II study. </t>
    </r>
    <r>
      <rPr>
        <i/>
        <sz val="10"/>
        <color indexed="63"/>
        <rFont val="Verdana"/>
        <family val="2"/>
      </rPr>
      <t>Bone Marrow Transplantation.</t>
    </r>
    <r>
      <rPr>
        <sz val="10"/>
        <color indexed="63"/>
        <rFont val="Verdana"/>
        <family val="2"/>
      </rPr>
      <t xml:space="preserve"> 2005;35:1165-1169.</t>
    </r>
  </si>
  <si>
    <t xml:space="preserve">  what % of patients were eligible for surgical resection? '699 study showed that in RR &lt;40%, adding Avastin didn't help RR</t>
  </si>
  <si>
    <t>Reimbursement</t>
  </si>
  <si>
    <t>Q206: Stada files EU biogeneric application for EPO</t>
  </si>
  <si>
    <t>Phase II dose-finding study in 1L NSCLC patients with anemia</t>
  </si>
  <si>
    <t>PK</t>
  </si>
  <si>
    <t>GM BUILDER</t>
  </si>
  <si>
    <t>EPO % of sales</t>
  </si>
  <si>
    <t>EPO GM%</t>
  </si>
  <si>
    <t>MC</t>
  </si>
  <si>
    <t>Cash</t>
  </si>
  <si>
    <t>Debt</t>
  </si>
  <si>
    <t>EV</t>
  </si>
  <si>
    <t>9/11/2007: CV and Renal panel committee.</t>
  </si>
  <si>
    <t>Randomly sample 5% of all dialysis patients in the country. 2005 report was just released in 12/2006.</t>
  </si>
  <si>
    <t>Phase 3 adjuvant CRC n=3000 to begin in Q207/Q307 - Cooperative group sponsered - Data in 2011</t>
  </si>
  <si>
    <t>Phase 3 adjuvant CRC n=2200 to begin in Q407/Q108 - Company sponsered - Data in 2010-2011.</t>
  </si>
  <si>
    <t>Phase 2 3L mCRC</t>
  </si>
  <si>
    <t>5.2m duration of response, 7.9m median OS</t>
  </si>
  <si>
    <t>Phase 1/2 706+pmab studies</t>
  </si>
  <si>
    <t>Phase 2 1L Locally Advanced SCCHN</t>
  </si>
  <si>
    <t>Approved</t>
  </si>
  <si>
    <t>AML or MDS Following Use of Granulocyte Colony-Stimulating Factors During Breast Cancer Adjuvant Chemotherapy</t>
  </si>
  <si>
    <t>Hershman et Al, JNCI 2007.</t>
  </si>
  <si>
    <t>Chemotherapy-induced neutropenia.</t>
  </si>
  <si>
    <t>Reduces the need for chemo dose reductions related to myelosuppression and allows for greater chemo dose intensity.</t>
  </si>
  <si>
    <t>filgrastim</t>
  </si>
  <si>
    <t>Granulocyte-macrophage colony-stimulating factor (GM-CSF) as adjunct therapy in relapsed Hodgkin disease</t>
  </si>
  <si>
    <t>Ann Internal Medicine 1992; 116:177-82. Gulati et al.</t>
  </si>
  <si>
    <t>12-month data presented at ASMBR 2008. Hip BMD improvement of 1.9% vs 1.0% for Fosamax. Hip BMD primary endpoint.</t>
  </si>
  <si>
    <t>Spine increased 3.0% vs 1.8%, neck was 1.4% vs 0.4%.</t>
  </si>
  <si>
    <t>Neoplasm was 3.6% vs 3.6%, infections 44% vs 37% but serious infections 0.4% vs 1.2%.</t>
  </si>
  <si>
    <t>PACCE n=1050, Avastin+- pmab in 1L mCRC</t>
  </si>
  <si>
    <t>Primary endpoint: PFS in avastin+oxali/irino+-pmab</t>
  </si>
  <si>
    <t>Q2W dosing. BOND is a comparable study</t>
  </si>
  <si>
    <t>Phase 3 pivotal US study - n=463 chemo-refractory</t>
  </si>
  <si>
    <t>RR similar between two groups as of week 12 for first 500 patients (Q406 call).</t>
  </si>
  <si>
    <t>AMG076</t>
  </si>
  <si>
    <t>AMG071</t>
  </si>
  <si>
    <t>AMG706 (motesanib)</t>
  </si>
  <si>
    <t>motesanib diphosphate</t>
  </si>
  <si>
    <t>EPS with options</t>
  </si>
  <si>
    <t>EPS without options</t>
  </si>
  <si>
    <t>http://www.medicalnewstoday.com/medicalnews.php?newsid=25564</t>
  </si>
  <si>
    <t>October 19 2009: Denosumab PDUFA</t>
  </si>
  <si>
    <t>Mucositis</t>
  </si>
  <si>
    <t>Sensipar/Mimpara (cinacalcet)</t>
  </si>
  <si>
    <t>Cancer, mPC</t>
  </si>
  <si>
    <t>13g/dl is the high target. Data in 2010. Possibly 2009?</t>
  </si>
  <si>
    <t>Denosumab vs Zometa. Phase 2 data was as good if not better --RP.</t>
  </si>
  <si>
    <t>30 cases of ONJ seen so far. Big debate is superiority or not. Zometa adsorbs to bone and Denosumab does not.</t>
  </si>
  <si>
    <t>Q309: Vectibix 1L and 2L Phase III mCRC results.</t>
  </si>
  <si>
    <t>Protocol re-written halfway through for KRAS sample testing.</t>
  </si>
  <si>
    <t>PRIME "203" - Phase 3 1L mCRC oxali+- pmab n=1183 Data in Q309 (was 09-10)</t>
  </si>
  <si>
    <t>Phase 3 1L Recurrent or Metastatic SCCH&amp;N "SPECTRUM"</t>
  </si>
  <si>
    <t>n=650, to begin Q2/Q3 2007. Completed enrollment Q109. Data in 2009 or 2010</t>
  </si>
  <si>
    <t>Mab to DR5.</t>
  </si>
  <si>
    <t>mOS 11 months vs 6 months control.</t>
  </si>
  <si>
    <t>Phase I Gem+655 in pancreatic</t>
  </si>
  <si>
    <t>DR5 mab</t>
  </si>
  <si>
    <t>CYTK</t>
  </si>
  <si>
    <t>Q309: Carbo+Tax+-655 NSCLC</t>
  </si>
  <si>
    <t>NSCLC</t>
  </si>
  <si>
    <t>Phase II Carbo+Tax+-655 in 1L NSCLC n=172</t>
  </si>
  <si>
    <t>Data in Q309</t>
  </si>
  <si>
    <t>August 13 2009: Denosumab AdCom</t>
  </si>
  <si>
    <t>Phase IV Safety Study - Prostate Cancer - Cataracts</t>
  </si>
  <si>
    <t>n=760 with cataract development as primary endpoint</t>
  </si>
  <si>
    <t>4.7% cataracts vs 1.2% for placebo.</t>
  </si>
  <si>
    <t>Aclasta a-fib issue? Fosamax, Boniva, Actenol. Odanacatib. GLPG0187</t>
  </si>
  <si>
    <t>Phase III ECOG1996 - n=110 MDS</t>
  </si>
  <si>
    <t>3.1y mOS vs 2.6y for control, p=NS.</t>
  </si>
  <si>
    <t>Sutent 1L CRC study fails.</t>
  </si>
  <si>
    <t>Q309: Denosumab mBC SRE study</t>
  </si>
  <si>
    <t>Phase 3 SRE Breast Cancer - "Study 0136" = n=2049</t>
  </si>
  <si>
    <t>GSK Ex-US</t>
  </si>
  <si>
    <t>RANK ligand antibody; RANK is the primary regulator of bone resorption. RANKL binds to RANK.</t>
  </si>
  <si>
    <t>Primary endpoint is vertebral fracture reduction. This was met and SS vs placebo. 2.3% incidence vs 7.2% for placebo, 68% decrease.</t>
  </si>
  <si>
    <t>Phase 3 PMO n=7800 (Denosumab vs Placebo) "FREEDOM, FIRST, 216 study" NEJM 361;8:2009.</t>
  </si>
  <si>
    <t>vertebral deformity in opg knockout mice. RANKL knockout mice have no osteoclasts, teeth and have osteoporosis</t>
  </si>
  <si>
    <t>Zero ONJ but 3.7% cancer vs. 3.2% (144 vs 125) and 4.1% infection vs 3.4% (159 vs 133).</t>
  </si>
  <si>
    <t>Prolia (denosumab)</t>
  </si>
  <si>
    <t>Prolia (fka AMG162)</t>
  </si>
  <si>
    <t>20 vs 14 ONJ for dmab vs Zometa.</t>
  </si>
  <si>
    <t>Results: SUPERIOR, HR=0.82 (18% reduction) for time to first event, HR=0.77 and 23% reduction in time to first and subsequent event. OS HR=0.95, PFS HR=0.99.</t>
  </si>
  <si>
    <t>Q110</t>
  </si>
  <si>
    <t>Q210</t>
  </si>
  <si>
    <t>Q310</t>
  </si>
  <si>
    <t>Q410</t>
  </si>
  <si>
    <t>February 2010: FDA REMS call.</t>
  </si>
  <si>
    <t>5/14/2010: Filed Denosumab for cancer.</t>
  </si>
  <si>
    <t>Net Income</t>
  </si>
  <si>
    <t>L+SE</t>
  </si>
  <si>
    <t>D&amp;A</t>
  </si>
  <si>
    <t>GSK in PMO in Europe.</t>
  </si>
  <si>
    <t>500-1000 reps will be used in the US. Pricing will be an issue given biphos price - in the US biphos costs $1200/year, in Europe it's $600/yeaer.</t>
  </si>
  <si>
    <t>Phase 3 "147 study" treatment/prevention of bone mets in prostate cancer - data in 2H10</t>
  </si>
  <si>
    <t>Phase 3 prostate cancer bone metastases prevention - Q1 2010 data - head-to-head versus Zomenta - Presented at ASCO 2010</t>
  </si>
  <si>
    <t>n=1901, reduction in SRE is primary. 120mg injection qm.</t>
  </si>
  <si>
    <t>20.7m for Prolia vs 17.1m for Zometa. HR=0.82. 2.3% ONJ vs 1.3% ONJ.</t>
  </si>
  <si>
    <t>Phase III Myeloma Survival Study vs clodronate.</t>
  </si>
  <si>
    <t>16% improvement in OS. P=0.01.</t>
  </si>
  <si>
    <t>Phase II mOC n=150</t>
  </si>
  <si>
    <t>7.2m, 5.7m, 4.6m</t>
  </si>
  <si>
    <t>Phase I NSCLC Carbo+Taxol+479</t>
  </si>
  <si>
    <t>Status</t>
  </si>
  <si>
    <t>Suspended?</t>
  </si>
  <si>
    <t>EU 2006, US 2013. TEVA ANDA.</t>
  </si>
  <si>
    <t>AMG151 deal with Array is embarassing.</t>
  </si>
  <si>
    <t>Prolia</t>
  </si>
  <si>
    <t>DPP4 inlicense is embarassing,</t>
  </si>
  <si>
    <t>Sharer (D)</t>
  </si>
  <si>
    <t>Perlmutter (D)</t>
  </si>
  <si>
    <t>CFO musical chairs (D)</t>
  </si>
  <si>
    <t>Q111</t>
  </si>
  <si>
    <t>Q211</t>
  </si>
  <si>
    <t>Q311</t>
  </si>
  <si>
    <t>Q411</t>
  </si>
  <si>
    <t>Xgeva</t>
  </si>
  <si>
    <t>Prolia y/y</t>
  </si>
  <si>
    <t>FY17</t>
  </si>
  <si>
    <t>FY16</t>
  </si>
  <si>
    <t>ROIC</t>
  </si>
  <si>
    <t>Q112</t>
  </si>
  <si>
    <t>Q212</t>
  </si>
  <si>
    <t>Q312</t>
  </si>
  <si>
    <t>Q412</t>
  </si>
  <si>
    <t>Xgeva y/y</t>
  </si>
  <si>
    <t>Cholesterol</t>
  </si>
  <si>
    <t>PCSK9</t>
  </si>
  <si>
    <t>Chemo- and CRF-related anemia</t>
  </si>
  <si>
    <t>RA, Psoriasis, PsA, AS, JRA</t>
  </si>
  <si>
    <t xml:space="preserve"> Hyperparathyroidism</t>
  </si>
  <si>
    <t>3L mColorectal Cancer</t>
  </si>
  <si>
    <t>PMO</t>
  </si>
  <si>
    <t>ITP</t>
  </si>
  <si>
    <t>Q114</t>
  </si>
  <si>
    <t>CD19</t>
  </si>
  <si>
    <t>Filing</t>
  </si>
  <si>
    <t>AMG827 (brodalumab)</t>
  </si>
  <si>
    <t>AZN</t>
  </si>
  <si>
    <t>talimogene laherparepvec</t>
  </si>
  <si>
    <t>Melanoma</t>
  </si>
  <si>
    <t>AMG157</t>
  </si>
  <si>
    <t>Anti-TSLP</t>
  </si>
  <si>
    <t>IL-17 antibody</t>
  </si>
  <si>
    <t>Psoriasis, Psoriatic Arthritis</t>
  </si>
  <si>
    <t>Q214</t>
  </si>
  <si>
    <t>Q113</t>
  </si>
  <si>
    <t>Q213</t>
  </si>
  <si>
    <t>Q313</t>
  </si>
  <si>
    <t>Q413</t>
  </si>
  <si>
    <t>Q314</t>
  </si>
  <si>
    <t>Q414</t>
  </si>
  <si>
    <t>Q115</t>
  </si>
  <si>
    <t>Q215</t>
  </si>
  <si>
    <t>Q315</t>
  </si>
  <si>
    <t>Q415</t>
  </si>
  <si>
    <t>Kyprolis</t>
  </si>
  <si>
    <t>ivabradine</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</si>
  <si>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</si>
  <si>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</si>
  <si>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</si>
  <si>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</si>
  <si>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</si>
  <si>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</si>
  <si>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</si>
  <si>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</si>
  <si>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</si>
  <si>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</si>
  <si>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</si>
  <si>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</si>
  <si>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</si>
  <si>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</si>
  <si>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</si>
  <si>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</si>
  <si>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</si>
  <si>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</si>
  <si>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</si>
  <si>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</si>
  <si>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</si>
  <si>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</si>
  <si>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</si>
  <si>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</si>
  <si>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</si>
  <si>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</si>
  <si>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</si>
  <si>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</si>
  <si>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</si>
  <si>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</si>
  <si>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</si>
  <si>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</si>
  <si>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Evenity</t>
  </si>
  <si>
    <t>Repatha</t>
  </si>
  <si>
    <t>Aimovig</t>
  </si>
  <si>
    <t>Tezspire</t>
  </si>
  <si>
    <t>Otezla</t>
  </si>
  <si>
    <t>Amgevita</t>
  </si>
  <si>
    <t>Lumakras</t>
  </si>
  <si>
    <t>Blincyto</t>
  </si>
  <si>
    <t>Mvasi</t>
  </si>
  <si>
    <t>Kanjinti</t>
  </si>
  <si>
    <t>Parsabiv</t>
  </si>
  <si>
    <t>9/12/2022: investor conference</t>
  </si>
  <si>
    <t>9/12/2022: Lumakras data with Vectibix</t>
  </si>
  <si>
    <t>Brand</t>
  </si>
  <si>
    <t>MOA</t>
  </si>
  <si>
    <t>Outcome</t>
  </si>
  <si>
    <t>Divested</t>
  </si>
  <si>
    <t>Lumakras (sotorasib)</t>
  </si>
  <si>
    <t>KRAS inhibitor</t>
  </si>
  <si>
    <t>EGFr antibody</t>
  </si>
  <si>
    <t>RANK antibody</t>
  </si>
  <si>
    <t>9/11/2022: Lumakras NSCLC Phase III results</t>
  </si>
  <si>
    <t>Generic</t>
  </si>
  <si>
    <t>sotorasib</t>
  </si>
  <si>
    <t>Kras G12C</t>
  </si>
  <si>
    <t>Lumakras, Lumykras in Europe</t>
  </si>
  <si>
    <t>KRAS G12C+ NSCLC</t>
  </si>
  <si>
    <t>Phase III "CodeBreaK 300" Lumakras + Vectibix mCRC</t>
  </si>
  <si>
    <t>n=40 3L Vectibix combination arm 30% ORR, 5.7m mPFS</t>
  </si>
  <si>
    <t>Phase Ib "CodeBreaK 101" mCRC</t>
  </si>
  <si>
    <t>Phase II "CodeBreaK 201"</t>
  </si>
  <si>
    <t>Phase I/II "CodeBreaK 100" FIH</t>
  </si>
  <si>
    <t>Phase III "CodeBreaK 200" - Lumakras vs. docetaxel</t>
  </si>
  <si>
    <t>25% 1-year PFS vs. 10% for docetaxel</t>
  </si>
  <si>
    <t>median PFS 5.6 vs. 4.5 months, HR=0.66, p=0.002.</t>
  </si>
  <si>
    <t>no OS difference, but 1/3rd of docetaxel patients crossed over</t>
  </si>
  <si>
    <t>Tavneos</t>
  </si>
  <si>
    <t>Repatha (evolocumab)</t>
  </si>
  <si>
    <t>Blincyto (blinatumomab)</t>
  </si>
  <si>
    <t>Tepezza</t>
  </si>
  <si>
    <t>491</t>
  </si>
  <si>
    <t>616</t>
  </si>
  <si>
    <t>Krystexxa</t>
  </si>
  <si>
    <t>192</t>
  </si>
  <si>
    <t>158</t>
  </si>
  <si>
    <t>Ravicti</t>
  </si>
  <si>
    <t>84</t>
  </si>
  <si>
    <t>76</t>
  </si>
  <si>
    <t>Procysbi</t>
  </si>
  <si>
    <t>58</t>
  </si>
  <si>
    <t>49</t>
  </si>
  <si>
    <t>Uplinza</t>
  </si>
  <si>
    <t>44</t>
  </si>
  <si>
    <t>19</t>
  </si>
  <si>
    <t>Actimmune</t>
  </si>
  <si>
    <t>34</t>
  </si>
  <si>
    <t>30</t>
  </si>
  <si>
    <t>480</t>
  </si>
  <si>
    <t>453</t>
  </si>
  <si>
    <t>130</t>
  </si>
  <si>
    <t>168</t>
  </si>
  <si>
    <t>68</t>
  </si>
  <si>
    <t>50</t>
  </si>
  <si>
    <t>48</t>
  </si>
  <si>
    <t>39</t>
  </si>
  <si>
    <t>15</t>
  </si>
  <si>
    <t>28</t>
  </si>
  <si>
    <t>287</t>
  </si>
  <si>
    <t>109</t>
  </si>
  <si>
    <t>344</t>
  </si>
  <si>
    <t>2</t>
  </si>
  <si>
    <t>590</t>
  </si>
  <si>
    <t>502</t>
  </si>
  <si>
    <t>129</t>
  </si>
  <si>
    <t>107</t>
  </si>
  <si>
    <t>170</t>
  </si>
  <si>
    <t>141</t>
  </si>
  <si>
    <t>65</t>
  </si>
  <si>
    <t>70</t>
  </si>
  <si>
    <t>73</t>
  </si>
  <si>
    <t>75</t>
  </si>
  <si>
    <t>78</t>
  </si>
  <si>
    <t>43</t>
  </si>
  <si>
    <t>47</t>
  </si>
  <si>
    <t>26</t>
  </si>
  <si>
    <t>31</t>
  </si>
  <si>
    <t>36</t>
  </si>
  <si>
    <t>29</t>
  </si>
  <si>
    <t>166</t>
  </si>
  <si>
    <t>80</t>
  </si>
  <si>
    <t>66</t>
  </si>
  <si>
    <t>0</t>
  </si>
  <si>
    <t>41</t>
  </si>
  <si>
    <t>Krypolis (carfilzomib)</t>
  </si>
  <si>
    <t>Evenity (romosozumab)</t>
  </si>
  <si>
    <t>Parsabiv (etelcalcetide)</t>
  </si>
  <si>
    <t>Amgevita (adalimumab)</t>
  </si>
  <si>
    <t>Tavneos (avacopan)</t>
  </si>
  <si>
    <t>Otezla (apremilast)</t>
  </si>
  <si>
    <t>CEO: Robert Bradway</t>
  </si>
  <si>
    <t>Q124</t>
  </si>
  <si>
    <t>Q224</t>
  </si>
  <si>
    <t>Q324</t>
  </si>
  <si>
    <t>Q424</t>
  </si>
  <si>
    <t>Q125</t>
  </si>
  <si>
    <t>Q225</t>
  </si>
  <si>
    <t>Q325</t>
  </si>
  <si>
    <t>Q425</t>
  </si>
  <si>
    <t>Imdelltra</t>
  </si>
  <si>
    <t>Imdelltra (tarlatamab)</t>
  </si>
  <si>
    <t>DLL3-CD3</t>
  </si>
  <si>
    <t>ES-SCLC</t>
  </si>
  <si>
    <t>Ultra-Rare</t>
  </si>
  <si>
    <t>Buphenyl</t>
  </si>
  <si>
    <t>Quinsair</t>
  </si>
  <si>
    <t>Riabni</t>
  </si>
  <si>
    <t>Corlanor</t>
  </si>
  <si>
    <t>Avsola</t>
  </si>
  <si>
    <t>Imlygic</t>
  </si>
  <si>
    <t>Bekemv</t>
  </si>
  <si>
    <t>Wezlana</t>
  </si>
  <si>
    <t>Rayos</t>
  </si>
  <si>
    <t>Pennsaid</t>
  </si>
  <si>
    <t>6/10/2023: Completes Horizon acquisition.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</si>
</sst>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23">
    <font>
      <sz val="10"/>
      <name val="Arial"/>
    </font>
    <font>
      <sz val="10"/>
      <name val="Arial"/>
      <family val="2"/>
    </font>
    <font>
      <u/>
      <sz val="10"/>
      <color indexed="12"/>
      <name val="Arial"/>
      <family val="2"/>
    </font>
    <font>
      <sz val="8"/>
      <name val="Arial"/>
      <family val="2"/>
    </font>
    <font>
      <i/>
      <sz val="10"/>
      <name val="Arial"/>
      <family val="2"/>
    </font>
    <font>
      <sz val="8"/>
      <color indexed="81"/>
      <name val="Tahoma"/>
      <family val="2"/>
    </font>
    <font>
      <u/>
      <sz val="10"/>
      <name val="Arial"/>
      <family val="2"/>
    </font>
    <font>
      <b/>
      <sz val="10"/>
      <name val="Arial"/>
      <family val="2"/>
    </font>
    <font>
      <b/>
      <i/>
      <sz val="10"/>
      <name val="Arial"/>
      <family val="2"/>
    </font>
    <font>
      <sz val="10"/>
      <name val="Arial"/>
      <family val="2"/>
    </font>
    <font>
      <b/>
      <sz val="8"/>
      <color indexed="81"/>
      <name val="Tahoma"/>
      <family val="2"/>
    </font>
    <font>
      <sz val="10"/>
      <color indexed="63"/>
      <name val="Verdana"/>
      <family val="2"/>
    </font>
    <font>
      <b/>
      <sz val="10"/>
      <color indexed="63"/>
      <name val="Verdana"/>
      <family val="2"/>
    </font>
    <font>
      <i/>
      <sz val="10"/>
      <color indexed="63"/>
      <name val="Verdana"/>
      <family val="2"/>
    </font>
    <font>
      <b/>
      <u/>
      <sz val="10"/>
      <name val="Arial"/>
      <family val="2"/>
    </font>
    <font>
      <vertAlign val="subscript"/>
      <sz val="10"/>
      <name val="Arial"/>
      <family val="2"/>
    </font>
    <font>
      <b/>
      <u/>
      <sz val="10"/>
      <color indexed="12"/>
      <name val="Arial"/>
      <family val="2"/>
    </font>
    <font>
      <b/>
      <sz val="10"/>
      <color indexed="10"/>
      <name val="Arial"/>
      <family val="2"/>
    </font>
    <font>
      <sz val="10"/>
      <color indexed="12"/>
      <name val="Arial"/>
      <family val="2"/>
    </font>
    <font>
      <sz val="10"/>
      <name val="Courier New"/>
      <family val="3"/>
    </font>
    <font>
      <sz val="10"/>
      <name val="Arial Unicode MS"/>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19">
    <xf numFmtId="0" fontId="0" fillId="0" borderId="0" xfId="0"/>
    <xf numFmtId="0" fontId="0" fillId="2" borderId="1"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0" xfId="0" applyFill="1"/>
    <xf numFmtId="0" fontId="0" fillId="2" borderId="4" xfId="0" applyFill="1" applyBorder="1"/>
    <xf numFmtId="0" fontId="0" fillId="2" borderId="0" xfId="0" applyFill="1" applyAlignment="1">
      <alignment horizontal="center"/>
    </xf>
    <xf numFmtId="0" fontId="0" fillId="2" borderId="5" xfId="0" applyFill="1" applyBorder="1" applyAlignment="1">
      <alignment horizontal="center"/>
    </xf>
    <xf numFmtId="0" fontId="0" fillId="2" borderId="6" xfId="0" applyFill="1" applyBorder="1"/>
    <xf numFmtId="0" fontId="0" fillId="2" borderId="7" xfId="0" applyFill="1" applyBorder="1" applyAlignment="1">
      <alignment horizontal="center"/>
    </xf>
    <xf numFmtId="0" fontId="2" fillId="2" borderId="0" xfId="1" applyFill="1" applyAlignment="1" applyProtection="1"/>
    <xf numFmtId="0" fontId="2" fillId="0" borderId="0" xfId="1" applyAlignment="1" applyProtection="1"/>
    <xf numFmtId="9" fontId="0" fillId="2" borderId="0" xfId="0" applyNumberFormat="1" applyFill="1" applyAlignment="1">
      <alignment horizontal="center"/>
    </xf>
    <xf numFmtId="0" fontId="6" fillId="0" borderId="0" xfId="0" applyFont="1"/>
    <xf numFmtId="0" fontId="7" fillId="2" borderId="0" xfId="0" applyFont="1" applyFill="1"/>
    <xf numFmtId="164" fontId="0" fillId="2" borderId="0" xfId="0" applyNumberFormat="1" applyFill="1"/>
    <xf numFmtId="0" fontId="9" fillId="2" borderId="0" xfId="0" applyFont="1" applyFill="1"/>
    <xf numFmtId="0" fontId="0" fillId="2" borderId="8" xfId="0" applyFill="1" applyBorder="1"/>
    <xf numFmtId="3" fontId="0" fillId="2" borderId="0" xfId="0" applyNumberFormat="1" applyFill="1" applyAlignment="1">
      <alignment horizontal="center"/>
    </xf>
    <xf numFmtId="165" fontId="0" fillId="2" borderId="0" xfId="0" applyNumberFormat="1" applyFill="1"/>
    <xf numFmtId="0" fontId="0" fillId="3" borderId="0" xfId="0" applyFill="1"/>
    <xf numFmtId="0" fontId="12" fillId="0" borderId="0" xfId="0" applyFont="1"/>
    <xf numFmtId="0" fontId="14" fillId="2" borderId="0" xfId="0" applyFont="1" applyFill="1"/>
    <xf numFmtId="0" fontId="4" fillId="2" borderId="0" xfId="0" applyFont="1" applyFill="1"/>
    <xf numFmtId="0" fontId="0" fillId="2" borderId="5" xfId="0" applyFill="1" applyBorder="1"/>
    <xf numFmtId="0" fontId="2" fillId="2" borderId="4" xfId="1" applyFill="1" applyBorder="1" applyAlignment="1" applyProtection="1"/>
    <xf numFmtId="3" fontId="0" fillId="2" borderId="0" xfId="0" applyNumberFormat="1" applyFill="1"/>
    <xf numFmtId="9" fontId="0" fillId="2" borderId="0" xfId="0" applyNumberFormat="1" applyFill="1"/>
    <xf numFmtId="0" fontId="16" fillId="2" borderId="0" xfId="1" applyFont="1" applyFill="1" applyAlignment="1" applyProtection="1"/>
    <xf numFmtId="0" fontId="9" fillId="2" borderId="0" xfId="0" applyFont="1" applyFill="1" applyAlignment="1">
      <alignment horizontal="center"/>
    </xf>
    <xf numFmtId="164" fontId="4" fillId="2" borderId="0" xfId="0" applyNumberFormat="1" applyFont="1" applyFill="1"/>
    <xf numFmtId="164" fontId="7" fillId="2" borderId="0" xfId="0" applyNumberFormat="1" applyFont="1" applyFill="1"/>
    <xf numFmtId="3" fontId="7" fillId="2" borderId="0" xfId="0" applyNumberFormat="1" applyFont="1" applyFill="1"/>
    <xf numFmtId="0" fontId="8" fillId="2" borderId="0" xfId="0" applyFont="1" applyFill="1"/>
    <xf numFmtId="9" fontId="4" fillId="2" borderId="0" xfId="0" applyNumberFormat="1" applyFont="1" applyFill="1" applyAlignment="1">
      <alignment horizontal="center"/>
    </xf>
    <xf numFmtId="164" fontId="8" fillId="2" borderId="0" xfId="0" applyNumberFormat="1" applyFont="1" applyFill="1"/>
    <xf numFmtId="0" fontId="4" fillId="2" borderId="0" xfId="0" applyFont="1" applyFill="1" applyAlignment="1">
      <alignment horizontal="center"/>
    </xf>
    <xf numFmtId="164" fontId="9" fillId="2" borderId="0" xfId="0" applyNumberFormat="1" applyFont="1" applyFill="1"/>
    <xf numFmtId="165" fontId="4" fillId="2" borderId="0" xfId="0" applyNumberFormat="1" applyFont="1" applyFill="1"/>
    <xf numFmtId="0" fontId="0" fillId="2" borderId="9" xfId="0" applyFill="1" applyBorder="1"/>
    <xf numFmtId="0" fontId="0" fillId="2" borderId="12" xfId="0" applyFill="1" applyBorder="1"/>
    <xf numFmtId="0" fontId="0" fillId="2" borderId="10" xfId="0" applyFill="1" applyBorder="1"/>
    <xf numFmtId="0" fontId="0" fillId="2" borderId="11" xfId="0" applyFill="1" applyBorder="1"/>
    <xf numFmtId="0" fontId="0" fillId="2" borderId="13" xfId="0" applyFill="1" applyBorder="1"/>
    <xf numFmtId="0" fontId="9" fillId="2" borderId="5" xfId="0" applyFont="1" applyFill="1" applyBorder="1" applyAlignment="1">
      <alignment horizontal="center"/>
    </xf>
    <xf numFmtId="0" fontId="0" fillId="2" borderId="14" xfId="0" applyFill="1" applyBorder="1"/>
    <xf numFmtId="0" fontId="0" fillId="2" borderId="15" xfId="0" applyFill="1" applyBorder="1"/>
    <xf numFmtId="0" fontId="0" fillId="2" borderId="16" xfId="0" applyFill="1" applyBorder="1"/>
    <xf numFmtId="0" fontId="14" fillId="0" borderId="0" xfId="0" applyFont="1"/>
    <xf numFmtId="16" fontId="0" fillId="2" borderId="0" xfId="0" applyNumberFormat="1" applyFill="1"/>
    <xf numFmtId="14" fontId="0" fillId="2" borderId="0" xfId="0" applyNumberFormat="1" applyFill="1"/>
    <xf numFmtId="0" fontId="17" fillId="2" borderId="0" xfId="0" applyFont="1" applyFill="1"/>
    <xf numFmtId="9" fontId="9" fillId="2" borderId="0" xfId="0" applyNumberFormat="1" applyFont="1" applyFill="1" applyAlignment="1">
      <alignment horizontal="center"/>
    </xf>
    <xf numFmtId="0" fontId="9" fillId="0" borderId="0" xfId="0" applyFont="1"/>
    <xf numFmtId="4" fontId="0" fillId="2" borderId="0" xfId="0" applyNumberFormat="1" applyFill="1"/>
    <xf numFmtId="0" fontId="18" fillId="2" borderId="0" xfId="0" applyFont="1" applyFill="1"/>
    <xf numFmtId="0" fontId="19" fillId="2" borderId="0" xfId="0" applyFont="1" applyFill="1"/>
    <xf numFmtId="0" fontId="20" fillId="2" borderId="0" xfId="0" applyFont="1" applyFill="1"/>
    <xf numFmtId="17" fontId="0" fillId="2" borderId="0" xfId="0" applyNumberFormat="1" applyFill="1"/>
    <xf numFmtId="9" fontId="0" fillId="2" borderId="7" xfId="0" applyNumberFormat="1" applyFill="1" applyBorder="1" applyAlignment="1">
      <alignment horizontal="center"/>
    </xf>
    <xf numFmtId="0" fontId="2" fillId="2" borderId="0" xfId="1" applyFill="1" applyBorder="1" applyAlignment="1" applyProtection="1"/>
    <xf numFmtId="2" fontId="0" fillId="2" borderId="0" xfId="0" applyNumberFormat="1" applyFill="1"/>
    <xf numFmtId="9" fontId="0" fillId="2" borderId="0" xfId="0" applyNumberFormat="1" applyFill="1" applyAlignment="1">
      <alignment horizontal="right"/>
    </xf>
    <xf numFmtId="4" fontId="9" fillId="2" borderId="0" xfId="0" applyNumberFormat="1" applyFont="1" applyFill="1" applyAlignment="1">
      <alignment horizontal="right"/>
    </xf>
    <xf numFmtId="0" fontId="4" fillId="2" borderId="4" xfId="0" applyFont="1" applyFill="1" applyBorder="1"/>
    <xf numFmtId="0" fontId="4" fillId="2" borderId="5" xfId="0" applyFont="1" applyFill="1" applyBorder="1"/>
    <xf numFmtId="0" fontId="0" fillId="3" borderId="5" xfId="0" applyFill="1" applyBorder="1" applyAlignment="1">
      <alignment horizontal="center"/>
    </xf>
    <xf numFmtId="3" fontId="0" fillId="2" borderId="0" xfId="0" applyNumberFormat="1" applyFill="1" applyAlignment="1">
      <alignment horizontal="right"/>
    </xf>
    <xf numFmtId="0" fontId="9" fillId="2" borderId="4" xfId="0" applyFont="1" applyFill="1" applyBorder="1"/>
    <xf numFmtId="0" fontId="9" fillId="4" borderId="0" xfId="0" applyFont="1" applyFill="1"/>
    <xf numFmtId="0" fontId="9" fillId="2" borderId="0" xfId="0" applyFont="1" applyFill="1" applyAlignment="1">
      <alignment horizontal="right"/>
    </xf>
    <xf numFmtId="0" fontId="0" fillId="2" borderId="0" xfId="0" applyFill="1" applyAlignment="1">
      <alignment horizontal="right"/>
    </xf>
    <xf numFmtId="164" fontId="0" fillId="2" borderId="0" xfId="0" applyNumberFormat="1" applyFill="1" applyAlignment="1">
      <alignment horizontal="right"/>
    </xf>
    <xf numFmtId="3" fontId="1" fillId="2" borderId="0" xfId="0" applyNumberFormat="1" applyFont="1" applyFill="1" applyAlignment="1">
      <alignment horizontal="right"/>
    </xf>
    <xf numFmtId="3" fontId="9" fillId="2" borderId="0" xfId="0" applyNumberFormat="1" applyFont="1" applyFill="1" applyAlignment="1">
      <alignment horizontal="right"/>
    </xf>
    <xf numFmtId="3" fontId="7" fillId="2" borderId="0" xfId="0" applyNumberFormat="1" applyFont="1" applyFill="1" applyAlignment="1">
      <alignment horizontal="right"/>
    </xf>
    <xf numFmtId="2" fontId="7" fillId="2" borderId="0" xfId="0" applyNumberFormat="1" applyFont="1" applyFill="1" applyAlignment="1">
      <alignment horizontal="right"/>
    </xf>
    <xf numFmtId="2" fontId="0" fillId="2" borderId="0" xfId="0" applyNumberFormat="1" applyFill="1" applyAlignment="1">
      <alignment horizontal="right"/>
    </xf>
    <xf numFmtId="9" fontId="9" fillId="2" borderId="0" xfId="0" applyNumberFormat="1" applyFont="1" applyFill="1" applyAlignment="1">
      <alignment horizontal="right"/>
    </xf>
    <xf numFmtId="165" fontId="4" fillId="2" borderId="0" xfId="0" applyNumberFormat="1" applyFont="1" applyFill="1" applyAlignment="1">
      <alignment horizontal="right"/>
    </xf>
    <xf numFmtId="165" fontId="0" fillId="2" borderId="0" xfId="0" applyNumberFormat="1" applyFill="1" applyAlignment="1">
      <alignment horizontal="right"/>
    </xf>
    <xf numFmtId="4" fontId="4" fillId="2" borderId="0" xfId="0" applyNumberFormat="1" applyFont="1" applyFill="1" applyAlignment="1">
      <alignment horizontal="right"/>
    </xf>
    <xf numFmtId="164" fontId="4" fillId="2" borderId="0" xfId="0" applyNumberFormat="1" applyFont="1" applyFill="1" applyAlignment="1">
      <alignment horizontal="right"/>
    </xf>
    <xf numFmtId="164" fontId="8" fillId="2" borderId="0" xfId="0" applyNumberFormat="1" applyFont="1" applyFill="1" applyAlignment="1">
      <alignment horizontal="right"/>
    </xf>
    <xf numFmtId="165" fontId="8" fillId="2" borderId="0" xfId="0" applyNumberFormat="1" applyFont="1" applyFill="1" applyAlignment="1">
      <alignment horizontal="right"/>
    </xf>
    <xf numFmtId="164" fontId="7" fillId="2" borderId="0" xfId="0" applyNumberFormat="1" applyFont="1" applyFill="1" applyAlignment="1">
      <alignment horizontal="right"/>
    </xf>
    <xf numFmtId="9" fontId="4" fillId="2" borderId="0" xfId="0" applyNumberFormat="1" applyFont="1" applyFill="1" applyAlignment="1">
      <alignment horizontal="right"/>
    </xf>
    <xf numFmtId="165" fontId="7" fillId="2" borderId="0" xfId="0" applyNumberFormat="1" applyFont="1" applyFill="1" applyAlignment="1">
      <alignment horizontal="right"/>
    </xf>
    <xf numFmtId="9" fontId="7" fillId="2" borderId="0" xfId="0" applyNumberFormat="1" applyFont="1" applyFill="1" applyAlignment="1">
      <alignment horizontal="right"/>
    </xf>
    <xf numFmtId="0" fontId="7" fillId="2" borderId="0" xfId="0" applyFont="1" applyFill="1" applyAlignment="1">
      <alignment horizontal="right"/>
    </xf>
    <xf numFmtId="4" fontId="0" fillId="2" borderId="0" xfId="0" applyNumberFormat="1" applyFill="1" applyAlignment="1">
      <alignment horizontal="right"/>
    </xf>
    <xf numFmtId="2" fontId="7" fillId="2" borderId="0" xfId="0" applyNumberFormat="1" applyFont="1" applyFill="1"/>
    <xf numFmtId="165" fontId="9" fillId="2" borderId="0" xfId="0" applyNumberFormat="1" applyFont="1" applyFill="1"/>
    <xf numFmtId="165" fontId="9" fillId="2" borderId="0" xfId="0" applyNumberFormat="1" applyFont="1" applyFill="1" applyAlignment="1">
      <alignment horizontal="right"/>
    </xf>
    <xf numFmtId="0" fontId="9" fillId="2" borderId="5" xfId="0" applyFont="1" applyFill="1" applyBorder="1"/>
    <xf numFmtId="0" fontId="9" fillId="2" borderId="0" xfId="0" quotePrefix="1" applyFont="1" applyFill="1" applyAlignment="1">
      <alignment horizontal="center"/>
    </xf>
    <xf numFmtId="4" fontId="7" fillId="2" borderId="0" xfId="0" applyNumberFormat="1" applyFont="1" applyFill="1" applyAlignment="1">
      <alignment horizontal="right"/>
    </xf>
    <xf numFmtId="3" fontId="1" fillId="2" borderId="0" xfId="0" applyNumberFormat="1" applyFont="1" applyFill="1"/>
    <xf numFmtId="3" fontId="9" fillId="2" borderId="0" xfId="0" applyNumberFormat="1" applyFont="1" applyFill="1"/>
    <xf numFmtId="164" fontId="9" fillId="2" borderId="0" xfId="0" applyNumberFormat="1" applyFont="1" applyFill="1" applyAlignment="1">
      <alignment horizontal="right"/>
    </xf>
    <xf numFmtId="0" fontId="2" fillId="0" borderId="0" xfId="1" applyFill="1" applyAlignment="1" applyProtection="1"/>
    <xf numFmtId="9" fontId="0" fillId="0" borderId="0" xfId="0" applyNumberFormat="1"/>
    <xf numFmtId="0" fontId="1" fillId="0" borderId="0" xfId="0" applyFont="1"/>
    <xf numFmtId="0" fontId="1" fillId="2" borderId="0" xfId="0" applyFont="1" applyFill="1" applyAlignment="1">
      <alignment horizontal="center"/>
    </xf>
    <xf numFmtId="14" fontId="9" fillId="2" borderId="0" xfId="0" applyNumberFormat="1" applyFont="1" applyFill="1" applyAlignment="1">
      <alignment horizontal="center"/>
    </xf>
    <xf numFmtId="0" fontId="2" fillId="2" borderId="6" xfId="1" applyFill="1" applyBorder="1" applyAlignment="1" applyProtection="1"/>
    <xf numFmtId="0" fontId="0" fillId="2" borderId="8" xfId="0" applyFill="1" applyBorder="1" applyAlignment="1">
      <alignment horizontal="center"/>
    </xf>
    <xf numFmtId="0" fontId="1" fillId="2" borderId="0" xfId="0" applyFont="1" applyFill="1" applyAlignment="1">
      <alignment horizontal="right"/>
    </xf>
    <xf numFmtId="3" fontId="0" fillId="5" borderId="0" xfId="0" applyNumberFormat="1" applyFill="1" applyAlignment="1">
      <alignment horizontal="right"/>
    </xf>
    <xf numFmtId="3" fontId="0" fillId="0" borderId="0" xfId="0" applyNumberFormat="1" applyAlignment="1">
      <alignment horizontal="right"/>
    </xf>
    <xf numFmtId="0" fontId="1" fillId="2" borderId="4" xfId="0" applyFont="1" applyFill="1" applyBorder="1"/>
    <xf numFmtId="3" fontId="1" fillId="2" borderId="0" xfId="0" quotePrefix="1" applyNumberFormat="1" applyFont="1" applyFill="1" applyAlignment="1">
      <alignment horizontal="right"/>
    </xf>
    <xf numFmtId="0" fontId="1" fillId="2" borderId="4" xfId="1" applyFont="1" applyFill="1" applyBorder="1" applyAlignment="1" applyProtection="1"/>
    <xf numFmtId="0" fontId="1" fillId="2" borderId="0" xfId="0" applyFont="1" applyFill="1"/>
    <xf numFmtId="0" fontId="0" fillId="2" borderId="4" xfId="0" applyFont="1" applyFill="1" applyBorder="1"/>
    <xf numFmtId="0" fontId="0" fillId="0" borderId="0" xfId="0" applyFill="1" applyAlignment="1">
      <alignment horizontal="right"/>
    </xf>
    <xf numFmtId="0" fontId="9" fillId="0" borderId="0" xfId="0" applyFont="1" applyFill="1" applyAlignment="1">
      <alignment horizontal="right"/>
    </xf>
    <xf numFmtId="3" fontId="0" fillId="0" borderId="0" xfId="0" applyNumberFormat="1" applyFill="1" applyAlignment="1">
      <alignment horizontal="right"/>
    </xf>
    <xf numFmtId="3" fontId="1" fillId="0" borderId="0" xfId="0" applyNumberFormat="1" applyFont="1" applyFill="1" applyAlignment="1">
      <alignment horizontal="right"/>
    </xf>
  </cellXfs>
  <cellStyles count="2">
    <cellStyle name="Hyperlink" xfId="1" builtinId="8"/>
    <cellStyle name="Normal" xfId="0" builtinId="0"/>
  </cellStyles>
  <dxfs count="0"/>
  <tableStyles count="1" defaultTableStyle="TableStyleMedium9" defaultPivotStyle="PivotStyleLight16">
    <tableStyle name="Invisible" pivot="0" table="0" count="0" xr9:uid="{7ADB328C-FA71-4AC0-8BEC-5FC992F1D06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96</xdr:col>
      <xdr:colOff>44094</xdr:colOff>
      <xdr:row>0</xdr:row>
      <xdr:rowOff>0</xdr:rowOff>
    </xdr:from>
    <xdr:to>
      <xdr:col>96</xdr:col>
      <xdr:colOff>44094</xdr:colOff>
      <xdr:row>85</xdr:row>
      <xdr:rowOff>78500</xdr:rowOff>
    </xdr:to>
    <xdr:sp macro="" textlink="">
      <xdr:nvSpPr>
        <xdr:cNvPr id="13021" name="Line 1">
          <a:extLst>
            <a:ext uri="{FF2B5EF4-FFF2-40B4-BE49-F238E27FC236}">
              <a16:creationId xmlns:a16="http://schemas.microsoft.com/office/drawing/2014/main" id="{A4A39B7A-2A3C-8991-F420-74139758DF0B}"/>
            </a:ext>
          </a:extLst>
        </xdr:cNvPr>
        <xdr:cNvSpPr>
          <a:spLocks noChangeShapeType="1"/>
        </xdr:cNvSpPr>
      </xdr:nvSpPr>
      <xdr:spPr bwMode="auto">
        <a:xfrm>
          <a:off x="46990438" y="0"/>
          <a:ext cx="0" cy="13740922"/>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127</xdr:col>
      <xdr:colOff>16328</xdr:colOff>
      <xdr:row>0</xdr:row>
      <xdr:rowOff>0</xdr:rowOff>
    </xdr:from>
    <xdr:to>
      <xdr:col>127</xdr:col>
      <xdr:colOff>16328</xdr:colOff>
      <xdr:row>86</xdr:row>
      <xdr:rowOff>0</xdr:rowOff>
    </xdr:to>
    <xdr:sp macro="" textlink="">
      <xdr:nvSpPr>
        <xdr:cNvPr id="13022" name="Line 109">
          <a:extLst>
            <a:ext uri="{FF2B5EF4-FFF2-40B4-BE49-F238E27FC236}">
              <a16:creationId xmlns:a16="http://schemas.microsoft.com/office/drawing/2014/main" id="{BD2F5BA2-3540-83F2-8BC5-F2439EB18F0C}"/>
            </a:ext>
          </a:extLst>
        </xdr:cNvPr>
        <xdr:cNvSpPr>
          <a:spLocks noChangeShapeType="1"/>
        </xdr:cNvSpPr>
      </xdr:nvSpPr>
      <xdr:spPr bwMode="auto">
        <a:xfrm>
          <a:off x="58869942" y="0"/>
          <a:ext cx="0" cy="137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9ffda80931a57275/Models%20Backup/EE/Z%20Drive%20Stuff/Misc/dumm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EF"/>
      <sheetName val="dummy"/>
      <sheetName val="MS scrips"/>
      <sheetName val="VRTX"/>
      <sheetName val="BCHE"/>
      <sheetName val="ABGX"/>
      <sheetName val="CRXA"/>
      <sheetName val="CLTR"/>
      <sheetName val="PDLI"/>
      <sheetName val="Rev"/>
      <sheetName val="P&amp;L"/>
      <sheetName val="COMBO"/>
      <sheetName val="Pipeline"/>
      <sheetName val="Revenues"/>
      <sheetName val="Product Revs"/>
      <sheetName val="Rituxan"/>
      <sheetName val="Herceptin"/>
      <sheetName val="NPV Valuation"/>
      <sheetName val="Coverage"/>
      <sheetName val="monthly"/>
      <sheetName val="Valuation"/>
      <sheetName val="Viracept"/>
      <sheetName val="HIV - RTIs"/>
      <sheetName val="Intron A"/>
      <sheetName val="Background"/>
      <sheetName val="graphdialog"/>
      <sheetName val="PictureSheet"/>
      <sheetName val="Flu scrips"/>
      <sheetName val="Avonex"/>
      <sheetName val="NPV Valuation (2)"/>
      <sheetName val="P&amp;L (Proforma)"/>
      <sheetName val="CADWALADER"/>
      <sheetName val="DATA"/>
      <sheetName val="BALANCE SHEET"/>
      <sheetName val="Rituxan 36 months"/>
      <sheetName val="R&amp;D Revenues"/>
      <sheetName val="ALX-0600"/>
      <sheetName val="IL-Fusion Toxi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7718D75B-6F2A-49A5-B788-F882785C3404}"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W49" dT="2023-02-28T17:29:20.53" personId="{7718D75B-6F2A-49A5-B788-F882785C3404}" id="{D6A92409-CA99-40A1-88DC-B7A73ABD2D61}">
    <text>2230m NGNI</text>
  </threadedComment>
  <threadedComment ref="CA49" dT="2023-02-28T17:29:15.09" personId="{7718D75B-6F2A-49A5-B788-F882785C3404}" id="{44E7E711-BCC1-4AD2-8680-58369B8354DF}">
    <text>NG NI: 2476m</text>
  </threadedComment>
  <threadedComment ref="CK49" dT="2023-02-28T17:19:26.41" personId="{7718D75B-6F2A-49A5-B788-F882785C3404}" id="{3CC28BE0-8712-41A4-9E7A-C2331E672FA9}">
    <text>NGNI 2530</text>
  </threadedComment>
  <threadedComment ref="CL49" dT="2023-02-28T17:09:06.38" personId="{7718D75B-6F2A-49A5-B788-F882785C3404}" id="{E609C7CB-3EB7-4FF0-803C-2DC500014A2B}">
    <text>2202m NG NI</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http://www.investor.jnj.com/releaseDetail.cfm?ReleaseID=163476&amp;year=2005" TargetMode="External"/><Relationship Id="rId2" Type="http://schemas.openxmlformats.org/officeDocument/2006/relationships/hyperlink" Target="http://www-ext.amgen.com/news/viewPR.jsp?id=653821" TargetMode="External"/><Relationship Id="rId1" Type="http://schemas.openxmlformats.org/officeDocument/2006/relationships/hyperlink" Target="http://www.amgen.com/news/viewPR.jsp?id=647344" TargetMode="External"/><Relationship Id="rId6" Type="http://schemas.openxmlformats.org/officeDocument/2006/relationships/hyperlink" Target="http://www.fda.gov/cder/foi/label/2007/103951s5139lbl.pdf" TargetMode="External"/><Relationship Id="rId5" Type="http://schemas.openxmlformats.org/officeDocument/2006/relationships/hyperlink" Target="http://conman.au.dk/dahanca/get_media_file.php?mediaid=125" TargetMode="External"/><Relationship Id="rId4" Type="http://schemas.openxmlformats.org/officeDocument/2006/relationships/hyperlink" Target="http://www.amgen.com/media/media_pr_detail.jsp?releaseID=94063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ext.amgen.com/media/media_pr_detail.jsp?year=2005&amp;releaseID=709966"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content.nejm.org/cgi/content/short/350/15/1516"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Application%20Data/Microsoft/AMG706%20p1.pdf"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Application%20Data/Microsoft/Excel/AMGN/AMG%20531%20-%20ITP%20-%20NEJM.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hyperlink" Target="http://www.fda.gov/ohrms/dockets/ac/07/briefing/2007-4315b1-01-FD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0E4C-03EE-4763-A641-E627BA1B9411}">
  <dimension ref="A1:H28"/>
  <sheetViews>
    <sheetView zoomScale="175" zoomScaleNormal="175" workbookViewId="0">
      <pane xSplit="2" ySplit="2" topLeftCell="C3" activePane="bottomRight" state="frozen"/>
      <selection pane="topRight" activeCell="C1" sqref="C1"/>
      <selection pane="bottomLeft" activeCell="A3" sqref="A3"/>
      <selection pane="bottomRight" activeCell="B17" sqref="A17:XFD17"/>
    </sheetView>
  </sheetViews>
  <sheetFormatPr defaultRowHeight="12.75"/>
  <cols>
    <col min="1" max="1" width="5" bestFit="1" customWidth="1"/>
    <col min="2" max="2" width="20.85546875" customWidth="1"/>
  </cols>
  <sheetData>
    <row r="1" spans="1:6">
      <c r="A1" s="11" t="s">
        <v>5</v>
      </c>
    </row>
    <row r="2" spans="1:6">
      <c r="B2" t="s">
        <v>1210</v>
      </c>
      <c r="C2" t="s">
        <v>3</v>
      </c>
      <c r="D2" t="s">
        <v>1211</v>
      </c>
      <c r="E2" t="s">
        <v>6</v>
      </c>
      <c r="F2" t="s">
        <v>1212</v>
      </c>
    </row>
    <row r="3" spans="1:6">
      <c r="B3" s="25" t="s">
        <v>213</v>
      </c>
      <c r="C3" s="29" t="s">
        <v>1050</v>
      </c>
      <c r="D3" s="6" t="s">
        <v>812</v>
      </c>
      <c r="E3" s="12">
        <v>1</v>
      </c>
      <c r="F3" t="s">
        <v>1213</v>
      </c>
    </row>
    <row r="4" spans="1:6">
      <c r="B4" s="114" t="s">
        <v>1242</v>
      </c>
    </row>
    <row r="5" spans="1:6">
      <c r="B5" s="114" t="s">
        <v>1245</v>
      </c>
    </row>
    <row r="6" spans="1:6">
      <c r="B6" s="114" t="s">
        <v>1251</v>
      </c>
    </row>
    <row r="7" spans="1:6">
      <c r="B7" s="114" t="s">
        <v>1310</v>
      </c>
    </row>
    <row r="8" spans="1:6">
      <c r="B8" s="114" t="s">
        <v>1311</v>
      </c>
    </row>
    <row r="9" spans="1:6">
      <c r="B9" s="114" t="s">
        <v>1206</v>
      </c>
    </row>
    <row r="10" spans="1:6">
      <c r="B10" s="114" t="s">
        <v>1199</v>
      </c>
    </row>
    <row r="11" spans="1:6">
      <c r="B11" s="114" t="s">
        <v>1312</v>
      </c>
    </row>
    <row r="12" spans="1:6">
      <c r="B12" s="114" t="s">
        <v>1313</v>
      </c>
    </row>
    <row r="13" spans="1:6">
      <c r="B13" s="114" t="s">
        <v>1314</v>
      </c>
    </row>
    <row r="14" spans="1:6">
      <c r="B14" s="110" t="s">
        <v>1315</v>
      </c>
    </row>
    <row r="15" spans="1:6">
      <c r="B15" s="110" t="s">
        <v>1316</v>
      </c>
    </row>
    <row r="16" spans="1:6">
      <c r="B16" s="110" t="s">
        <v>1317</v>
      </c>
    </row>
    <row r="17" spans="2:8">
      <c r="B17" s="110" t="s">
        <v>1318</v>
      </c>
    </row>
    <row r="18" spans="2:8">
      <c r="B18" s="110" t="s">
        <v>1319</v>
      </c>
    </row>
    <row r="19" spans="2:8">
      <c r="B19" s="25" t="s">
        <v>212</v>
      </c>
      <c r="C19" s="6" t="s">
        <v>572</v>
      </c>
      <c r="D19" s="6" t="s">
        <v>812</v>
      </c>
      <c r="E19" s="12">
        <v>1</v>
      </c>
      <c r="F19" s="6">
        <v>1991</v>
      </c>
      <c r="G19" s="44" t="s">
        <v>1112</v>
      </c>
    </row>
    <row r="20" spans="2:8">
      <c r="B20" s="25" t="s">
        <v>1051</v>
      </c>
      <c r="C20" s="6" t="s">
        <v>1137</v>
      </c>
      <c r="D20" s="6" t="s">
        <v>34</v>
      </c>
      <c r="E20" s="12" t="s">
        <v>583</v>
      </c>
      <c r="F20" s="12"/>
      <c r="G20" s="66"/>
    </row>
    <row r="24" spans="2:8">
      <c r="B24" s="68" t="s">
        <v>1144</v>
      </c>
      <c r="C24" s="29" t="s">
        <v>1151</v>
      </c>
      <c r="D24" s="29" t="s">
        <v>1150</v>
      </c>
      <c r="E24" s="52" t="s">
        <v>1145</v>
      </c>
      <c r="F24" s="29"/>
      <c r="G24" s="29"/>
      <c r="H24" s="24"/>
    </row>
    <row r="25" spans="2:8">
      <c r="B25" s="25" t="s">
        <v>1044</v>
      </c>
      <c r="C25" s="6" t="s">
        <v>60</v>
      </c>
      <c r="D25" s="6" t="s">
        <v>813</v>
      </c>
      <c r="E25" s="12" t="s">
        <v>854</v>
      </c>
      <c r="F25" s="6" t="s">
        <v>855</v>
      </c>
      <c r="G25" s="6"/>
      <c r="H25" s="24"/>
    </row>
    <row r="26" spans="2:8">
      <c r="B26" s="68" t="s">
        <v>538</v>
      </c>
      <c r="C26" s="6"/>
      <c r="D26" s="29" t="s">
        <v>214</v>
      </c>
      <c r="E26" s="29"/>
      <c r="F26" s="6"/>
      <c r="G26" s="6"/>
      <c r="H26" s="24"/>
    </row>
    <row r="27" spans="2:8">
      <c r="B27" s="25" t="s">
        <v>126</v>
      </c>
      <c r="C27" s="29" t="s">
        <v>1052</v>
      </c>
      <c r="D27" s="6" t="s">
        <v>33</v>
      </c>
      <c r="E27" s="12">
        <v>1</v>
      </c>
      <c r="F27" s="6" t="s">
        <v>855</v>
      </c>
      <c r="G27" s="6"/>
    </row>
    <row r="28" spans="2:8">
      <c r="B28" s="5" t="s">
        <v>133</v>
      </c>
      <c r="C28" s="6" t="s">
        <v>134</v>
      </c>
      <c r="D28" s="6" t="s">
        <v>107</v>
      </c>
      <c r="E28" s="6"/>
      <c r="F28" s="6" t="s">
        <v>774</v>
      </c>
      <c r="G28" s="6"/>
      <c r="H28" s="24"/>
    </row>
  </sheetData>
  <hyperlinks>
    <hyperlink ref="B3" location="Kepivance!A1" display="Kepivance (palifermin)" xr:uid="{00000000-0004-0000-0000-00000D000000}"/>
    <hyperlink ref="B25" location="'706'!A1" display="AMG706 (fast track)" xr:uid="{00000000-0004-0000-0000-000002000000}"/>
    <hyperlink ref="B27" location="'479'!A1" display="AMG479" xr:uid="{00000000-0004-0000-0000-00000C000000}"/>
    <hyperlink ref="A1" location="Main!A1" display="Main" xr:uid="{E9C0DF68-54AF-4014-8B78-C30B31643D9F}"/>
    <hyperlink ref="B20" location="Sensipar!A1" display="Sensipar (cinacalcet)" xr:uid="{00000000-0004-0000-0000-000007000000}"/>
    <hyperlink ref="B19" location="Neupogen!A1" display="Neupogen (filgrastim)" xr:uid="{00000000-0004-0000-0000-00000A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01"/>
  <sheetViews>
    <sheetView zoomScale="190" zoomScaleNormal="190" workbookViewId="0"/>
  </sheetViews>
  <sheetFormatPr defaultRowHeight="12.75"/>
  <cols>
    <col min="1" max="1" width="4.7109375" style="4" customWidth="1"/>
    <col min="2" max="2" width="14.140625" style="4" bestFit="1" customWidth="1"/>
    <col min="3" max="3" width="22" style="4" bestFit="1" customWidth="1"/>
    <col min="4" max="4" width="14.28515625" style="4" customWidth="1"/>
    <col min="5" max="16384" width="9.140625" style="4"/>
  </cols>
  <sheetData>
    <row r="1" spans="1:3">
      <c r="A1" s="10" t="s">
        <v>5</v>
      </c>
    </row>
    <row r="2" spans="1:3">
      <c r="B2" s="4" t="s">
        <v>14</v>
      </c>
      <c r="C2" s="4" t="s">
        <v>601</v>
      </c>
    </row>
    <row r="3" spans="1:3">
      <c r="B3" s="4" t="s">
        <v>15</v>
      </c>
      <c r="C3" s="4" t="s">
        <v>16</v>
      </c>
    </row>
    <row r="4" spans="1:3">
      <c r="B4" s="4" t="s">
        <v>3</v>
      </c>
      <c r="C4" s="10" t="s">
        <v>398</v>
      </c>
    </row>
    <row r="5" spans="1:3">
      <c r="C5" s="4" t="s">
        <v>397</v>
      </c>
    </row>
    <row r="6" spans="1:3">
      <c r="C6" s="4" t="s">
        <v>966</v>
      </c>
    </row>
    <row r="7" spans="1:3">
      <c r="B7" s="4" t="s">
        <v>6</v>
      </c>
      <c r="C7" s="4" t="s">
        <v>500</v>
      </c>
    </row>
    <row r="8" spans="1:3">
      <c r="B8" s="4" t="s">
        <v>986</v>
      </c>
      <c r="C8" s="4" t="s">
        <v>992</v>
      </c>
    </row>
    <row r="9" spans="1:3">
      <c r="B9" s="4" t="s">
        <v>811</v>
      </c>
      <c r="C9" s="4" t="s">
        <v>597</v>
      </c>
    </row>
    <row r="10" spans="1:3">
      <c r="B10" s="4" t="s">
        <v>496</v>
      </c>
      <c r="C10" s="4" t="s">
        <v>993</v>
      </c>
    </row>
    <row r="11" spans="1:3">
      <c r="B11" s="10" t="s">
        <v>600</v>
      </c>
      <c r="C11" s="10" t="s">
        <v>902</v>
      </c>
    </row>
    <row r="12" spans="1:3">
      <c r="B12" s="4" t="s">
        <v>732</v>
      </c>
      <c r="C12" s="49" t="s">
        <v>903</v>
      </c>
    </row>
    <row r="13" spans="1:3">
      <c r="B13" s="4" t="s">
        <v>444</v>
      </c>
      <c r="C13" s="4" t="s">
        <v>679</v>
      </c>
    </row>
    <row r="14" spans="1:3">
      <c r="B14" s="4" t="s">
        <v>486</v>
      </c>
      <c r="C14" s="4" t="s">
        <v>494</v>
      </c>
    </row>
    <row r="15" spans="1:3">
      <c r="C15" s="10" t="s">
        <v>967</v>
      </c>
    </row>
    <row r="16" spans="1:3">
      <c r="B16" s="4" t="s">
        <v>112</v>
      </c>
      <c r="C16" s="4" t="s">
        <v>416</v>
      </c>
    </row>
    <row r="17" spans="2:4">
      <c r="C17" s="4" t="s">
        <v>809</v>
      </c>
    </row>
    <row r="18" spans="2:4">
      <c r="C18" s="4" t="s">
        <v>808</v>
      </c>
    </row>
    <row r="19" spans="2:4">
      <c r="C19" s="4" t="s">
        <v>912</v>
      </c>
    </row>
    <row r="20" spans="2:4">
      <c r="C20" s="4" t="s">
        <v>154</v>
      </c>
    </row>
    <row r="21" spans="2:4">
      <c r="B21" s="4" t="s">
        <v>1007</v>
      </c>
      <c r="C21" s="4" t="s">
        <v>420</v>
      </c>
      <c r="D21" s="6"/>
    </row>
    <row r="22" spans="2:4">
      <c r="B22" s="4" t="s">
        <v>254</v>
      </c>
      <c r="C22" s="4" t="s">
        <v>495</v>
      </c>
      <c r="D22" s="6"/>
    </row>
    <row r="23" spans="2:4">
      <c r="B23" s="4" t="s">
        <v>1010</v>
      </c>
      <c r="C23" s="4" t="s">
        <v>934</v>
      </c>
      <c r="D23" s="6"/>
    </row>
    <row r="24" spans="2:4">
      <c r="B24" s="4" t="s">
        <v>595</v>
      </c>
      <c r="C24" s="4" t="s">
        <v>596</v>
      </c>
      <c r="D24" s="6"/>
    </row>
    <row r="25" spans="2:4">
      <c r="B25" s="4" t="s">
        <v>802</v>
      </c>
      <c r="C25" s="4" t="s">
        <v>20</v>
      </c>
      <c r="D25" s="6"/>
    </row>
    <row r="26" spans="2:4">
      <c r="B26" s="4" t="s">
        <v>7</v>
      </c>
      <c r="C26" s="4" t="s">
        <v>50</v>
      </c>
      <c r="D26" s="6"/>
    </row>
    <row r="27" spans="2:4">
      <c r="C27" s="4" t="s">
        <v>426</v>
      </c>
      <c r="D27" s="6"/>
    </row>
    <row r="28" spans="2:4">
      <c r="B28" s="4" t="s">
        <v>144</v>
      </c>
      <c r="C28" s="4" t="s">
        <v>145</v>
      </c>
      <c r="D28" s="6"/>
    </row>
    <row r="29" spans="2:4">
      <c r="B29" s="4" t="s">
        <v>323</v>
      </c>
      <c r="D29" s="6"/>
    </row>
    <row r="30" spans="2:4">
      <c r="C30" s="22" t="s">
        <v>142</v>
      </c>
      <c r="D30" s="6"/>
    </row>
    <row r="31" spans="2:4">
      <c r="C31" s="4" t="s">
        <v>399</v>
      </c>
      <c r="D31" s="6"/>
    </row>
    <row r="32" spans="2:4">
      <c r="C32" s="4" t="s">
        <v>400</v>
      </c>
      <c r="D32" s="6"/>
    </row>
    <row r="33" spans="3:4">
      <c r="C33" s="4" t="s">
        <v>401</v>
      </c>
      <c r="D33" s="6"/>
    </row>
    <row r="34" spans="3:4">
      <c r="D34" s="6"/>
    </row>
    <row r="35" spans="3:4">
      <c r="C35" s="22" t="s">
        <v>143</v>
      </c>
    </row>
    <row r="36" spans="3:4">
      <c r="C36" s="16" t="s">
        <v>402</v>
      </c>
    </row>
    <row r="37" spans="3:4">
      <c r="C37" s="16" t="s">
        <v>137</v>
      </c>
    </row>
    <row r="38" spans="3:4">
      <c r="C38" s="16"/>
    </row>
    <row r="39" spans="3:4">
      <c r="C39" s="22" t="s">
        <v>468</v>
      </c>
    </row>
    <row r="40" spans="3:4">
      <c r="C40" s="16" t="s">
        <v>469</v>
      </c>
    </row>
    <row r="41" spans="3:4">
      <c r="C41" s="16" t="s">
        <v>470</v>
      </c>
    </row>
    <row r="42" spans="3:4">
      <c r="C42" s="16"/>
    </row>
    <row r="43" spans="3:4">
      <c r="C43" s="22" t="s">
        <v>138</v>
      </c>
    </row>
    <row r="44" spans="3:4">
      <c r="C44" s="4" t="s">
        <v>139</v>
      </c>
      <c r="D44" s="6"/>
    </row>
    <row r="45" spans="3:4">
      <c r="D45" s="6"/>
    </row>
    <row r="46" spans="3:4">
      <c r="C46" s="22" t="s">
        <v>395</v>
      </c>
      <c r="D46" s="6"/>
    </row>
    <row r="47" spans="3:4">
      <c r="C47" s="4" t="s">
        <v>630</v>
      </c>
      <c r="D47" s="6"/>
    </row>
    <row r="48" spans="3:4">
      <c r="C48" s="4" t="s">
        <v>631</v>
      </c>
      <c r="D48" s="6"/>
    </row>
    <row r="49" spans="3:4">
      <c r="D49" s="6"/>
    </row>
    <row r="50" spans="3:4">
      <c r="C50" s="22" t="s">
        <v>128</v>
      </c>
      <c r="D50" s="6"/>
    </row>
    <row r="51" spans="3:4">
      <c r="C51" s="16" t="s">
        <v>130</v>
      </c>
      <c r="D51" s="6"/>
    </row>
    <row r="52" spans="3:4">
      <c r="C52" s="16" t="s">
        <v>794</v>
      </c>
      <c r="D52" s="6"/>
    </row>
    <row r="53" spans="3:4">
      <c r="C53" s="16" t="s">
        <v>795</v>
      </c>
      <c r="D53" s="6"/>
    </row>
    <row r="54" spans="3:4">
      <c r="C54" s="16" t="s">
        <v>796</v>
      </c>
      <c r="D54" s="6"/>
    </row>
    <row r="55" spans="3:4">
      <c r="C55" s="16" t="s">
        <v>694</v>
      </c>
      <c r="D55" s="6"/>
    </row>
    <row r="56" spans="3:4">
      <c r="C56" s="16" t="s">
        <v>797</v>
      </c>
      <c r="D56" s="6"/>
    </row>
    <row r="57" spans="3:4">
      <c r="C57" s="16" t="s">
        <v>129</v>
      </c>
      <c r="D57" s="6"/>
    </row>
    <row r="58" spans="3:4">
      <c r="C58" s="4" t="s">
        <v>793</v>
      </c>
    </row>
    <row r="59" spans="3:4">
      <c r="C59" s="4" t="s">
        <v>792</v>
      </c>
    </row>
    <row r="61" spans="3:4">
      <c r="C61" s="22" t="s">
        <v>994</v>
      </c>
    </row>
    <row r="62" spans="3:4">
      <c r="C62" s="4" t="s">
        <v>70</v>
      </c>
    </row>
    <row r="63" spans="3:4">
      <c r="C63" s="4" t="s">
        <v>701</v>
      </c>
    </row>
    <row r="64" spans="3:4">
      <c r="C64" s="4" t="s">
        <v>363</v>
      </c>
    </row>
    <row r="65" spans="3:3">
      <c r="C65" s="10" t="s">
        <v>313</v>
      </c>
    </row>
    <row r="67" spans="3:3">
      <c r="C67" s="22" t="s">
        <v>626</v>
      </c>
    </row>
    <row r="68" spans="3:3">
      <c r="C68" s="4" t="s">
        <v>627</v>
      </c>
    </row>
    <row r="70" spans="3:3">
      <c r="C70" s="22" t="s">
        <v>628</v>
      </c>
    </row>
    <row r="71" spans="3:3">
      <c r="C71" s="16" t="s">
        <v>629</v>
      </c>
    </row>
    <row r="73" spans="3:3">
      <c r="C73" s="22" t="s">
        <v>556</v>
      </c>
    </row>
    <row r="74" spans="3:3">
      <c r="C74" s="10" t="s">
        <v>555</v>
      </c>
    </row>
    <row r="75" spans="3:3">
      <c r="C75" s="10"/>
    </row>
    <row r="76" spans="3:3">
      <c r="C76" s="28" t="s">
        <v>71</v>
      </c>
    </row>
    <row r="77" spans="3:3">
      <c r="C77" s="4" t="s">
        <v>12</v>
      </c>
    </row>
    <row r="78" spans="3:3">
      <c r="C78" s="4" t="s">
        <v>208</v>
      </c>
    </row>
    <row r="79" spans="3:3">
      <c r="C79" s="4" t="s">
        <v>209</v>
      </c>
    </row>
    <row r="80" spans="3:3">
      <c r="C80" s="4" t="s">
        <v>9</v>
      </c>
    </row>
    <row r="81" spans="3:3">
      <c r="C81" s="4" t="s">
        <v>8</v>
      </c>
    </row>
    <row r="82" spans="3:3">
      <c r="C82" s="4" t="s">
        <v>504</v>
      </c>
    </row>
    <row r="83" spans="3:3">
      <c r="C83" s="4" t="s">
        <v>849</v>
      </c>
    </row>
    <row r="84" spans="3:3">
      <c r="C84" s="4" t="s">
        <v>505</v>
      </c>
    </row>
    <row r="86" spans="3:3">
      <c r="C86" s="11" t="s">
        <v>229</v>
      </c>
    </row>
    <row r="87" spans="3:3">
      <c r="C87" s="4" t="s">
        <v>731</v>
      </c>
    </row>
    <row r="88" spans="3:3">
      <c r="C88" s="4" t="s">
        <v>734</v>
      </c>
    </row>
    <row r="89" spans="3:3">
      <c r="C89" s="4" t="s">
        <v>72</v>
      </c>
    </row>
    <row r="90" spans="3:3">
      <c r="C90" s="4" t="s">
        <v>733</v>
      </c>
    </row>
    <row r="91" spans="3:3">
      <c r="C91" s="4" t="s">
        <v>427</v>
      </c>
    </row>
    <row r="92" spans="3:3">
      <c r="C92" s="4" t="s">
        <v>542</v>
      </c>
    </row>
    <row r="93" spans="3:3">
      <c r="C93" s="4" t="s">
        <v>61</v>
      </c>
    </row>
    <row r="94" spans="3:3">
      <c r="C94" s="4" t="s">
        <v>463</v>
      </c>
    </row>
    <row r="95" spans="3:3">
      <c r="C95" s="4" t="s">
        <v>464</v>
      </c>
    </row>
    <row r="96" spans="3:3">
      <c r="C96" s="4" t="s">
        <v>465</v>
      </c>
    </row>
    <row r="97" spans="3:4">
      <c r="C97" s="4" t="s">
        <v>466</v>
      </c>
    </row>
    <row r="98" spans="3:4">
      <c r="C98" s="4" t="s">
        <v>727</v>
      </c>
    </row>
    <row r="99" spans="3:4">
      <c r="C99" s="4" t="s">
        <v>728</v>
      </c>
    </row>
    <row r="100" spans="3:4">
      <c r="C100" s="4" t="s">
        <v>729</v>
      </c>
    </row>
    <row r="101" spans="3:4">
      <c r="C101" s="4" t="s">
        <v>946</v>
      </c>
    </row>
    <row r="102" spans="3:4">
      <c r="C102" s="4" t="s">
        <v>235</v>
      </c>
    </row>
    <row r="104" spans="3:4" ht="13.5" customHeight="1">
      <c r="C104" s="10" t="s">
        <v>73</v>
      </c>
    </row>
    <row r="105" spans="3:4" ht="12.75" customHeight="1">
      <c r="C105" s="4" t="s">
        <v>866</v>
      </c>
    </row>
    <row r="106" spans="3:4" ht="12.75" customHeight="1">
      <c r="C106" s="4" t="s">
        <v>612</v>
      </c>
    </row>
    <row r="107" spans="3:4">
      <c r="C107" s="4" t="s">
        <v>74</v>
      </c>
      <c r="D107" s="4" t="s">
        <v>75</v>
      </c>
    </row>
    <row r="108" spans="3:4">
      <c r="C108" s="4" t="s">
        <v>76</v>
      </c>
      <c r="D108" s="4" t="s">
        <v>643</v>
      </c>
    </row>
    <row r="109" spans="3:4">
      <c r="C109" s="4" t="s">
        <v>610</v>
      </c>
      <c r="D109" s="4" t="s">
        <v>611</v>
      </c>
    </row>
    <row r="110" spans="3:4">
      <c r="C110" s="4" t="s">
        <v>644</v>
      </c>
      <c r="D110" s="4" t="s">
        <v>609</v>
      </c>
    </row>
    <row r="111" spans="3:4">
      <c r="D111" s="4" t="s">
        <v>614</v>
      </c>
    </row>
    <row r="112" spans="3:4">
      <c r="D112" s="4" t="s">
        <v>616</v>
      </c>
    </row>
    <row r="113" spans="3:4">
      <c r="D113" s="4" t="s">
        <v>615</v>
      </c>
    </row>
    <row r="114" spans="3:4">
      <c r="D114" s="4" t="s">
        <v>617</v>
      </c>
    </row>
    <row r="115" spans="3:4">
      <c r="D115" s="4" t="s">
        <v>604</v>
      </c>
    </row>
    <row r="116" spans="3:4">
      <c r="D116" s="4" t="s">
        <v>605</v>
      </c>
    </row>
    <row r="117" spans="3:4">
      <c r="D117" s="4" t="s">
        <v>865</v>
      </c>
    </row>
    <row r="119" spans="3:4">
      <c r="C119" s="22" t="s">
        <v>867</v>
      </c>
    </row>
    <row r="120" spans="3:4">
      <c r="C120" s="4" t="s">
        <v>868</v>
      </c>
    </row>
    <row r="121" spans="3:4">
      <c r="C121" s="4" t="s">
        <v>870</v>
      </c>
    </row>
    <row r="122" spans="3:4">
      <c r="C122" s="4" t="s">
        <v>871</v>
      </c>
    </row>
    <row r="123" spans="3:4">
      <c r="C123" s="4" t="s">
        <v>872</v>
      </c>
    </row>
    <row r="125" spans="3:4">
      <c r="C125" s="22" t="s">
        <v>873</v>
      </c>
    </row>
    <row r="126" spans="3:4">
      <c r="C126" s="16" t="s">
        <v>874</v>
      </c>
    </row>
    <row r="127" spans="3:4">
      <c r="C127" s="4" t="s">
        <v>875</v>
      </c>
    </row>
    <row r="128" spans="3:4">
      <c r="C128" s="4" t="s">
        <v>876</v>
      </c>
    </row>
    <row r="130" spans="3:3">
      <c r="C130" s="22" t="s">
        <v>947</v>
      </c>
    </row>
    <row r="131" spans="3:3">
      <c r="C131" s="4" t="s">
        <v>667</v>
      </c>
    </row>
    <row r="132" spans="3:3">
      <c r="C132" s="4" t="s">
        <v>668</v>
      </c>
    </row>
    <row r="134" spans="3:3">
      <c r="C134" s="22" t="s">
        <v>136</v>
      </c>
    </row>
    <row r="135" spans="3:3">
      <c r="C135" s="4" t="s">
        <v>989</v>
      </c>
    </row>
    <row r="136" spans="3:3">
      <c r="C136" s="4" t="s">
        <v>541</v>
      </c>
    </row>
    <row r="137" spans="3:3">
      <c r="C137" s="4" t="s">
        <v>540</v>
      </c>
    </row>
    <row r="139" spans="3:3">
      <c r="C139" s="4" t="s">
        <v>1048</v>
      </c>
    </row>
    <row r="141" spans="3:3">
      <c r="C141" s="4" t="s">
        <v>532</v>
      </c>
    </row>
    <row r="142" spans="3:3">
      <c r="C142" s="4" t="s">
        <v>226</v>
      </c>
    </row>
    <row r="144" spans="3:3">
      <c r="C144" s="22" t="s">
        <v>690</v>
      </c>
    </row>
    <row r="145" spans="3:3">
      <c r="C145" s="16" t="s">
        <v>118</v>
      </c>
    </row>
    <row r="147" spans="3:3">
      <c r="C147" s="4" t="s">
        <v>291</v>
      </c>
    </row>
    <row r="148" spans="3:3">
      <c r="C148" s="4" t="s">
        <v>825</v>
      </c>
    </row>
    <row r="149" spans="3:3">
      <c r="C149" s="4" t="s">
        <v>971</v>
      </c>
    </row>
    <row r="150" spans="3:3">
      <c r="C150" s="4" t="s">
        <v>227</v>
      </c>
    </row>
    <row r="151" spans="3:3">
      <c r="C151" s="14" t="s">
        <v>228</v>
      </c>
    </row>
    <row r="152" spans="3:3">
      <c r="C152" s="4" t="s">
        <v>527</v>
      </c>
    </row>
    <row r="153" spans="3:3">
      <c r="C153" s="4" t="s">
        <v>528</v>
      </c>
    </row>
    <row r="154" spans="3:3">
      <c r="C154" s="4" t="s">
        <v>988</v>
      </c>
    </row>
    <row r="155" spans="3:3">
      <c r="C155" s="4" t="s">
        <v>135</v>
      </c>
    </row>
    <row r="158" spans="3:3">
      <c r="C158" s="4" t="s">
        <v>1001</v>
      </c>
    </row>
    <row r="160" spans="3:3">
      <c r="C160" s="22" t="s">
        <v>529</v>
      </c>
    </row>
    <row r="161" spans="3:3">
      <c r="C161" s="16" t="s">
        <v>1053</v>
      </c>
    </row>
    <row r="162" spans="3:3">
      <c r="C162" s="16" t="s">
        <v>636</v>
      </c>
    </row>
    <row r="164" spans="3:3">
      <c r="C164" s="22" t="s">
        <v>140</v>
      </c>
    </row>
    <row r="165" spans="3:3">
      <c r="C165" s="4" t="s">
        <v>141</v>
      </c>
    </row>
    <row r="166" spans="3:3">
      <c r="C166" s="22"/>
    </row>
    <row r="168" spans="3:3">
      <c r="C168" s="22" t="s">
        <v>326</v>
      </c>
    </row>
    <row r="169" spans="3:3">
      <c r="C169" s="4" t="s">
        <v>327</v>
      </c>
    </row>
    <row r="170" spans="3:3">
      <c r="C170" s="4" t="s">
        <v>328</v>
      </c>
    </row>
    <row r="172" spans="3:3">
      <c r="C172" s="22" t="s">
        <v>935</v>
      </c>
    </row>
    <row r="173" spans="3:3">
      <c r="C173" s="4" t="s">
        <v>936</v>
      </c>
    </row>
    <row r="174" spans="3:3">
      <c r="C174" s="4" t="s">
        <v>937</v>
      </c>
    </row>
    <row r="175" spans="3:3">
      <c r="C175" s="4" t="s">
        <v>938</v>
      </c>
    </row>
    <row r="177" spans="3:3">
      <c r="C177" s="22" t="s">
        <v>939</v>
      </c>
    </row>
    <row r="178" spans="3:3">
      <c r="C178" s="4" t="s">
        <v>940</v>
      </c>
    </row>
    <row r="179" spans="3:3">
      <c r="C179" s="4" t="s">
        <v>941</v>
      </c>
    </row>
    <row r="181" spans="3:3">
      <c r="C181" s="22" t="s">
        <v>245</v>
      </c>
    </row>
    <row r="182" spans="3:3">
      <c r="C182" s="4" t="s">
        <v>942</v>
      </c>
    </row>
    <row r="183" spans="3:3">
      <c r="C183" s="4" t="s">
        <v>240</v>
      </c>
    </row>
    <row r="185" spans="3:3">
      <c r="C185" s="22" t="s">
        <v>241</v>
      </c>
    </row>
    <row r="186" spans="3:3">
      <c r="C186" s="4" t="s">
        <v>242</v>
      </c>
    </row>
    <row r="188" spans="3:3">
      <c r="C188" s="22" t="s">
        <v>243</v>
      </c>
    </row>
    <row r="191" spans="3:3">
      <c r="C191" s="22" t="s">
        <v>244</v>
      </c>
    </row>
    <row r="194" spans="3:3">
      <c r="C194" s="22" t="s">
        <v>1009</v>
      </c>
    </row>
    <row r="195" spans="3:3">
      <c r="C195" s="4" t="s">
        <v>660</v>
      </c>
    </row>
    <row r="196" spans="3:3">
      <c r="C196" s="4" t="s">
        <v>748</v>
      </c>
    </row>
    <row r="197" spans="3:3">
      <c r="C197" s="4" t="s">
        <v>749</v>
      </c>
    </row>
    <row r="200" spans="3:3">
      <c r="C200" s="22" t="s">
        <v>1075</v>
      </c>
    </row>
    <row r="201" spans="3:3">
      <c r="C201" s="16" t="s">
        <v>1076</v>
      </c>
    </row>
  </sheetData>
  <phoneticPr fontId="3" type="noConversion"/>
  <hyperlinks>
    <hyperlink ref="C76" r:id="rId1" display="http://www.amgen.com/news/viewPR.jsp?id=647344" xr:uid="{00000000-0004-0000-1C00-000000000000}"/>
    <hyperlink ref="C86" r:id="rId2" xr:uid="{00000000-0004-0000-1C00-000001000000}"/>
    <hyperlink ref="C104" r:id="rId3" xr:uid="{00000000-0004-0000-1C00-000002000000}"/>
    <hyperlink ref="A1" location="Main!A1" display="Main" xr:uid="{00000000-0004-0000-1C00-000003000000}"/>
    <hyperlink ref="C74" r:id="rId4" xr:uid="{00000000-0004-0000-1C00-000004000000}"/>
    <hyperlink ref="B11:C11" location="'CERA legal'!A1" display="IP" xr:uid="{00000000-0004-0000-1C00-000005000000}"/>
    <hyperlink ref="C65" r:id="rId5" xr:uid="{00000000-0004-0000-1C00-000006000000}"/>
    <hyperlink ref="C4" r:id="rId6" display="Chemotherapy-Induced Anemia, Chronic Kidney Disease, End-Stage Renal Disease" xr:uid="{00000000-0004-0000-1C00-000007000000}"/>
    <hyperlink ref="C15" location="'EPO safety'!A1" display="Safety concerns have plagued EPO usage." xr:uid="{00000000-0004-0000-1C00-000008000000}"/>
  </hyperlinks>
  <pageMargins left="0.75" right="0.75" top="1" bottom="1" header="0.5" footer="0.5"/>
  <pageSetup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2:C24"/>
  <sheetViews>
    <sheetView workbookViewId="0"/>
  </sheetViews>
  <sheetFormatPr defaultRowHeight="12.75"/>
  <cols>
    <col min="1" max="1" width="3.140625" customWidth="1"/>
  </cols>
  <sheetData>
    <row r="2" spans="2:3">
      <c r="B2" s="11" t="s">
        <v>877</v>
      </c>
    </row>
    <row r="3" spans="2:3">
      <c r="B3" t="s">
        <v>123</v>
      </c>
    </row>
    <row r="5" spans="2:3">
      <c r="B5" t="s">
        <v>554</v>
      </c>
      <c r="C5">
        <v>701</v>
      </c>
    </row>
    <row r="6" spans="2:3">
      <c r="B6" t="s">
        <v>878</v>
      </c>
      <c r="C6" t="s">
        <v>879</v>
      </c>
    </row>
    <row r="7" spans="2:3">
      <c r="B7" t="s">
        <v>119</v>
      </c>
      <c r="C7" t="s">
        <v>429</v>
      </c>
    </row>
    <row r="8" spans="2:3">
      <c r="B8" t="s">
        <v>120</v>
      </c>
      <c r="C8" t="s">
        <v>121</v>
      </c>
    </row>
    <row r="9" spans="2:3">
      <c r="B9" t="s">
        <v>122</v>
      </c>
      <c r="C9" t="s">
        <v>659</v>
      </c>
    </row>
    <row r="10" spans="2:3">
      <c r="C10" t="s">
        <v>657</v>
      </c>
    </row>
    <row r="11" spans="2:3">
      <c r="C11" t="s">
        <v>658</v>
      </c>
    </row>
    <row r="12" spans="2:3">
      <c r="C12" t="s">
        <v>663</v>
      </c>
    </row>
    <row r="13" spans="2:3">
      <c r="C13" t="s">
        <v>406</v>
      </c>
    </row>
    <row r="15" spans="2:3">
      <c r="B15" s="21" t="s">
        <v>1005</v>
      </c>
    </row>
    <row r="18" spans="2:2">
      <c r="B18" s="13" t="s">
        <v>404</v>
      </c>
    </row>
    <row r="19" spans="2:2">
      <c r="B19" t="s">
        <v>405</v>
      </c>
    </row>
    <row r="20" spans="2:2">
      <c r="B20" t="s">
        <v>702</v>
      </c>
    </row>
    <row r="21" spans="2:2">
      <c r="B21" t="s">
        <v>526</v>
      </c>
    </row>
    <row r="22" spans="2:2">
      <c r="B22" t="s">
        <v>975</v>
      </c>
    </row>
    <row r="23" spans="2:2">
      <c r="B23" t="s">
        <v>976</v>
      </c>
    </row>
    <row r="24" spans="2:2">
      <c r="B24" t="s">
        <v>977</v>
      </c>
    </row>
  </sheetData>
  <phoneticPr fontId="3" type="noConversion"/>
  <hyperlinks>
    <hyperlink ref="B2" r:id="rId1" xr:uid="{00000000-0004-0000-1D00-000000000000}"/>
  </hyperlinks>
  <pageMargins left="0.75" right="0.75" top="1" bottom="1" header="0.5" footer="0.5"/>
  <pageSetup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3"/>
  <sheetViews>
    <sheetView zoomScale="130" workbookViewId="0"/>
  </sheetViews>
  <sheetFormatPr defaultRowHeight="12.75"/>
  <cols>
    <col min="1" max="1" width="5" style="4" bestFit="1" customWidth="1"/>
    <col min="2" max="2" width="14" style="4" bestFit="1" customWidth="1"/>
    <col min="3" max="16384" width="9.140625" style="4"/>
  </cols>
  <sheetData>
    <row r="1" spans="1:3">
      <c r="A1" s="10" t="s">
        <v>5</v>
      </c>
    </row>
    <row r="2" spans="1:3">
      <c r="B2" s="4" t="s">
        <v>287</v>
      </c>
      <c r="C2" s="4" t="s">
        <v>430</v>
      </c>
    </row>
    <row r="3" spans="1:3">
      <c r="B3" s="4" t="s">
        <v>288</v>
      </c>
      <c r="C3" s="4" t="s">
        <v>433</v>
      </c>
    </row>
    <row r="4" spans="1:3">
      <c r="B4" s="4" t="s">
        <v>811</v>
      </c>
      <c r="C4" s="4" t="s">
        <v>753</v>
      </c>
    </row>
    <row r="5" spans="1:3">
      <c r="B5" s="4" t="s">
        <v>3</v>
      </c>
      <c r="C5" s="4" t="s">
        <v>535</v>
      </c>
    </row>
    <row r="6" spans="1:3">
      <c r="C6" s="4" t="s">
        <v>40</v>
      </c>
    </row>
    <row r="7" spans="1:3">
      <c r="B7" s="4" t="s">
        <v>7</v>
      </c>
      <c r="C7" s="4" t="s">
        <v>752</v>
      </c>
    </row>
    <row r="8" spans="1:3">
      <c r="C8" s="4" t="s">
        <v>742</v>
      </c>
    </row>
    <row r="9" spans="1:3">
      <c r="B9" s="4" t="s">
        <v>11</v>
      </c>
      <c r="C9" s="4" t="s">
        <v>530</v>
      </c>
    </row>
    <row r="10" spans="1:3">
      <c r="B10" s="4" t="s">
        <v>359</v>
      </c>
      <c r="C10" s="4" t="s">
        <v>722</v>
      </c>
    </row>
    <row r="11" spans="1:3">
      <c r="B11" s="4" t="s">
        <v>531</v>
      </c>
      <c r="C11" s="4" t="s">
        <v>439</v>
      </c>
    </row>
    <row r="12" spans="1:3">
      <c r="B12" s="4" t="s">
        <v>1007</v>
      </c>
      <c r="C12" s="4" t="s">
        <v>39</v>
      </c>
    </row>
    <row r="13" spans="1:3">
      <c r="B13" s="4" t="s">
        <v>600</v>
      </c>
      <c r="C13" s="4" t="s">
        <v>974</v>
      </c>
    </row>
    <row r="14" spans="1:3">
      <c r="B14" s="4" t="s">
        <v>431</v>
      </c>
    </row>
    <row r="15" spans="1:3">
      <c r="C15" s="10" t="s">
        <v>434</v>
      </c>
    </row>
    <row r="16" spans="1:3">
      <c r="C16" s="4" t="s">
        <v>432</v>
      </c>
    </row>
    <row r="18" spans="3:4">
      <c r="C18" s="22" t="s">
        <v>637</v>
      </c>
    </row>
    <row r="19" spans="3:4">
      <c r="C19" s="4" t="s">
        <v>222</v>
      </c>
    </row>
    <row r="20" spans="3:4">
      <c r="C20" s="4" t="s">
        <v>756</v>
      </c>
    </row>
    <row r="21" spans="3:4">
      <c r="D21" s="4" t="s">
        <v>757</v>
      </c>
    </row>
    <row r="23" spans="3:4">
      <c r="C23" s="4" t="s">
        <v>638</v>
      </c>
    </row>
  </sheetData>
  <phoneticPr fontId="3" type="noConversion"/>
  <hyperlinks>
    <hyperlink ref="A1" location="Main!A1" display="Main" xr:uid="{00000000-0004-0000-1E00-000000000000}"/>
    <hyperlink ref="C15" r:id="rId1" xr:uid="{00000000-0004-0000-1E00-000001000000}"/>
  </hyperlink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75"/>
  <sheetViews>
    <sheetView workbookViewId="0">
      <pane ySplit="2" topLeftCell="A3" activePane="bottomLeft" state="frozen"/>
      <selection pane="bottomLeft" activeCell="A3" sqref="A3"/>
    </sheetView>
  </sheetViews>
  <sheetFormatPr defaultRowHeight="12.75"/>
  <cols>
    <col min="1" max="1" width="5" style="4" bestFit="1" customWidth="1"/>
    <col min="2" max="2" width="15.85546875" style="4" customWidth="1"/>
    <col min="3" max="3" width="11.28515625" style="4" customWidth="1"/>
    <col min="4" max="4" width="11" style="4" customWidth="1"/>
    <col min="5" max="9" width="9.140625" style="4"/>
    <col min="10" max="10" width="22.28515625" style="4" customWidth="1"/>
    <col min="11" max="16384" width="9.140625" style="4"/>
  </cols>
  <sheetData>
    <row r="1" spans="1:4">
      <c r="A1" s="10" t="s">
        <v>5</v>
      </c>
    </row>
    <row r="2" spans="1:4">
      <c r="B2" s="4" t="s">
        <v>287</v>
      </c>
      <c r="C2" s="4" t="s">
        <v>330</v>
      </c>
    </row>
    <row r="3" spans="1:4">
      <c r="B3" s="4" t="s">
        <v>288</v>
      </c>
      <c r="C3" s="4" t="s">
        <v>895</v>
      </c>
    </row>
    <row r="4" spans="1:4">
      <c r="B4" s="4" t="s">
        <v>3</v>
      </c>
      <c r="C4" s="4" t="s">
        <v>890</v>
      </c>
    </row>
    <row r="5" spans="1:4">
      <c r="B5" s="4" t="s">
        <v>811</v>
      </c>
      <c r="C5" s="4" t="s">
        <v>635</v>
      </c>
    </row>
    <row r="6" spans="1:4">
      <c r="C6" s="4" t="s">
        <v>691</v>
      </c>
    </row>
    <row r="7" spans="1:4">
      <c r="B7" s="4" t="s">
        <v>10</v>
      </c>
      <c r="C7" s="4" t="s">
        <v>289</v>
      </c>
    </row>
    <row r="8" spans="1:4">
      <c r="C8" s="4" t="s">
        <v>453</v>
      </c>
    </row>
    <row r="9" spans="1:4">
      <c r="B9" s="4" t="s">
        <v>896</v>
      </c>
      <c r="C9" s="4" t="s">
        <v>897</v>
      </c>
    </row>
    <row r="10" spans="1:4">
      <c r="B10" s="4" t="s">
        <v>898</v>
      </c>
      <c r="C10" s="4" t="s">
        <v>899</v>
      </c>
      <c r="D10" s="6"/>
    </row>
    <row r="11" spans="1:4">
      <c r="B11" s="4" t="s">
        <v>359</v>
      </c>
      <c r="C11" s="4" t="s">
        <v>575</v>
      </c>
      <c r="D11" s="6"/>
    </row>
    <row r="12" spans="1:4">
      <c r="B12" s="4" t="s">
        <v>904</v>
      </c>
      <c r="C12" s="20" t="s">
        <v>905</v>
      </c>
      <c r="D12" s="6"/>
    </row>
    <row r="13" spans="1:4">
      <c r="B13" s="16" t="s">
        <v>7</v>
      </c>
      <c r="C13" s="16" t="s">
        <v>1077</v>
      </c>
      <c r="D13" s="6"/>
    </row>
    <row r="14" spans="1:4">
      <c r="B14" s="4" t="s">
        <v>323</v>
      </c>
    </row>
    <row r="16" spans="1:4">
      <c r="B16" s="22" t="s">
        <v>1037</v>
      </c>
    </row>
    <row r="17" spans="2:16">
      <c r="B17" s="4" t="s">
        <v>1038</v>
      </c>
    </row>
    <row r="18" spans="2:16">
      <c r="B18" s="4" t="s">
        <v>1039</v>
      </c>
    </row>
    <row r="19" spans="2:16">
      <c r="B19" s="14" t="s">
        <v>1041</v>
      </c>
    </row>
    <row r="20" spans="2:16">
      <c r="B20" s="4" t="s">
        <v>1006</v>
      </c>
    </row>
    <row r="21" spans="2:16">
      <c r="B21" s="4" t="s">
        <v>951</v>
      </c>
    </row>
    <row r="22" spans="2:16">
      <c r="B22" s="14" t="s">
        <v>952</v>
      </c>
    </row>
    <row r="23" spans="2:16">
      <c r="B23" s="16" t="s">
        <v>945</v>
      </c>
    </row>
    <row r="24" spans="2:16">
      <c r="B24" s="51" t="s">
        <v>502</v>
      </c>
    </row>
    <row r="25" spans="2:16">
      <c r="K25" s="4" t="s">
        <v>573</v>
      </c>
      <c r="L25" s="4">
        <v>2006</v>
      </c>
      <c r="M25" s="4">
        <v>2007</v>
      </c>
      <c r="N25" s="4">
        <v>2008</v>
      </c>
      <c r="O25" s="4">
        <v>2009</v>
      </c>
    </row>
    <row r="26" spans="2:16">
      <c r="B26" s="22" t="s">
        <v>1040</v>
      </c>
      <c r="L26" s="4">
        <v>93</v>
      </c>
      <c r="M26" s="4">
        <v>379</v>
      </c>
      <c r="N26" s="4">
        <v>456</v>
      </c>
      <c r="O26" s="4">
        <v>550</v>
      </c>
    </row>
    <row r="27" spans="2:16">
      <c r="B27" s="27" t="s">
        <v>591</v>
      </c>
    </row>
    <row r="28" spans="2:16" ht="13.5" thickBot="1">
      <c r="B28" s="27" t="s">
        <v>592</v>
      </c>
      <c r="D28" s="4" t="s">
        <v>593</v>
      </c>
    </row>
    <row r="29" spans="2:16">
      <c r="B29" s="27" t="s">
        <v>594</v>
      </c>
      <c r="K29" s="45" t="s">
        <v>576</v>
      </c>
      <c r="L29" s="46"/>
      <c r="M29" s="46" t="s">
        <v>577</v>
      </c>
      <c r="N29" s="46"/>
      <c r="O29" s="46"/>
      <c r="P29" s="47"/>
    </row>
    <row r="30" spans="2:16">
      <c r="B30" s="27" t="s">
        <v>944</v>
      </c>
      <c r="K30" s="39"/>
      <c r="P30" s="40"/>
    </row>
    <row r="31" spans="2:16">
      <c r="K31" s="39" t="s">
        <v>578</v>
      </c>
      <c r="L31" s="4" t="s">
        <v>579</v>
      </c>
      <c r="M31" s="4" t="s">
        <v>3</v>
      </c>
      <c r="N31" s="4" t="s">
        <v>580</v>
      </c>
      <c r="P31" s="40"/>
    </row>
    <row r="32" spans="2:16">
      <c r="B32" s="22" t="s">
        <v>1058</v>
      </c>
      <c r="K32" s="39" t="s">
        <v>581</v>
      </c>
      <c r="L32" s="4" t="s">
        <v>455</v>
      </c>
      <c r="M32" s="4" t="s">
        <v>582</v>
      </c>
      <c r="N32" s="4">
        <v>9600</v>
      </c>
      <c r="O32" s="4" t="s">
        <v>81</v>
      </c>
      <c r="P32" s="40"/>
    </row>
    <row r="33" spans="2:16">
      <c r="B33" s="16" t="s">
        <v>909</v>
      </c>
      <c r="K33" s="39" t="s">
        <v>82</v>
      </c>
      <c r="L33" s="4" t="s">
        <v>83</v>
      </c>
      <c r="M33" s="4" t="s">
        <v>84</v>
      </c>
      <c r="N33" s="4">
        <v>8800</v>
      </c>
      <c r="P33" s="40"/>
    </row>
    <row r="34" spans="2:16">
      <c r="B34" s="16" t="s">
        <v>1057</v>
      </c>
      <c r="K34" s="39"/>
      <c r="M34" s="4" t="s">
        <v>85</v>
      </c>
      <c r="N34" s="4">
        <v>7700</v>
      </c>
      <c r="P34" s="40"/>
    </row>
    <row r="35" spans="2:16">
      <c r="K35" s="39"/>
      <c r="M35" s="4" t="s">
        <v>582</v>
      </c>
      <c r="N35" s="4">
        <v>4400</v>
      </c>
      <c r="P35" s="40"/>
    </row>
    <row r="36" spans="2:16">
      <c r="B36" s="22" t="s">
        <v>910</v>
      </c>
      <c r="K36" s="39" t="s">
        <v>86</v>
      </c>
      <c r="L36" s="4" t="s">
        <v>87</v>
      </c>
      <c r="M36" s="4" t="s">
        <v>88</v>
      </c>
      <c r="N36" s="4">
        <v>3816</v>
      </c>
      <c r="P36" s="40"/>
    </row>
    <row r="37" spans="2:16">
      <c r="B37" s="4" t="s">
        <v>911</v>
      </c>
      <c r="K37" s="39" t="s">
        <v>89</v>
      </c>
      <c r="L37" s="4" t="s">
        <v>83</v>
      </c>
      <c r="M37" s="4" t="s">
        <v>85</v>
      </c>
      <c r="N37" s="4">
        <v>3195</v>
      </c>
      <c r="P37" s="40"/>
    </row>
    <row r="38" spans="2:16">
      <c r="K38" s="39" t="s">
        <v>90</v>
      </c>
      <c r="L38" s="4" t="s">
        <v>91</v>
      </c>
      <c r="M38" s="4" t="s">
        <v>84</v>
      </c>
      <c r="N38" s="4">
        <v>2679</v>
      </c>
      <c r="P38" s="40"/>
    </row>
    <row r="39" spans="2:16">
      <c r="B39" s="22" t="s">
        <v>1021</v>
      </c>
      <c r="K39" s="39" t="s">
        <v>92</v>
      </c>
      <c r="L39" s="4" t="s">
        <v>93</v>
      </c>
      <c r="M39" s="4" t="s">
        <v>84</v>
      </c>
      <c r="N39" s="4">
        <v>5571</v>
      </c>
      <c r="P39" s="40"/>
    </row>
    <row r="40" spans="2:16">
      <c r="B40" s="22"/>
      <c r="K40" s="39" t="s">
        <v>587</v>
      </c>
      <c r="L40" s="4" t="s">
        <v>588</v>
      </c>
      <c r="M40" s="4" t="s">
        <v>589</v>
      </c>
      <c r="N40" s="4">
        <v>4421</v>
      </c>
      <c r="P40" s="40"/>
    </row>
    <row r="41" spans="2:16">
      <c r="B41" s="22" t="s">
        <v>1020</v>
      </c>
      <c r="K41" s="39" t="s">
        <v>590</v>
      </c>
      <c r="L41" s="4" t="s">
        <v>93</v>
      </c>
      <c r="M41" s="4" t="s">
        <v>84</v>
      </c>
      <c r="N41" s="4">
        <v>3638</v>
      </c>
      <c r="P41" s="40"/>
    </row>
    <row r="42" spans="2:16">
      <c r="P42" s="40"/>
    </row>
    <row r="43" spans="2:16">
      <c r="B43" s="22" t="s">
        <v>111</v>
      </c>
      <c r="P43" s="40"/>
    </row>
    <row r="44" spans="2:16" ht="13.5" thickBot="1">
      <c r="B44" s="4" t="s">
        <v>106</v>
      </c>
      <c r="K44" s="41"/>
      <c r="L44" s="42"/>
      <c r="M44" s="42"/>
      <c r="N44" s="42"/>
      <c r="O44" s="42"/>
      <c r="P44" s="43"/>
    </row>
    <row r="46" spans="2:16">
      <c r="B46" s="22" t="s">
        <v>1059</v>
      </c>
    </row>
    <row r="47" spans="2:16">
      <c r="B47" s="16" t="s">
        <v>1060</v>
      </c>
    </row>
    <row r="48" spans="2:16">
      <c r="B48" s="16"/>
    </row>
    <row r="49" spans="2:12">
      <c r="B49" s="22" t="s">
        <v>1025</v>
      </c>
      <c r="K49" s="58">
        <v>39479</v>
      </c>
      <c r="L49" s="26">
        <v>10414</v>
      </c>
    </row>
    <row r="50" spans="2:12">
      <c r="B50" s="16" t="s">
        <v>232</v>
      </c>
      <c r="K50" s="58">
        <v>39508</v>
      </c>
      <c r="L50" s="26">
        <v>12661</v>
      </c>
    </row>
    <row r="51" spans="2:12">
      <c r="B51" s="16"/>
      <c r="K51" s="58">
        <v>39539</v>
      </c>
      <c r="L51" s="26">
        <v>10387</v>
      </c>
    </row>
    <row r="52" spans="2:12">
      <c r="B52" s="22" t="s">
        <v>1025</v>
      </c>
    </row>
    <row r="53" spans="2:12">
      <c r="B53" s="16" t="s">
        <v>901</v>
      </c>
    </row>
    <row r="55" spans="2:12">
      <c r="B55" s="22" t="s">
        <v>1022</v>
      </c>
    </row>
    <row r="56" spans="2:12">
      <c r="B56" s="4" t="s">
        <v>191</v>
      </c>
    </row>
    <row r="57" spans="2:12">
      <c r="B57" s="4" t="s">
        <v>192</v>
      </c>
    </row>
    <row r="58" spans="2:12">
      <c r="B58" s="14" t="s">
        <v>900</v>
      </c>
    </row>
    <row r="59" spans="2:12">
      <c r="B59" s="14" t="s">
        <v>1023</v>
      </c>
    </row>
    <row r="60" spans="2:12">
      <c r="B60" s="4" t="s">
        <v>428</v>
      </c>
    </row>
    <row r="63" spans="2:12">
      <c r="B63" s="22" t="s">
        <v>1024</v>
      </c>
    </row>
    <row r="65" spans="2:3">
      <c r="B65" s="4" t="s">
        <v>286</v>
      </c>
    </row>
    <row r="66" spans="2:3">
      <c r="C66" s="4" t="s">
        <v>671</v>
      </c>
    </row>
    <row r="67" spans="2:3">
      <c r="C67" s="4" t="s">
        <v>672</v>
      </c>
    </row>
    <row r="69" spans="2:3">
      <c r="B69" s="22" t="s">
        <v>233</v>
      </c>
    </row>
    <row r="71" spans="2:3">
      <c r="B71" s="22" t="s">
        <v>234</v>
      </c>
    </row>
    <row r="73" spans="2:3">
      <c r="B73" s="22" t="s">
        <v>115</v>
      </c>
    </row>
    <row r="74" spans="2:3">
      <c r="B74" s="4" t="s">
        <v>116</v>
      </c>
    </row>
    <row r="75" spans="2:3">
      <c r="B75" s="4" t="s">
        <v>117</v>
      </c>
    </row>
  </sheetData>
  <phoneticPr fontId="3" type="noConversion"/>
  <hyperlinks>
    <hyperlink ref="A1" location="Main!A1" display="Main" xr:uid="{00000000-0004-0000-2000-000000000000}"/>
  </hyperlinks>
  <pageMargins left="0.75" right="0.75" top="1" bottom="1" header="0.5" footer="0.5"/>
  <pageSetup orientation="portrait" verticalDpi="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2"/>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RowHeight="12.75"/>
  <cols>
    <col min="1" max="1" width="5.42578125" style="4" customWidth="1"/>
    <col min="2" max="2" width="13.85546875" style="4" customWidth="1"/>
    <col min="3" max="3" width="9.140625" style="4"/>
    <col min="4" max="4" width="8.28515625" style="6" bestFit="1" customWidth="1"/>
    <col min="5" max="5" width="13.7109375" style="6" customWidth="1"/>
    <col min="6" max="6" width="10.85546875" style="6" bestFit="1" customWidth="1"/>
    <col min="7" max="7" width="11.5703125" style="6" bestFit="1" customWidth="1"/>
    <col min="8" max="8" width="10.140625" style="6" bestFit="1" customWidth="1"/>
    <col min="9" max="16384" width="9.140625" style="4"/>
  </cols>
  <sheetData>
    <row r="1" spans="1:6">
      <c r="A1" s="10" t="s">
        <v>5</v>
      </c>
    </row>
    <row r="2" spans="1:6">
      <c r="A2" s="10"/>
      <c r="B2" s="4" t="s">
        <v>335</v>
      </c>
      <c r="C2" s="16" t="s">
        <v>1087</v>
      </c>
      <c r="E2" s="4" t="s">
        <v>288</v>
      </c>
      <c r="F2" s="4" t="s">
        <v>336</v>
      </c>
    </row>
    <row r="3" spans="1:6">
      <c r="B3" s="16" t="s">
        <v>3</v>
      </c>
      <c r="C3" s="4" t="s">
        <v>337</v>
      </c>
    </row>
    <row r="4" spans="1:6">
      <c r="B4" s="16" t="s">
        <v>811</v>
      </c>
      <c r="C4" s="16" t="s">
        <v>1081</v>
      </c>
    </row>
    <row r="5" spans="1:6">
      <c r="B5" s="16"/>
      <c r="C5" s="4" t="s">
        <v>167</v>
      </c>
    </row>
    <row r="6" spans="1:6">
      <c r="B6" s="16"/>
      <c r="C6" s="4" t="s">
        <v>165</v>
      </c>
    </row>
    <row r="7" spans="1:6">
      <c r="B7" s="16"/>
      <c r="C7" s="4" t="s">
        <v>735</v>
      </c>
    </row>
    <row r="8" spans="1:6">
      <c r="B8" s="16"/>
      <c r="C8" s="4" t="s">
        <v>193</v>
      </c>
    </row>
    <row r="9" spans="1:6">
      <c r="B9" s="16"/>
      <c r="C9" s="4" t="s">
        <v>194</v>
      </c>
    </row>
    <row r="10" spans="1:6">
      <c r="B10" s="16"/>
      <c r="C10" s="16" t="s">
        <v>1084</v>
      </c>
    </row>
    <row r="11" spans="1:6">
      <c r="B11" s="16"/>
      <c r="C11" s="4" t="s">
        <v>238</v>
      </c>
    </row>
    <row r="12" spans="1:6">
      <c r="B12" s="16"/>
      <c r="C12" s="4" t="s">
        <v>239</v>
      </c>
    </row>
    <row r="13" spans="1:6">
      <c r="B13" s="16"/>
      <c r="C13" s="4" t="s">
        <v>764</v>
      </c>
    </row>
    <row r="14" spans="1:6">
      <c r="B14" s="16"/>
      <c r="C14" s="4" t="s">
        <v>547</v>
      </c>
    </row>
    <row r="15" spans="1:6" ht="14.25" customHeight="1">
      <c r="B15" s="16" t="s">
        <v>454</v>
      </c>
      <c r="C15" s="4" t="s">
        <v>184</v>
      </c>
    </row>
    <row r="16" spans="1:6">
      <c r="B16" s="16"/>
      <c r="C16" s="4" t="s">
        <v>77</v>
      </c>
    </row>
    <row r="17" spans="2:3">
      <c r="B17" s="16"/>
      <c r="C17" s="4" t="s">
        <v>256</v>
      </c>
    </row>
    <row r="18" spans="2:3">
      <c r="B18" s="16" t="s">
        <v>329</v>
      </c>
      <c r="C18" s="4" t="s">
        <v>166</v>
      </c>
    </row>
    <row r="19" spans="2:3">
      <c r="B19" s="4" t="s">
        <v>531</v>
      </c>
      <c r="C19" s="4" t="s">
        <v>983</v>
      </c>
    </row>
    <row r="20" spans="2:3">
      <c r="B20" s="4" t="s">
        <v>537</v>
      </c>
      <c r="C20" s="16" t="s">
        <v>1100</v>
      </c>
    </row>
    <row r="21" spans="2:3">
      <c r="B21" s="16" t="s">
        <v>6</v>
      </c>
      <c r="C21" s="16" t="s">
        <v>1099</v>
      </c>
    </row>
    <row r="22" spans="2:3">
      <c r="B22" s="4" t="s">
        <v>7</v>
      </c>
      <c r="C22" s="16" t="s">
        <v>1074</v>
      </c>
    </row>
    <row r="23" spans="2:3">
      <c r="B23" s="4" t="s">
        <v>323</v>
      </c>
    </row>
    <row r="24" spans="2:3">
      <c r="C24" s="22" t="s">
        <v>1083</v>
      </c>
    </row>
    <row r="25" spans="2:3">
      <c r="C25" s="4" t="s">
        <v>164</v>
      </c>
    </row>
    <row r="26" spans="2:3">
      <c r="C26" s="16" t="s">
        <v>1082</v>
      </c>
    </row>
    <row r="27" spans="2:3">
      <c r="C27" s="4" t="s">
        <v>633</v>
      </c>
    </row>
    <row r="28" spans="2:3">
      <c r="C28" s="16" t="s">
        <v>1085</v>
      </c>
    </row>
    <row r="29" spans="2:3">
      <c r="C29" s="4" t="s">
        <v>396</v>
      </c>
    </row>
    <row r="30" spans="2:3">
      <c r="C30" s="22" t="s">
        <v>168</v>
      </c>
    </row>
    <row r="31" spans="2:3">
      <c r="C31" s="16" t="s">
        <v>171</v>
      </c>
    </row>
    <row r="32" spans="2:3">
      <c r="C32" s="4" t="s">
        <v>487</v>
      </c>
    </row>
    <row r="34" spans="3:3">
      <c r="C34" s="22" t="s">
        <v>621</v>
      </c>
    </row>
    <row r="35" spans="3:3">
      <c r="C35" s="16" t="s">
        <v>745</v>
      </c>
    </row>
    <row r="37" spans="3:3">
      <c r="C37" s="22" t="s">
        <v>169</v>
      </c>
    </row>
    <row r="38" spans="3:3">
      <c r="C38" s="14" t="s">
        <v>1034</v>
      </c>
    </row>
    <row r="39" spans="3:3">
      <c r="C39" s="4" t="s">
        <v>170</v>
      </c>
    </row>
    <row r="40" spans="3:3">
      <c r="C40" s="4" t="s">
        <v>1035</v>
      </c>
    </row>
    <row r="41" spans="3:3">
      <c r="C41" s="4" t="s">
        <v>1036</v>
      </c>
    </row>
    <row r="43" spans="3:3">
      <c r="C43" s="22" t="s">
        <v>991</v>
      </c>
    </row>
    <row r="44" spans="3:3">
      <c r="C44" s="16" t="s">
        <v>655</v>
      </c>
    </row>
    <row r="45" spans="3:3">
      <c r="C45" s="16" t="s">
        <v>403</v>
      </c>
    </row>
    <row r="46" spans="3:3">
      <c r="C46" s="16" t="s">
        <v>41</v>
      </c>
    </row>
    <row r="47" spans="3:3">
      <c r="C47" s="16" t="s">
        <v>999</v>
      </c>
    </row>
    <row r="49" spans="3:9">
      <c r="C49" s="22" t="s">
        <v>46</v>
      </c>
    </row>
    <row r="50" spans="3:9">
      <c r="C50" s="4" t="s">
        <v>990</v>
      </c>
    </row>
    <row r="51" spans="3:9">
      <c r="C51" s="4" t="s">
        <v>695</v>
      </c>
    </row>
    <row r="53" spans="3:9">
      <c r="C53" s="22" t="s">
        <v>665</v>
      </c>
      <c r="D53" s="4"/>
      <c r="E53"/>
      <c r="I53" s="6"/>
    </row>
    <row r="54" spans="3:9">
      <c r="C54" s="4" t="s">
        <v>3</v>
      </c>
      <c r="D54" s="4" t="s">
        <v>622</v>
      </c>
      <c r="I54" s="6"/>
    </row>
    <row r="55" spans="3:9">
      <c r="C55" s="4" t="s">
        <v>423</v>
      </c>
      <c r="D55" s="4" t="s">
        <v>424</v>
      </c>
      <c r="I55" s="6"/>
    </row>
    <row r="56" spans="3:9">
      <c r="C56" s="4" t="s">
        <v>554</v>
      </c>
      <c r="D56" s="4" t="s">
        <v>421</v>
      </c>
      <c r="I56" s="6"/>
    </row>
    <row r="57" spans="3:9">
      <c r="C57" s="16" t="s">
        <v>1073</v>
      </c>
      <c r="D57" s="4"/>
      <c r="I57" s="6"/>
    </row>
    <row r="58" spans="3:9">
      <c r="D58" s="4"/>
      <c r="I58" s="6"/>
    </row>
    <row r="59" spans="3:9">
      <c r="C59" s="22" t="s">
        <v>422</v>
      </c>
      <c r="D59" s="4"/>
      <c r="I59" s="6"/>
    </row>
    <row r="60" spans="3:9">
      <c r="C60" s="16" t="s">
        <v>623</v>
      </c>
      <c r="D60" s="4"/>
      <c r="I60" s="6"/>
    </row>
    <row r="61" spans="3:9">
      <c r="C61" s="14" t="s">
        <v>452</v>
      </c>
      <c r="D61" s="4"/>
      <c r="I61" s="6"/>
    </row>
    <row r="63" spans="3:9">
      <c r="C63" s="22" t="s">
        <v>1101</v>
      </c>
    </row>
    <row r="64" spans="3:9">
      <c r="C64" s="4" t="s">
        <v>294</v>
      </c>
    </row>
    <row r="66" spans="3:13">
      <c r="C66" s="22" t="s">
        <v>1102</v>
      </c>
    </row>
    <row r="67" spans="3:13">
      <c r="C67" s="16" t="s">
        <v>1103</v>
      </c>
    </row>
    <row r="68" spans="3:13">
      <c r="C68" s="16" t="s">
        <v>1104</v>
      </c>
    </row>
    <row r="70" spans="3:13">
      <c r="C70" s="22" t="s">
        <v>1079</v>
      </c>
      <c r="M70" s="69"/>
    </row>
    <row r="71" spans="3:13">
      <c r="C71" s="16" t="s">
        <v>1054</v>
      </c>
      <c r="M71" s="69"/>
    </row>
    <row r="72" spans="3:13">
      <c r="C72" s="16" t="s">
        <v>1055</v>
      </c>
      <c r="M72" s="69"/>
    </row>
    <row r="73" spans="3:13">
      <c r="C73" s="14" t="s">
        <v>1089</v>
      </c>
      <c r="M73" s="69"/>
    </row>
    <row r="74" spans="3:13">
      <c r="C74" s="16" t="s">
        <v>1088</v>
      </c>
      <c r="M74" s="69"/>
    </row>
    <row r="75" spans="3:13">
      <c r="M75" s="69"/>
    </row>
    <row r="76" spans="3:13">
      <c r="C76" s="22" t="s">
        <v>625</v>
      </c>
      <c r="M76" s="69"/>
    </row>
    <row r="77" spans="3:13">
      <c r="C77" s="4" t="s">
        <v>624</v>
      </c>
    </row>
    <row r="79" spans="3:13">
      <c r="C79" s="4" t="s">
        <v>273</v>
      </c>
    </row>
    <row r="80" spans="3:13">
      <c r="C80" s="4" t="s">
        <v>533</v>
      </c>
    </row>
    <row r="81" spans="3:3">
      <c r="C81" s="4" t="s">
        <v>534</v>
      </c>
    </row>
    <row r="83" spans="3:3">
      <c r="C83" s="23" t="s">
        <v>195</v>
      </c>
    </row>
    <row r="84" spans="3:3">
      <c r="C84" s="4" t="s">
        <v>312</v>
      </c>
    </row>
    <row r="85" spans="3:3">
      <c r="C85" s="4" t="s">
        <v>766</v>
      </c>
    </row>
    <row r="87" spans="3:3">
      <c r="C87" s="22" t="s">
        <v>44</v>
      </c>
    </row>
    <row r="88" spans="3:3">
      <c r="C88" s="4" t="s">
        <v>45</v>
      </c>
    </row>
    <row r="89" spans="3:3">
      <c r="C89" s="4" t="s">
        <v>42</v>
      </c>
    </row>
    <row r="91" spans="3:3">
      <c r="C91" s="22" t="s">
        <v>78</v>
      </c>
    </row>
    <row r="92" spans="3:3">
      <c r="C92" s="4" t="s">
        <v>79</v>
      </c>
    </row>
    <row r="95" spans="3:3">
      <c r="C95" s="22" t="s">
        <v>1071</v>
      </c>
    </row>
    <row r="96" spans="3:3">
      <c r="C96" s="16" t="s">
        <v>1072</v>
      </c>
    </row>
    <row r="98" spans="3:4">
      <c r="C98" s="22" t="s">
        <v>334</v>
      </c>
      <c r="D98" s="22"/>
    </row>
    <row r="99" spans="3:4">
      <c r="C99" s="4" t="s">
        <v>338</v>
      </c>
      <c r="D99" s="4" t="s">
        <v>765</v>
      </c>
    </row>
    <row r="101" spans="3:4">
      <c r="C101" s="22" t="s">
        <v>1105</v>
      </c>
    </row>
    <row r="102" spans="3:4">
      <c r="C102" s="16" t="s">
        <v>1106</v>
      </c>
    </row>
  </sheetData>
  <phoneticPr fontId="3" type="noConversion"/>
  <hyperlinks>
    <hyperlink ref="A1" location="Main!A1" display="Main" xr:uid="{00000000-0004-0000-2100-000000000000}"/>
  </hyperlinks>
  <pageMargins left="0.75" right="0.75" top="1" bottom="1" header="0.5" footer="0.5"/>
  <pageSetup orientation="portrait" horizontalDpi="4294967293" verticalDpi="2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34"/>
  <sheetViews>
    <sheetView workbookViewId="0"/>
  </sheetViews>
  <sheetFormatPr defaultRowHeight="12.75"/>
  <sheetData>
    <row r="1" spans="1:8">
      <c r="A1" s="11" t="s">
        <v>5</v>
      </c>
    </row>
    <row r="3" spans="1:8">
      <c r="B3" t="s">
        <v>435</v>
      </c>
    </row>
    <row r="8" spans="1:8" s="4" customFormat="1">
      <c r="B8" s="22" t="s">
        <v>736</v>
      </c>
      <c r="D8" s="6"/>
      <c r="E8" s="6"/>
      <c r="F8" s="6"/>
      <c r="G8" s="6"/>
      <c r="H8" s="6"/>
    </row>
    <row r="9" spans="1:8" s="4" customFormat="1">
      <c r="B9" s="4" t="s">
        <v>172</v>
      </c>
      <c r="D9" s="6"/>
      <c r="E9" s="6"/>
      <c r="F9" s="6"/>
      <c r="G9" s="6"/>
      <c r="H9" s="6"/>
    </row>
    <row r="10" spans="1:8" s="4" customFormat="1">
      <c r="B10" s="4" t="s">
        <v>173</v>
      </c>
      <c r="D10" s="6"/>
      <c r="E10" s="6"/>
      <c r="F10" s="6"/>
      <c r="G10" s="6"/>
      <c r="H10" s="6"/>
    </row>
    <row r="14" spans="1:8">
      <c r="B14" t="s">
        <v>457</v>
      </c>
    </row>
    <row r="15" spans="1:8">
      <c r="C15" t="s">
        <v>850</v>
      </c>
    </row>
    <row r="16" spans="1:8">
      <c r="B16" t="s">
        <v>317</v>
      </c>
    </row>
    <row r="17" spans="2:3">
      <c r="B17" t="s">
        <v>340</v>
      </c>
    </row>
    <row r="18" spans="2:3">
      <c r="B18" t="s">
        <v>344</v>
      </c>
    </row>
    <row r="19" spans="2:3">
      <c r="C19" t="s">
        <v>345</v>
      </c>
    </row>
    <row r="20" spans="2:3">
      <c r="C20" t="s">
        <v>346</v>
      </c>
    </row>
    <row r="21" spans="2:3">
      <c r="B21" t="s">
        <v>347</v>
      </c>
    </row>
    <row r="23" spans="2:3">
      <c r="B23" t="s">
        <v>348</v>
      </c>
    </row>
    <row r="24" spans="2:3">
      <c r="B24" t="s">
        <v>411</v>
      </c>
    </row>
    <row r="25" spans="2:3">
      <c r="B25" t="s">
        <v>412</v>
      </c>
    </row>
    <row r="27" spans="2:3">
      <c r="B27" t="s">
        <v>413</v>
      </c>
    </row>
    <row r="28" spans="2:3">
      <c r="B28" t="s">
        <v>414</v>
      </c>
    </row>
    <row r="29" spans="2:3">
      <c r="B29" t="s">
        <v>673</v>
      </c>
    </row>
    <row r="30" spans="2:3">
      <c r="B30" t="s">
        <v>674</v>
      </c>
    </row>
    <row r="31" spans="2:3">
      <c r="B31" t="s">
        <v>675</v>
      </c>
    </row>
    <row r="33" spans="2:2">
      <c r="B33" t="s">
        <v>676</v>
      </c>
    </row>
    <row r="34" spans="2:2">
      <c r="B34" t="s">
        <v>485</v>
      </c>
    </row>
  </sheetData>
  <phoneticPr fontId="3" type="noConversion"/>
  <hyperlinks>
    <hyperlink ref="A1" location="Main!A1" display="Home" xr:uid="{00000000-0004-0000-2200-000000000000}"/>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4"/>
  <sheetViews>
    <sheetView workbookViewId="0"/>
  </sheetViews>
  <sheetFormatPr defaultRowHeight="12.75"/>
  <cols>
    <col min="1" max="1" width="5" style="4" bestFit="1" customWidth="1"/>
    <col min="2" max="2" width="12.85546875" style="4" bestFit="1" customWidth="1"/>
    <col min="3" max="16384" width="9.140625" style="4"/>
  </cols>
  <sheetData>
    <row r="1" spans="1:3">
      <c r="A1" s="10" t="s">
        <v>5</v>
      </c>
    </row>
    <row r="2" spans="1:3">
      <c r="B2" s="4" t="s">
        <v>287</v>
      </c>
      <c r="C2" s="4" t="s">
        <v>97</v>
      </c>
    </row>
    <row r="3" spans="1:3">
      <c r="B3" s="4" t="s">
        <v>288</v>
      </c>
      <c r="C3" s="4" t="s">
        <v>489</v>
      </c>
    </row>
    <row r="4" spans="1:3">
      <c r="B4" s="4" t="s">
        <v>811</v>
      </c>
      <c r="C4" s="4" t="s">
        <v>490</v>
      </c>
    </row>
  </sheetData>
  <phoneticPr fontId="3" type="noConversion"/>
  <hyperlinks>
    <hyperlink ref="A1" location="Main!A1" display="Main" xr:uid="{00000000-0004-0000-2300-000000000000}"/>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63"/>
  <sheetViews>
    <sheetView workbookViewId="0">
      <pane ySplit="2" topLeftCell="A3" activePane="bottomLeft" state="frozen"/>
      <selection pane="bottomLeft" activeCell="A3" sqref="A3"/>
    </sheetView>
  </sheetViews>
  <sheetFormatPr defaultRowHeight="12.75"/>
  <cols>
    <col min="1" max="1" width="5.5703125" style="4" customWidth="1"/>
    <col min="2" max="2" width="13" style="4" customWidth="1"/>
    <col min="3" max="16384" width="9.140625" style="4"/>
  </cols>
  <sheetData>
    <row r="1" spans="1:3">
      <c r="A1" s="10" t="s">
        <v>5</v>
      </c>
    </row>
    <row r="2" spans="1:3">
      <c r="B2" s="4" t="s">
        <v>287</v>
      </c>
      <c r="C2" s="4" t="s">
        <v>598</v>
      </c>
    </row>
    <row r="3" spans="1:3">
      <c r="B3" s="4" t="s">
        <v>288</v>
      </c>
      <c r="C3" s="4" t="s">
        <v>1045</v>
      </c>
    </row>
    <row r="4" spans="1:3">
      <c r="B4" s="4" t="s">
        <v>811</v>
      </c>
      <c r="C4" s="4" t="s">
        <v>703</v>
      </c>
    </row>
    <row r="5" spans="1:3">
      <c r="C5" s="4" t="s">
        <v>274</v>
      </c>
    </row>
    <row r="6" spans="1:3">
      <c r="C6" s="4" t="s">
        <v>981</v>
      </c>
    </row>
    <row r="7" spans="1:3">
      <c r="B7" s="4" t="s">
        <v>454</v>
      </c>
      <c r="C7" s="4" t="s">
        <v>987</v>
      </c>
    </row>
    <row r="8" spans="1:3">
      <c r="B8" s="4" t="s">
        <v>986</v>
      </c>
      <c r="C8" s="4" t="s">
        <v>339</v>
      </c>
    </row>
    <row r="9" spans="1:3">
      <c r="B9" s="4" t="s">
        <v>323</v>
      </c>
    </row>
    <row r="10" spans="1:3">
      <c r="C10" s="22" t="s">
        <v>713</v>
      </c>
    </row>
    <row r="11" spans="1:3">
      <c r="C11" s="16" t="s">
        <v>599</v>
      </c>
    </row>
    <row r="12" spans="1:3">
      <c r="C12" s="16"/>
    </row>
    <row r="13" spans="1:3">
      <c r="C13" s="22" t="s">
        <v>814</v>
      </c>
    </row>
    <row r="14" spans="1:3">
      <c r="C14" s="4" t="s">
        <v>223</v>
      </c>
    </row>
    <row r="15" spans="1:3">
      <c r="C15" s="4" t="s">
        <v>893</v>
      </c>
    </row>
    <row r="16" spans="1:3">
      <c r="C16" s="4" t="s">
        <v>750</v>
      </c>
    </row>
    <row r="17" spans="3:4">
      <c r="C17" s="4" t="s">
        <v>751</v>
      </c>
    </row>
    <row r="18" spans="3:4">
      <c r="C18" s="4" t="s">
        <v>815</v>
      </c>
    </row>
    <row r="20" spans="3:4">
      <c r="C20" s="22" t="s">
        <v>519</v>
      </c>
    </row>
    <row r="21" spans="3:4">
      <c r="C21" s="16" t="s">
        <v>639</v>
      </c>
    </row>
    <row r="22" spans="3:4">
      <c r="C22" s="14"/>
    </row>
    <row r="23" spans="3:4">
      <c r="C23" s="22" t="s">
        <v>714</v>
      </c>
    </row>
    <row r="24" spans="3:4">
      <c r="C24" s="16" t="s">
        <v>715</v>
      </c>
    </row>
    <row r="25" spans="3:4">
      <c r="C25" s="16"/>
    </row>
    <row r="26" spans="3:4">
      <c r="C26" s="28" t="s">
        <v>851</v>
      </c>
    </row>
    <row r="27" spans="3:4">
      <c r="C27" s="4" t="s">
        <v>275</v>
      </c>
      <c r="D27" s="4" t="s">
        <v>276</v>
      </c>
    </row>
    <row r="28" spans="3:4">
      <c r="C28" s="4" t="s">
        <v>358</v>
      </c>
      <c r="D28" s="4" t="s">
        <v>324</v>
      </c>
    </row>
    <row r="29" spans="3:4">
      <c r="C29" s="4" t="s">
        <v>325</v>
      </c>
      <c r="D29" s="4" t="s">
        <v>299</v>
      </c>
    </row>
    <row r="30" spans="3:4">
      <c r="C30" s="4" t="s">
        <v>10</v>
      </c>
      <c r="D30" s="4" t="s">
        <v>277</v>
      </c>
    </row>
    <row r="31" spans="3:4">
      <c r="C31" s="4" t="s">
        <v>11</v>
      </c>
      <c r="D31" s="4" t="s">
        <v>300</v>
      </c>
    </row>
    <row r="32" spans="3:4">
      <c r="D32" s="4" t="s">
        <v>301</v>
      </c>
    </row>
    <row r="33" spans="3:4">
      <c r="D33" s="4" t="s">
        <v>302</v>
      </c>
    </row>
    <row r="34" spans="3:4">
      <c r="C34" s="4" t="s">
        <v>1010</v>
      </c>
      <c r="D34" s="4" t="s">
        <v>303</v>
      </c>
    </row>
    <row r="35" spans="3:4">
      <c r="D35" s="4" t="s">
        <v>278</v>
      </c>
    </row>
    <row r="36" spans="3:4">
      <c r="D36" s="4" t="s">
        <v>279</v>
      </c>
    </row>
    <row r="38" spans="3:4">
      <c r="C38" s="22" t="s">
        <v>894</v>
      </c>
    </row>
    <row r="39" spans="3:4">
      <c r="C39" s="4" t="s">
        <v>775</v>
      </c>
    </row>
    <row r="41" spans="3:4">
      <c r="C41" s="22" t="s">
        <v>641</v>
      </c>
    </row>
    <row r="42" spans="3:4">
      <c r="C42" s="16" t="s">
        <v>642</v>
      </c>
    </row>
    <row r="43" spans="3:4">
      <c r="C43" s="14"/>
    </row>
    <row r="44" spans="3:4">
      <c r="C44" s="16" t="s">
        <v>680</v>
      </c>
    </row>
    <row r="45" spans="3:4">
      <c r="C45" s="16" t="s">
        <v>681</v>
      </c>
    </row>
    <row r="46" spans="3:4">
      <c r="C46" s="16"/>
    </row>
    <row r="47" spans="3:4">
      <c r="C47" s="4" t="s">
        <v>224</v>
      </c>
    </row>
    <row r="48" spans="3:4">
      <c r="C48" s="14" t="s">
        <v>640</v>
      </c>
    </row>
    <row r="49" spans="3:4">
      <c r="C49" s="14"/>
    </row>
    <row r="50" spans="3:4">
      <c r="C50" s="4" t="s">
        <v>696</v>
      </c>
    </row>
    <row r="51" spans="3:4">
      <c r="D51" s="4" t="s">
        <v>697</v>
      </c>
    </row>
    <row r="52" spans="3:4">
      <c r="C52" s="4" t="s">
        <v>437</v>
      </c>
    </row>
    <row r="54" spans="3:4">
      <c r="C54" s="22" t="s">
        <v>908</v>
      </c>
    </row>
    <row r="55" spans="3:4">
      <c r="C55" s="4" t="s">
        <v>839</v>
      </c>
    </row>
    <row r="56" spans="3:4">
      <c r="C56" s="4" t="s">
        <v>840</v>
      </c>
    </row>
    <row r="57" spans="3:4">
      <c r="C57" s="4" t="s">
        <v>443</v>
      </c>
    </row>
    <row r="58" spans="3:4">
      <c r="C58" s="4" t="s">
        <v>341</v>
      </c>
    </row>
    <row r="59" spans="3:4">
      <c r="C59" s="4" t="s">
        <v>342</v>
      </c>
    </row>
    <row r="60" spans="3:4">
      <c r="C60" s="4" t="s">
        <v>906</v>
      </c>
    </row>
    <row r="61" spans="3:4">
      <c r="C61" s="4" t="s">
        <v>907</v>
      </c>
    </row>
    <row r="63" spans="3:4">
      <c r="C63" s="4" t="s">
        <v>462</v>
      </c>
    </row>
  </sheetData>
  <phoneticPr fontId="3" type="noConversion"/>
  <hyperlinks>
    <hyperlink ref="A1" location="Main!A1" display="Main" xr:uid="{00000000-0004-0000-2400-000000000000}"/>
    <hyperlink ref="C26" r:id="rId1" display="First In Human in advanced solid tumors" xr:uid="{00000000-0004-0000-2400-000001000000}"/>
  </hyperlinks>
  <pageMargins left="0.75" right="0.75" top="1" bottom="1" header="0.5" footer="0.5"/>
  <pageSetup orientation="portrait" horizontalDpi="4294967293" verticalDpi="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46"/>
  <sheetViews>
    <sheetView workbookViewId="0">
      <pane ySplit="2" topLeftCell="A3" activePane="bottomLeft" state="frozen"/>
      <selection pane="bottomLeft" activeCell="A3" sqref="A3"/>
    </sheetView>
  </sheetViews>
  <sheetFormatPr defaultRowHeight="12.75"/>
  <cols>
    <col min="1" max="1" width="5" style="4" bestFit="1" customWidth="1"/>
    <col min="2" max="2" width="16.42578125" style="4" customWidth="1"/>
    <col min="3" max="16384" width="9.140625" style="4"/>
  </cols>
  <sheetData>
    <row r="1" spans="1:3">
      <c r="A1" s="10" t="s">
        <v>5</v>
      </c>
    </row>
    <row r="2" spans="1:3">
      <c r="B2" s="4" t="s">
        <v>287</v>
      </c>
      <c r="C2" s="4" t="s">
        <v>560</v>
      </c>
    </row>
    <row r="3" spans="1:3">
      <c r="B3" s="4" t="s">
        <v>288</v>
      </c>
    </row>
    <row r="4" spans="1:3">
      <c r="B4" s="4" t="s">
        <v>3</v>
      </c>
      <c r="C4" s="4" t="s">
        <v>741</v>
      </c>
    </row>
    <row r="5" spans="1:3">
      <c r="C5" s="4" t="s">
        <v>837</v>
      </c>
    </row>
    <row r="6" spans="1:3">
      <c r="C6" s="4" t="s">
        <v>984</v>
      </c>
    </row>
    <row r="7" spans="1:3">
      <c r="B7" s="4" t="s">
        <v>670</v>
      </c>
      <c r="C7" s="4" t="s">
        <v>548</v>
      </c>
    </row>
    <row r="8" spans="1:3">
      <c r="B8" s="4" t="s">
        <v>811</v>
      </c>
      <c r="C8" s="4" t="s">
        <v>831</v>
      </c>
    </row>
    <row r="9" spans="1:3">
      <c r="C9" s="16" t="s">
        <v>36</v>
      </c>
    </row>
    <row r="10" spans="1:3">
      <c r="C10" s="16" t="s">
        <v>549</v>
      </c>
    </row>
    <row r="11" spans="1:3">
      <c r="B11" s="4" t="s">
        <v>986</v>
      </c>
      <c r="C11" s="4" t="s">
        <v>832</v>
      </c>
    </row>
    <row r="12" spans="1:3">
      <c r="B12" s="4" t="s">
        <v>7</v>
      </c>
      <c r="C12" s="4" t="s">
        <v>55</v>
      </c>
    </row>
    <row r="13" spans="1:3">
      <c r="C13" s="4" t="s">
        <v>699</v>
      </c>
    </row>
    <row r="14" spans="1:3">
      <c r="B14" s="4" t="s">
        <v>323</v>
      </c>
    </row>
    <row r="15" spans="1:3">
      <c r="C15" s="22" t="s">
        <v>716</v>
      </c>
    </row>
    <row r="16" spans="1:3">
      <c r="C16" s="4" t="s">
        <v>717</v>
      </c>
    </row>
    <row r="18" spans="3:3">
      <c r="C18" s="22" t="s">
        <v>719</v>
      </c>
    </row>
    <row r="19" spans="3:3">
      <c r="C19" s="4" t="s">
        <v>718</v>
      </c>
    </row>
    <row r="21" spans="3:3">
      <c r="C21" s="22" t="s">
        <v>720</v>
      </c>
    </row>
    <row r="22" spans="3:3">
      <c r="C22" s="4" t="s">
        <v>188</v>
      </c>
    </row>
    <row r="24" spans="3:3">
      <c r="C24" s="22" t="s">
        <v>917</v>
      </c>
    </row>
    <row r="25" spans="3:3">
      <c r="C25" s="4" t="s">
        <v>467</v>
      </c>
    </row>
    <row r="27" spans="3:3">
      <c r="C27" s="28" t="s">
        <v>830</v>
      </c>
    </row>
    <row r="28" spans="3:3">
      <c r="C28" s="4" t="s">
        <v>551</v>
      </c>
    </row>
    <row r="29" spans="3:3">
      <c r="C29" s="4" t="s">
        <v>836</v>
      </c>
    </row>
    <row r="30" spans="3:3">
      <c r="C30" s="4" t="s">
        <v>982</v>
      </c>
    </row>
    <row r="31" spans="3:3">
      <c r="C31" s="4" t="s">
        <v>834</v>
      </c>
    </row>
    <row r="32" spans="3:3">
      <c r="C32" s="16" t="s">
        <v>833</v>
      </c>
    </row>
    <row r="33" spans="3:3">
      <c r="C33" s="16" t="s">
        <v>998</v>
      </c>
    </row>
    <row r="34" spans="3:3">
      <c r="C34" s="4" t="s">
        <v>669</v>
      </c>
    </row>
    <row r="35" spans="3:3">
      <c r="C35" s="4" t="s">
        <v>835</v>
      </c>
    </row>
    <row r="36" spans="3:3">
      <c r="C36" s="4" t="s">
        <v>550</v>
      </c>
    </row>
    <row r="37" spans="3:3">
      <c r="C37" s="4" t="s">
        <v>552</v>
      </c>
    </row>
    <row r="39" spans="3:3">
      <c r="C39" s="22" t="s">
        <v>189</v>
      </c>
    </row>
    <row r="40" spans="3:3">
      <c r="C40" s="4" t="s">
        <v>698</v>
      </c>
    </row>
    <row r="41" spans="3:3">
      <c r="C41" s="4" t="s">
        <v>744</v>
      </c>
    </row>
    <row r="42" spans="3:3">
      <c r="C42" s="4" t="s">
        <v>985</v>
      </c>
    </row>
    <row r="44" spans="3:3">
      <c r="C44" s="22" t="s">
        <v>190</v>
      </c>
    </row>
    <row r="45" spans="3:3">
      <c r="C45" s="4" t="s">
        <v>801</v>
      </c>
    </row>
    <row r="46" spans="3:3">
      <c r="C46" s="4" t="s">
        <v>743</v>
      </c>
    </row>
  </sheetData>
  <phoneticPr fontId="3" type="noConversion"/>
  <hyperlinks>
    <hyperlink ref="A1" location="Main!A1" display="Main" xr:uid="{00000000-0004-0000-2500-000000000000}"/>
    <hyperlink ref="C27" r:id="rId1" display="Phase II open-label in ITP - NEJM 2006" xr:uid="{00000000-0004-0000-2500-000001000000}"/>
  </hyperlinks>
  <pageMargins left="0.75" right="0.75" top="1" bottom="1" header="0.5" footer="0.5"/>
  <pageSetup orientation="portrait" horizontalDpi="4294967293" verticalDpi="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2:B4"/>
  <sheetViews>
    <sheetView workbookViewId="0"/>
  </sheetViews>
  <sheetFormatPr defaultRowHeight="12.75"/>
  <sheetData>
    <row r="2" spans="2:2">
      <c r="B2" t="s">
        <v>632</v>
      </c>
    </row>
    <row r="4" spans="2:2">
      <c r="B4" t="s">
        <v>972</v>
      </c>
    </row>
  </sheetData>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83"/>
  <sheetViews>
    <sheetView topLeftCell="A82" zoomScale="130" zoomScaleNormal="130" workbookViewId="0">
      <selection activeCell="E84" sqref="E84"/>
    </sheetView>
  </sheetViews>
  <sheetFormatPr defaultRowHeight="12.75"/>
  <cols>
    <col min="1" max="1" width="2.28515625" style="4" customWidth="1"/>
    <col min="2" max="2" width="26.42578125" style="4" customWidth="1"/>
    <col min="3" max="3" width="30.42578125" style="6" bestFit="1" customWidth="1"/>
    <col min="4" max="4" width="25.28515625" style="6" bestFit="1" customWidth="1"/>
    <col min="5" max="5" width="15.140625" style="4" customWidth="1"/>
    <col min="6" max="6" width="16.28515625" style="4" customWidth="1"/>
    <col min="7" max="7" width="19.140625" style="4" customWidth="1"/>
    <col min="8" max="8" width="3.5703125" style="4" customWidth="1"/>
    <col min="9" max="9" width="7" style="4" bestFit="1" customWidth="1"/>
    <col min="10" max="10" width="8.42578125" style="4" customWidth="1"/>
    <col min="11" max="11" width="7" style="4" customWidth="1"/>
    <col min="12" max="16384" width="9.140625" style="4"/>
  </cols>
  <sheetData>
    <row r="1" spans="1:11" ht="12" customHeight="1">
      <c r="A1" s="16"/>
    </row>
    <row r="2" spans="1:11">
      <c r="B2" s="1" t="s">
        <v>2</v>
      </c>
      <c r="C2" s="2" t="s">
        <v>3</v>
      </c>
      <c r="D2" s="2" t="s">
        <v>811</v>
      </c>
      <c r="E2" s="2" t="s">
        <v>6</v>
      </c>
      <c r="F2" s="2" t="s">
        <v>1026</v>
      </c>
      <c r="G2" s="3" t="s">
        <v>600</v>
      </c>
      <c r="I2" s="4" t="s">
        <v>359</v>
      </c>
      <c r="J2" s="54">
        <v>232</v>
      </c>
    </row>
    <row r="3" spans="1:11">
      <c r="B3" s="25" t="s">
        <v>357</v>
      </c>
      <c r="C3" s="6" t="s">
        <v>1135</v>
      </c>
      <c r="D3" s="6" t="s">
        <v>812</v>
      </c>
      <c r="E3" s="12">
        <v>1</v>
      </c>
      <c r="F3" s="6">
        <v>2001</v>
      </c>
      <c r="G3" s="7" t="s">
        <v>305</v>
      </c>
      <c r="I3" s="4" t="s">
        <v>449</v>
      </c>
      <c r="J3" s="26">
        <v>539</v>
      </c>
      <c r="K3" s="107" t="s">
        <v>1192</v>
      </c>
    </row>
    <row r="4" spans="1:11">
      <c r="B4" s="25" t="s">
        <v>210</v>
      </c>
      <c r="C4" s="6" t="s">
        <v>1136</v>
      </c>
      <c r="D4" s="6" t="s">
        <v>664</v>
      </c>
      <c r="E4" s="12" t="s">
        <v>322</v>
      </c>
      <c r="F4" s="12"/>
      <c r="G4" s="7">
        <v>2009</v>
      </c>
      <c r="I4" s="4" t="s">
        <v>1014</v>
      </c>
      <c r="J4" s="26">
        <f>J3*J2</f>
        <v>125048</v>
      </c>
    </row>
    <row r="5" spans="1:11">
      <c r="B5" s="25" t="s">
        <v>211</v>
      </c>
      <c r="C5" s="6" t="s">
        <v>572</v>
      </c>
      <c r="D5" s="6" t="s">
        <v>812</v>
      </c>
      <c r="E5" s="12">
        <v>1</v>
      </c>
      <c r="F5" s="12"/>
      <c r="G5" s="7">
        <v>2015</v>
      </c>
      <c r="I5" s="4" t="s">
        <v>1015</v>
      </c>
      <c r="J5" s="26">
        <v>9300</v>
      </c>
      <c r="K5" s="107" t="s">
        <v>1192</v>
      </c>
    </row>
    <row r="6" spans="1:11">
      <c r="B6" s="25" t="s">
        <v>13</v>
      </c>
      <c r="C6" s="6" t="s">
        <v>562</v>
      </c>
      <c r="D6" s="6" t="s">
        <v>812</v>
      </c>
      <c r="E6" s="12">
        <v>1</v>
      </c>
      <c r="F6" s="6">
        <v>1989</v>
      </c>
      <c r="G6" s="7" t="s">
        <v>650</v>
      </c>
      <c r="I6" s="4" t="s">
        <v>1016</v>
      </c>
      <c r="J6" s="26">
        <v>38900</v>
      </c>
      <c r="K6" s="107" t="s">
        <v>1192</v>
      </c>
    </row>
    <row r="7" spans="1:11">
      <c r="B7" s="25" t="s">
        <v>390</v>
      </c>
      <c r="C7" s="6" t="s">
        <v>1138</v>
      </c>
      <c r="D7" s="6" t="s">
        <v>1216</v>
      </c>
      <c r="E7" s="12">
        <v>1</v>
      </c>
      <c r="F7" s="6">
        <v>2006</v>
      </c>
      <c r="G7" s="7" t="s">
        <v>187</v>
      </c>
      <c r="I7" s="4" t="s">
        <v>1017</v>
      </c>
      <c r="J7" s="26">
        <f>J4-J5+J6</f>
        <v>154648</v>
      </c>
    </row>
    <row r="8" spans="1:11">
      <c r="B8" s="25" t="s">
        <v>1214</v>
      </c>
      <c r="C8" s="6" t="s">
        <v>1223</v>
      </c>
      <c r="D8" s="6" t="s">
        <v>1215</v>
      </c>
      <c r="E8" s="27">
        <v>1</v>
      </c>
      <c r="G8" s="24"/>
    </row>
    <row r="9" spans="1:11">
      <c r="B9" s="25" t="s">
        <v>1086</v>
      </c>
      <c r="C9" s="29" t="s">
        <v>1139</v>
      </c>
      <c r="D9" s="103" t="s">
        <v>1217</v>
      </c>
      <c r="E9" s="52" t="s">
        <v>1080</v>
      </c>
      <c r="F9" s="104">
        <v>40384</v>
      </c>
      <c r="G9" s="44" t="s">
        <v>755</v>
      </c>
      <c r="I9" s="113" t="s">
        <v>1296</v>
      </c>
    </row>
    <row r="10" spans="1:11">
      <c r="B10" s="112" t="s">
        <v>1290</v>
      </c>
      <c r="C10" s="29"/>
      <c r="D10" s="29"/>
      <c r="E10" s="52"/>
      <c r="F10" s="104">
        <v>41110</v>
      </c>
      <c r="G10" s="44"/>
    </row>
    <row r="11" spans="1:11">
      <c r="B11" s="112" t="s">
        <v>1291</v>
      </c>
      <c r="C11" s="29"/>
      <c r="D11" s="29"/>
      <c r="E11" s="52"/>
      <c r="F11" s="104"/>
      <c r="G11" s="44"/>
    </row>
    <row r="12" spans="1:11">
      <c r="B12" s="112" t="s">
        <v>1292</v>
      </c>
      <c r="C12" s="29"/>
      <c r="D12" s="29"/>
      <c r="E12" s="52"/>
      <c r="F12" s="104"/>
      <c r="G12" s="44"/>
    </row>
    <row r="13" spans="1:11">
      <c r="B13" s="112" t="s">
        <v>1293</v>
      </c>
      <c r="C13" s="29"/>
      <c r="D13" s="29"/>
      <c r="E13" s="52"/>
      <c r="F13" s="104"/>
      <c r="G13" s="44"/>
    </row>
    <row r="14" spans="1:11">
      <c r="B14" s="112" t="s">
        <v>1294</v>
      </c>
      <c r="C14" s="29"/>
      <c r="D14" s="29"/>
      <c r="E14" s="52"/>
      <c r="F14" s="104"/>
      <c r="G14" s="44"/>
    </row>
    <row r="15" spans="1:11">
      <c r="B15" s="112" t="s">
        <v>1295</v>
      </c>
      <c r="C15" s="29"/>
      <c r="D15" s="29"/>
      <c r="E15" s="52"/>
      <c r="F15" s="104">
        <v>41719</v>
      </c>
      <c r="G15" s="44"/>
    </row>
    <row r="16" spans="1:11">
      <c r="B16" s="112" t="s">
        <v>1306</v>
      </c>
      <c r="C16" s="103" t="s">
        <v>1308</v>
      </c>
      <c r="D16" s="103" t="s">
        <v>1307</v>
      </c>
      <c r="E16" s="52">
        <v>1</v>
      </c>
      <c r="F16" s="104"/>
      <c r="G16" s="44"/>
    </row>
    <row r="17" spans="2:7">
      <c r="B17" s="110" t="s">
        <v>1234</v>
      </c>
      <c r="C17" s="29" t="s">
        <v>1133</v>
      </c>
      <c r="D17" s="29" t="s">
        <v>1134</v>
      </c>
      <c r="E17" s="52">
        <v>1</v>
      </c>
      <c r="F17" s="29"/>
      <c r="G17" s="94"/>
    </row>
    <row r="18" spans="2:7">
      <c r="B18" s="110" t="s">
        <v>1235</v>
      </c>
      <c r="C18" s="29" t="s">
        <v>950</v>
      </c>
      <c r="D18" s="29" t="s">
        <v>1142</v>
      </c>
      <c r="E18" s="52">
        <v>1</v>
      </c>
      <c r="F18" s="29" t="s">
        <v>1143</v>
      </c>
      <c r="G18" s="94"/>
    </row>
    <row r="19" spans="2:7" s="16" customFormat="1">
      <c r="B19" s="105" t="s">
        <v>853</v>
      </c>
      <c r="C19" s="9" t="s">
        <v>1140</v>
      </c>
      <c r="D19" s="9" t="s">
        <v>35</v>
      </c>
      <c r="E19" s="59">
        <v>1</v>
      </c>
      <c r="F19" s="9">
        <v>2008</v>
      </c>
      <c r="G19" s="106" t="s">
        <v>186</v>
      </c>
    </row>
    <row r="20" spans="2:7" s="16" customFormat="1">
      <c r="B20" s="1"/>
      <c r="C20" s="2"/>
      <c r="D20" s="2"/>
      <c r="E20" s="2"/>
      <c r="F20" s="2" t="s">
        <v>4</v>
      </c>
      <c r="G20" s="3" t="s">
        <v>885</v>
      </c>
    </row>
    <row r="21" spans="2:7">
      <c r="B21" s="68" t="s">
        <v>1146</v>
      </c>
      <c r="C21" s="29" t="s">
        <v>1147</v>
      </c>
      <c r="D21" s="29"/>
      <c r="E21" s="52">
        <v>1</v>
      </c>
      <c r="F21" s="29" t="s">
        <v>225</v>
      </c>
      <c r="G21" s="94"/>
    </row>
    <row r="22" spans="2:7" s="16" customFormat="1">
      <c r="B22" s="68" t="s">
        <v>1164</v>
      </c>
      <c r="C22" s="29" t="s">
        <v>532</v>
      </c>
      <c r="D22" s="29"/>
      <c r="E22" s="52" t="s">
        <v>539</v>
      </c>
      <c r="F22" s="29" t="s">
        <v>225</v>
      </c>
      <c r="G22" s="94"/>
    </row>
    <row r="23" spans="2:7" s="16" customFormat="1">
      <c r="B23" s="25" t="s">
        <v>219</v>
      </c>
      <c r="C23" s="6" t="s">
        <v>933</v>
      </c>
      <c r="D23" s="6" t="s">
        <v>880</v>
      </c>
      <c r="E23" s="12">
        <v>1</v>
      </c>
      <c r="F23" s="6" t="s">
        <v>855</v>
      </c>
      <c r="G23" s="24"/>
    </row>
    <row r="24" spans="2:7" s="16" customFormat="1">
      <c r="B24" s="25" t="s">
        <v>216</v>
      </c>
      <c r="C24" s="6" t="s">
        <v>566</v>
      </c>
      <c r="D24" s="6" t="s">
        <v>882</v>
      </c>
      <c r="E24" s="12">
        <v>1</v>
      </c>
      <c r="F24" s="29" t="s">
        <v>855</v>
      </c>
      <c r="G24" s="24"/>
    </row>
    <row r="25" spans="2:7">
      <c r="B25" s="5" t="s">
        <v>66</v>
      </c>
      <c r="C25" s="6" t="s">
        <v>95</v>
      </c>
      <c r="D25" s="6" t="s">
        <v>883</v>
      </c>
      <c r="E25" s="52" t="s">
        <v>83</v>
      </c>
      <c r="F25" s="95" t="s">
        <v>855</v>
      </c>
      <c r="G25" s="24" t="s">
        <v>565</v>
      </c>
    </row>
    <row r="26" spans="2:7">
      <c r="B26" s="68" t="s">
        <v>1148</v>
      </c>
      <c r="C26" s="29" t="s">
        <v>218</v>
      </c>
      <c r="D26" s="29" t="s">
        <v>1149</v>
      </c>
      <c r="E26" s="52">
        <v>1</v>
      </c>
      <c r="F26" s="95" t="s">
        <v>855</v>
      </c>
      <c r="G26" s="24"/>
    </row>
    <row r="27" spans="2:7">
      <c r="B27" s="5" t="s">
        <v>352</v>
      </c>
      <c r="C27" s="6" t="s">
        <v>353</v>
      </c>
      <c r="D27" s="6" t="s">
        <v>110</v>
      </c>
      <c r="E27" s="52" t="s">
        <v>1065</v>
      </c>
      <c r="F27" s="6">
        <v>1</v>
      </c>
      <c r="G27" s="24" t="s">
        <v>94</v>
      </c>
    </row>
    <row r="28" spans="2:7">
      <c r="B28" s="25" t="s">
        <v>31</v>
      </c>
      <c r="C28" s="29" t="s">
        <v>1067</v>
      </c>
      <c r="D28" s="29" t="s">
        <v>1064</v>
      </c>
      <c r="E28" s="52">
        <v>1</v>
      </c>
      <c r="F28" s="6" t="s">
        <v>855</v>
      </c>
      <c r="G28" s="24"/>
    </row>
    <row r="29" spans="2:7">
      <c r="B29" s="64" t="s">
        <v>217</v>
      </c>
      <c r="C29" s="36" t="s">
        <v>218</v>
      </c>
      <c r="D29" s="36" t="s">
        <v>881</v>
      </c>
      <c r="E29" s="34">
        <v>1</v>
      </c>
      <c r="F29" s="36" t="s">
        <v>855</v>
      </c>
      <c r="G29" s="65"/>
    </row>
    <row r="30" spans="2:7">
      <c r="B30" s="5" t="s">
        <v>125</v>
      </c>
      <c r="C30" s="6" t="s">
        <v>32</v>
      </c>
      <c r="D30" s="6" t="s">
        <v>491</v>
      </c>
      <c r="E30" s="6" t="s">
        <v>773</v>
      </c>
      <c r="F30" s="6" t="s">
        <v>774</v>
      </c>
      <c r="G30" s="24"/>
    </row>
    <row r="31" spans="2:7" s="23" customFormat="1">
      <c r="B31" s="5" t="s">
        <v>67</v>
      </c>
      <c r="C31" s="6" t="s">
        <v>567</v>
      </c>
      <c r="D31" s="6" t="s">
        <v>1002</v>
      </c>
      <c r="E31" s="4"/>
      <c r="F31" s="6">
        <v>1</v>
      </c>
      <c r="G31" s="24"/>
    </row>
    <row r="32" spans="2:7">
      <c r="B32" s="5" t="s">
        <v>67</v>
      </c>
      <c r="C32" s="6" t="s">
        <v>30</v>
      </c>
      <c r="E32" s="6" t="s">
        <v>682</v>
      </c>
      <c r="F32" s="6">
        <v>1</v>
      </c>
      <c r="G32" s="24"/>
    </row>
    <row r="33" spans="2:7">
      <c r="B33" s="25" t="s">
        <v>786</v>
      </c>
      <c r="C33" s="6" t="s">
        <v>566</v>
      </c>
      <c r="D33" s="6" t="s">
        <v>787</v>
      </c>
      <c r="E33" s="12">
        <v>1</v>
      </c>
      <c r="F33" s="6" t="s">
        <v>774</v>
      </c>
      <c r="G33" s="24" t="s">
        <v>788</v>
      </c>
    </row>
    <row r="34" spans="2:7">
      <c r="B34" s="5" t="s">
        <v>789</v>
      </c>
      <c r="C34" s="6" t="s">
        <v>790</v>
      </c>
      <c r="D34" s="6" t="s">
        <v>928</v>
      </c>
      <c r="E34" s="12">
        <v>1</v>
      </c>
      <c r="F34" s="6" t="s">
        <v>774</v>
      </c>
      <c r="G34" s="24"/>
    </row>
    <row r="35" spans="2:7">
      <c r="B35" s="5" t="s">
        <v>131</v>
      </c>
      <c r="C35" s="6" t="s">
        <v>215</v>
      </c>
      <c r="D35" s="6" t="s">
        <v>132</v>
      </c>
      <c r="F35" s="6">
        <v>1</v>
      </c>
      <c r="G35" s="24"/>
    </row>
    <row r="36" spans="2:7">
      <c r="B36" s="5" t="s">
        <v>538</v>
      </c>
      <c r="E36" s="6" t="s">
        <v>539</v>
      </c>
      <c r="F36" s="6" t="s">
        <v>855</v>
      </c>
      <c r="G36" s="24"/>
    </row>
    <row r="37" spans="2:7">
      <c r="B37" s="5" t="s">
        <v>65</v>
      </c>
      <c r="C37" s="6" t="s">
        <v>810</v>
      </c>
      <c r="D37" s="6" t="s">
        <v>884</v>
      </c>
      <c r="F37" s="6">
        <v>2</v>
      </c>
      <c r="G37" s="24" t="s">
        <v>563</v>
      </c>
    </row>
    <row r="38" spans="2:7">
      <c r="B38" s="25" t="s">
        <v>108</v>
      </c>
      <c r="C38" s="6" t="s">
        <v>109</v>
      </c>
      <c r="D38" s="6" t="s">
        <v>553</v>
      </c>
      <c r="E38" s="6" t="s">
        <v>43</v>
      </c>
      <c r="F38" s="29" t="s">
        <v>774</v>
      </c>
      <c r="G38" s="24"/>
    </row>
    <row r="39" spans="2:7">
      <c r="B39" s="8" t="s">
        <v>51</v>
      </c>
      <c r="C39" s="9" t="s">
        <v>567</v>
      </c>
      <c r="D39" s="9" t="s">
        <v>52</v>
      </c>
      <c r="E39" s="59">
        <v>1</v>
      </c>
      <c r="F39" s="9" t="s">
        <v>774</v>
      </c>
      <c r="G39" s="17"/>
    </row>
    <row r="41" spans="2:7">
      <c r="B41" s="14"/>
      <c r="E41" s="23" t="s">
        <v>54</v>
      </c>
      <c r="F41" s="23"/>
    </row>
    <row r="42" spans="2:7">
      <c r="B42" s="16"/>
      <c r="E42" s="33" t="s">
        <v>471</v>
      </c>
      <c r="F42" s="23"/>
    </row>
    <row r="43" spans="2:7">
      <c r="B43" s="16"/>
      <c r="E43" s="23" t="s">
        <v>517</v>
      </c>
      <c r="F43" s="33"/>
    </row>
    <row r="44" spans="2:7">
      <c r="E44" s="23" t="s">
        <v>318</v>
      </c>
      <c r="F44" s="23"/>
    </row>
    <row r="45" spans="2:7">
      <c r="B45" s="16"/>
      <c r="E45" s="23" t="s">
        <v>53</v>
      </c>
      <c r="F45" s="23"/>
    </row>
    <row r="46" spans="2:7">
      <c r="E46" s="33" t="s">
        <v>518</v>
      </c>
      <c r="F46" s="23"/>
    </row>
    <row r="47" spans="2:7">
      <c r="B47" s="14"/>
      <c r="E47" s="23" t="s">
        <v>824</v>
      </c>
      <c r="F47" s="33"/>
    </row>
    <row r="48" spans="2:7">
      <c r="B48" s="14"/>
      <c r="E48" s="4" t="s">
        <v>333</v>
      </c>
      <c r="F48" s="23"/>
    </row>
    <row r="49" spans="2:6">
      <c r="E49" s="4" t="s">
        <v>888</v>
      </c>
      <c r="F49" s="23"/>
    </row>
    <row r="50" spans="2:6">
      <c r="E50" s="23" t="s">
        <v>995</v>
      </c>
    </row>
    <row r="51" spans="2:6">
      <c r="E51" s="4" t="s">
        <v>996</v>
      </c>
      <c r="F51" s="23"/>
    </row>
    <row r="52" spans="2:6">
      <c r="E52" s="23" t="s">
        <v>997</v>
      </c>
    </row>
    <row r="53" spans="2:6">
      <c r="E53" s="23" t="s">
        <v>772</v>
      </c>
    </row>
    <row r="54" spans="2:6">
      <c r="E54" s="23" t="s">
        <v>124</v>
      </c>
      <c r="F54" s="23"/>
    </row>
    <row r="55" spans="2:6">
      <c r="E55" s="23" t="s">
        <v>1008</v>
      </c>
    </row>
    <row r="56" spans="2:6">
      <c r="E56" s="23" t="s">
        <v>561</v>
      </c>
      <c r="F56" s="23"/>
    </row>
    <row r="57" spans="2:6">
      <c r="E57" s="33" t="s">
        <v>891</v>
      </c>
      <c r="F57" s="23"/>
    </row>
    <row r="58" spans="2:6">
      <c r="E58" s="23" t="s">
        <v>29</v>
      </c>
      <c r="F58" s="23"/>
    </row>
    <row r="59" spans="2:6">
      <c r="B59" s="4" t="s">
        <v>418</v>
      </c>
      <c r="E59" s="23" t="s">
        <v>645</v>
      </c>
      <c r="F59" s="23"/>
    </row>
    <row r="60" spans="2:6">
      <c r="E60" s="23" t="s">
        <v>892</v>
      </c>
      <c r="F60" s="33"/>
    </row>
    <row r="61" spans="2:6">
      <c r="E61" s="23" t="s">
        <v>484</v>
      </c>
      <c r="F61" s="23"/>
    </row>
    <row r="62" spans="2:6">
      <c r="E62" s="23" t="s">
        <v>483</v>
      </c>
      <c r="F62" s="23"/>
    </row>
    <row r="63" spans="2:6">
      <c r="E63" s="23" t="s">
        <v>730</v>
      </c>
      <c r="F63" s="23"/>
    </row>
    <row r="64" spans="2:6">
      <c r="E64" s="23" t="s">
        <v>620</v>
      </c>
      <c r="F64" s="23"/>
    </row>
    <row r="65" spans="5:5">
      <c r="E65" s="23" t="s">
        <v>978</v>
      </c>
    </row>
    <row r="66" spans="5:5">
      <c r="E66" s="23" t="s">
        <v>767</v>
      </c>
    </row>
    <row r="67" spans="5:5">
      <c r="E67" s="23" t="s">
        <v>38</v>
      </c>
    </row>
    <row r="68" spans="5:5">
      <c r="E68" s="23" t="s">
        <v>1018</v>
      </c>
    </row>
    <row r="69" spans="5:5">
      <c r="E69" s="23" t="s">
        <v>296</v>
      </c>
    </row>
    <row r="70" spans="5:5">
      <c r="E70" s="4" t="s">
        <v>943</v>
      </c>
    </row>
    <row r="71" spans="5:5">
      <c r="E71" s="23" t="s">
        <v>689</v>
      </c>
    </row>
    <row r="72" spans="5:5">
      <c r="E72" s="23" t="s">
        <v>1078</v>
      </c>
    </row>
    <row r="73" spans="5:5">
      <c r="E73" s="23" t="s">
        <v>1070</v>
      </c>
    </row>
    <row r="74" spans="5:5">
      <c r="E74" s="23" t="s">
        <v>1049</v>
      </c>
    </row>
    <row r="75" spans="5:5">
      <c r="E75" s="23" t="s">
        <v>1056</v>
      </c>
    </row>
    <row r="76" spans="5:5">
      <c r="E76" s="23" t="s">
        <v>1066</v>
      </c>
    </row>
    <row r="77" spans="5:5">
      <c r="E77" s="16" t="s">
        <v>1094</v>
      </c>
    </row>
    <row r="78" spans="5:5">
      <c r="E78" s="16" t="s">
        <v>1095</v>
      </c>
    </row>
    <row r="80" spans="5:5">
      <c r="E80" s="4" t="s">
        <v>1218</v>
      </c>
    </row>
    <row r="81" spans="5:5">
      <c r="E81" s="4" t="s">
        <v>1208</v>
      </c>
    </row>
    <row r="82" spans="5:5">
      <c r="E82" s="4" t="s">
        <v>1209</v>
      </c>
    </row>
    <row r="83" spans="5:5">
      <c r="E83" s="113" t="s">
        <v>1320</v>
      </c>
    </row>
  </sheetData>
  <phoneticPr fontId="3" type="noConversion"/>
  <hyperlinks>
    <hyperlink ref="B7" location="Vectibix!A1" display="Vectibix (panitumumab)" xr:uid="{00000000-0004-0000-0000-000000000000}"/>
    <hyperlink ref="B9" location="Denosumab!A1" display="Denosumab (AMG162)" xr:uid="{00000000-0004-0000-0000-000001000000}"/>
    <hyperlink ref="B24" location="'386'!A1" display="AMG386" xr:uid="{00000000-0004-0000-0000-000003000000}"/>
    <hyperlink ref="B3" location="Aranesp!A1" display="Aranesp (darbepoetin alfa)" xr:uid="{00000000-0004-0000-0000-000004000000}"/>
    <hyperlink ref="B6" location="Epogen!A1" display="EPOGEN (Epoetin alfa)" xr:uid="{00000000-0004-0000-0000-000005000000}"/>
    <hyperlink ref="B19" location="'531'!A1" display="AMG531 (fast track)" xr:uid="{00000000-0004-0000-0000-000006000000}"/>
    <hyperlink ref="B23" location="'102'!A1" display="AMG102" xr:uid="{00000000-0004-0000-0000-000008000000}"/>
    <hyperlink ref="B5" location="Neulasta!A1" display="Neulasta (pegfilgrastim)" xr:uid="{00000000-0004-0000-0000-000009000000}"/>
    <hyperlink ref="B4" location="Enbrel!A1" display="Enbrel (etanercept)" xr:uid="{00000000-0004-0000-0000-00000B000000}"/>
    <hyperlink ref="B38" location="'785'!A1" display="AMG785" xr:uid="{00000000-0004-0000-0000-00000E000000}"/>
    <hyperlink ref="B33" location="'208'!A1" display="AMG208" xr:uid="{00000000-0004-0000-0000-00000F000000}"/>
    <hyperlink ref="B28" location="'655'!A1" display="AMG655" xr:uid="{00000000-0004-0000-0000-000010000000}"/>
    <hyperlink ref="B8" location="Lumakras!A1" display="Lumakras (sotorasib)" xr:uid="{9E5CC73F-416C-46F7-923B-50F6862D49CD}"/>
  </hyperlinks>
  <pageMargins left="0.75" right="0.75" top="1" bottom="1" header="0.5" footer="0.5"/>
  <pageSetup scale="47" orientation="landscape"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7"/>
  <sheetViews>
    <sheetView workbookViewId="0"/>
  </sheetViews>
  <sheetFormatPr defaultRowHeight="12.75"/>
  <cols>
    <col min="1" max="1" width="5" bestFit="1" customWidth="1"/>
  </cols>
  <sheetData>
    <row r="1" spans="1:2">
      <c r="A1" s="11" t="s">
        <v>5</v>
      </c>
    </row>
    <row r="2" spans="1:2">
      <c r="B2" t="s">
        <v>343</v>
      </c>
    </row>
    <row r="4" spans="1:2">
      <c r="B4" t="s">
        <v>721</v>
      </c>
    </row>
    <row r="5" spans="1:2">
      <c r="B5" t="s">
        <v>438</v>
      </c>
    </row>
    <row r="7" spans="1:2">
      <c r="B7" t="s">
        <v>436</v>
      </c>
    </row>
  </sheetData>
  <phoneticPr fontId="3" type="noConversion"/>
  <hyperlinks>
    <hyperlink ref="A1" location="Main!A1" display="Main" xr:uid="{00000000-0004-0000-2700-000000000000}"/>
  </hyperlinks>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5"/>
  <sheetViews>
    <sheetView workbookViewId="0"/>
  </sheetViews>
  <sheetFormatPr defaultRowHeight="12.75"/>
  <cols>
    <col min="1" max="1" width="5" bestFit="1" customWidth="1"/>
    <col min="2" max="2" width="12.85546875" bestFit="1" customWidth="1"/>
  </cols>
  <sheetData>
    <row r="1" spans="1:3">
      <c r="A1" s="11" t="s">
        <v>5</v>
      </c>
    </row>
    <row r="2" spans="1:3">
      <c r="B2" t="s">
        <v>287</v>
      </c>
      <c r="C2" t="s">
        <v>856</v>
      </c>
    </row>
    <row r="3" spans="1:3">
      <c r="B3" t="s">
        <v>288</v>
      </c>
    </row>
    <row r="4" spans="1:3">
      <c r="B4" t="s">
        <v>323</v>
      </c>
    </row>
    <row r="5" spans="1:3">
      <c r="C5" s="48" t="s">
        <v>857</v>
      </c>
    </row>
  </sheetData>
  <phoneticPr fontId="3" type="noConversion"/>
  <hyperlinks>
    <hyperlink ref="A1" location="Main!A1" display="Main" xr:uid="{00000000-0004-0000-2800-000000000000}"/>
  </hyperlinks>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0"/>
  <sheetViews>
    <sheetView workbookViewId="0"/>
  </sheetViews>
  <sheetFormatPr defaultRowHeight="12.75"/>
  <cols>
    <col min="1" max="1" width="5" bestFit="1" customWidth="1"/>
    <col min="2" max="2" width="12.85546875" bestFit="1" customWidth="1"/>
  </cols>
  <sheetData>
    <row r="1" spans="1:3">
      <c r="A1" s="11" t="s">
        <v>5</v>
      </c>
    </row>
    <row r="2" spans="1:3">
      <c r="B2" t="s">
        <v>287</v>
      </c>
      <c r="C2" t="s">
        <v>280</v>
      </c>
    </row>
    <row r="3" spans="1:3">
      <c r="B3" t="s">
        <v>811</v>
      </c>
      <c r="C3" t="s">
        <v>926</v>
      </c>
    </row>
    <row r="4" spans="1:3">
      <c r="B4" t="s">
        <v>323</v>
      </c>
    </row>
    <row r="5" spans="1:3">
      <c r="C5" s="48" t="s">
        <v>1107</v>
      </c>
    </row>
    <row r="6" spans="1:3">
      <c r="C6" s="53" t="s">
        <v>1108</v>
      </c>
    </row>
    <row r="7" spans="1:3">
      <c r="C7" s="53"/>
    </row>
    <row r="8" spans="1:3">
      <c r="C8" s="53"/>
    </row>
    <row r="10" spans="1:3">
      <c r="C10" s="48" t="s">
        <v>927</v>
      </c>
    </row>
  </sheetData>
  <phoneticPr fontId="3" type="noConversion"/>
  <hyperlinks>
    <hyperlink ref="A1" location="Main!A1" display="Main" xr:uid="{00000000-0004-0000-2900-000000000000}"/>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35"/>
  <sheetViews>
    <sheetView workbookViewId="0"/>
  </sheetViews>
  <sheetFormatPr defaultRowHeight="12.75"/>
  <cols>
    <col min="1" max="1" width="5" bestFit="1" customWidth="1"/>
    <col min="2" max="2" width="12.85546875" bestFit="1" customWidth="1"/>
  </cols>
  <sheetData>
    <row r="1" spans="1:4">
      <c r="A1" s="11" t="s">
        <v>5</v>
      </c>
    </row>
    <row r="2" spans="1:4">
      <c r="B2" t="s">
        <v>287</v>
      </c>
      <c r="C2" t="s">
        <v>126</v>
      </c>
    </row>
    <row r="3" spans="1:4">
      <c r="B3" t="s">
        <v>288</v>
      </c>
    </row>
    <row r="4" spans="1:4">
      <c r="B4" t="s">
        <v>811</v>
      </c>
      <c r="C4" t="s">
        <v>726</v>
      </c>
    </row>
    <row r="5" spans="1:4">
      <c r="C5" t="s">
        <v>918</v>
      </c>
    </row>
    <row r="6" spans="1:4">
      <c r="C6" t="s">
        <v>919</v>
      </c>
    </row>
    <row r="7" spans="1:4">
      <c r="C7" t="s">
        <v>281</v>
      </c>
    </row>
    <row r="8" spans="1:4">
      <c r="C8" t="s">
        <v>321</v>
      </c>
    </row>
    <row r="9" spans="1:4">
      <c r="C9" t="s">
        <v>758</v>
      </c>
    </row>
    <row r="10" spans="1:4">
      <c r="C10" t="s">
        <v>760</v>
      </c>
    </row>
    <row r="12" spans="1:4">
      <c r="B12" t="s">
        <v>7</v>
      </c>
      <c r="C12" t="s">
        <v>759</v>
      </c>
    </row>
    <row r="13" spans="1:4">
      <c r="C13" t="s">
        <v>761</v>
      </c>
    </row>
    <row r="14" spans="1:4">
      <c r="D14" t="s">
        <v>762</v>
      </c>
    </row>
    <row r="15" spans="1:4">
      <c r="C15" t="s">
        <v>763</v>
      </c>
    </row>
    <row r="16" spans="1:4">
      <c r="D16" t="s">
        <v>306</v>
      </c>
    </row>
    <row r="17" spans="2:4">
      <c r="C17" t="s">
        <v>441</v>
      </c>
    </row>
    <row r="18" spans="2:4">
      <c r="C18" t="s">
        <v>442</v>
      </c>
    </row>
    <row r="19" spans="2:4">
      <c r="C19" t="s">
        <v>1000</v>
      </c>
    </row>
    <row r="20" spans="2:4">
      <c r="D20" t="s">
        <v>407</v>
      </c>
    </row>
    <row r="21" spans="2:4">
      <c r="C21" t="s">
        <v>408</v>
      </c>
    </row>
    <row r="23" spans="2:4">
      <c r="C23" t="s">
        <v>838</v>
      </c>
    </row>
    <row r="24" spans="2:4">
      <c r="C24" t="s">
        <v>127</v>
      </c>
    </row>
    <row r="25" spans="2:4">
      <c r="C25" t="s">
        <v>80</v>
      </c>
    </row>
    <row r="26" spans="2:4">
      <c r="C26" t="s">
        <v>409</v>
      </c>
    </row>
    <row r="27" spans="2:4">
      <c r="C27" t="s">
        <v>501</v>
      </c>
    </row>
    <row r="28" spans="2:4">
      <c r="C28" t="s">
        <v>410</v>
      </c>
    </row>
    <row r="29" spans="2:4">
      <c r="C29" t="s">
        <v>349</v>
      </c>
    </row>
    <row r="30" spans="2:4">
      <c r="C30" t="s">
        <v>350</v>
      </c>
    </row>
    <row r="31" spans="2:4">
      <c r="B31" t="s">
        <v>323</v>
      </c>
    </row>
    <row r="32" spans="2:4">
      <c r="C32" s="48" t="s">
        <v>932</v>
      </c>
    </row>
    <row r="35" spans="3:3">
      <c r="C35" s="48" t="s">
        <v>1109</v>
      </c>
    </row>
  </sheetData>
  <phoneticPr fontId="3" type="noConversion"/>
  <hyperlinks>
    <hyperlink ref="A1" location="Main!A1" display="Main" xr:uid="{00000000-0004-0000-2A00-000000000000}"/>
  </hyperlinks>
  <pageMargins left="0.75" right="0.75" top="1" bottom="1" header="0.5" footer="0.5"/>
  <pageSetup orientation="portrait" horizontalDpi="0" verticalDpi="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9"/>
  <sheetViews>
    <sheetView workbookViewId="0"/>
  </sheetViews>
  <sheetFormatPr defaultRowHeight="12.75"/>
  <cols>
    <col min="1" max="1" width="5" style="4" bestFit="1" customWidth="1"/>
    <col min="2" max="2" width="12.85546875" style="4" bestFit="1" customWidth="1"/>
    <col min="3" max="16384" width="9.140625" style="4"/>
  </cols>
  <sheetData>
    <row r="1" spans="1:3">
      <c r="A1" s="10" t="s">
        <v>5</v>
      </c>
    </row>
    <row r="2" spans="1:3">
      <c r="B2" s="4" t="s">
        <v>287</v>
      </c>
      <c r="C2" s="4" t="s">
        <v>219</v>
      </c>
    </row>
    <row r="3" spans="1:3">
      <c r="B3" s="4" t="s">
        <v>288</v>
      </c>
    </row>
    <row r="4" spans="1:3">
      <c r="B4" s="4" t="s">
        <v>811</v>
      </c>
      <c r="C4" s="4" t="s">
        <v>973</v>
      </c>
    </row>
    <row r="5" spans="1:3">
      <c r="B5" s="4" t="s">
        <v>323</v>
      </c>
      <c r="C5" s="4" t="s">
        <v>351</v>
      </c>
    </row>
    <row r="8" spans="1:3">
      <c r="C8" s="22" t="s">
        <v>666</v>
      </c>
    </row>
    <row r="9" spans="1:3">
      <c r="C9" s="4" t="s">
        <v>536</v>
      </c>
    </row>
  </sheetData>
  <phoneticPr fontId="3" type="noConversion"/>
  <hyperlinks>
    <hyperlink ref="A1" location="Main!A1" display="Main" xr:uid="{00000000-0004-0000-2B00-000000000000}"/>
  </hyperlinks>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11"/>
  <sheetViews>
    <sheetView workbookViewId="0"/>
  </sheetViews>
  <sheetFormatPr defaultRowHeight="12.75"/>
  <cols>
    <col min="1" max="1" width="5" bestFit="1" customWidth="1"/>
    <col min="2" max="2" width="12" bestFit="1" customWidth="1"/>
  </cols>
  <sheetData>
    <row r="1" spans="1:3">
      <c r="A1" s="11" t="s">
        <v>5</v>
      </c>
    </row>
    <row r="2" spans="1:3">
      <c r="B2" t="s">
        <v>287</v>
      </c>
      <c r="C2" s="53" t="s">
        <v>31</v>
      </c>
    </row>
    <row r="3" spans="1:3">
      <c r="B3" s="53" t="s">
        <v>811</v>
      </c>
      <c r="C3" s="53" t="s">
        <v>1061</v>
      </c>
    </row>
    <row r="4" spans="1:3">
      <c r="B4" s="53" t="s">
        <v>1110</v>
      </c>
      <c r="C4" s="53" t="s">
        <v>1111</v>
      </c>
    </row>
    <row r="5" spans="1:3">
      <c r="B5" s="53" t="s">
        <v>323</v>
      </c>
      <c r="C5" s="48"/>
    </row>
    <row r="6" spans="1:3">
      <c r="B6" s="53"/>
      <c r="C6" s="48" t="s">
        <v>1068</v>
      </c>
    </row>
    <row r="7" spans="1:3">
      <c r="B7" s="53"/>
      <c r="C7" s="53" t="s">
        <v>1069</v>
      </c>
    </row>
    <row r="8" spans="1:3">
      <c r="B8" s="53"/>
      <c r="C8" s="48"/>
    </row>
    <row r="9" spans="1:3">
      <c r="B9" s="53"/>
      <c r="C9" s="48"/>
    </row>
    <row r="10" spans="1:3">
      <c r="C10" s="48" t="s">
        <v>1063</v>
      </c>
    </row>
    <row r="11" spans="1:3">
      <c r="C11" s="53" t="s">
        <v>1062</v>
      </c>
    </row>
  </sheetData>
  <hyperlinks>
    <hyperlink ref="A1" location="Main!A1" display="Main" xr:uid="{00000000-0004-0000-2C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5"/>
  <sheetViews>
    <sheetView workbookViewId="0"/>
  </sheetViews>
  <sheetFormatPr defaultRowHeight="12.75"/>
  <cols>
    <col min="1" max="1" width="5" bestFit="1" customWidth="1"/>
    <col min="2" max="2" width="12" bestFit="1" customWidth="1"/>
  </cols>
  <sheetData>
    <row r="1" spans="1:3">
      <c r="A1" s="11" t="s">
        <v>5</v>
      </c>
    </row>
    <row r="2" spans="1:3">
      <c r="B2" t="s">
        <v>287</v>
      </c>
      <c r="C2" t="s">
        <v>108</v>
      </c>
    </row>
    <row r="3" spans="1:3">
      <c r="B3" t="s">
        <v>323</v>
      </c>
    </row>
    <row r="4" spans="1:3">
      <c r="C4" s="48" t="s">
        <v>692</v>
      </c>
    </row>
    <row r="5" spans="1:3">
      <c r="C5" t="s">
        <v>693</v>
      </c>
    </row>
  </sheetData>
  <phoneticPr fontId="3" type="noConversion"/>
  <hyperlinks>
    <hyperlink ref="A1" location="Main!A1" display="Main" xr:uid="{00000000-0004-0000-2D00-000000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5"/>
  <sheetViews>
    <sheetView workbookViewId="0"/>
  </sheetViews>
  <sheetFormatPr defaultRowHeight="12.75"/>
  <cols>
    <col min="1" max="1" width="5" bestFit="1" customWidth="1"/>
    <col min="2" max="2" width="12.85546875" bestFit="1" customWidth="1"/>
  </cols>
  <sheetData>
    <row r="1" spans="1:3">
      <c r="A1" s="11" t="s">
        <v>5</v>
      </c>
    </row>
    <row r="2" spans="1:3">
      <c r="B2" t="s">
        <v>287</v>
      </c>
      <c r="C2" t="s">
        <v>929</v>
      </c>
    </row>
    <row r="3" spans="1:3">
      <c r="B3" t="s">
        <v>811</v>
      </c>
      <c r="C3" t="s">
        <v>930</v>
      </c>
    </row>
    <row r="4" spans="1:3">
      <c r="B4" t="s">
        <v>323</v>
      </c>
    </row>
    <row r="5" spans="1:3">
      <c r="C5" s="48" t="s">
        <v>931</v>
      </c>
    </row>
  </sheetData>
  <phoneticPr fontId="3" type="noConversion"/>
  <hyperlinks>
    <hyperlink ref="A1" location="Main!A1" display="Main" xr:uid="{00000000-0004-0000-2E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5"/>
  <sheetViews>
    <sheetView workbookViewId="0">
      <selection sqref="A1:IV65536"/>
    </sheetView>
  </sheetViews>
  <sheetFormatPr defaultRowHeight="12.75"/>
  <cols>
    <col min="1" max="1" width="5" bestFit="1" customWidth="1"/>
    <col min="2" max="2" width="12.85546875" bestFit="1" customWidth="1"/>
  </cols>
  <sheetData>
    <row r="1" spans="1:3">
      <c r="A1" s="11" t="s">
        <v>5</v>
      </c>
    </row>
    <row r="2" spans="1:3">
      <c r="B2" t="s">
        <v>287</v>
      </c>
      <c r="C2" t="s">
        <v>923</v>
      </c>
    </row>
    <row r="3" spans="1:3">
      <c r="B3" t="s">
        <v>811</v>
      </c>
      <c r="C3" t="s">
        <v>924</v>
      </c>
    </row>
    <row r="4" spans="1:3">
      <c r="B4" t="s">
        <v>323</v>
      </c>
    </row>
    <row r="5" spans="1:3">
      <c r="C5" s="48" t="s">
        <v>925</v>
      </c>
    </row>
  </sheetData>
  <phoneticPr fontId="3" type="noConversion"/>
  <hyperlinks>
    <hyperlink ref="A1" location="Main!A1" display="Main" xr:uid="{00000000-0004-0000-2F00-000000000000}"/>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5"/>
  <sheetViews>
    <sheetView workbookViewId="0"/>
  </sheetViews>
  <sheetFormatPr defaultRowHeight="12.75"/>
  <cols>
    <col min="1" max="1" width="5" bestFit="1" customWidth="1"/>
    <col min="2" max="2" width="12.85546875" bestFit="1" customWidth="1"/>
  </cols>
  <sheetData>
    <row r="1" spans="1:3">
      <c r="A1" s="11" t="s">
        <v>5</v>
      </c>
    </row>
    <row r="2" spans="1:3">
      <c r="B2" t="s">
        <v>287</v>
      </c>
      <c r="C2" t="s">
        <v>656</v>
      </c>
    </row>
    <row r="3" spans="1:3">
      <c r="B3" t="s">
        <v>811</v>
      </c>
      <c r="C3" t="s">
        <v>523</v>
      </c>
    </row>
    <row r="4" spans="1:3">
      <c r="B4" t="s">
        <v>329</v>
      </c>
      <c r="C4" t="s">
        <v>524</v>
      </c>
    </row>
    <row r="5" spans="1:3">
      <c r="B5" t="s">
        <v>323</v>
      </c>
      <c r="C5" t="s">
        <v>970</v>
      </c>
    </row>
  </sheetData>
  <phoneticPr fontId="3" type="noConversion"/>
  <hyperlinks>
    <hyperlink ref="A1" location="Main!A1" display="Main" xr:uid="{00000000-0004-0000-3000-000000000000}"/>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B158"/>
  <sheetViews>
    <sheetView tabSelected="1" zoomScale="160" zoomScaleNormal="160" workbookViewId="0">
      <pane xSplit="2" ySplit="2" topLeftCell="CL34" activePane="bottomRight" state="frozen"/>
      <selection pane="topRight" activeCell="C1" sqref="C1"/>
      <selection pane="bottomLeft" activeCell="A4" sqref="A4"/>
      <selection pane="bottomRight" activeCell="CS60" sqref="CS60"/>
    </sheetView>
  </sheetViews>
  <sheetFormatPr defaultRowHeight="12.75"/>
  <cols>
    <col min="1" max="1" width="5" style="4" bestFit="1" customWidth="1"/>
    <col min="2" max="2" width="19.42578125" style="4" bestFit="1" customWidth="1"/>
    <col min="3" max="4" width="5.5703125" style="71" bestFit="1" customWidth="1"/>
    <col min="5" max="5" width="6.85546875" style="71" bestFit="1" customWidth="1"/>
    <col min="6" max="6" width="5.5703125" style="71" bestFit="1" customWidth="1"/>
    <col min="7" max="8" width="6.85546875" style="71" bestFit="1" customWidth="1"/>
    <col min="9" max="9" width="7.140625" style="71" bestFit="1" customWidth="1"/>
    <col min="10" max="10" width="6.85546875" style="71" bestFit="1" customWidth="1"/>
    <col min="11" max="11" width="7.42578125" style="71" bestFit="1" customWidth="1"/>
    <col min="12" max="12" width="6.85546875" style="71" bestFit="1" customWidth="1"/>
    <col min="13" max="22" width="7.42578125" style="71" bestFit="1" customWidth="1"/>
    <col min="23" max="27" width="6.85546875" style="71" bestFit="1" customWidth="1"/>
    <col min="28" max="28" width="7.28515625" style="71" bestFit="1" customWidth="1"/>
    <col min="29" max="38" width="7.42578125" style="71" bestFit="1" customWidth="1"/>
    <col min="39" max="39" width="6.85546875" style="71" bestFit="1" customWidth="1"/>
    <col min="40" max="103" width="7.28515625" style="71" customWidth="1"/>
    <col min="104" max="104" width="9.140625" style="71"/>
    <col min="105" max="122" width="7.28515625" style="71" customWidth="1"/>
    <col min="123" max="135" width="8.5703125" style="71" customWidth="1"/>
    <col min="136" max="16384" width="9.140625" style="4"/>
  </cols>
  <sheetData>
    <row r="1" spans="1:140">
      <c r="A1" s="60" t="s">
        <v>5</v>
      </c>
      <c r="CM1" s="115"/>
    </row>
    <row r="2" spans="1:140">
      <c r="C2" s="71" t="s">
        <v>479</v>
      </c>
      <c r="D2" s="71" t="s">
        <v>480</v>
      </c>
      <c r="E2" s="71" t="s">
        <v>481</v>
      </c>
      <c r="F2" s="71" t="s">
        <v>482</v>
      </c>
      <c r="G2" s="71" t="s">
        <v>826</v>
      </c>
      <c r="H2" s="71" t="s">
        <v>827</v>
      </c>
      <c r="I2" s="71" t="s">
        <v>828</v>
      </c>
      <c r="J2" s="71" t="s">
        <v>571</v>
      </c>
      <c r="K2" s="71" t="s">
        <v>569</v>
      </c>
      <c r="L2" s="71" t="s">
        <v>568</v>
      </c>
      <c r="M2" s="71" t="s">
        <v>506</v>
      </c>
      <c r="N2" s="71" t="s">
        <v>507</v>
      </c>
      <c r="O2" s="71" t="s">
        <v>509</v>
      </c>
      <c r="P2" s="71" t="s">
        <v>510</v>
      </c>
      <c r="Q2" s="71" t="s">
        <v>511</v>
      </c>
      <c r="R2" s="71" t="s">
        <v>96</v>
      </c>
      <c r="S2" s="71" t="s">
        <v>841</v>
      </c>
      <c r="T2" s="71" t="s">
        <v>842</v>
      </c>
      <c r="U2" s="71" t="s">
        <v>843</v>
      </c>
      <c r="V2" s="71" t="s">
        <v>844</v>
      </c>
      <c r="W2" s="71" t="s">
        <v>769</v>
      </c>
      <c r="X2" s="71" t="s">
        <v>314</v>
      </c>
      <c r="Y2" s="71" t="s">
        <v>319</v>
      </c>
      <c r="Z2" s="71" t="s">
        <v>770</v>
      </c>
      <c r="AA2" s="71" t="s">
        <v>845</v>
      </c>
      <c r="AB2" s="71" t="s">
        <v>846</v>
      </c>
      <c r="AC2" s="71" t="s">
        <v>847</v>
      </c>
      <c r="AD2" s="71" t="s">
        <v>848</v>
      </c>
      <c r="AE2" s="71" t="s">
        <v>543</v>
      </c>
      <c r="AF2" s="71" t="s">
        <v>544</v>
      </c>
      <c r="AG2" s="71" t="s">
        <v>545</v>
      </c>
      <c r="AH2" s="71" t="s">
        <v>546</v>
      </c>
      <c r="AI2" s="71" t="s">
        <v>425</v>
      </c>
      <c r="AJ2" s="71" t="s">
        <v>47</v>
      </c>
      <c r="AK2" s="71" t="s">
        <v>48</v>
      </c>
      <c r="AL2" s="71" t="s">
        <v>49</v>
      </c>
      <c r="AM2" s="70" t="s">
        <v>1090</v>
      </c>
      <c r="AN2" s="70" t="s">
        <v>1091</v>
      </c>
      <c r="AO2" s="70" t="s">
        <v>1092</v>
      </c>
      <c r="AP2" s="70" t="s">
        <v>1093</v>
      </c>
      <c r="AQ2" s="70" t="s">
        <v>1119</v>
      </c>
      <c r="AR2" s="70" t="s">
        <v>1120</v>
      </c>
      <c r="AS2" s="70" t="s">
        <v>1121</v>
      </c>
      <c r="AT2" s="70" t="s">
        <v>1122</v>
      </c>
      <c r="AU2" s="70" t="s">
        <v>1128</v>
      </c>
      <c r="AV2" s="70" t="s">
        <v>1129</v>
      </c>
      <c r="AW2" s="70" t="s">
        <v>1130</v>
      </c>
      <c r="AX2" s="70" t="s">
        <v>1131</v>
      </c>
      <c r="AY2" s="70" t="s">
        <v>1153</v>
      </c>
      <c r="AZ2" s="70" t="s">
        <v>1154</v>
      </c>
      <c r="BA2" s="70" t="s">
        <v>1155</v>
      </c>
      <c r="BB2" s="70" t="s">
        <v>1156</v>
      </c>
      <c r="BC2" s="70" t="s">
        <v>1141</v>
      </c>
      <c r="BD2" s="70" t="s">
        <v>1152</v>
      </c>
      <c r="BE2" s="70" t="s">
        <v>1157</v>
      </c>
      <c r="BF2" s="70" t="s">
        <v>1158</v>
      </c>
      <c r="BG2" s="70" t="s">
        <v>1159</v>
      </c>
      <c r="BH2" s="70" t="s">
        <v>1160</v>
      </c>
      <c r="BI2" s="70" t="s">
        <v>1161</v>
      </c>
      <c r="BJ2" s="70" t="s">
        <v>1162</v>
      </c>
      <c r="BK2" s="70" t="s">
        <v>1165</v>
      </c>
      <c r="BL2" s="70" t="s">
        <v>1166</v>
      </c>
      <c r="BM2" s="70" t="s">
        <v>1167</v>
      </c>
      <c r="BN2" s="70" t="s">
        <v>1168</v>
      </c>
      <c r="BO2" s="70" t="s">
        <v>1169</v>
      </c>
      <c r="BP2" s="70" t="s">
        <v>1170</v>
      </c>
      <c r="BQ2" s="70" t="s">
        <v>1171</v>
      </c>
      <c r="BR2" s="70" t="s">
        <v>1172</v>
      </c>
      <c r="BS2" s="70" t="s">
        <v>1173</v>
      </c>
      <c r="BT2" s="70" t="s">
        <v>1174</v>
      </c>
      <c r="BU2" s="70" t="s">
        <v>1175</v>
      </c>
      <c r="BV2" s="70" t="s">
        <v>1176</v>
      </c>
      <c r="BW2" s="70" t="s">
        <v>1177</v>
      </c>
      <c r="BX2" s="70" t="s">
        <v>1178</v>
      </c>
      <c r="BY2" s="70" t="s">
        <v>1179</v>
      </c>
      <c r="BZ2" s="70" t="s">
        <v>1180</v>
      </c>
      <c r="CA2" s="70" t="s">
        <v>1181</v>
      </c>
      <c r="CB2" s="70" t="s">
        <v>1182</v>
      </c>
      <c r="CC2" s="70" t="s">
        <v>1183</v>
      </c>
      <c r="CD2" s="70" t="s">
        <v>1184</v>
      </c>
      <c r="CE2" s="70" t="s">
        <v>1185</v>
      </c>
      <c r="CF2" s="70" t="s">
        <v>1186</v>
      </c>
      <c r="CG2" s="70" t="s">
        <v>1187</v>
      </c>
      <c r="CH2" s="70" t="s">
        <v>1188</v>
      </c>
      <c r="CI2" s="70" t="s">
        <v>1189</v>
      </c>
      <c r="CJ2" s="70" t="s">
        <v>1190</v>
      </c>
      <c r="CK2" s="70" t="s">
        <v>1191</v>
      </c>
      <c r="CL2" s="70" t="s">
        <v>1192</v>
      </c>
      <c r="CM2" s="116" t="s">
        <v>1193</v>
      </c>
      <c r="CN2" s="70" t="s">
        <v>1194</v>
      </c>
      <c r="CO2" s="70" t="s">
        <v>1195</v>
      </c>
      <c r="CP2" s="70" t="s">
        <v>1196</v>
      </c>
      <c r="CQ2" s="107" t="s">
        <v>1297</v>
      </c>
      <c r="CR2" s="107" t="s">
        <v>1298</v>
      </c>
      <c r="CS2" s="107" t="s">
        <v>1299</v>
      </c>
      <c r="CT2" s="107" t="s">
        <v>1300</v>
      </c>
      <c r="CU2" s="107" t="s">
        <v>1301</v>
      </c>
      <c r="CV2" s="107" t="s">
        <v>1302</v>
      </c>
      <c r="CW2" s="107" t="s">
        <v>1303</v>
      </c>
      <c r="CX2" s="107" t="s">
        <v>1304</v>
      </c>
      <c r="CY2" s="70"/>
      <c r="DA2" s="71" t="s">
        <v>174</v>
      </c>
      <c r="DB2" s="71" t="s">
        <v>175</v>
      </c>
      <c r="DC2" s="71" t="s">
        <v>570</v>
      </c>
      <c r="DD2" s="71" t="s">
        <v>508</v>
      </c>
      <c r="DE2" s="71" t="s">
        <v>105</v>
      </c>
      <c r="DF2" s="71" t="s">
        <v>104</v>
      </c>
      <c r="DG2" s="71" t="s">
        <v>746</v>
      </c>
      <c r="DH2" s="71" t="s">
        <v>823</v>
      </c>
      <c r="DI2" s="71" t="s">
        <v>290</v>
      </c>
      <c r="DJ2" s="71" t="s">
        <v>564</v>
      </c>
      <c r="DK2" s="71" t="s">
        <v>965</v>
      </c>
      <c r="DL2" s="71" t="s">
        <v>574</v>
      </c>
      <c r="DM2" s="71" t="s">
        <v>613</v>
      </c>
      <c r="DN2" s="71" t="s">
        <v>661</v>
      </c>
      <c r="DO2" s="71" t="s">
        <v>662</v>
      </c>
      <c r="DP2" s="71" t="s">
        <v>304</v>
      </c>
      <c r="DQ2" s="71" t="s">
        <v>1126</v>
      </c>
      <c r="DR2" s="71" t="s">
        <v>1125</v>
      </c>
      <c r="DS2" s="71">
        <v>2018</v>
      </c>
      <c r="DT2" s="71">
        <v>2019</v>
      </c>
      <c r="DU2" s="107">
        <v>2020</v>
      </c>
      <c r="DV2" s="107">
        <v>2021</v>
      </c>
      <c r="DW2" s="107">
        <v>2022</v>
      </c>
      <c r="DX2" s="70">
        <v>2023</v>
      </c>
      <c r="DY2" s="70">
        <v>2024</v>
      </c>
      <c r="DZ2" s="70">
        <v>2025</v>
      </c>
      <c r="EA2" s="70">
        <v>2026</v>
      </c>
      <c r="EB2" s="70">
        <v>2027</v>
      </c>
      <c r="EC2" s="70">
        <f>+EB2+1</f>
        <v>2028</v>
      </c>
      <c r="ED2" s="70">
        <f t="shared" ref="ED2:EJ2" si="0">+EC2+1</f>
        <v>2029</v>
      </c>
      <c r="EE2" s="70">
        <f t="shared" si="0"/>
        <v>2030</v>
      </c>
      <c r="EF2" s="70">
        <f t="shared" si="0"/>
        <v>2031</v>
      </c>
      <c r="EG2" s="70">
        <f t="shared" si="0"/>
        <v>2032</v>
      </c>
      <c r="EH2" s="70">
        <f t="shared" si="0"/>
        <v>2033</v>
      </c>
      <c r="EI2" s="70">
        <f t="shared" si="0"/>
        <v>2034</v>
      </c>
      <c r="EJ2" s="70">
        <f t="shared" si="0"/>
        <v>2035</v>
      </c>
    </row>
    <row r="3" spans="1:140" s="26" customFormat="1">
      <c r="B3" s="26" t="s">
        <v>602</v>
      </c>
      <c r="C3" s="67">
        <v>503</v>
      </c>
      <c r="D3" s="67">
        <v>518</v>
      </c>
      <c r="E3" s="67">
        <v>515</v>
      </c>
      <c r="F3" s="67">
        <v>572</v>
      </c>
      <c r="G3" s="67">
        <v>512.20000000000005</v>
      </c>
      <c r="H3" s="67">
        <v>570.29999999999995</v>
      </c>
      <c r="I3" s="67">
        <v>558.4</v>
      </c>
      <c r="J3" s="67">
        <v>619.70000000000005</v>
      </c>
      <c r="K3" s="67">
        <v>547.1</v>
      </c>
      <c r="L3" s="67">
        <v>611.1</v>
      </c>
      <c r="M3" s="67">
        <v>625.9</v>
      </c>
      <c r="N3" s="67">
        <v>650.6</v>
      </c>
      <c r="O3" s="67">
        <v>590</v>
      </c>
      <c r="P3" s="67">
        <v>632.6</v>
      </c>
      <c r="Q3" s="67">
        <v>681</v>
      </c>
      <c r="R3" s="67">
        <v>697</v>
      </c>
      <c r="S3" s="67">
        <v>583</v>
      </c>
      <c r="T3" s="67">
        <v>647</v>
      </c>
      <c r="U3" s="67">
        <v>599</v>
      </c>
      <c r="V3" s="67">
        <v>626</v>
      </c>
      <c r="W3" s="67">
        <v>604</v>
      </c>
      <c r="X3" s="67">
        <v>613</v>
      </c>
      <c r="Y3" s="67">
        <v>633</v>
      </c>
      <c r="Z3" s="67">
        <v>661</v>
      </c>
      <c r="AA3" s="67">
        <v>625</v>
      </c>
      <c r="AB3" s="67">
        <v>624</v>
      </c>
      <c r="AC3" s="67">
        <v>602</v>
      </c>
      <c r="AD3" s="67">
        <v>638</v>
      </c>
      <c r="AE3" s="67">
        <v>554</v>
      </c>
      <c r="AF3" s="67">
        <v>622</v>
      </c>
      <c r="AG3" s="67">
        <v>634</v>
      </c>
      <c r="AH3" s="67">
        <v>646</v>
      </c>
      <c r="AI3" s="67">
        <v>565</v>
      </c>
      <c r="AJ3" s="67">
        <v>638</v>
      </c>
      <c r="AK3" s="67">
        <v>663</v>
      </c>
      <c r="AL3" s="67">
        <v>703</v>
      </c>
      <c r="AM3" s="67">
        <v>623</v>
      </c>
      <c r="AN3" s="67">
        <v>657</v>
      </c>
      <c r="AO3" s="67">
        <v>653</v>
      </c>
      <c r="AP3" s="67">
        <v>591</v>
      </c>
      <c r="AQ3" s="67">
        <v>535</v>
      </c>
      <c r="AR3" s="67">
        <v>543</v>
      </c>
      <c r="AS3" s="67">
        <f>+AO3*0.95</f>
        <v>620.35</v>
      </c>
      <c r="AT3" s="67">
        <f>+AP3*0.95</f>
        <v>561.44999999999993</v>
      </c>
      <c r="AU3" s="67">
        <f t="shared" ref="AU3:AX4" si="1">+AQ3*0.95</f>
        <v>508.25</v>
      </c>
      <c r="AV3" s="67">
        <v>525</v>
      </c>
      <c r="AW3" s="67">
        <f t="shared" si="1"/>
        <v>589.33249999999998</v>
      </c>
      <c r="AX3" s="67">
        <f t="shared" si="1"/>
        <v>533.37749999999994</v>
      </c>
      <c r="AY3" s="67"/>
      <c r="AZ3" s="67">
        <v>502</v>
      </c>
      <c r="BA3" s="67"/>
      <c r="BB3" s="67"/>
      <c r="BC3" s="67"/>
      <c r="BD3" s="67">
        <v>512</v>
      </c>
      <c r="BE3" s="67"/>
      <c r="BF3" s="67"/>
      <c r="BG3" s="67"/>
      <c r="BH3" s="67"/>
      <c r="BI3" s="67"/>
      <c r="BJ3" s="67"/>
      <c r="BK3" s="67"/>
      <c r="BL3" s="67"/>
      <c r="BM3" s="67"/>
      <c r="BN3" s="67"/>
      <c r="BO3" s="67"/>
      <c r="BP3" s="67"/>
      <c r="BQ3" s="67"/>
      <c r="BR3" s="67"/>
      <c r="BS3" s="67"/>
      <c r="BT3" s="67"/>
      <c r="BU3" s="67"/>
      <c r="BV3" s="67">
        <v>264</v>
      </c>
      <c r="BW3" s="67">
        <v>219</v>
      </c>
      <c r="BX3" s="67">
        <v>223</v>
      </c>
      <c r="BY3" s="67">
        <v>215</v>
      </c>
      <c r="BZ3" s="67">
        <v>210</v>
      </c>
      <c r="CA3" s="67">
        <v>155</v>
      </c>
      <c r="CB3" s="67">
        <v>161</v>
      </c>
      <c r="CC3" s="67">
        <v>149</v>
      </c>
      <c r="CD3" s="67">
        <v>133</v>
      </c>
      <c r="CE3" s="67">
        <v>125</v>
      </c>
      <c r="CF3" s="67">
        <v>130</v>
      </c>
      <c r="CG3" s="67">
        <v>138</v>
      </c>
      <c r="CH3" s="67">
        <v>128</v>
      </c>
      <c r="CI3" s="67">
        <v>120</v>
      </c>
      <c r="CJ3" s="67">
        <v>136</v>
      </c>
      <c r="CK3" s="67">
        <v>136</v>
      </c>
      <c r="CL3" s="67">
        <v>114</v>
      </c>
      <c r="CM3" s="117">
        <v>60</v>
      </c>
      <c r="CN3" s="67">
        <v>61</v>
      </c>
      <c r="CO3" s="67">
        <v>50</v>
      </c>
      <c r="CP3" s="67">
        <v>55</v>
      </c>
      <c r="CQ3" s="67">
        <v>41</v>
      </c>
      <c r="CR3" s="67">
        <v>32</v>
      </c>
      <c r="CS3" s="67">
        <f t="shared" ref="CS3:CX3" si="2">+CR3</f>
        <v>32</v>
      </c>
      <c r="CT3" s="67">
        <f t="shared" si="2"/>
        <v>32</v>
      </c>
      <c r="CU3" s="67">
        <f t="shared" si="2"/>
        <v>32</v>
      </c>
      <c r="CV3" s="67">
        <f t="shared" si="2"/>
        <v>32</v>
      </c>
      <c r="CW3" s="67">
        <f t="shared" si="2"/>
        <v>32</v>
      </c>
      <c r="CX3" s="67">
        <f t="shared" si="2"/>
        <v>32</v>
      </c>
      <c r="CY3" s="67"/>
      <c r="CZ3" s="67"/>
      <c r="DA3" s="67">
        <v>1962.4</v>
      </c>
      <c r="DB3" s="67">
        <v>2108.1</v>
      </c>
      <c r="DC3" s="67">
        <v>2260</v>
      </c>
      <c r="DD3" s="67">
        <f>SUM(K3:N3)</f>
        <v>2434.6999999999998</v>
      </c>
      <c r="DE3" s="67">
        <f>SUM(O3:R3)</f>
        <v>2600.6</v>
      </c>
      <c r="DF3" s="67">
        <f>SUM(S3:V3)</f>
        <v>2455</v>
      </c>
      <c r="DG3" s="67">
        <f>SUM(W3:Z3)</f>
        <v>2511</v>
      </c>
      <c r="DH3" s="67">
        <f>SUM(AA3:AD3)</f>
        <v>2489</v>
      </c>
      <c r="DI3" s="67">
        <f>SUM(AE3:AH3)</f>
        <v>2456</v>
      </c>
      <c r="DJ3" s="67">
        <f>SUM(AI3:AL3)</f>
        <v>2569</v>
      </c>
      <c r="DK3" s="67">
        <f>SUM(AM3:AP3)</f>
        <v>2524</v>
      </c>
      <c r="DL3" s="67">
        <f>SUM(AQ3:AT3)</f>
        <v>2259.7999999999997</v>
      </c>
      <c r="DM3" s="67">
        <f>DL3*0.8</f>
        <v>1807.84</v>
      </c>
      <c r="DN3" s="67">
        <f>DM3*0.8</f>
        <v>1446.2719999999999</v>
      </c>
      <c r="DO3" s="67">
        <f t="shared" ref="DO3:DQ3" si="3">DN3*0.9</f>
        <v>1301.6448</v>
      </c>
      <c r="DP3" s="67">
        <f t="shared" si="3"/>
        <v>1171.4803200000001</v>
      </c>
      <c r="DQ3" s="67">
        <f t="shared" si="3"/>
        <v>1054.3322880000001</v>
      </c>
      <c r="DR3" s="67"/>
      <c r="DS3" s="67"/>
      <c r="DT3" s="67">
        <f>SUM(BW3:BZ3)</f>
        <v>867</v>
      </c>
      <c r="DU3" s="67">
        <f>SUM(CA3:CD3)</f>
        <v>598</v>
      </c>
      <c r="DV3" s="67">
        <f>SUM(CE3:CH3)</f>
        <v>521</v>
      </c>
      <c r="DW3" s="67">
        <f>SUM(CI3:CL3)</f>
        <v>506</v>
      </c>
      <c r="DX3" s="67">
        <f>SUM(CM3:CP3)</f>
        <v>226</v>
      </c>
      <c r="DY3" s="67">
        <f t="shared" ref="DY3:EJ3" si="4">+DX3*0.9</f>
        <v>203.4</v>
      </c>
      <c r="DZ3" s="67">
        <f t="shared" si="4"/>
        <v>183.06</v>
      </c>
      <c r="EA3" s="67">
        <f t="shared" si="4"/>
        <v>164.75400000000002</v>
      </c>
      <c r="EB3" s="67">
        <f t="shared" si="4"/>
        <v>148.27860000000001</v>
      </c>
      <c r="EC3" s="67">
        <f t="shared" si="4"/>
        <v>133.45074000000002</v>
      </c>
      <c r="ED3" s="67">
        <f t="shared" si="4"/>
        <v>120.10566600000003</v>
      </c>
      <c r="EE3" s="67">
        <f t="shared" si="4"/>
        <v>108.09509940000002</v>
      </c>
      <c r="EF3" s="67">
        <f t="shared" si="4"/>
        <v>97.285589460000025</v>
      </c>
      <c r="EG3" s="67">
        <f t="shared" si="4"/>
        <v>87.557030514000019</v>
      </c>
      <c r="EH3" s="67">
        <f t="shared" si="4"/>
        <v>78.801327462600014</v>
      </c>
      <c r="EI3" s="67">
        <f t="shared" si="4"/>
        <v>70.921194716340011</v>
      </c>
      <c r="EJ3" s="67">
        <f t="shared" si="4"/>
        <v>63.829075244706011</v>
      </c>
    </row>
    <row r="4" spans="1:140" s="26" customFormat="1">
      <c r="B4" s="26" t="s">
        <v>601</v>
      </c>
      <c r="C4" s="67"/>
      <c r="D4" s="67"/>
      <c r="E4" s="67">
        <v>5</v>
      </c>
      <c r="F4" s="67">
        <v>37</v>
      </c>
      <c r="G4" s="67">
        <f>24.5+14.7</f>
        <v>39.200000000000003</v>
      </c>
      <c r="H4" s="67">
        <f>33+22.7</f>
        <v>55.7</v>
      </c>
      <c r="I4" s="67">
        <f>76.8+36.9</f>
        <v>113.69999999999999</v>
      </c>
      <c r="J4" s="67">
        <f>150.4+56.6</f>
        <v>207</v>
      </c>
      <c r="K4" s="67">
        <f>157.9+96.9</f>
        <v>254.8</v>
      </c>
      <c r="L4" s="67">
        <f>216.6+131.1</f>
        <v>347.7</v>
      </c>
      <c r="M4" s="67">
        <f>283.9+154.4</f>
        <v>438.29999999999995</v>
      </c>
      <c r="N4" s="67">
        <f>321.5+181.5</f>
        <v>503</v>
      </c>
      <c r="O4" s="67">
        <f>330+213</f>
        <v>543</v>
      </c>
      <c r="P4" s="67">
        <v>617</v>
      </c>
      <c r="Q4" s="67">
        <f>374+234</f>
        <v>608</v>
      </c>
      <c r="R4" s="67">
        <f>449+256</f>
        <v>705</v>
      </c>
      <c r="S4" s="67">
        <f>447+276</f>
        <v>723</v>
      </c>
      <c r="T4" s="67">
        <f>536+301</f>
        <v>837</v>
      </c>
      <c r="U4" s="67">
        <f>542+298</f>
        <v>840</v>
      </c>
      <c r="V4" s="67">
        <f>579+294</f>
        <v>873</v>
      </c>
      <c r="W4" s="67">
        <f>596+297</f>
        <v>893</v>
      </c>
      <c r="X4" s="67">
        <f>713+342</f>
        <v>1055</v>
      </c>
      <c r="Y4" s="67">
        <f>720+347</f>
        <v>1067</v>
      </c>
      <c r="Z4" s="67">
        <f>761+345</f>
        <v>1106</v>
      </c>
      <c r="AA4" s="67">
        <f>654+366</f>
        <v>1020</v>
      </c>
      <c r="AB4" s="67">
        <f>578+371</f>
        <v>949</v>
      </c>
      <c r="AC4" s="67">
        <v>818</v>
      </c>
      <c r="AD4" s="67">
        <f>462+365</f>
        <v>827</v>
      </c>
      <c r="AE4" s="67">
        <f>405+356</f>
        <v>761</v>
      </c>
      <c r="AF4" s="67">
        <f>427+398</f>
        <v>825</v>
      </c>
      <c r="AG4" s="67">
        <f>458+387</f>
        <v>845</v>
      </c>
      <c r="AH4" s="67">
        <f>361+345</f>
        <v>706</v>
      </c>
      <c r="AI4" s="67">
        <f>292+334</f>
        <v>626</v>
      </c>
      <c r="AJ4" s="67">
        <f>355+338</f>
        <v>693</v>
      </c>
      <c r="AK4" s="67">
        <f>333+352</f>
        <v>685</v>
      </c>
      <c r="AL4" s="67">
        <f>288+360</f>
        <v>648</v>
      </c>
      <c r="AM4" s="67">
        <f>268+359</f>
        <v>627</v>
      </c>
      <c r="AN4" s="67">
        <f>267+336</f>
        <v>603</v>
      </c>
      <c r="AO4" s="67">
        <f>283+340</f>
        <v>623</v>
      </c>
      <c r="AP4" s="67">
        <f>285+348</f>
        <v>633</v>
      </c>
      <c r="AQ4" s="67">
        <f>250+330</f>
        <v>580</v>
      </c>
      <c r="AR4" s="67">
        <f>241+344</f>
        <v>585</v>
      </c>
      <c r="AS4" s="67">
        <f>+AO4*0.95</f>
        <v>591.85</v>
      </c>
      <c r="AT4" s="67">
        <f>+AP4*0.95</f>
        <v>601.35</v>
      </c>
      <c r="AU4" s="67">
        <f t="shared" si="1"/>
        <v>551</v>
      </c>
      <c r="AV4" s="67">
        <v>536</v>
      </c>
      <c r="AW4" s="67">
        <f t="shared" si="1"/>
        <v>562.25750000000005</v>
      </c>
      <c r="AX4" s="67">
        <f t="shared" si="1"/>
        <v>571.28250000000003</v>
      </c>
      <c r="AY4" s="67"/>
      <c r="AZ4" s="67">
        <v>524</v>
      </c>
      <c r="BA4" s="67"/>
      <c r="BB4" s="67"/>
      <c r="BC4" s="67"/>
      <c r="BD4" s="67">
        <v>517</v>
      </c>
      <c r="BE4" s="67"/>
      <c r="BF4" s="67"/>
      <c r="BG4" s="67"/>
      <c r="BH4" s="67"/>
      <c r="BI4" s="67"/>
      <c r="BJ4" s="67"/>
      <c r="BK4" s="67"/>
      <c r="BL4" s="67"/>
      <c r="BM4" s="67"/>
      <c r="BN4" s="67"/>
      <c r="BO4" s="67"/>
      <c r="BP4" s="67"/>
      <c r="BQ4" s="67"/>
      <c r="BR4" s="67"/>
      <c r="BS4" s="67"/>
      <c r="BT4" s="67"/>
      <c r="BU4" s="67"/>
      <c r="BV4" s="67">
        <v>474</v>
      </c>
      <c r="BW4" s="67">
        <v>414</v>
      </c>
      <c r="BX4" s="67">
        <v>436</v>
      </c>
      <c r="BY4" s="67">
        <v>452</v>
      </c>
      <c r="BZ4" s="67">
        <v>427</v>
      </c>
      <c r="CA4" s="67">
        <v>422</v>
      </c>
      <c r="CB4" s="67">
        <v>387</v>
      </c>
      <c r="CC4" s="67">
        <v>384</v>
      </c>
      <c r="CD4" s="67">
        <v>375</v>
      </c>
      <c r="CE4" s="67">
        <v>355</v>
      </c>
      <c r="CF4" s="67">
        <v>367</v>
      </c>
      <c r="CG4" s="67">
        <v>396</v>
      </c>
      <c r="CH4" s="67">
        <v>362</v>
      </c>
      <c r="CI4" s="67">
        <v>358</v>
      </c>
      <c r="CJ4" s="67">
        <v>357</v>
      </c>
      <c r="CK4" s="67">
        <v>358</v>
      </c>
      <c r="CL4" s="67">
        <v>348</v>
      </c>
      <c r="CM4" s="117">
        <v>355</v>
      </c>
      <c r="CN4" s="67">
        <v>365</v>
      </c>
      <c r="CO4" s="67">
        <v>323</v>
      </c>
      <c r="CP4" s="67">
        <v>319</v>
      </c>
      <c r="CQ4" s="67">
        <v>349</v>
      </c>
      <c r="CR4" s="67">
        <v>348</v>
      </c>
      <c r="CS4" s="67">
        <f t="shared" ref="CS4:CX4" si="5">+CR4</f>
        <v>348</v>
      </c>
      <c r="CT4" s="67">
        <f t="shared" si="5"/>
        <v>348</v>
      </c>
      <c r="CU4" s="67">
        <f t="shared" si="5"/>
        <v>348</v>
      </c>
      <c r="CV4" s="67">
        <f t="shared" si="5"/>
        <v>348</v>
      </c>
      <c r="CW4" s="67">
        <f t="shared" si="5"/>
        <v>348</v>
      </c>
      <c r="CX4" s="67">
        <f t="shared" si="5"/>
        <v>348</v>
      </c>
      <c r="CY4" s="67"/>
      <c r="CZ4" s="67"/>
      <c r="DA4" s="67"/>
      <c r="DB4" s="67">
        <v>42</v>
      </c>
      <c r="DC4" s="67">
        <v>415.6</v>
      </c>
      <c r="DD4" s="67">
        <f>SUM(K4:N4)</f>
        <v>1543.8</v>
      </c>
      <c r="DE4" s="67">
        <f>SUM(O4:R4)</f>
        <v>2473</v>
      </c>
      <c r="DF4" s="67">
        <f>SUM(S4:V4)</f>
        <v>3273</v>
      </c>
      <c r="DG4" s="67">
        <f>SUM(W4:Z4)</f>
        <v>4121</v>
      </c>
      <c r="DH4" s="67">
        <f>SUM(AA4:AD4)</f>
        <v>3614</v>
      </c>
      <c r="DI4" s="67">
        <f>SUM(AE4:AH4)</f>
        <v>3137</v>
      </c>
      <c r="DJ4" s="67">
        <f>SUM(AI4:AL4)</f>
        <v>2652</v>
      </c>
      <c r="DK4" s="67">
        <f>SUM(AM4:AP4)</f>
        <v>2486</v>
      </c>
      <c r="DL4" s="67">
        <f>SUM(AQ4:AT4)</f>
        <v>2358.1999999999998</v>
      </c>
      <c r="DM4" s="67">
        <f>DL4*(1+DM62)</f>
        <v>2240.2899999999995</v>
      </c>
      <c r="DN4" s="67">
        <f>DM4*(1+DN62)</f>
        <v>2016.2609999999995</v>
      </c>
      <c r="DO4" s="67">
        <f>DN4*(1+DO62)</f>
        <v>1814.6348999999996</v>
      </c>
      <c r="DP4" s="67">
        <f>DO4*(1+DP62)</f>
        <v>1633.1714099999997</v>
      </c>
      <c r="DQ4" s="67">
        <f>DP4*0.9</f>
        <v>1469.8542689999997</v>
      </c>
      <c r="DR4" s="67"/>
      <c r="DS4" s="67"/>
      <c r="DT4" s="67">
        <f>SUM(BW4:BZ4)</f>
        <v>1729</v>
      </c>
      <c r="DU4" s="67">
        <f>SUM(CA4:CD4)</f>
        <v>1568</v>
      </c>
      <c r="DV4" s="67">
        <f>SUM(CE4:CH4)</f>
        <v>1480</v>
      </c>
      <c r="DW4" s="67">
        <f>SUM(CI4:CL4)</f>
        <v>1421</v>
      </c>
      <c r="DX4" s="67">
        <f>SUM(CM4:CP4)</f>
        <v>1362</v>
      </c>
      <c r="DY4" s="67">
        <f t="shared" ref="DY4:EJ4" si="6">+DX4*0.9</f>
        <v>1225.8</v>
      </c>
      <c r="DZ4" s="67">
        <f t="shared" si="6"/>
        <v>1103.22</v>
      </c>
      <c r="EA4" s="67">
        <f t="shared" si="6"/>
        <v>992.89800000000002</v>
      </c>
      <c r="EB4" s="67">
        <f t="shared" si="6"/>
        <v>893.60820000000001</v>
      </c>
      <c r="EC4" s="67">
        <f t="shared" si="6"/>
        <v>804.24738000000002</v>
      </c>
      <c r="ED4" s="67">
        <f t="shared" si="6"/>
        <v>723.82264200000009</v>
      </c>
      <c r="EE4" s="67">
        <f t="shared" si="6"/>
        <v>651.44037780000008</v>
      </c>
      <c r="EF4" s="67">
        <f t="shared" si="6"/>
        <v>586.29634002000012</v>
      </c>
      <c r="EG4" s="67">
        <f t="shared" si="6"/>
        <v>527.66670601800013</v>
      </c>
      <c r="EH4" s="67">
        <f t="shared" si="6"/>
        <v>474.90003541620013</v>
      </c>
      <c r="EI4" s="67">
        <f t="shared" si="6"/>
        <v>427.41003187458011</v>
      </c>
      <c r="EJ4" s="67">
        <f t="shared" si="6"/>
        <v>384.66902868712214</v>
      </c>
    </row>
    <row r="5" spans="1:140" s="97" customFormat="1">
      <c r="B5" s="97" t="s">
        <v>419</v>
      </c>
      <c r="C5" s="73">
        <f>SUM(C3:C4)</f>
        <v>503</v>
      </c>
      <c r="D5" s="73">
        <f>SUM(D3:D4)</f>
        <v>518</v>
      </c>
      <c r="E5" s="73">
        <f>SUM(E3:E4)</f>
        <v>520</v>
      </c>
      <c r="F5" s="73">
        <f>SUM(F3:F4)</f>
        <v>609</v>
      </c>
      <c r="G5" s="73">
        <f t="shared" ref="G5:R5" si="7">SUM(G3:G4)</f>
        <v>551.40000000000009</v>
      </c>
      <c r="H5" s="73">
        <f t="shared" si="7"/>
        <v>626</v>
      </c>
      <c r="I5" s="73">
        <f t="shared" si="7"/>
        <v>672.09999999999991</v>
      </c>
      <c r="J5" s="73">
        <f t="shared" si="7"/>
        <v>826.7</v>
      </c>
      <c r="K5" s="73">
        <f t="shared" si="7"/>
        <v>801.90000000000009</v>
      </c>
      <c r="L5" s="73">
        <f t="shared" si="7"/>
        <v>958.8</v>
      </c>
      <c r="M5" s="73">
        <f t="shared" si="7"/>
        <v>1064.1999999999998</v>
      </c>
      <c r="N5" s="73">
        <f t="shared" si="7"/>
        <v>1153.5999999999999</v>
      </c>
      <c r="O5" s="73">
        <f t="shared" si="7"/>
        <v>1133</v>
      </c>
      <c r="P5" s="73">
        <f t="shared" si="7"/>
        <v>1249.5999999999999</v>
      </c>
      <c r="Q5" s="73">
        <f t="shared" si="7"/>
        <v>1289</v>
      </c>
      <c r="R5" s="73">
        <f t="shared" si="7"/>
        <v>1402</v>
      </c>
      <c r="S5" s="73">
        <f t="shared" ref="S5:Z5" si="8">S4+S3</f>
        <v>1306</v>
      </c>
      <c r="T5" s="73">
        <f t="shared" si="8"/>
        <v>1484</v>
      </c>
      <c r="U5" s="73">
        <f t="shared" si="8"/>
        <v>1439</v>
      </c>
      <c r="V5" s="73">
        <f t="shared" si="8"/>
        <v>1499</v>
      </c>
      <c r="W5" s="73">
        <f t="shared" si="8"/>
        <v>1497</v>
      </c>
      <c r="X5" s="73">
        <f>X4+X3</f>
        <v>1668</v>
      </c>
      <c r="Y5" s="73">
        <f t="shared" si="8"/>
        <v>1700</v>
      </c>
      <c r="Z5" s="73">
        <f t="shared" si="8"/>
        <v>1767</v>
      </c>
      <c r="AA5" s="73">
        <f t="shared" ref="AA5:AJ5" si="9">AA4+AA3</f>
        <v>1645</v>
      </c>
      <c r="AB5" s="73">
        <f t="shared" si="9"/>
        <v>1573</v>
      </c>
      <c r="AC5" s="73">
        <f t="shared" si="9"/>
        <v>1420</v>
      </c>
      <c r="AD5" s="73">
        <f t="shared" si="9"/>
        <v>1465</v>
      </c>
      <c r="AE5" s="73">
        <f t="shared" si="9"/>
        <v>1315</v>
      </c>
      <c r="AF5" s="73">
        <f t="shared" si="9"/>
        <v>1447</v>
      </c>
      <c r="AG5" s="73">
        <f t="shared" si="9"/>
        <v>1479</v>
      </c>
      <c r="AH5" s="73">
        <f t="shared" si="9"/>
        <v>1352</v>
      </c>
      <c r="AI5" s="73">
        <f t="shared" si="9"/>
        <v>1191</v>
      </c>
      <c r="AJ5" s="73">
        <f t="shared" si="9"/>
        <v>1331</v>
      </c>
      <c r="AK5" s="73">
        <f>AK4+AK3</f>
        <v>1348</v>
      </c>
      <c r="AL5" s="73">
        <f>AL4+AL3</f>
        <v>1351</v>
      </c>
      <c r="AM5" s="73">
        <f>AM4+AM3</f>
        <v>1250</v>
      </c>
      <c r="AN5" s="73">
        <f t="shared" ref="AN5:AT5" si="10">+AN4+AN3</f>
        <v>1260</v>
      </c>
      <c r="AO5" s="73">
        <f t="shared" si="10"/>
        <v>1276</v>
      </c>
      <c r="AP5" s="73">
        <f t="shared" si="10"/>
        <v>1224</v>
      </c>
      <c r="AQ5" s="73">
        <f t="shared" si="10"/>
        <v>1115</v>
      </c>
      <c r="AR5" s="73">
        <f>+AR4+AR3</f>
        <v>1128</v>
      </c>
      <c r="AS5" s="73">
        <f t="shared" si="10"/>
        <v>1212.2</v>
      </c>
      <c r="AT5" s="73">
        <f t="shared" si="10"/>
        <v>1162.8</v>
      </c>
      <c r="AU5" s="73">
        <f>+AU4+AU3</f>
        <v>1059.25</v>
      </c>
      <c r="AV5" s="73">
        <f>+AV4+AV3</f>
        <v>1061</v>
      </c>
      <c r="AW5" s="73">
        <f>+AW4+AW3</f>
        <v>1151.5900000000001</v>
      </c>
      <c r="AX5" s="73">
        <f>+AX4+AX3</f>
        <v>1104.6599999999999</v>
      </c>
      <c r="AY5" s="73">
        <f t="shared" ref="AY5:BD5" si="11">+AY4+AY3</f>
        <v>0</v>
      </c>
      <c r="AZ5" s="73">
        <f t="shared" si="11"/>
        <v>1026</v>
      </c>
      <c r="BA5" s="73">
        <f t="shared" si="11"/>
        <v>0</v>
      </c>
      <c r="BB5" s="73">
        <f t="shared" si="11"/>
        <v>0</v>
      </c>
      <c r="BC5" s="73">
        <f t="shared" si="11"/>
        <v>0</v>
      </c>
      <c r="BD5" s="73">
        <f t="shared" si="11"/>
        <v>1029</v>
      </c>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73"/>
      <c r="CJ5" s="73"/>
      <c r="CK5" s="73"/>
      <c r="CL5" s="73"/>
      <c r="CM5" s="118"/>
      <c r="CN5" s="73"/>
      <c r="CO5" s="73"/>
      <c r="CP5" s="73"/>
      <c r="CQ5" s="73"/>
      <c r="CR5" s="73"/>
      <c r="CS5" s="67"/>
      <c r="CT5" s="67"/>
      <c r="CU5" s="67"/>
      <c r="CV5" s="67"/>
      <c r="CW5" s="67"/>
      <c r="CX5" s="67"/>
      <c r="CY5" s="73"/>
      <c r="CZ5" s="73"/>
      <c r="DA5" s="73">
        <f t="shared" ref="DA5:DI5" si="12">DA4+DA3</f>
        <v>1962.4</v>
      </c>
      <c r="DB5" s="73">
        <f t="shared" si="12"/>
        <v>2150.1</v>
      </c>
      <c r="DC5" s="73">
        <f t="shared" si="12"/>
        <v>2675.6</v>
      </c>
      <c r="DD5" s="73">
        <f t="shared" si="12"/>
        <v>3978.5</v>
      </c>
      <c r="DE5" s="73">
        <f t="shared" si="12"/>
        <v>5073.6000000000004</v>
      </c>
      <c r="DF5" s="73">
        <f t="shared" si="12"/>
        <v>5728</v>
      </c>
      <c r="DG5" s="73">
        <f t="shared" si="12"/>
        <v>6632</v>
      </c>
      <c r="DH5" s="73">
        <f>DH4+DH3</f>
        <v>6103</v>
      </c>
      <c r="DI5" s="73">
        <f t="shared" si="12"/>
        <v>5593</v>
      </c>
      <c r="DJ5" s="73">
        <f>DJ4+DJ3</f>
        <v>5221</v>
      </c>
      <c r="DK5" s="73">
        <f>DK4+DK3</f>
        <v>5010</v>
      </c>
      <c r="DL5" s="73">
        <f>DL4+DL3</f>
        <v>4618</v>
      </c>
      <c r="DM5" s="67">
        <f>DM4+DM3</f>
        <v>4048.1299999999992</v>
      </c>
      <c r="DN5" s="67">
        <f t="shared" ref="DN5:DQ5" si="13">DN4+DN3</f>
        <v>3462.5329999999994</v>
      </c>
      <c r="DO5" s="67">
        <f t="shared" si="13"/>
        <v>3116.2796999999996</v>
      </c>
      <c r="DP5" s="67">
        <f t="shared" si="13"/>
        <v>2804.6517299999996</v>
      </c>
      <c r="DQ5" s="67">
        <f t="shared" si="13"/>
        <v>2524.186557</v>
      </c>
      <c r="DR5" s="67"/>
      <c r="DS5" s="67"/>
      <c r="DT5" s="67"/>
      <c r="DU5" s="73"/>
      <c r="DV5" s="73"/>
      <c r="DW5" s="73"/>
      <c r="DX5" s="73"/>
      <c r="DY5" s="73"/>
      <c r="DZ5" s="73"/>
      <c r="EA5" s="73"/>
      <c r="EB5" s="73"/>
      <c r="EC5" s="73"/>
      <c r="ED5" s="73"/>
      <c r="EE5" s="73"/>
    </row>
    <row r="6" spans="1:140" s="26" customFormat="1">
      <c r="B6" s="26" t="s">
        <v>603</v>
      </c>
      <c r="C6" s="67">
        <v>294</v>
      </c>
      <c r="D6" s="67">
        <v>340</v>
      </c>
      <c r="E6" s="67">
        <v>360</v>
      </c>
      <c r="F6" s="67">
        <v>353</v>
      </c>
      <c r="G6" s="67">
        <f>280.7+74.3</f>
        <v>355</v>
      </c>
      <c r="H6" s="67">
        <v>363</v>
      </c>
      <c r="I6" s="67">
        <f>241.1+91.1</f>
        <v>332.2</v>
      </c>
      <c r="J6" s="67">
        <f>239.4+89.6</f>
        <v>329</v>
      </c>
      <c r="K6" s="67">
        <v>284</v>
      </c>
      <c r="L6" s="67">
        <f>233.3+97.5</f>
        <v>330.8</v>
      </c>
      <c r="M6" s="67">
        <f>228+102</f>
        <v>330</v>
      </c>
      <c r="N6" s="67">
        <f>226+96.2</f>
        <v>322.2</v>
      </c>
      <c r="O6" s="67">
        <f>172+97</f>
        <v>269</v>
      </c>
      <c r="P6" s="67">
        <v>295.2</v>
      </c>
      <c r="Q6" s="67">
        <f>207+95</f>
        <v>302</v>
      </c>
      <c r="R6" s="67">
        <v>309</v>
      </c>
      <c r="S6" s="67">
        <f>182+112</f>
        <v>294</v>
      </c>
      <c r="T6" s="67">
        <f>208+104</f>
        <v>312</v>
      </c>
      <c r="U6" s="67">
        <f>205+100</f>
        <v>305</v>
      </c>
      <c r="V6" s="67">
        <f>210+95</f>
        <v>305</v>
      </c>
      <c r="W6" s="67">
        <f>191+97</f>
        <v>288</v>
      </c>
      <c r="X6" s="67">
        <f>206+98</f>
        <v>304</v>
      </c>
      <c r="Y6" s="67">
        <f>212+96</f>
        <v>308</v>
      </c>
      <c r="Z6" s="67">
        <f>221+92</f>
        <v>313</v>
      </c>
      <c r="AA6" s="67">
        <f>204+95</f>
        <v>299</v>
      </c>
      <c r="AB6" s="67">
        <v>307</v>
      </c>
      <c r="AC6" s="67">
        <f>232+105</f>
        <v>337</v>
      </c>
      <c r="AD6" s="67">
        <f>225+109</f>
        <v>334</v>
      </c>
      <c r="AE6" s="67">
        <f>223+107</f>
        <v>330</v>
      </c>
      <c r="AF6" s="67">
        <f>221+118</f>
        <v>339</v>
      </c>
      <c r="AG6" s="67">
        <f>223+117</f>
        <v>340</v>
      </c>
      <c r="AH6" s="67">
        <f>229+103</f>
        <v>332</v>
      </c>
      <c r="AI6" s="67">
        <f>202+94</f>
        <v>296</v>
      </c>
      <c r="AJ6" s="67">
        <f>230+97</f>
        <v>327</v>
      </c>
      <c r="AK6" s="67">
        <f>240+99</f>
        <v>339</v>
      </c>
      <c r="AL6" s="67">
        <f>229+97</f>
        <v>326</v>
      </c>
      <c r="AM6" s="67">
        <f>225+91</f>
        <v>316</v>
      </c>
      <c r="AN6" s="67">
        <f>225+88</f>
        <v>313</v>
      </c>
      <c r="AO6" s="67">
        <f>250+88</f>
        <v>338</v>
      </c>
      <c r="AP6" s="67">
        <f>232+87</f>
        <v>319</v>
      </c>
      <c r="AQ6" s="67">
        <f>220+76</f>
        <v>296</v>
      </c>
      <c r="AR6" s="67">
        <f>230+81</f>
        <v>311</v>
      </c>
      <c r="AS6" s="67">
        <f t="shared" ref="AS6:AT8" si="14">+AO6</f>
        <v>338</v>
      </c>
      <c r="AT6" s="67">
        <f t="shared" si="14"/>
        <v>319</v>
      </c>
      <c r="AU6" s="67">
        <f>+AQ6</f>
        <v>296</v>
      </c>
      <c r="AV6" s="67">
        <v>332</v>
      </c>
      <c r="AW6" s="67">
        <f t="shared" ref="AW6:AX8" si="15">+AS6</f>
        <v>338</v>
      </c>
      <c r="AX6" s="67">
        <f t="shared" si="15"/>
        <v>319</v>
      </c>
      <c r="AY6" s="67"/>
      <c r="AZ6" s="67">
        <v>324</v>
      </c>
      <c r="BA6" s="67"/>
      <c r="BB6" s="67"/>
      <c r="BC6" s="67"/>
      <c r="BD6" s="67">
        <v>296</v>
      </c>
      <c r="BE6" s="67"/>
      <c r="BF6" s="67"/>
      <c r="BG6" s="67"/>
      <c r="BH6" s="67"/>
      <c r="BI6" s="67"/>
      <c r="BJ6" s="67"/>
      <c r="BK6" s="67"/>
      <c r="BL6" s="67"/>
      <c r="BM6" s="67"/>
      <c r="BN6" s="67"/>
      <c r="BO6" s="67"/>
      <c r="BP6" s="67"/>
      <c r="BQ6" s="67"/>
      <c r="BR6" s="67"/>
      <c r="BS6" s="67"/>
      <c r="BT6" s="67"/>
      <c r="BU6" s="67"/>
      <c r="BV6" s="67">
        <v>75</v>
      </c>
      <c r="BW6" s="67">
        <v>73</v>
      </c>
      <c r="BX6" s="67">
        <v>75</v>
      </c>
      <c r="BY6" s="67">
        <v>54</v>
      </c>
      <c r="BZ6" s="67">
        <v>62</v>
      </c>
      <c r="CA6" s="67">
        <v>65</v>
      </c>
      <c r="CB6" s="67">
        <v>49</v>
      </c>
      <c r="CC6" s="67">
        <v>65</v>
      </c>
      <c r="CD6" s="67">
        <v>46</v>
      </c>
      <c r="CE6" s="67">
        <v>34</v>
      </c>
      <c r="CF6" s="67">
        <v>51</v>
      </c>
      <c r="CG6" s="67">
        <v>52</v>
      </c>
      <c r="CH6" s="67">
        <v>31</v>
      </c>
      <c r="CI6" s="67">
        <v>38</v>
      </c>
      <c r="CJ6" s="67">
        <v>37</v>
      </c>
      <c r="CK6" s="67">
        <v>35</v>
      </c>
      <c r="CL6" s="67">
        <v>34</v>
      </c>
      <c r="CM6" s="117"/>
      <c r="CN6" s="67"/>
      <c r="CO6" s="67"/>
      <c r="CP6" s="67"/>
      <c r="CQ6" s="67"/>
      <c r="CR6" s="67"/>
      <c r="CS6" s="67"/>
      <c r="CT6" s="67"/>
      <c r="CU6" s="67"/>
      <c r="CV6" s="67"/>
      <c r="CW6" s="67"/>
      <c r="CX6" s="67"/>
      <c r="CY6" s="67"/>
      <c r="CZ6" s="67"/>
      <c r="DA6" s="67">
        <v>1224</v>
      </c>
      <c r="DB6" s="67">
        <v>1347</v>
      </c>
      <c r="DC6" s="67">
        <v>1379</v>
      </c>
      <c r="DD6" s="67">
        <f>386+881</f>
        <v>1267</v>
      </c>
      <c r="DE6" s="67">
        <f>SUM(O6:R6)</f>
        <v>1175.2</v>
      </c>
      <c r="DF6" s="67">
        <f>SUM(S6:V6)</f>
        <v>1216</v>
      </c>
      <c r="DG6" s="67">
        <f t="shared" ref="DG6:DG18" si="16">SUM(W6:Z6)</f>
        <v>1213</v>
      </c>
      <c r="DH6" s="67">
        <f t="shared" ref="DH6:DH18" si="17">SUM(AA6:AD6)</f>
        <v>1277</v>
      </c>
      <c r="DI6" s="67">
        <f t="shared" ref="DI6:DI18" si="18">SUM(AE6:AH6)</f>
        <v>1341</v>
      </c>
      <c r="DJ6" s="67">
        <f t="shared" ref="DJ6:DJ18" si="19">SUM(AI6:AL6)</f>
        <v>1288</v>
      </c>
      <c r="DK6" s="67">
        <f>SUM(AM6:AP6)</f>
        <v>1286</v>
      </c>
      <c r="DL6" s="67">
        <f>SUM(AQ6:AT6)</f>
        <v>1264</v>
      </c>
      <c r="DM6" s="67">
        <f>+DL6*0.8</f>
        <v>1011.2</v>
      </c>
      <c r="DN6" s="67">
        <f>+DM6*0.8</f>
        <v>808.96</v>
      </c>
      <c r="DO6" s="67">
        <f t="shared" ref="DO6:DQ6" si="20">+DN6*0.8</f>
        <v>647.16800000000012</v>
      </c>
      <c r="DP6" s="67">
        <f t="shared" si="20"/>
        <v>517.73440000000016</v>
      </c>
      <c r="DQ6" s="67">
        <f t="shared" si="20"/>
        <v>414.18752000000018</v>
      </c>
      <c r="DR6" s="67"/>
      <c r="DS6" s="67"/>
      <c r="DT6" s="67">
        <f t="shared" ref="DT6:DT8" si="21">SUM(BW6:BZ6)</f>
        <v>264</v>
      </c>
      <c r="DU6" s="67">
        <f t="shared" ref="DU6:DU8" si="22">SUM(CA6:CD6)</f>
        <v>225</v>
      </c>
      <c r="DV6" s="67">
        <f>SUM(CE6:CH6)</f>
        <v>168</v>
      </c>
      <c r="DW6" s="67">
        <f t="shared" ref="DW6:DW8" si="23">SUM(CI6:CL6)</f>
        <v>144</v>
      </c>
      <c r="DX6" s="67">
        <f t="shared" ref="DX6:DX8" si="24">SUM(CM6:CP6)</f>
        <v>0</v>
      </c>
      <c r="DY6" s="67">
        <f t="shared" ref="DY6:EJ6" si="25">+DX6*0.9</f>
        <v>0</v>
      </c>
      <c r="DZ6" s="67">
        <f t="shared" si="25"/>
        <v>0</v>
      </c>
      <c r="EA6" s="67">
        <f t="shared" si="25"/>
        <v>0</v>
      </c>
      <c r="EB6" s="67">
        <f t="shared" si="25"/>
        <v>0</v>
      </c>
      <c r="EC6" s="67">
        <f t="shared" si="25"/>
        <v>0</v>
      </c>
      <c r="ED6" s="67">
        <f t="shared" si="25"/>
        <v>0</v>
      </c>
      <c r="EE6" s="67">
        <f t="shared" si="25"/>
        <v>0</v>
      </c>
      <c r="EF6" s="67">
        <f t="shared" si="25"/>
        <v>0</v>
      </c>
      <c r="EG6" s="67">
        <f t="shared" si="25"/>
        <v>0</v>
      </c>
      <c r="EH6" s="67">
        <f t="shared" si="25"/>
        <v>0</v>
      </c>
      <c r="EI6" s="67">
        <f t="shared" si="25"/>
        <v>0</v>
      </c>
      <c r="EJ6" s="67">
        <f t="shared" si="25"/>
        <v>0</v>
      </c>
    </row>
    <row r="7" spans="1:140" s="26" customFormat="1">
      <c r="B7" s="26" t="s">
        <v>354</v>
      </c>
      <c r="C7" s="67"/>
      <c r="D7" s="67"/>
      <c r="E7" s="67"/>
      <c r="F7" s="67"/>
      <c r="G7" s="74"/>
      <c r="H7" s="67">
        <v>110</v>
      </c>
      <c r="I7" s="67">
        <f>141.7</f>
        <v>141.69999999999999</v>
      </c>
      <c r="J7" s="67">
        <v>212</v>
      </c>
      <c r="K7" s="67">
        <v>258</v>
      </c>
      <c r="L7" s="67">
        <f>291+12.5</f>
        <v>303.5</v>
      </c>
      <c r="M7" s="67">
        <f>304+23</f>
        <v>327</v>
      </c>
      <c r="N7" s="67">
        <f>328+38.7</f>
        <v>366.7</v>
      </c>
      <c r="O7" s="67">
        <f>336.3+58.4</f>
        <v>394.7</v>
      </c>
      <c r="P7" s="67">
        <v>425.9</v>
      </c>
      <c r="Q7" s="67">
        <f>384+66</f>
        <v>450</v>
      </c>
      <c r="R7" s="67">
        <f>394+75</f>
        <v>469</v>
      </c>
      <c r="S7" s="67">
        <f>416+85</f>
        <v>501</v>
      </c>
      <c r="T7" s="67">
        <f>490+97</f>
        <v>587</v>
      </c>
      <c r="U7" s="67">
        <f>475+102</f>
        <v>577</v>
      </c>
      <c r="V7" s="67">
        <f>519+104</f>
        <v>623</v>
      </c>
      <c r="W7" s="67">
        <f>497+111</f>
        <v>608</v>
      </c>
      <c r="X7" s="67">
        <f>579+122</f>
        <v>701</v>
      </c>
      <c r="Y7" s="67">
        <f>560+130</f>
        <v>690</v>
      </c>
      <c r="Z7" s="67">
        <f>581+130</f>
        <v>711</v>
      </c>
      <c r="AA7" s="67">
        <f>573+146</f>
        <v>719</v>
      </c>
      <c r="AB7" s="67">
        <f>573+161</f>
        <v>734</v>
      </c>
      <c r="AC7" s="67">
        <f>598+165</f>
        <v>763</v>
      </c>
      <c r="AD7" s="67">
        <f>607+177</f>
        <v>784</v>
      </c>
      <c r="AE7" s="67">
        <f>569+187</f>
        <v>756</v>
      </c>
      <c r="AF7" s="67">
        <f>648+214</f>
        <v>862</v>
      </c>
      <c r="AG7" s="67">
        <f>633+219</f>
        <v>852</v>
      </c>
      <c r="AH7" s="67">
        <f>655+193</f>
        <v>848</v>
      </c>
      <c r="AI7" s="67">
        <f>594+183</f>
        <v>777</v>
      </c>
      <c r="AJ7" s="67">
        <f>625+206</f>
        <v>831</v>
      </c>
      <c r="AK7" s="67">
        <f>657+214</f>
        <v>871</v>
      </c>
      <c r="AL7" s="67">
        <f>651+225</f>
        <v>876</v>
      </c>
      <c r="AM7" s="67">
        <f>637+226</f>
        <v>863</v>
      </c>
      <c r="AN7" s="67">
        <f>643+218</f>
        <v>861</v>
      </c>
      <c r="AO7" s="67">
        <f>692+224</f>
        <v>916</v>
      </c>
      <c r="AP7" s="67">
        <f>682+236</f>
        <v>918</v>
      </c>
      <c r="AQ7" s="67">
        <f>710+226</f>
        <v>936</v>
      </c>
      <c r="AR7" s="67">
        <f>769+246</f>
        <v>1015</v>
      </c>
      <c r="AS7" s="67">
        <f t="shared" si="14"/>
        <v>916</v>
      </c>
      <c r="AT7" s="67">
        <f t="shared" si="14"/>
        <v>918</v>
      </c>
      <c r="AU7" s="67">
        <f>+AQ7</f>
        <v>936</v>
      </c>
      <c r="AV7" s="67">
        <v>1015</v>
      </c>
      <c r="AW7" s="67">
        <f t="shared" si="15"/>
        <v>916</v>
      </c>
      <c r="AX7" s="67">
        <f t="shared" si="15"/>
        <v>918</v>
      </c>
      <c r="AY7" s="67"/>
      <c r="AZ7" s="67">
        <v>1120</v>
      </c>
      <c r="BA7" s="67"/>
      <c r="BB7" s="67"/>
      <c r="BC7" s="67"/>
      <c r="BD7" s="67">
        <v>1133</v>
      </c>
      <c r="BE7" s="67"/>
      <c r="BF7" s="67"/>
      <c r="BG7" s="67"/>
      <c r="BH7" s="67"/>
      <c r="BI7" s="67"/>
      <c r="BJ7" s="67"/>
      <c r="BK7" s="67"/>
      <c r="BL7" s="67"/>
      <c r="BM7" s="67"/>
      <c r="BN7" s="67"/>
      <c r="BO7" s="67"/>
      <c r="BP7" s="67"/>
      <c r="BQ7" s="67"/>
      <c r="BR7" s="67"/>
      <c r="BS7" s="67"/>
      <c r="BT7" s="67"/>
      <c r="BU7" s="67"/>
      <c r="BV7" s="67">
        <v>1169</v>
      </c>
      <c r="BW7" s="67">
        <v>1021</v>
      </c>
      <c r="BX7" s="67">
        <v>824</v>
      </c>
      <c r="BY7" s="67">
        <v>711</v>
      </c>
      <c r="BZ7" s="67">
        <v>665</v>
      </c>
      <c r="CA7" s="67">
        <v>609</v>
      </c>
      <c r="CB7" s="67">
        <v>593</v>
      </c>
      <c r="CC7" s="67">
        <v>555</v>
      </c>
      <c r="CD7" s="67">
        <v>536</v>
      </c>
      <c r="CE7" s="67">
        <v>482</v>
      </c>
      <c r="CF7" s="67">
        <v>486</v>
      </c>
      <c r="CG7" s="67">
        <v>415</v>
      </c>
      <c r="CH7" s="67">
        <v>351</v>
      </c>
      <c r="CI7" s="67">
        <v>348</v>
      </c>
      <c r="CJ7" s="67">
        <v>310</v>
      </c>
      <c r="CK7" s="67">
        <v>247</v>
      </c>
      <c r="CL7" s="67">
        <v>221</v>
      </c>
      <c r="CM7" s="117">
        <v>249</v>
      </c>
      <c r="CN7" s="67">
        <v>236</v>
      </c>
      <c r="CO7" s="67">
        <v>124</v>
      </c>
      <c r="CP7" s="67">
        <v>239</v>
      </c>
      <c r="CQ7" s="67">
        <v>118</v>
      </c>
      <c r="CR7" s="67">
        <v>105</v>
      </c>
      <c r="CS7" s="67">
        <f t="shared" ref="CS7:CX7" si="26">+CR7</f>
        <v>105</v>
      </c>
      <c r="CT7" s="67">
        <f t="shared" si="26"/>
        <v>105</v>
      </c>
      <c r="CU7" s="67">
        <f t="shared" si="26"/>
        <v>105</v>
      </c>
      <c r="CV7" s="67">
        <f t="shared" si="26"/>
        <v>105</v>
      </c>
      <c r="CW7" s="67">
        <f t="shared" si="26"/>
        <v>105</v>
      </c>
      <c r="CX7" s="67">
        <f t="shared" si="26"/>
        <v>105</v>
      </c>
      <c r="CY7" s="67"/>
      <c r="CZ7" s="67"/>
      <c r="DA7" s="67"/>
      <c r="DB7" s="67"/>
      <c r="DC7" s="67">
        <v>464</v>
      </c>
      <c r="DD7" s="67">
        <f>1175+80</f>
        <v>1255</v>
      </c>
      <c r="DE7" s="67">
        <f>SUM(O7:R7)</f>
        <v>1739.6</v>
      </c>
      <c r="DF7" s="67">
        <f>SUM(S7:V7)</f>
        <v>2288</v>
      </c>
      <c r="DG7" s="67">
        <f t="shared" si="16"/>
        <v>2710</v>
      </c>
      <c r="DH7" s="74">
        <f t="shared" si="17"/>
        <v>3000</v>
      </c>
      <c r="DI7" s="67">
        <f t="shared" si="18"/>
        <v>3318</v>
      </c>
      <c r="DJ7" s="67">
        <f t="shared" si="19"/>
        <v>3355</v>
      </c>
      <c r="DK7" s="67">
        <f>SUM(AM7:AP7)</f>
        <v>3558</v>
      </c>
      <c r="DL7" s="67">
        <f>SUM(AQ7:AT7)</f>
        <v>3785</v>
      </c>
      <c r="DM7" s="67">
        <f>+DL7*0.95</f>
        <v>3595.75</v>
      </c>
      <c r="DN7" s="67">
        <f t="shared" ref="DN7:DQ7" si="27">+DM7*0.95</f>
        <v>3415.9624999999996</v>
      </c>
      <c r="DO7" s="67">
        <f t="shared" si="27"/>
        <v>3245.1643749999994</v>
      </c>
      <c r="DP7" s="67">
        <f t="shared" si="27"/>
        <v>3082.9061562499992</v>
      </c>
      <c r="DQ7" s="67">
        <f t="shared" si="27"/>
        <v>2928.7608484374991</v>
      </c>
      <c r="DR7" s="67"/>
      <c r="DS7" s="67"/>
      <c r="DT7" s="67">
        <f t="shared" si="21"/>
        <v>3221</v>
      </c>
      <c r="DU7" s="67">
        <f t="shared" si="22"/>
        <v>2293</v>
      </c>
      <c r="DV7" s="67">
        <f>SUM(CE7:CH7)</f>
        <v>1734</v>
      </c>
      <c r="DW7" s="67">
        <f t="shared" si="23"/>
        <v>1126</v>
      </c>
      <c r="DX7" s="67">
        <f t="shared" si="24"/>
        <v>848</v>
      </c>
      <c r="DY7" s="67">
        <f t="shared" ref="DY7:EJ7" si="28">+DX7*0.9</f>
        <v>763.2</v>
      </c>
      <c r="DZ7" s="67">
        <f t="shared" si="28"/>
        <v>686.88000000000011</v>
      </c>
      <c r="EA7" s="67">
        <f t="shared" si="28"/>
        <v>618.19200000000012</v>
      </c>
      <c r="EB7" s="67">
        <f t="shared" si="28"/>
        <v>556.3728000000001</v>
      </c>
      <c r="EC7" s="67">
        <f t="shared" si="28"/>
        <v>500.73552000000012</v>
      </c>
      <c r="ED7" s="67">
        <f t="shared" si="28"/>
        <v>450.66196800000012</v>
      </c>
      <c r="EE7" s="67">
        <f t="shared" si="28"/>
        <v>405.59577120000012</v>
      </c>
      <c r="EF7" s="67">
        <f t="shared" si="28"/>
        <v>365.03619408000009</v>
      </c>
      <c r="EG7" s="67">
        <f t="shared" si="28"/>
        <v>328.53257467200007</v>
      </c>
      <c r="EH7" s="67">
        <f t="shared" si="28"/>
        <v>295.67931720480004</v>
      </c>
      <c r="EI7" s="67">
        <f t="shared" si="28"/>
        <v>266.11138548432007</v>
      </c>
      <c r="EJ7" s="67">
        <f t="shared" si="28"/>
        <v>239.50024693588807</v>
      </c>
    </row>
    <row r="8" spans="1:140" s="26" customFormat="1">
      <c r="B8" s="26" t="s">
        <v>355</v>
      </c>
      <c r="C8" s="67"/>
      <c r="D8" s="67"/>
      <c r="E8" s="74"/>
      <c r="F8" s="67"/>
      <c r="G8" s="74"/>
      <c r="H8" s="74"/>
      <c r="I8" s="74">
        <f>150.5+7.6</f>
        <v>158.1</v>
      </c>
      <c r="J8" s="67">
        <f>195.7+8.3</f>
        <v>204</v>
      </c>
      <c r="K8" s="74">
        <f>264.5+9.5</f>
        <v>274</v>
      </c>
      <c r="L8" s="74">
        <f>293.7+10.3</f>
        <v>304</v>
      </c>
      <c r="M8" s="74">
        <f>329+13</f>
        <v>342</v>
      </c>
      <c r="N8" s="74">
        <f>366+14</f>
        <v>380</v>
      </c>
      <c r="O8" s="67">
        <f>382+15</f>
        <v>397</v>
      </c>
      <c r="P8" s="67">
        <v>440.4</v>
      </c>
      <c r="Q8" s="67">
        <f>477+19</f>
        <v>496</v>
      </c>
      <c r="R8" s="67">
        <f>545+22</f>
        <v>567</v>
      </c>
      <c r="S8" s="67">
        <f>570+22</f>
        <v>592</v>
      </c>
      <c r="T8" s="67">
        <f>614+25</f>
        <v>639</v>
      </c>
      <c r="U8" s="67">
        <f>641+27</f>
        <v>668</v>
      </c>
      <c r="V8" s="67">
        <f>645+29</f>
        <v>674</v>
      </c>
      <c r="W8" s="67">
        <f>629+29</f>
        <v>658</v>
      </c>
      <c r="X8" s="67">
        <f>685+39</f>
        <v>724</v>
      </c>
      <c r="Y8" s="67">
        <f>669+36</f>
        <v>705</v>
      </c>
      <c r="Z8" s="67">
        <f>753+39</f>
        <v>792</v>
      </c>
      <c r="AA8" s="67">
        <f>693+37</f>
        <v>730</v>
      </c>
      <c r="AB8" s="67">
        <f>777+46</f>
        <v>823</v>
      </c>
      <c r="AC8" s="67">
        <v>821</v>
      </c>
      <c r="AD8" s="67">
        <f>805+51</f>
        <v>856</v>
      </c>
      <c r="AE8" s="67">
        <f>904+47</f>
        <v>951</v>
      </c>
      <c r="AF8" s="67">
        <f>789+52</f>
        <v>841</v>
      </c>
      <c r="AG8" s="67">
        <f>838+55</f>
        <v>893</v>
      </c>
      <c r="AH8" s="67">
        <f>858+55</f>
        <v>913</v>
      </c>
      <c r="AI8" s="67">
        <f>712+46</f>
        <v>758</v>
      </c>
      <c r="AJ8" s="67">
        <f>846+53</f>
        <v>899</v>
      </c>
      <c r="AK8" s="67">
        <f>872+52</f>
        <v>924</v>
      </c>
      <c r="AL8" s="67">
        <f>853+59</f>
        <v>912</v>
      </c>
      <c r="AM8" s="67">
        <f>754+50</f>
        <v>804</v>
      </c>
      <c r="AN8" s="67">
        <f>819+58</f>
        <v>877</v>
      </c>
      <c r="AO8" s="67">
        <f>856+58</f>
        <v>914</v>
      </c>
      <c r="AP8" s="67">
        <f>875+64</f>
        <v>939</v>
      </c>
      <c r="AQ8" s="67">
        <f>821+54</f>
        <v>875</v>
      </c>
      <c r="AR8" s="67">
        <f>894+62</f>
        <v>956</v>
      </c>
      <c r="AS8" s="67">
        <f t="shared" si="14"/>
        <v>914</v>
      </c>
      <c r="AT8" s="67">
        <f t="shared" si="14"/>
        <v>939</v>
      </c>
      <c r="AU8" s="67">
        <f>+AQ8</f>
        <v>875</v>
      </c>
      <c r="AV8" s="67">
        <v>1058</v>
      </c>
      <c r="AW8" s="67">
        <f t="shared" si="15"/>
        <v>914</v>
      </c>
      <c r="AX8" s="67">
        <f t="shared" si="15"/>
        <v>939</v>
      </c>
      <c r="AY8" s="67"/>
      <c r="AZ8" s="67">
        <v>1157</v>
      </c>
      <c r="BA8" s="67"/>
      <c r="BB8" s="67"/>
      <c r="BC8" s="67"/>
      <c r="BD8" s="67">
        <v>1243</v>
      </c>
      <c r="BE8" s="67"/>
      <c r="BF8" s="67"/>
      <c r="BG8" s="67"/>
      <c r="BH8" s="67"/>
      <c r="BI8" s="67"/>
      <c r="BJ8" s="67"/>
      <c r="BK8" s="67"/>
      <c r="BL8" s="67"/>
      <c r="BM8" s="67"/>
      <c r="BN8" s="67"/>
      <c r="BO8" s="67"/>
      <c r="BP8" s="67"/>
      <c r="BQ8" s="67"/>
      <c r="BR8" s="67"/>
      <c r="BS8" s="67"/>
      <c r="BT8" s="67"/>
      <c r="BU8" s="67"/>
      <c r="BV8" s="67">
        <v>1315</v>
      </c>
      <c r="BW8" s="67">
        <v>1151</v>
      </c>
      <c r="BX8" s="67">
        <v>1363</v>
      </c>
      <c r="BY8" s="67">
        <v>1366</v>
      </c>
      <c r="BZ8" s="67">
        <v>1346</v>
      </c>
      <c r="CA8" s="67">
        <v>1153</v>
      </c>
      <c r="CB8" s="67">
        <v>1246</v>
      </c>
      <c r="CC8" s="67">
        <v>1325</v>
      </c>
      <c r="CD8" s="67">
        <v>1272</v>
      </c>
      <c r="CE8" s="67">
        <v>924</v>
      </c>
      <c r="CF8" s="67">
        <v>1144</v>
      </c>
      <c r="CG8" s="67">
        <v>1289</v>
      </c>
      <c r="CH8" s="67">
        <v>1108</v>
      </c>
      <c r="CI8" s="67">
        <v>862</v>
      </c>
      <c r="CJ8" s="67">
        <v>1051</v>
      </c>
      <c r="CK8" s="67">
        <v>1106</v>
      </c>
      <c r="CL8" s="67">
        <v>1098</v>
      </c>
      <c r="CM8" s="117">
        <v>579</v>
      </c>
      <c r="CN8" s="67">
        <v>1068</v>
      </c>
      <c r="CO8" s="67">
        <v>1035</v>
      </c>
      <c r="CP8" s="67">
        <v>1015</v>
      </c>
      <c r="CQ8" s="67">
        <v>567</v>
      </c>
      <c r="CR8" s="67">
        <v>909</v>
      </c>
      <c r="CS8" s="67">
        <f t="shared" ref="CS8:CX8" si="29">+CR8</f>
        <v>909</v>
      </c>
      <c r="CT8" s="67">
        <f t="shared" si="29"/>
        <v>909</v>
      </c>
      <c r="CU8" s="67">
        <f t="shared" si="29"/>
        <v>909</v>
      </c>
      <c r="CV8" s="67">
        <f t="shared" si="29"/>
        <v>909</v>
      </c>
      <c r="CW8" s="67">
        <f t="shared" si="29"/>
        <v>909</v>
      </c>
      <c r="CX8" s="67">
        <f t="shared" si="29"/>
        <v>909</v>
      </c>
      <c r="CY8" s="67"/>
      <c r="CZ8" s="67"/>
      <c r="DA8" s="67"/>
      <c r="DB8" s="67"/>
      <c r="DC8" s="67">
        <v>362</v>
      </c>
      <c r="DD8" s="67">
        <f>1254+46</f>
        <v>1300</v>
      </c>
      <c r="DE8" s="74">
        <f>1827+73</f>
        <v>1900</v>
      </c>
      <c r="DF8" s="67">
        <f>SUM(S8:V8)</f>
        <v>2573</v>
      </c>
      <c r="DG8" s="67">
        <f t="shared" si="16"/>
        <v>2879</v>
      </c>
      <c r="DH8" s="67">
        <f t="shared" si="17"/>
        <v>3230</v>
      </c>
      <c r="DI8" s="67">
        <f t="shared" si="18"/>
        <v>3598</v>
      </c>
      <c r="DJ8" s="67">
        <f t="shared" si="19"/>
        <v>3493</v>
      </c>
      <c r="DK8" s="67">
        <f>SUM(AM8:AP8)</f>
        <v>3534</v>
      </c>
      <c r="DL8" s="67">
        <f>SUM(AQ8:AT8)</f>
        <v>3684</v>
      </c>
      <c r="DM8" s="67">
        <f>DL8*0.9</f>
        <v>3315.6</v>
      </c>
      <c r="DN8" s="67">
        <f>DM8*1.5</f>
        <v>4973.3999999999996</v>
      </c>
      <c r="DO8" s="67">
        <f t="shared" ref="DO8:DQ8" si="30">DN8*0.9</f>
        <v>4476.0599999999995</v>
      </c>
      <c r="DP8" s="67">
        <f t="shared" si="30"/>
        <v>4028.4539999999997</v>
      </c>
      <c r="DQ8" s="67">
        <f t="shared" si="30"/>
        <v>3625.6086</v>
      </c>
      <c r="DR8" s="67"/>
      <c r="DS8" s="67"/>
      <c r="DT8" s="67">
        <f t="shared" si="21"/>
        <v>5226</v>
      </c>
      <c r="DU8" s="67">
        <f t="shared" si="22"/>
        <v>4996</v>
      </c>
      <c r="DV8" s="67">
        <f>SUM(CE8:CH8)</f>
        <v>4465</v>
      </c>
      <c r="DW8" s="67">
        <f t="shared" si="23"/>
        <v>4117</v>
      </c>
      <c r="DX8" s="67">
        <f t="shared" si="24"/>
        <v>3697</v>
      </c>
      <c r="DY8" s="67">
        <f t="shared" ref="DY8:EJ8" si="31">+DX8*0.9</f>
        <v>3327.3</v>
      </c>
      <c r="DZ8" s="67">
        <f t="shared" si="31"/>
        <v>2994.57</v>
      </c>
      <c r="EA8" s="67">
        <f t="shared" si="31"/>
        <v>2695.1130000000003</v>
      </c>
      <c r="EB8" s="67">
        <f t="shared" si="31"/>
        <v>2425.6017000000002</v>
      </c>
      <c r="EC8" s="67">
        <f t="shared" si="31"/>
        <v>2183.0415300000004</v>
      </c>
      <c r="ED8" s="67">
        <f t="shared" si="31"/>
        <v>1964.7373770000004</v>
      </c>
      <c r="EE8" s="67">
        <f t="shared" si="31"/>
        <v>1768.2636393000005</v>
      </c>
      <c r="EF8" s="67">
        <f t="shared" si="31"/>
        <v>1591.4372753700004</v>
      </c>
      <c r="EG8" s="67">
        <f t="shared" si="31"/>
        <v>1432.2935478330005</v>
      </c>
      <c r="EH8" s="67">
        <f t="shared" si="31"/>
        <v>1289.0641930497004</v>
      </c>
      <c r="EI8" s="67">
        <f t="shared" si="31"/>
        <v>1160.1577737447303</v>
      </c>
      <c r="EJ8" s="67">
        <f t="shared" si="31"/>
        <v>1044.1419963702574</v>
      </c>
    </row>
    <row r="9" spans="1:140" s="26" customFormat="1">
      <c r="B9" s="97" t="s">
        <v>1236</v>
      </c>
      <c r="C9" s="67"/>
      <c r="D9" s="67"/>
      <c r="E9" s="74"/>
      <c r="F9" s="67"/>
      <c r="G9" s="74"/>
      <c r="H9" s="74"/>
      <c r="I9" s="74"/>
      <c r="J9" s="67"/>
      <c r="K9" s="74"/>
      <c r="L9" s="74"/>
      <c r="M9" s="74"/>
      <c r="N9" s="74"/>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111" t="s">
        <v>1288</v>
      </c>
      <c r="BY9" s="67"/>
      <c r="BZ9" s="67"/>
      <c r="CA9" s="67"/>
      <c r="CB9" s="111" t="s">
        <v>1285</v>
      </c>
      <c r="CC9" s="111" t="s">
        <v>1264</v>
      </c>
      <c r="CD9" s="111" t="s">
        <v>1266</v>
      </c>
      <c r="CE9" s="111" t="s">
        <v>1267</v>
      </c>
      <c r="CF9" s="111" t="s">
        <v>1255</v>
      </c>
      <c r="CG9" s="111" t="s">
        <v>1238</v>
      </c>
      <c r="CH9" s="111" t="s">
        <v>1268</v>
      </c>
      <c r="CI9" s="111" t="s">
        <v>1269</v>
      </c>
      <c r="CJ9" s="111" t="s">
        <v>1254</v>
      </c>
      <c r="CK9" s="111" t="s">
        <v>1237</v>
      </c>
      <c r="CL9" s="111">
        <v>0</v>
      </c>
      <c r="CM9" s="117">
        <v>0</v>
      </c>
      <c r="CN9" s="67">
        <v>0</v>
      </c>
      <c r="CO9" s="67"/>
      <c r="CP9" s="67">
        <v>448</v>
      </c>
      <c r="CQ9" s="67">
        <v>424</v>
      </c>
      <c r="CR9" s="67">
        <v>479</v>
      </c>
      <c r="CS9" s="67">
        <f t="shared" ref="CS9:CX9" si="32">+CR9</f>
        <v>479</v>
      </c>
      <c r="CT9" s="67">
        <f t="shared" si="32"/>
        <v>479</v>
      </c>
      <c r="CU9" s="67">
        <f t="shared" si="32"/>
        <v>479</v>
      </c>
      <c r="CV9" s="67">
        <f t="shared" si="32"/>
        <v>479</v>
      </c>
      <c r="CW9" s="67">
        <f t="shared" si="32"/>
        <v>479</v>
      </c>
      <c r="CX9" s="67">
        <f t="shared" si="32"/>
        <v>479</v>
      </c>
      <c r="CY9" s="67"/>
      <c r="CZ9" s="67"/>
      <c r="DA9" s="67"/>
      <c r="DB9" s="67"/>
      <c r="DC9" s="67"/>
      <c r="DD9" s="67"/>
      <c r="DE9" s="74"/>
      <c r="DF9" s="67"/>
      <c r="DG9" s="67"/>
      <c r="DH9" s="67"/>
      <c r="DI9" s="67"/>
      <c r="DJ9" s="67"/>
      <c r="DK9" s="67"/>
      <c r="DL9" s="67"/>
      <c r="DM9" s="67"/>
      <c r="DN9" s="67"/>
      <c r="DO9" s="67"/>
      <c r="DP9" s="67"/>
      <c r="DQ9" s="67"/>
      <c r="DR9" s="67"/>
      <c r="DS9" s="67"/>
      <c r="DT9" s="67"/>
      <c r="DU9" s="67"/>
      <c r="DV9" s="67"/>
      <c r="DW9" s="67"/>
      <c r="DX9" s="67">
        <v>2200</v>
      </c>
      <c r="DY9" s="67">
        <f t="shared" ref="DY9:ED9" si="33">+DX9*1.05</f>
        <v>2310</v>
      </c>
      <c r="DZ9" s="67">
        <f t="shared" si="33"/>
        <v>2425.5</v>
      </c>
      <c r="EA9" s="67">
        <f t="shared" si="33"/>
        <v>2546.7750000000001</v>
      </c>
      <c r="EB9" s="67">
        <f t="shared" si="33"/>
        <v>2674.11375</v>
      </c>
      <c r="EC9" s="67">
        <f t="shared" si="33"/>
        <v>2807.8194375000003</v>
      </c>
      <c r="ED9" s="67">
        <f t="shared" si="33"/>
        <v>2948.2104093750004</v>
      </c>
      <c r="EE9" s="67">
        <f>+ED9*0.99</f>
        <v>2918.7283052812504</v>
      </c>
      <c r="EF9" s="67">
        <f t="shared" ref="EF9:EJ9" si="34">+EE9*0.99</f>
        <v>2889.5410222284377</v>
      </c>
      <c r="EG9" s="67">
        <f t="shared" si="34"/>
        <v>2860.6456120061534</v>
      </c>
      <c r="EH9" s="67">
        <f t="shared" si="34"/>
        <v>2832.039155886092</v>
      </c>
      <c r="EI9" s="67">
        <f t="shared" si="34"/>
        <v>2803.7187643272309</v>
      </c>
      <c r="EJ9" s="67">
        <f t="shared" si="34"/>
        <v>2775.6815766839586</v>
      </c>
    </row>
    <row r="10" spans="1:140" s="26" customFormat="1">
      <c r="B10" s="97" t="s">
        <v>1239</v>
      </c>
      <c r="C10" s="67"/>
      <c r="D10" s="67"/>
      <c r="E10" s="74"/>
      <c r="F10" s="67"/>
      <c r="G10" s="74"/>
      <c r="H10" s="74"/>
      <c r="I10" s="74"/>
      <c r="J10" s="67"/>
      <c r="K10" s="74"/>
      <c r="L10" s="74"/>
      <c r="M10" s="74"/>
      <c r="N10" s="74"/>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111" t="s">
        <v>1286</v>
      </c>
      <c r="BY10" s="67"/>
      <c r="BZ10" s="67"/>
      <c r="CA10" s="67"/>
      <c r="CB10" s="111" t="s">
        <v>1277</v>
      </c>
      <c r="CC10" s="111" t="s">
        <v>1265</v>
      </c>
      <c r="CD10" s="111" t="s">
        <v>1270</v>
      </c>
      <c r="CE10" s="111" t="s">
        <v>1271</v>
      </c>
      <c r="CF10" s="111" t="s">
        <v>1256</v>
      </c>
      <c r="CG10" s="111" t="s">
        <v>1241</v>
      </c>
      <c r="CH10" s="111" t="s">
        <v>1272</v>
      </c>
      <c r="CI10" s="111" t="s">
        <v>1273</v>
      </c>
      <c r="CJ10" s="111" t="s">
        <v>1257</v>
      </c>
      <c r="CK10" s="111" t="s">
        <v>1240</v>
      </c>
      <c r="CL10" s="111">
        <v>0</v>
      </c>
      <c r="CM10" s="117">
        <v>0</v>
      </c>
      <c r="CN10" s="67">
        <v>0</v>
      </c>
      <c r="CO10" s="67"/>
      <c r="CP10" s="67">
        <v>272</v>
      </c>
      <c r="CQ10" s="67">
        <v>235</v>
      </c>
      <c r="CR10" s="67">
        <v>294</v>
      </c>
      <c r="CS10" s="67">
        <f>+CR10</f>
        <v>294</v>
      </c>
      <c r="CT10" s="67">
        <f>+CS10</f>
        <v>294</v>
      </c>
      <c r="CU10" s="67">
        <f>+CT10</f>
        <v>294</v>
      </c>
      <c r="CV10" s="67">
        <f>+CU10</f>
        <v>294</v>
      </c>
      <c r="CW10" s="67">
        <f>+CV10</f>
        <v>294</v>
      </c>
      <c r="CX10" s="67">
        <f>+CW10</f>
        <v>294</v>
      </c>
      <c r="CY10" s="67"/>
      <c r="CZ10" s="67"/>
      <c r="DA10" s="67"/>
      <c r="DB10" s="67"/>
      <c r="DC10" s="67"/>
      <c r="DD10" s="67"/>
      <c r="DE10" s="74"/>
      <c r="DF10" s="67"/>
      <c r="DG10" s="67"/>
      <c r="DH10" s="67"/>
      <c r="DI10" s="67"/>
      <c r="DJ10" s="67"/>
      <c r="DK10" s="67"/>
      <c r="DL10" s="67"/>
      <c r="DM10" s="67"/>
      <c r="DN10" s="67"/>
      <c r="DO10" s="67"/>
      <c r="DP10" s="67"/>
      <c r="DQ10" s="67"/>
      <c r="DR10" s="67"/>
      <c r="DS10" s="67"/>
      <c r="DT10" s="67"/>
      <c r="DU10" s="67"/>
      <c r="DV10" s="67"/>
      <c r="DW10" s="67"/>
      <c r="DX10" s="67">
        <v>900</v>
      </c>
      <c r="DY10" s="67">
        <f>+DX10*1.01</f>
        <v>909</v>
      </c>
      <c r="DZ10" s="67">
        <f t="shared" ref="DZ10:EJ10" si="35">+DY10*1.01</f>
        <v>918.09</v>
      </c>
      <c r="EA10" s="67">
        <f t="shared" si="35"/>
        <v>927.2709000000001</v>
      </c>
      <c r="EB10" s="67">
        <f t="shared" si="35"/>
        <v>936.54360900000006</v>
      </c>
      <c r="EC10" s="67">
        <f t="shared" si="35"/>
        <v>945.90904509000006</v>
      </c>
      <c r="ED10" s="67">
        <f t="shared" si="35"/>
        <v>955.36813554090008</v>
      </c>
      <c r="EE10" s="67">
        <f t="shared" si="35"/>
        <v>964.92181689630911</v>
      </c>
      <c r="EF10" s="67">
        <f t="shared" si="35"/>
        <v>974.57103506527221</v>
      </c>
      <c r="EG10" s="67">
        <f t="shared" si="35"/>
        <v>984.31674541592497</v>
      </c>
      <c r="EH10" s="67">
        <f t="shared" si="35"/>
        <v>994.15991287008421</v>
      </c>
      <c r="EI10" s="67">
        <f t="shared" si="35"/>
        <v>1004.1015119987851</v>
      </c>
      <c r="EJ10" s="67">
        <f t="shared" si="35"/>
        <v>1014.1425271187729</v>
      </c>
    </row>
    <row r="11" spans="1:140" s="26" customFormat="1">
      <c r="B11" s="97" t="s">
        <v>1242</v>
      </c>
      <c r="C11" s="67"/>
      <c r="D11" s="67"/>
      <c r="E11" s="74"/>
      <c r="F11" s="67"/>
      <c r="G11" s="74"/>
      <c r="H11" s="74"/>
      <c r="I11" s="74"/>
      <c r="J11" s="67"/>
      <c r="K11" s="74"/>
      <c r="L11" s="74"/>
      <c r="M11" s="74"/>
      <c r="N11" s="74"/>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111" t="s">
        <v>1259</v>
      </c>
      <c r="BY11" s="67"/>
      <c r="BZ11" s="67"/>
      <c r="CA11" s="67"/>
      <c r="CB11" s="111" t="s">
        <v>1287</v>
      </c>
      <c r="CC11" s="111" t="s">
        <v>1274</v>
      </c>
      <c r="CD11" s="111" t="s">
        <v>1275</v>
      </c>
      <c r="CE11" s="111" t="s">
        <v>1276</v>
      </c>
      <c r="CF11" s="111" t="s">
        <v>1258</v>
      </c>
      <c r="CG11" s="111" t="s">
        <v>1244</v>
      </c>
      <c r="CH11" s="111" t="s">
        <v>1277</v>
      </c>
      <c r="CI11" s="111" t="s">
        <v>1278</v>
      </c>
      <c r="CJ11" s="111" t="s">
        <v>1244</v>
      </c>
      <c r="CK11" s="111" t="s">
        <v>1243</v>
      </c>
      <c r="CL11" s="111"/>
      <c r="CM11" s="117"/>
      <c r="CN11" s="67"/>
      <c r="CO11" s="67"/>
      <c r="CP11" s="67"/>
      <c r="CQ11" s="67"/>
      <c r="CR11" s="67"/>
      <c r="CS11" s="67"/>
      <c r="CT11" s="67"/>
      <c r="CU11" s="67"/>
      <c r="CV11" s="67"/>
      <c r="CW11" s="67"/>
      <c r="CX11" s="67"/>
      <c r="CY11" s="67"/>
      <c r="CZ11" s="67"/>
      <c r="DA11" s="67"/>
      <c r="DB11" s="67"/>
      <c r="DC11" s="67"/>
      <c r="DD11" s="67"/>
      <c r="DE11" s="74"/>
      <c r="DF11" s="67"/>
      <c r="DG11" s="67"/>
      <c r="DH11" s="67"/>
      <c r="DI11" s="67"/>
      <c r="DJ11" s="67"/>
      <c r="DK11" s="67"/>
      <c r="DL11" s="67"/>
      <c r="DM11" s="67"/>
      <c r="DN11" s="67"/>
      <c r="DO11" s="67"/>
      <c r="DP11" s="67"/>
      <c r="DQ11" s="67"/>
      <c r="DR11" s="67"/>
      <c r="DS11" s="67"/>
      <c r="DT11" s="67"/>
      <c r="DU11" s="67"/>
      <c r="DV11" s="67"/>
      <c r="DW11" s="67"/>
      <c r="DX11" s="67"/>
      <c r="DY11" s="67">
        <v>800</v>
      </c>
      <c r="DZ11" s="67">
        <f>+DY11*0.8</f>
        <v>640</v>
      </c>
      <c r="EA11" s="67">
        <f t="shared" ref="EA11:EJ11" si="36">+DZ11*0.8</f>
        <v>512</v>
      </c>
      <c r="EB11" s="67">
        <f t="shared" si="36"/>
        <v>409.6</v>
      </c>
      <c r="EC11" s="67">
        <f t="shared" si="36"/>
        <v>327.68000000000006</v>
      </c>
      <c r="ED11" s="67">
        <f t="shared" si="36"/>
        <v>262.14400000000006</v>
      </c>
      <c r="EE11" s="67">
        <f t="shared" si="36"/>
        <v>209.71520000000007</v>
      </c>
      <c r="EF11" s="67">
        <f t="shared" si="36"/>
        <v>167.77216000000007</v>
      </c>
      <c r="EG11" s="67">
        <f t="shared" si="36"/>
        <v>134.21772800000005</v>
      </c>
      <c r="EH11" s="67">
        <f t="shared" si="36"/>
        <v>107.37418240000005</v>
      </c>
      <c r="EI11" s="67">
        <f t="shared" si="36"/>
        <v>85.899345920000044</v>
      </c>
      <c r="EJ11" s="67">
        <f t="shared" si="36"/>
        <v>68.719476736000033</v>
      </c>
    </row>
    <row r="12" spans="1:140" s="26" customFormat="1">
      <c r="B12" s="97" t="s">
        <v>1245</v>
      </c>
      <c r="C12" s="67"/>
      <c r="D12" s="67"/>
      <c r="E12" s="74"/>
      <c r="F12" s="67"/>
      <c r="G12" s="74"/>
      <c r="H12" s="74"/>
      <c r="I12" s="74"/>
      <c r="J12" s="67"/>
      <c r="K12" s="74"/>
      <c r="L12" s="74"/>
      <c r="M12" s="74"/>
      <c r="N12" s="74"/>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111" t="s">
        <v>1289</v>
      </c>
      <c r="BY12" s="67"/>
      <c r="BZ12" s="67"/>
      <c r="CA12" s="67"/>
      <c r="CB12" s="111" t="s">
        <v>1289</v>
      </c>
      <c r="CC12" s="111" t="s">
        <v>1279</v>
      </c>
      <c r="CD12" s="111" t="s">
        <v>1280</v>
      </c>
      <c r="CE12" s="111" t="s">
        <v>1279</v>
      </c>
      <c r="CF12" s="111" t="s">
        <v>1259</v>
      </c>
      <c r="CG12" s="111" t="s">
        <v>1247</v>
      </c>
      <c r="CH12" s="111" t="s">
        <v>1280</v>
      </c>
      <c r="CI12" s="111" t="s">
        <v>1259</v>
      </c>
      <c r="CJ12" s="111" t="s">
        <v>1260</v>
      </c>
      <c r="CK12" s="111" t="s">
        <v>1246</v>
      </c>
      <c r="CL12" s="111"/>
      <c r="CM12" s="117"/>
      <c r="CN12" s="67"/>
      <c r="CO12" s="67"/>
      <c r="CP12" s="67"/>
      <c r="CQ12" s="67"/>
      <c r="CR12" s="67"/>
      <c r="CS12" s="67"/>
      <c r="CT12" s="67"/>
      <c r="CU12" s="67"/>
      <c r="CV12" s="67"/>
      <c r="CW12" s="67"/>
      <c r="CX12" s="67"/>
      <c r="CY12" s="67"/>
      <c r="CZ12" s="67"/>
      <c r="DA12" s="67"/>
      <c r="DB12" s="67"/>
      <c r="DC12" s="67"/>
      <c r="DD12" s="67"/>
      <c r="DE12" s="74"/>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row>
    <row r="13" spans="1:140" s="26" customFormat="1">
      <c r="B13" s="97" t="s">
        <v>1248</v>
      </c>
      <c r="C13" s="67"/>
      <c r="D13" s="67"/>
      <c r="E13" s="74"/>
      <c r="F13" s="67"/>
      <c r="G13" s="74"/>
      <c r="H13" s="74"/>
      <c r="I13" s="74"/>
      <c r="J13" s="67"/>
      <c r="K13" s="74"/>
      <c r="L13" s="74"/>
      <c r="M13" s="74"/>
      <c r="N13" s="74"/>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v>0</v>
      </c>
      <c r="BY13" s="67">
        <v>0</v>
      </c>
      <c r="BZ13" s="67">
        <v>0</v>
      </c>
      <c r="CA13" s="67">
        <v>0</v>
      </c>
      <c r="CB13" s="67">
        <v>0</v>
      </c>
      <c r="CC13" s="67">
        <v>0</v>
      </c>
      <c r="CD13" s="67">
        <v>0</v>
      </c>
      <c r="CE13" s="111" t="s">
        <v>1267</v>
      </c>
      <c r="CF13" s="111" t="s">
        <v>1262</v>
      </c>
      <c r="CG13" s="111" t="s">
        <v>1250</v>
      </c>
      <c r="CH13" s="111" t="s">
        <v>1281</v>
      </c>
      <c r="CI13" s="111" t="s">
        <v>1282</v>
      </c>
      <c r="CJ13" s="111" t="s">
        <v>1261</v>
      </c>
      <c r="CK13" s="111" t="s">
        <v>1249</v>
      </c>
      <c r="CL13" s="111">
        <v>0</v>
      </c>
      <c r="CM13" s="117">
        <v>0</v>
      </c>
      <c r="CN13" s="67">
        <v>0</v>
      </c>
      <c r="CO13" s="67"/>
      <c r="CP13" s="67">
        <v>65</v>
      </c>
      <c r="CQ13" s="67">
        <v>80</v>
      </c>
      <c r="CR13" s="67">
        <v>92</v>
      </c>
      <c r="CS13" s="67">
        <f>+CR13+5</f>
        <v>97</v>
      </c>
      <c r="CT13" s="67">
        <f>+CS13+5</f>
        <v>102</v>
      </c>
      <c r="CU13" s="67">
        <f>+CT13+5</f>
        <v>107</v>
      </c>
      <c r="CV13" s="67">
        <f>+CU13+5</f>
        <v>112</v>
      </c>
      <c r="CW13" s="67">
        <f>+CV13+5</f>
        <v>117</v>
      </c>
      <c r="CX13" s="67">
        <f>+CW13+5</f>
        <v>122</v>
      </c>
      <c r="CY13" s="67"/>
      <c r="CZ13" s="67"/>
      <c r="DA13" s="67"/>
      <c r="DB13" s="67"/>
      <c r="DC13" s="67"/>
      <c r="DD13" s="67"/>
      <c r="DE13" s="74"/>
      <c r="DF13" s="67"/>
      <c r="DG13" s="67"/>
      <c r="DH13" s="67"/>
      <c r="DI13" s="67"/>
      <c r="DJ13" s="67"/>
      <c r="DK13" s="67"/>
      <c r="DL13" s="67"/>
      <c r="DM13" s="67"/>
      <c r="DN13" s="67"/>
      <c r="DO13" s="67"/>
      <c r="DP13" s="67"/>
      <c r="DQ13" s="67"/>
      <c r="DR13" s="67"/>
      <c r="DS13" s="67"/>
      <c r="DT13" s="67"/>
      <c r="DU13" s="67"/>
      <c r="DV13" s="67"/>
      <c r="DW13" s="67"/>
      <c r="DX13" s="67"/>
      <c r="DY13" s="67"/>
      <c r="DZ13" s="67"/>
      <c r="EA13" s="67"/>
      <c r="EB13" s="67"/>
      <c r="EC13" s="67"/>
      <c r="ED13" s="67"/>
      <c r="EE13" s="67"/>
    </row>
    <row r="14" spans="1:140" s="26" customFormat="1">
      <c r="B14" s="97" t="s">
        <v>1251</v>
      </c>
      <c r="C14" s="67"/>
      <c r="D14" s="67"/>
      <c r="E14" s="74"/>
      <c r="F14" s="67"/>
      <c r="G14" s="74"/>
      <c r="H14" s="74"/>
      <c r="I14" s="74"/>
      <c r="J14" s="67"/>
      <c r="K14" s="74"/>
      <c r="L14" s="74"/>
      <c r="M14" s="74"/>
      <c r="N14" s="74"/>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111" t="s">
        <v>1284</v>
      </c>
      <c r="BY14" s="67"/>
      <c r="BZ14" s="67"/>
      <c r="CA14" s="67"/>
      <c r="CB14" s="111" t="s">
        <v>1263</v>
      </c>
      <c r="CC14" s="111" t="s">
        <v>1263</v>
      </c>
      <c r="CD14" s="111" t="s">
        <v>1283</v>
      </c>
      <c r="CE14" s="111" t="s">
        <v>1284</v>
      </c>
      <c r="CF14" s="111" t="s">
        <v>1263</v>
      </c>
      <c r="CG14" s="111" t="s">
        <v>1253</v>
      </c>
      <c r="CH14" s="111" t="s">
        <v>1282</v>
      </c>
      <c r="CI14" s="111" t="s">
        <v>1282</v>
      </c>
      <c r="CJ14" s="111" t="s">
        <v>1253</v>
      </c>
      <c r="CK14" s="111" t="s">
        <v>1252</v>
      </c>
      <c r="CL14" s="111"/>
      <c r="CM14" s="117"/>
      <c r="CN14" s="67"/>
      <c r="CO14" s="67"/>
      <c r="CP14" s="67"/>
      <c r="CQ14" s="67"/>
      <c r="CR14" s="67"/>
      <c r="CS14" s="67"/>
      <c r="CT14" s="67"/>
      <c r="CU14" s="67"/>
      <c r="CV14" s="67"/>
      <c r="CW14" s="67"/>
      <c r="CX14" s="67"/>
      <c r="CY14" s="67"/>
      <c r="CZ14" s="67"/>
      <c r="DA14" s="67"/>
      <c r="DB14" s="67"/>
      <c r="DC14" s="67"/>
      <c r="DD14" s="67"/>
      <c r="DE14" s="74"/>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row>
    <row r="15" spans="1:140" s="26" customFormat="1">
      <c r="B15" s="26" t="s">
        <v>97</v>
      </c>
      <c r="C15" s="67"/>
      <c r="D15" s="67"/>
      <c r="E15" s="67">
        <v>23</v>
      </c>
      <c r="F15" s="67"/>
      <c r="G15" s="67">
        <v>2.2000000000000002</v>
      </c>
      <c r="H15" s="67">
        <v>16</v>
      </c>
      <c r="I15" s="67">
        <f>39.1+2.6</f>
        <v>41.7</v>
      </c>
      <c r="J15" s="67">
        <f>44.5+5.4</f>
        <v>49.9</v>
      </c>
      <c r="K15" s="67">
        <f>11.6+6.5</f>
        <v>18.100000000000001</v>
      </c>
      <c r="L15" s="67">
        <f>11.6+7.8</f>
        <v>19.399999999999999</v>
      </c>
      <c r="M15" s="67">
        <f>7+8</f>
        <v>15</v>
      </c>
      <c r="N15" s="67">
        <f>8.9+6.6</f>
        <v>15.5</v>
      </c>
      <c r="O15" s="67">
        <f>8+6</f>
        <v>14</v>
      </c>
      <c r="P15" s="67">
        <v>16.5</v>
      </c>
      <c r="Q15" s="67">
        <v>13</v>
      </c>
      <c r="R15" s="67">
        <f>6+6</f>
        <v>12</v>
      </c>
      <c r="S15" s="67">
        <f>9+6</f>
        <v>15</v>
      </c>
      <c r="T15" s="67">
        <f>9+5</f>
        <v>14</v>
      </c>
      <c r="U15" s="67">
        <v>16</v>
      </c>
      <c r="V15" s="67">
        <f>9+7</f>
        <v>16</v>
      </c>
      <c r="W15" s="67">
        <f>9+6</f>
        <v>15</v>
      </c>
      <c r="X15" s="67">
        <f>8+7</f>
        <v>15</v>
      </c>
      <c r="Y15" s="67">
        <f>9+8</f>
        <v>17</v>
      </c>
      <c r="Z15" s="67">
        <f>10+7</f>
        <v>17</v>
      </c>
      <c r="AA15" s="67">
        <f>7+9</f>
        <v>16</v>
      </c>
      <c r="AB15" s="67">
        <f>6+8</f>
        <v>14</v>
      </c>
      <c r="AC15" s="67">
        <v>20</v>
      </c>
      <c r="AD15" s="67">
        <v>18</v>
      </c>
      <c r="AE15" s="67">
        <f>8+10</f>
        <v>18</v>
      </c>
      <c r="AF15" s="67">
        <f>9+12</f>
        <v>21</v>
      </c>
      <c r="AG15" s="67">
        <f>6+12</f>
        <v>18</v>
      </c>
      <c r="AH15" s="67">
        <f>20+10</f>
        <v>30</v>
      </c>
      <c r="AI15" s="67">
        <v>15</v>
      </c>
      <c r="AJ15" s="67">
        <f>19+4</f>
        <v>23</v>
      </c>
      <c r="AK15" s="67">
        <f>22+9</f>
        <v>31</v>
      </c>
      <c r="AL15" s="67">
        <f>24+17</f>
        <v>41</v>
      </c>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67"/>
      <c r="CJ15" s="67"/>
      <c r="CK15" s="67"/>
      <c r="CL15" s="67"/>
      <c r="CM15" s="117"/>
      <c r="CN15" s="67"/>
      <c r="CO15" s="67"/>
      <c r="CP15" s="67"/>
      <c r="CQ15" s="67"/>
      <c r="CR15" s="67"/>
      <c r="CS15" s="67"/>
      <c r="CT15" s="67"/>
      <c r="CU15" s="67"/>
      <c r="CV15" s="67"/>
      <c r="CW15" s="67"/>
      <c r="CX15" s="67"/>
      <c r="CY15" s="67"/>
      <c r="CZ15" s="67"/>
      <c r="DA15" s="67"/>
      <c r="DB15" s="67"/>
      <c r="DC15" s="67"/>
      <c r="DD15" s="67"/>
      <c r="DE15" s="67">
        <v>51.853999999999999</v>
      </c>
      <c r="DF15" s="67">
        <f>SUM(S15:V15)</f>
        <v>61</v>
      </c>
      <c r="DG15" s="67">
        <f t="shared" si="16"/>
        <v>64</v>
      </c>
      <c r="DH15" s="67">
        <f t="shared" si="17"/>
        <v>68</v>
      </c>
      <c r="DI15" s="67">
        <f t="shared" si="18"/>
        <v>87</v>
      </c>
      <c r="DJ15" s="67">
        <f t="shared" si="19"/>
        <v>110</v>
      </c>
      <c r="DK15" s="67"/>
      <c r="DL15" s="67"/>
      <c r="DM15" s="67"/>
      <c r="DN15" s="67"/>
      <c r="DO15" s="67"/>
      <c r="DP15" s="67"/>
      <c r="DQ15" s="67"/>
      <c r="DR15" s="67"/>
      <c r="DS15" s="67"/>
      <c r="DT15" s="67"/>
      <c r="DU15" s="67"/>
      <c r="DV15" s="67"/>
      <c r="DW15" s="67"/>
      <c r="DX15" s="67"/>
      <c r="DY15" s="67"/>
      <c r="DZ15" s="67"/>
      <c r="EA15" s="67"/>
      <c r="EB15" s="67"/>
      <c r="EC15" s="67"/>
      <c r="ED15" s="67"/>
      <c r="EE15" s="67"/>
    </row>
    <row r="16" spans="1:140" s="26" customFormat="1">
      <c r="B16" s="26" t="s">
        <v>356</v>
      </c>
      <c r="C16" s="67"/>
      <c r="D16" s="67"/>
      <c r="E16" s="67"/>
      <c r="F16" s="67"/>
      <c r="G16" s="67"/>
      <c r="H16" s="67"/>
      <c r="I16" s="67"/>
      <c r="J16" s="67"/>
      <c r="K16" s="67"/>
      <c r="L16" s="67"/>
      <c r="M16" s="67"/>
      <c r="N16" s="67"/>
      <c r="O16" s="67"/>
      <c r="P16" s="67">
        <v>3.1</v>
      </c>
      <c r="Q16" s="67">
        <v>10</v>
      </c>
      <c r="R16" s="67">
        <v>19</v>
      </c>
      <c r="S16" s="67">
        <f>24+3</f>
        <v>27</v>
      </c>
      <c r="T16" s="67">
        <f>28+8</f>
        <v>36</v>
      </c>
      <c r="U16" s="67">
        <v>42</v>
      </c>
      <c r="V16" s="67">
        <f>37+14</f>
        <v>51</v>
      </c>
      <c r="W16" s="67">
        <f>45+16</f>
        <v>61</v>
      </c>
      <c r="X16" s="67">
        <f>57+22</f>
        <v>79</v>
      </c>
      <c r="Y16" s="67">
        <f>61+22</f>
        <v>83</v>
      </c>
      <c r="Z16" s="67">
        <f>75+23</f>
        <v>98</v>
      </c>
      <c r="AA16" s="67">
        <f>77+28</f>
        <v>105</v>
      </c>
      <c r="AB16" s="67">
        <f>76+32</f>
        <v>108</v>
      </c>
      <c r="AC16" s="67">
        <v>122</v>
      </c>
      <c r="AD16" s="67">
        <f>92+36</f>
        <v>128</v>
      </c>
      <c r="AE16" s="67">
        <f>93+40</f>
        <v>133</v>
      </c>
      <c r="AF16" s="67">
        <f>102+48</f>
        <v>150</v>
      </c>
      <c r="AG16" s="67">
        <f>111+50</f>
        <v>161</v>
      </c>
      <c r="AH16" s="67">
        <f>106+47</f>
        <v>153</v>
      </c>
      <c r="AI16" s="67">
        <f>99+49</f>
        <v>148</v>
      </c>
      <c r="AJ16" s="67">
        <f>113+54</f>
        <v>167</v>
      </c>
      <c r="AK16" s="67">
        <f>108+57</f>
        <v>165</v>
      </c>
      <c r="AL16" s="67">
        <f>109+62</f>
        <v>171</v>
      </c>
      <c r="AM16" s="67">
        <f>117+62</f>
        <v>179</v>
      </c>
      <c r="AN16" s="67">
        <f>112+60</f>
        <v>172</v>
      </c>
      <c r="AO16" s="67">
        <f>115+60</f>
        <v>175</v>
      </c>
      <c r="AP16" s="67">
        <f>115+73</f>
        <v>188</v>
      </c>
      <c r="AQ16" s="67">
        <f>116+71</f>
        <v>187</v>
      </c>
      <c r="AR16" s="67">
        <f>124+75</f>
        <v>199</v>
      </c>
      <c r="AS16" s="67">
        <f t="shared" ref="AS16:AU18" si="37">+AR16</f>
        <v>199</v>
      </c>
      <c r="AT16" s="67">
        <f t="shared" si="37"/>
        <v>199</v>
      </c>
      <c r="AU16" s="67">
        <f t="shared" si="37"/>
        <v>199</v>
      </c>
      <c r="AV16" s="67">
        <v>232</v>
      </c>
      <c r="AW16" s="67">
        <f>+AV16</f>
        <v>232</v>
      </c>
      <c r="AX16" s="67">
        <f>+AW16</f>
        <v>232</v>
      </c>
      <c r="AY16" s="67"/>
      <c r="AZ16" s="67">
        <v>259</v>
      </c>
      <c r="BA16" s="67"/>
      <c r="BB16" s="67"/>
      <c r="BC16" s="67"/>
      <c r="BD16" s="67">
        <v>298</v>
      </c>
      <c r="BE16" s="67"/>
      <c r="BF16" s="67"/>
      <c r="BG16" s="67"/>
      <c r="BH16" s="67"/>
      <c r="BI16" s="67"/>
      <c r="BJ16" s="67"/>
      <c r="BK16" s="67"/>
      <c r="BL16" s="67"/>
      <c r="BM16" s="67"/>
      <c r="BN16" s="67"/>
      <c r="BO16" s="67"/>
      <c r="BP16" s="67"/>
      <c r="BQ16" s="67"/>
      <c r="BR16" s="67"/>
      <c r="BS16" s="67"/>
      <c r="BT16" s="67"/>
      <c r="BU16" s="67"/>
      <c r="BV16" s="67">
        <v>448</v>
      </c>
      <c r="BW16" s="67">
        <v>213</v>
      </c>
      <c r="BX16" s="67">
        <v>122</v>
      </c>
      <c r="BY16" s="67">
        <v>109</v>
      </c>
      <c r="BZ16" s="67">
        <v>107</v>
      </c>
      <c r="CA16" s="67">
        <v>123</v>
      </c>
      <c r="CB16" s="67">
        <v>81</v>
      </c>
      <c r="CC16" s="67">
        <v>39</v>
      </c>
      <c r="CD16" s="67">
        <v>45</v>
      </c>
      <c r="CE16" s="67">
        <v>23</v>
      </c>
      <c r="CF16" s="67">
        <v>24</v>
      </c>
      <c r="CG16" s="67">
        <v>19</v>
      </c>
      <c r="CH16" s="67">
        <v>18</v>
      </c>
      <c r="CI16" s="67">
        <v>20</v>
      </c>
      <c r="CJ16" s="67">
        <v>20</v>
      </c>
      <c r="CK16" s="67">
        <v>17</v>
      </c>
      <c r="CL16" s="67">
        <v>7</v>
      </c>
      <c r="CM16" s="117"/>
      <c r="CN16" s="67"/>
      <c r="CO16" s="67"/>
      <c r="CP16" s="67"/>
      <c r="CQ16" s="67"/>
      <c r="CR16" s="67"/>
      <c r="CS16" s="67"/>
      <c r="CT16" s="67"/>
      <c r="CU16" s="67"/>
      <c r="CV16" s="67"/>
      <c r="CW16" s="67"/>
      <c r="CX16" s="67"/>
      <c r="CY16" s="67"/>
      <c r="CZ16" s="67"/>
      <c r="DA16" s="67"/>
      <c r="DB16" s="67"/>
      <c r="DC16" s="67"/>
      <c r="DD16" s="74">
        <v>67</v>
      </c>
      <c r="DE16" s="74">
        <v>37</v>
      </c>
      <c r="DF16" s="74">
        <f>SUM(S16:V16)</f>
        <v>156</v>
      </c>
      <c r="DG16" s="67">
        <f t="shared" si="16"/>
        <v>321</v>
      </c>
      <c r="DH16" s="67">
        <f t="shared" si="17"/>
        <v>463</v>
      </c>
      <c r="DI16" s="67">
        <f t="shared" si="18"/>
        <v>597</v>
      </c>
      <c r="DJ16" s="67">
        <f t="shared" si="19"/>
        <v>651</v>
      </c>
      <c r="DK16" s="67">
        <f>SUM(AM16:AP16)</f>
        <v>714</v>
      </c>
      <c r="DL16" s="67">
        <f>SUM(AQ16:AT16)</f>
        <v>784</v>
      </c>
      <c r="DM16" s="67">
        <f>DL16*(1+DM70)</f>
        <v>799.68000000000006</v>
      </c>
      <c r="DN16" s="67">
        <f t="shared" ref="DN16:DQ16" si="38">DM16</f>
        <v>799.68000000000006</v>
      </c>
      <c r="DO16" s="67">
        <f t="shared" si="38"/>
        <v>799.68000000000006</v>
      </c>
      <c r="DP16" s="67">
        <f t="shared" si="38"/>
        <v>799.68000000000006</v>
      </c>
      <c r="DQ16" s="67">
        <f t="shared" si="38"/>
        <v>799.68000000000006</v>
      </c>
      <c r="DR16" s="67"/>
      <c r="DS16" s="67"/>
      <c r="DT16" s="67">
        <f t="shared" ref="DT16:DT35" si="39">SUM(BW16:BZ16)</f>
        <v>551</v>
      </c>
      <c r="DU16" s="67">
        <f t="shared" ref="DU16:DU35" si="40">SUM(CA16:CD16)</f>
        <v>288</v>
      </c>
      <c r="DV16" s="67">
        <f t="shared" ref="DV16:DV35" si="41">SUM(CE16:CH16)</f>
        <v>84</v>
      </c>
      <c r="DW16" s="67">
        <f t="shared" ref="DW16:DW36" si="42">SUM(CI16:CL16)</f>
        <v>64</v>
      </c>
      <c r="DX16" s="67">
        <f t="shared" ref="DX16:DX35" si="43">SUM(CM16:CP16)</f>
        <v>0</v>
      </c>
      <c r="DY16" s="67">
        <f>+DX16*0.9</f>
        <v>0</v>
      </c>
      <c r="DZ16" s="67">
        <f t="shared" ref="DZ16:EJ16" si="44">+DY16*0.9</f>
        <v>0</v>
      </c>
      <c r="EA16" s="67">
        <f t="shared" si="44"/>
        <v>0</v>
      </c>
      <c r="EB16" s="67">
        <f t="shared" si="44"/>
        <v>0</v>
      </c>
      <c r="EC16" s="67">
        <f t="shared" si="44"/>
        <v>0</v>
      </c>
      <c r="ED16" s="67">
        <f t="shared" si="44"/>
        <v>0</v>
      </c>
      <c r="EE16" s="67">
        <f t="shared" si="44"/>
        <v>0</v>
      </c>
      <c r="EF16" s="67">
        <f t="shared" si="44"/>
        <v>0</v>
      </c>
      <c r="EG16" s="67">
        <f t="shared" si="44"/>
        <v>0</v>
      </c>
      <c r="EH16" s="67">
        <f t="shared" si="44"/>
        <v>0</v>
      </c>
      <c r="EI16" s="67">
        <f t="shared" si="44"/>
        <v>0</v>
      </c>
      <c r="EJ16" s="67">
        <f t="shared" si="44"/>
        <v>0</v>
      </c>
    </row>
    <row r="17" spans="2:141" s="26" customFormat="1">
      <c r="B17" s="26" t="s">
        <v>1207</v>
      </c>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v>120</v>
      </c>
      <c r="BW17" s="67">
        <v>126</v>
      </c>
      <c r="BX17" s="67">
        <v>168</v>
      </c>
      <c r="BY17" s="67">
        <v>157</v>
      </c>
      <c r="BZ17" s="67">
        <v>179</v>
      </c>
      <c r="CA17" s="67">
        <v>175</v>
      </c>
      <c r="CB17" s="67">
        <v>186</v>
      </c>
      <c r="CC17" s="67">
        <v>183</v>
      </c>
      <c r="CD17" s="67">
        <v>172</v>
      </c>
      <c r="CE17" s="67">
        <v>79</v>
      </c>
      <c r="CF17" s="67">
        <v>71</v>
      </c>
      <c r="CG17" s="67">
        <v>61</v>
      </c>
      <c r="CH17" s="67">
        <v>69</v>
      </c>
      <c r="CI17" s="67">
        <v>86</v>
      </c>
      <c r="CJ17" s="67">
        <v>103</v>
      </c>
      <c r="CK17" s="67">
        <v>100</v>
      </c>
      <c r="CL17" s="67">
        <v>93</v>
      </c>
      <c r="CM17" s="117">
        <v>91</v>
      </c>
      <c r="CN17" s="67">
        <v>87</v>
      </c>
      <c r="CO17" s="67">
        <v>95</v>
      </c>
      <c r="CP17" s="67">
        <v>89</v>
      </c>
      <c r="CQ17" s="67">
        <v>105</v>
      </c>
      <c r="CR17" s="67">
        <v>106</v>
      </c>
      <c r="CS17" s="67">
        <f>+CR17+3</f>
        <v>109</v>
      </c>
      <c r="CT17" s="67">
        <f>+CS17+3</f>
        <v>112</v>
      </c>
      <c r="CU17" s="67">
        <f>+CT17+3</f>
        <v>115</v>
      </c>
      <c r="CV17" s="67">
        <f>+CU17+3</f>
        <v>118</v>
      </c>
      <c r="CW17" s="67">
        <f>+CV17+3</f>
        <v>121</v>
      </c>
      <c r="CX17" s="67">
        <f>+CW17+3</f>
        <v>124</v>
      </c>
      <c r="CY17" s="67"/>
      <c r="CZ17" s="67"/>
      <c r="DA17" s="67"/>
      <c r="DB17" s="67"/>
      <c r="DC17" s="67"/>
      <c r="DD17" s="74"/>
      <c r="DE17" s="74"/>
      <c r="DF17" s="74"/>
      <c r="DG17" s="67"/>
      <c r="DH17" s="67"/>
      <c r="DI17" s="67"/>
      <c r="DJ17" s="67"/>
      <c r="DK17" s="67"/>
      <c r="DL17" s="67"/>
      <c r="DM17" s="67"/>
      <c r="DN17" s="67"/>
      <c r="DO17" s="67"/>
      <c r="DP17" s="67"/>
      <c r="DQ17" s="67"/>
      <c r="DR17" s="67"/>
      <c r="DS17" s="67"/>
      <c r="DT17" s="67">
        <f t="shared" si="39"/>
        <v>630</v>
      </c>
      <c r="DU17" s="67">
        <f t="shared" si="40"/>
        <v>716</v>
      </c>
      <c r="DV17" s="67">
        <f t="shared" si="41"/>
        <v>280</v>
      </c>
      <c r="DW17" s="67">
        <f t="shared" si="42"/>
        <v>382</v>
      </c>
      <c r="DX17" s="67">
        <f t="shared" si="43"/>
        <v>362</v>
      </c>
      <c r="DY17" s="67">
        <f t="shared" ref="DY17:EJ17" si="45">+DX17*0.9</f>
        <v>325.8</v>
      </c>
      <c r="DZ17" s="67">
        <f t="shared" si="45"/>
        <v>293.22000000000003</v>
      </c>
      <c r="EA17" s="67">
        <f t="shared" si="45"/>
        <v>263.89800000000002</v>
      </c>
      <c r="EB17" s="67">
        <f t="shared" si="45"/>
        <v>237.50820000000002</v>
      </c>
      <c r="EC17" s="67">
        <f t="shared" si="45"/>
        <v>213.75738000000001</v>
      </c>
      <c r="ED17" s="67">
        <f t="shared" si="45"/>
        <v>192.38164200000003</v>
      </c>
      <c r="EE17" s="67">
        <f t="shared" si="45"/>
        <v>173.14347780000003</v>
      </c>
      <c r="EF17" s="67">
        <f t="shared" si="45"/>
        <v>155.82913002000004</v>
      </c>
      <c r="EG17" s="67">
        <f t="shared" si="45"/>
        <v>140.24621701800004</v>
      </c>
      <c r="EH17" s="67">
        <f t="shared" si="45"/>
        <v>126.22159531620004</v>
      </c>
      <c r="EI17" s="67">
        <f t="shared" si="45"/>
        <v>113.59943578458004</v>
      </c>
      <c r="EJ17" s="67">
        <f t="shared" si="45"/>
        <v>102.23949220612204</v>
      </c>
    </row>
    <row r="18" spans="2:141" s="26" customFormat="1">
      <c r="B18" s="26" t="s">
        <v>889</v>
      </c>
      <c r="C18" s="67"/>
      <c r="D18" s="67"/>
      <c r="E18" s="67"/>
      <c r="F18" s="67"/>
      <c r="G18" s="67"/>
      <c r="H18" s="67"/>
      <c r="I18" s="67"/>
      <c r="J18" s="67"/>
      <c r="K18" s="67"/>
      <c r="L18" s="67"/>
      <c r="M18" s="67"/>
      <c r="N18" s="67"/>
      <c r="O18" s="67"/>
      <c r="P18" s="67"/>
      <c r="Q18" s="67"/>
      <c r="R18" s="67"/>
      <c r="S18" s="67"/>
      <c r="T18" s="67"/>
      <c r="U18" s="67"/>
      <c r="V18" s="67"/>
      <c r="W18" s="67"/>
      <c r="X18" s="67"/>
      <c r="Y18" s="67"/>
      <c r="Z18" s="67">
        <v>39</v>
      </c>
      <c r="AA18" s="67">
        <v>51</v>
      </c>
      <c r="AB18" s="67">
        <v>45</v>
      </c>
      <c r="AC18" s="67">
        <v>41</v>
      </c>
      <c r="AD18" s="67">
        <v>33</v>
      </c>
      <c r="AE18" s="67">
        <f>32+2</f>
        <v>34</v>
      </c>
      <c r="AF18" s="67">
        <f>25+7</f>
        <v>32</v>
      </c>
      <c r="AG18" s="67">
        <f>26+15</f>
        <v>41</v>
      </c>
      <c r="AH18" s="67">
        <f>25+21</f>
        <v>46</v>
      </c>
      <c r="AI18" s="67">
        <f>25+28</f>
        <v>53</v>
      </c>
      <c r="AJ18" s="67">
        <f>24+32</f>
        <v>56</v>
      </c>
      <c r="AK18" s="67">
        <f>23+35</f>
        <v>58</v>
      </c>
      <c r="AL18" s="67">
        <f>25+41</f>
        <v>66</v>
      </c>
      <c r="AM18" s="67">
        <f>25+42</f>
        <v>67</v>
      </c>
      <c r="AN18" s="67">
        <f>29+43</f>
        <v>72</v>
      </c>
      <c r="AO18" s="67">
        <f>30+40</f>
        <v>70</v>
      </c>
      <c r="AP18" s="67">
        <f>31+48</f>
        <v>79</v>
      </c>
      <c r="AQ18" s="67">
        <f>30+45</f>
        <v>75</v>
      </c>
      <c r="AR18" s="67">
        <f>31+50</f>
        <v>81</v>
      </c>
      <c r="AS18" s="67">
        <f t="shared" si="37"/>
        <v>81</v>
      </c>
      <c r="AT18" s="67">
        <f t="shared" si="37"/>
        <v>81</v>
      </c>
      <c r="AU18" s="67">
        <f t="shared" si="37"/>
        <v>81</v>
      </c>
      <c r="AV18" s="67">
        <v>90</v>
      </c>
      <c r="AW18" s="67">
        <f>+AV18</f>
        <v>90</v>
      </c>
      <c r="AX18" s="67">
        <f>+AW18</f>
        <v>90</v>
      </c>
      <c r="AY18" s="67"/>
      <c r="AZ18" s="67">
        <v>93</v>
      </c>
      <c r="BA18" s="67"/>
      <c r="BB18" s="67"/>
      <c r="BC18" s="67"/>
      <c r="BD18" s="67">
        <v>132</v>
      </c>
      <c r="BE18" s="67"/>
      <c r="BF18" s="67"/>
      <c r="BG18" s="67"/>
      <c r="BH18" s="67"/>
      <c r="BI18" s="67"/>
      <c r="BJ18" s="67"/>
      <c r="BK18" s="67"/>
      <c r="BL18" s="67"/>
      <c r="BM18" s="67"/>
      <c r="BN18" s="67"/>
      <c r="BO18" s="67"/>
      <c r="BP18" s="67"/>
      <c r="BQ18" s="67"/>
      <c r="BR18" s="67"/>
      <c r="BS18" s="67"/>
      <c r="BT18" s="67"/>
      <c r="BU18" s="67"/>
      <c r="BV18" s="67">
        <v>168</v>
      </c>
      <c r="BW18" s="67">
        <v>170</v>
      </c>
      <c r="BX18" s="67">
        <v>196</v>
      </c>
      <c r="BY18" s="67">
        <v>196</v>
      </c>
      <c r="BZ18" s="67">
        <v>182</v>
      </c>
      <c r="CA18" s="67">
        <v>202</v>
      </c>
      <c r="CB18" s="67">
        <v>195</v>
      </c>
      <c r="CC18" s="67">
        <v>193</v>
      </c>
      <c r="CD18" s="67">
        <v>221</v>
      </c>
      <c r="CE18" s="67">
        <v>191</v>
      </c>
      <c r="CF18" s="67">
        <v>239</v>
      </c>
      <c r="CG18" s="67">
        <v>200</v>
      </c>
      <c r="CH18" s="67">
        <v>243</v>
      </c>
      <c r="CI18" s="67">
        <v>201</v>
      </c>
      <c r="CJ18" s="67">
        <v>207</v>
      </c>
      <c r="CK18" s="67">
        <v>247</v>
      </c>
      <c r="CL18" s="67">
        <v>238</v>
      </c>
      <c r="CM18" s="117">
        <v>233</v>
      </c>
      <c r="CN18" s="67">
        <v>248</v>
      </c>
      <c r="CO18" s="67">
        <v>252</v>
      </c>
      <c r="CP18" s="67">
        <v>251</v>
      </c>
      <c r="CQ18" s="67">
        <v>247</v>
      </c>
      <c r="CR18" s="67">
        <v>270</v>
      </c>
      <c r="CS18" s="67">
        <f>+CO18+5</f>
        <v>257</v>
      </c>
      <c r="CT18" s="67">
        <f>+CP18+5</f>
        <v>256</v>
      </c>
      <c r="CU18" s="67">
        <f>+CQ18+5</f>
        <v>252</v>
      </c>
      <c r="CV18" s="67">
        <f>+CR18+5</f>
        <v>275</v>
      </c>
      <c r="CW18" s="67">
        <f>+CS18+5</f>
        <v>262</v>
      </c>
      <c r="CX18" s="67">
        <f>+CT18+5</f>
        <v>261</v>
      </c>
      <c r="CY18" s="67"/>
      <c r="CZ18" s="67"/>
      <c r="DA18" s="67"/>
      <c r="DB18" s="67"/>
      <c r="DC18" s="67"/>
      <c r="DD18" s="67"/>
      <c r="DE18" s="67"/>
      <c r="DF18" s="67"/>
      <c r="DG18" s="67">
        <f t="shared" si="16"/>
        <v>39</v>
      </c>
      <c r="DH18" s="67">
        <f t="shared" si="17"/>
        <v>170</v>
      </c>
      <c r="DI18" s="67">
        <f t="shared" si="18"/>
        <v>153</v>
      </c>
      <c r="DJ18" s="67">
        <f t="shared" si="19"/>
        <v>233</v>
      </c>
      <c r="DK18" s="67">
        <f>SUM(AM18:AP18)</f>
        <v>288</v>
      </c>
      <c r="DL18" s="67">
        <f>SUM(AQ18:AT18)</f>
        <v>318</v>
      </c>
      <c r="DM18" s="67">
        <f>DL18*(1+DM68)</f>
        <v>333.90000000000003</v>
      </c>
      <c r="DN18" s="67">
        <f>DM18*(1+DN68)</f>
        <v>333.90000000000003</v>
      </c>
      <c r="DO18" s="67">
        <f>DN18*(1+DO68)</f>
        <v>333.90000000000003</v>
      </c>
      <c r="DP18" s="67"/>
      <c r="DQ18" s="67"/>
      <c r="DR18" s="67"/>
      <c r="DS18" s="67"/>
      <c r="DT18" s="67">
        <f t="shared" si="39"/>
        <v>744</v>
      </c>
      <c r="DU18" s="67">
        <f t="shared" si="40"/>
        <v>811</v>
      </c>
      <c r="DV18" s="67">
        <f t="shared" si="41"/>
        <v>873</v>
      </c>
      <c r="DW18" s="67">
        <f t="shared" si="42"/>
        <v>893</v>
      </c>
      <c r="DX18" s="67">
        <f t="shared" si="43"/>
        <v>984</v>
      </c>
      <c r="DY18" s="67">
        <f>+DX18*1.01</f>
        <v>993.84</v>
      </c>
      <c r="DZ18" s="67">
        <f t="shared" ref="DZ18:EJ18" si="46">+DY18*1.01</f>
        <v>1003.7784</v>
      </c>
      <c r="EA18" s="67">
        <f t="shared" si="46"/>
        <v>1013.816184</v>
      </c>
      <c r="EB18" s="67">
        <f t="shared" si="46"/>
        <v>1023.95434584</v>
      </c>
      <c r="EC18" s="67">
        <f t="shared" si="46"/>
        <v>1034.1938892983999</v>
      </c>
      <c r="ED18" s="67">
        <f t="shared" si="46"/>
        <v>1044.5358281913839</v>
      </c>
      <c r="EE18" s="67">
        <f t="shared" si="46"/>
        <v>1054.9811864732976</v>
      </c>
      <c r="EF18" s="67">
        <f t="shared" si="46"/>
        <v>1065.5309983380305</v>
      </c>
      <c r="EG18" s="67">
        <f t="shared" si="46"/>
        <v>1076.1863083214107</v>
      </c>
      <c r="EH18" s="67">
        <f t="shared" si="46"/>
        <v>1086.9481714046249</v>
      </c>
      <c r="EI18" s="67">
        <f t="shared" si="46"/>
        <v>1097.8176531186712</v>
      </c>
      <c r="EJ18" s="67">
        <f t="shared" si="46"/>
        <v>1108.795829649858</v>
      </c>
    </row>
    <row r="19" spans="2:141" s="26" customFormat="1">
      <c r="B19" s="26" t="s">
        <v>1114</v>
      </c>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v>3</v>
      </c>
      <c r="AO19" s="67">
        <v>10</v>
      </c>
      <c r="AP19" s="67">
        <f>16+4</f>
        <v>20</v>
      </c>
      <c r="AQ19" s="67">
        <f>17+10</f>
        <v>27</v>
      </c>
      <c r="AR19" s="67">
        <f>30+14</f>
        <v>44</v>
      </c>
      <c r="AS19" s="67">
        <f t="shared" ref="AS19:AU20" si="47">+AR19+5</f>
        <v>49</v>
      </c>
      <c r="AT19" s="67">
        <f t="shared" si="47"/>
        <v>54</v>
      </c>
      <c r="AU19" s="67">
        <f t="shared" si="47"/>
        <v>59</v>
      </c>
      <c r="AV19" s="67">
        <v>120</v>
      </c>
      <c r="AW19" s="67">
        <f>+AV19+5</f>
        <v>125</v>
      </c>
      <c r="AX19" s="67">
        <f>+AW19+5</f>
        <v>130</v>
      </c>
      <c r="AY19" s="67"/>
      <c r="AZ19" s="67">
        <v>188</v>
      </c>
      <c r="BA19" s="67"/>
      <c r="BB19" s="67"/>
      <c r="BC19" s="67"/>
      <c r="BD19" s="67">
        <v>264</v>
      </c>
      <c r="BE19" s="67"/>
      <c r="BF19" s="67"/>
      <c r="BG19" s="67"/>
      <c r="BH19" s="67"/>
      <c r="BI19" s="67"/>
      <c r="BJ19" s="67"/>
      <c r="BK19" s="67"/>
      <c r="BL19" s="67"/>
      <c r="BM19" s="67"/>
      <c r="BN19" s="67"/>
      <c r="BO19" s="67"/>
      <c r="BP19" s="67"/>
      <c r="BQ19" s="67"/>
      <c r="BR19" s="67"/>
      <c r="BS19" s="67"/>
      <c r="BT19" s="67"/>
      <c r="BU19" s="67"/>
      <c r="BV19" s="67">
        <v>655</v>
      </c>
      <c r="BW19" s="67">
        <v>592</v>
      </c>
      <c r="BX19" s="67">
        <v>698</v>
      </c>
      <c r="BY19" s="67">
        <v>630</v>
      </c>
      <c r="BZ19" s="67">
        <v>752</v>
      </c>
      <c r="CA19" s="67">
        <v>654</v>
      </c>
      <c r="CB19" s="67">
        <v>659</v>
      </c>
      <c r="CC19" s="67">
        <v>701</v>
      </c>
      <c r="CD19" s="67">
        <v>749</v>
      </c>
      <c r="CE19" s="67">
        <v>758</v>
      </c>
      <c r="CF19" s="67">
        <v>814</v>
      </c>
      <c r="CG19" s="67">
        <v>803</v>
      </c>
      <c r="CH19" s="67">
        <v>873</v>
      </c>
      <c r="CI19" s="67">
        <v>852</v>
      </c>
      <c r="CJ19" s="67">
        <v>922</v>
      </c>
      <c r="CK19" s="67">
        <v>862</v>
      </c>
      <c r="CL19" s="109">
        <v>992</v>
      </c>
      <c r="CM19" s="117">
        <v>927</v>
      </c>
      <c r="CN19" s="67">
        <v>1028</v>
      </c>
      <c r="CO19" s="67">
        <v>986</v>
      </c>
      <c r="CP19" s="67">
        <v>1107</v>
      </c>
      <c r="CQ19" s="67">
        <v>999</v>
      </c>
      <c r="CR19" s="67">
        <v>1165</v>
      </c>
      <c r="CS19" s="67">
        <f>+CO19+10</f>
        <v>996</v>
      </c>
      <c r="CT19" s="67">
        <f>+CP19+10</f>
        <v>1117</v>
      </c>
      <c r="CU19" s="67">
        <f>+CQ19+10</f>
        <v>1009</v>
      </c>
      <c r="CV19" s="67">
        <f>+CR19+10</f>
        <v>1175</v>
      </c>
      <c r="CW19" s="67">
        <f>+CS19+10</f>
        <v>1006</v>
      </c>
      <c r="CX19" s="67">
        <f>+CT19+10</f>
        <v>1127</v>
      </c>
      <c r="CY19" s="67"/>
      <c r="CZ19" s="67"/>
      <c r="DA19" s="67"/>
      <c r="DB19" s="67"/>
      <c r="DC19" s="67"/>
      <c r="DD19" s="67"/>
      <c r="DE19" s="67"/>
      <c r="DF19" s="67"/>
      <c r="DG19" s="67"/>
      <c r="DH19" s="67"/>
      <c r="DI19" s="67"/>
      <c r="DJ19" s="67"/>
      <c r="DK19" s="67">
        <f>SUM(AM19:AP19)</f>
        <v>33</v>
      </c>
      <c r="DL19" s="67">
        <f>SUM(AQ19:AT19)</f>
        <v>174</v>
      </c>
      <c r="DM19" s="67"/>
      <c r="DN19" s="67"/>
      <c r="DO19" s="67"/>
      <c r="DP19" s="67"/>
      <c r="DQ19" s="67"/>
      <c r="DR19" s="67"/>
      <c r="DS19" s="67"/>
      <c r="DT19" s="67">
        <f t="shared" si="39"/>
        <v>2672</v>
      </c>
      <c r="DU19" s="67">
        <f t="shared" si="40"/>
        <v>2763</v>
      </c>
      <c r="DV19" s="67">
        <f t="shared" si="41"/>
        <v>3248</v>
      </c>
      <c r="DW19" s="67">
        <f t="shared" si="42"/>
        <v>3628</v>
      </c>
      <c r="DX19" s="67">
        <f t="shared" si="43"/>
        <v>4048</v>
      </c>
      <c r="DY19" s="67">
        <f t="shared" ref="DY19:ED19" si="48">+DX19*1.1</f>
        <v>4452.8</v>
      </c>
      <c r="DZ19" s="67">
        <f t="shared" si="48"/>
        <v>4898.0800000000008</v>
      </c>
      <c r="EA19" s="67">
        <f t="shared" si="48"/>
        <v>5387.8880000000017</v>
      </c>
      <c r="EB19" s="67">
        <f t="shared" si="48"/>
        <v>5926.676800000002</v>
      </c>
      <c r="EC19" s="67">
        <f t="shared" si="48"/>
        <v>6519.3444800000025</v>
      </c>
      <c r="ED19" s="67">
        <f t="shared" si="48"/>
        <v>7171.2789280000034</v>
      </c>
      <c r="EE19" s="67">
        <f t="shared" ref="EE19:EJ19" si="49">+ED19*0.5</f>
        <v>3585.6394640000017</v>
      </c>
      <c r="EF19" s="67">
        <f t="shared" si="49"/>
        <v>1792.8197320000008</v>
      </c>
      <c r="EG19" s="67">
        <f t="shared" si="49"/>
        <v>896.40986600000042</v>
      </c>
      <c r="EH19" s="67">
        <f t="shared" si="49"/>
        <v>448.20493300000021</v>
      </c>
      <c r="EI19" s="67">
        <f t="shared" si="49"/>
        <v>224.10246650000011</v>
      </c>
      <c r="EJ19" s="67">
        <f t="shared" si="49"/>
        <v>112.05123325000005</v>
      </c>
    </row>
    <row r="20" spans="2:141" s="26" customFormat="1">
      <c r="B20" s="98" t="s">
        <v>1123</v>
      </c>
      <c r="C20" s="67"/>
      <c r="D20" s="67"/>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v>8</v>
      </c>
      <c r="AQ20" s="67">
        <v>42</v>
      </c>
      <c r="AR20" s="67">
        <v>73</v>
      </c>
      <c r="AS20" s="67">
        <f t="shared" si="47"/>
        <v>78</v>
      </c>
      <c r="AT20" s="67">
        <f t="shared" si="47"/>
        <v>83</v>
      </c>
      <c r="AU20" s="67">
        <f t="shared" si="47"/>
        <v>88</v>
      </c>
      <c r="AV20" s="67">
        <v>179</v>
      </c>
      <c r="AW20" s="67">
        <f>+AV20+5</f>
        <v>184</v>
      </c>
      <c r="AX20" s="67">
        <f>+AW20+5</f>
        <v>189</v>
      </c>
      <c r="AY20" s="67"/>
      <c r="AZ20" s="67">
        <v>249</v>
      </c>
      <c r="BA20" s="67"/>
      <c r="BB20" s="67"/>
      <c r="BC20" s="67"/>
      <c r="BD20" s="67">
        <v>299</v>
      </c>
      <c r="BE20" s="67"/>
      <c r="BF20" s="67"/>
      <c r="BG20" s="67"/>
      <c r="BH20" s="67"/>
      <c r="BI20" s="67"/>
      <c r="BJ20" s="67"/>
      <c r="BK20" s="67"/>
      <c r="BL20" s="67"/>
      <c r="BM20" s="67"/>
      <c r="BN20" s="67"/>
      <c r="BO20" s="67"/>
      <c r="BP20" s="67"/>
      <c r="BQ20" s="67"/>
      <c r="BR20" s="67"/>
      <c r="BS20" s="67"/>
      <c r="BT20" s="67"/>
      <c r="BU20" s="67"/>
      <c r="BV20" s="67">
        <v>456</v>
      </c>
      <c r="BW20" s="67">
        <v>471</v>
      </c>
      <c r="BX20" s="67">
        <v>499</v>
      </c>
      <c r="BY20" s="67">
        <v>476</v>
      </c>
      <c r="BZ20" s="67">
        <v>489</v>
      </c>
      <c r="CA20" s="67">
        <v>481</v>
      </c>
      <c r="CB20" s="67">
        <v>435</v>
      </c>
      <c r="CC20" s="67">
        <v>481</v>
      </c>
      <c r="CD20" s="67">
        <v>502</v>
      </c>
      <c r="CE20" s="67">
        <v>468</v>
      </c>
      <c r="CF20" s="67">
        <v>488</v>
      </c>
      <c r="CG20" s="67">
        <v>517</v>
      </c>
      <c r="CH20" s="67">
        <v>545</v>
      </c>
      <c r="CI20" s="67">
        <v>502</v>
      </c>
      <c r="CJ20" s="67">
        <v>533</v>
      </c>
      <c r="CK20" s="67">
        <v>495</v>
      </c>
      <c r="CL20" s="109">
        <v>484</v>
      </c>
      <c r="CM20" s="117">
        <v>536</v>
      </c>
      <c r="CN20" s="67">
        <v>530</v>
      </c>
      <c r="CO20" s="67">
        <v>519</v>
      </c>
      <c r="CP20" s="67">
        <v>527</v>
      </c>
      <c r="CQ20" s="67">
        <v>561</v>
      </c>
      <c r="CR20" s="67">
        <v>562</v>
      </c>
      <c r="CS20" s="67">
        <f>+CO20+5</f>
        <v>524</v>
      </c>
      <c r="CT20" s="67">
        <f>+CP20+5</f>
        <v>532</v>
      </c>
      <c r="CU20" s="67">
        <f>+CQ20+5</f>
        <v>566</v>
      </c>
      <c r="CV20" s="67">
        <f>+CR20+5</f>
        <v>567</v>
      </c>
      <c r="CW20" s="67">
        <f>+CS20+5</f>
        <v>529</v>
      </c>
      <c r="CX20" s="67">
        <f>+CT20+5</f>
        <v>537</v>
      </c>
      <c r="CY20" s="67"/>
      <c r="CZ20" s="67"/>
      <c r="DA20" s="67"/>
      <c r="DB20" s="67"/>
      <c r="DC20" s="67"/>
      <c r="DD20" s="67"/>
      <c r="DE20" s="67"/>
      <c r="DF20" s="67"/>
      <c r="DG20" s="67"/>
      <c r="DH20" s="67"/>
      <c r="DI20" s="67"/>
      <c r="DJ20" s="67"/>
      <c r="DK20" s="67">
        <v>8</v>
      </c>
      <c r="DL20" s="67">
        <f>SUM(AQ20:AT20)</f>
        <v>276</v>
      </c>
      <c r="DM20" s="67">
        <f>+DL20*1.5</f>
        <v>414</v>
      </c>
      <c r="DN20" s="67">
        <f>+DM20*1.5</f>
        <v>621</v>
      </c>
      <c r="DO20" s="67">
        <f>+DN20*1.5</f>
        <v>931.5</v>
      </c>
      <c r="DP20" s="67">
        <f>+DO20*1.5</f>
        <v>1397.25</v>
      </c>
      <c r="DQ20" s="67">
        <f>+DP20*1.5</f>
        <v>2095.875</v>
      </c>
      <c r="DR20" s="67"/>
      <c r="DS20" s="67"/>
      <c r="DT20" s="67">
        <f t="shared" si="39"/>
        <v>1935</v>
      </c>
      <c r="DU20" s="67">
        <f t="shared" si="40"/>
        <v>1899</v>
      </c>
      <c r="DV20" s="67">
        <f t="shared" si="41"/>
        <v>2018</v>
      </c>
      <c r="DW20" s="67">
        <f t="shared" si="42"/>
        <v>2014</v>
      </c>
      <c r="DX20" s="67">
        <f t="shared" si="43"/>
        <v>2112</v>
      </c>
      <c r="DY20" s="67">
        <f t="shared" ref="DY20:ED20" si="50">+DX20*0.99</f>
        <v>2090.88</v>
      </c>
      <c r="DZ20" s="67">
        <f t="shared" si="50"/>
        <v>2069.9712</v>
      </c>
      <c r="EA20" s="67">
        <f t="shared" si="50"/>
        <v>2049.2714879999999</v>
      </c>
      <c r="EB20" s="67">
        <f t="shared" si="50"/>
        <v>2028.7787731199999</v>
      </c>
      <c r="EC20" s="67">
        <f t="shared" si="50"/>
        <v>2008.4909853887998</v>
      </c>
      <c r="ED20" s="67">
        <f t="shared" si="50"/>
        <v>1988.4060755349117</v>
      </c>
      <c r="EE20" s="67">
        <f>+ED20*0.5</f>
        <v>994.20303776745584</v>
      </c>
      <c r="EF20" s="67">
        <f t="shared" ref="EF20:EJ20" si="51">+EE20*0.5</f>
        <v>497.10151888372792</v>
      </c>
      <c r="EG20" s="67">
        <f t="shared" si="51"/>
        <v>248.55075944186396</v>
      </c>
      <c r="EH20" s="67">
        <f t="shared" si="51"/>
        <v>124.27537972093198</v>
      </c>
      <c r="EI20" s="67">
        <f t="shared" si="51"/>
        <v>62.13768986046599</v>
      </c>
      <c r="EJ20" s="67">
        <f t="shared" si="51"/>
        <v>31.068844930232995</v>
      </c>
    </row>
    <row r="21" spans="2:141" s="26" customFormat="1">
      <c r="B21" s="98" t="s">
        <v>1201</v>
      </c>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v>0</v>
      </c>
      <c r="BW21" s="67">
        <v>0</v>
      </c>
      <c r="BX21" s="67">
        <v>0</v>
      </c>
      <c r="BY21" s="67">
        <v>0</v>
      </c>
      <c r="BZ21" s="67">
        <v>178</v>
      </c>
      <c r="CA21" s="67">
        <v>479</v>
      </c>
      <c r="CB21" s="67">
        <v>561</v>
      </c>
      <c r="CC21" s="67">
        <v>538</v>
      </c>
      <c r="CD21" s="67">
        <v>617</v>
      </c>
      <c r="CE21" s="67">
        <v>476</v>
      </c>
      <c r="CF21" s="67">
        <v>534</v>
      </c>
      <c r="CG21" s="67">
        <v>609</v>
      </c>
      <c r="CH21" s="67">
        <v>630</v>
      </c>
      <c r="CI21" s="67">
        <v>451</v>
      </c>
      <c r="CJ21" s="67">
        <v>594</v>
      </c>
      <c r="CK21" s="67">
        <v>627</v>
      </c>
      <c r="CL21" s="109">
        <v>616</v>
      </c>
      <c r="CM21" s="117">
        <v>392</v>
      </c>
      <c r="CN21" s="67">
        <v>600</v>
      </c>
      <c r="CO21" s="67">
        <v>567</v>
      </c>
      <c r="CP21" s="67">
        <v>629</v>
      </c>
      <c r="CQ21" s="67">
        <v>394</v>
      </c>
      <c r="CR21" s="67">
        <v>544</v>
      </c>
      <c r="CS21" s="67">
        <f>+CO21</f>
        <v>567</v>
      </c>
      <c r="CT21" s="67">
        <f>+CP21</f>
        <v>629</v>
      </c>
      <c r="CU21" s="67">
        <f>+CQ21</f>
        <v>394</v>
      </c>
      <c r="CV21" s="67">
        <f>+CR21</f>
        <v>544</v>
      </c>
      <c r="CW21" s="67">
        <f>+CS21</f>
        <v>567</v>
      </c>
      <c r="CX21" s="67">
        <f>+CT21</f>
        <v>629</v>
      </c>
      <c r="CY21" s="67"/>
      <c r="CZ21" s="67"/>
      <c r="DA21" s="67"/>
      <c r="DB21" s="67"/>
      <c r="DC21" s="67"/>
      <c r="DD21" s="67"/>
      <c r="DE21" s="67"/>
      <c r="DF21" s="67"/>
      <c r="DG21" s="67"/>
      <c r="DH21" s="67"/>
      <c r="DI21" s="67"/>
      <c r="DJ21" s="67"/>
      <c r="DK21" s="67"/>
      <c r="DL21" s="67"/>
      <c r="DM21" s="67"/>
      <c r="DN21" s="67"/>
      <c r="DO21" s="67"/>
      <c r="DP21" s="67"/>
      <c r="DQ21" s="67"/>
      <c r="DR21" s="67"/>
      <c r="DS21" s="67"/>
      <c r="DT21" s="67">
        <f t="shared" si="39"/>
        <v>178</v>
      </c>
      <c r="DU21" s="67">
        <f t="shared" si="40"/>
        <v>2195</v>
      </c>
      <c r="DV21" s="67">
        <f t="shared" si="41"/>
        <v>2249</v>
      </c>
      <c r="DW21" s="67">
        <f t="shared" si="42"/>
        <v>2288</v>
      </c>
      <c r="DX21" s="67">
        <f t="shared" si="43"/>
        <v>2188</v>
      </c>
      <c r="DY21" s="67">
        <f>+DX21*1.05</f>
        <v>2297.4</v>
      </c>
      <c r="DZ21" s="67">
        <f t="shared" ref="DZ21:EB21" si="52">+DY21*1.05</f>
        <v>2412.27</v>
      </c>
      <c r="EA21" s="67">
        <f t="shared" si="52"/>
        <v>2532.8834999999999</v>
      </c>
      <c r="EB21" s="67">
        <f t="shared" si="52"/>
        <v>2659.5276749999998</v>
      </c>
      <c r="EC21" s="67">
        <f>+EB21*0.7</f>
        <v>1861.6693724999998</v>
      </c>
      <c r="ED21" s="67">
        <f t="shared" ref="ED21:EJ21" si="53">+EC21*0.2</f>
        <v>372.33387449999998</v>
      </c>
      <c r="EE21" s="67">
        <f t="shared" si="53"/>
        <v>74.466774900000004</v>
      </c>
      <c r="EF21" s="67">
        <f t="shared" si="53"/>
        <v>14.893354980000002</v>
      </c>
      <c r="EG21" s="67">
        <f t="shared" si="53"/>
        <v>2.9786709960000004</v>
      </c>
      <c r="EH21" s="67">
        <f t="shared" si="53"/>
        <v>0.59573419920000015</v>
      </c>
      <c r="EI21" s="67">
        <f t="shared" si="53"/>
        <v>0.11914683984000003</v>
      </c>
      <c r="EJ21" s="67">
        <f t="shared" si="53"/>
        <v>2.3829367968000007E-2</v>
      </c>
      <c r="EK21" s="67"/>
    </row>
    <row r="22" spans="2:141" s="26" customFormat="1">
      <c r="B22" s="98" t="s">
        <v>1197</v>
      </c>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v>0</v>
      </c>
      <c r="BW22" s="67">
        <v>17</v>
      </c>
      <c r="BX22" s="67">
        <v>28</v>
      </c>
      <c r="BY22" s="67">
        <v>59</v>
      </c>
      <c r="BZ22" s="67">
        <v>85</v>
      </c>
      <c r="CA22" s="67">
        <v>100</v>
      </c>
      <c r="CB22" s="67">
        <v>101</v>
      </c>
      <c r="CC22" s="67">
        <v>59</v>
      </c>
      <c r="CD22" s="67">
        <v>90</v>
      </c>
      <c r="CE22" s="67">
        <v>107</v>
      </c>
      <c r="CF22" s="67">
        <v>131</v>
      </c>
      <c r="CG22" s="67">
        <v>149</v>
      </c>
      <c r="CH22" s="67">
        <v>143</v>
      </c>
      <c r="CI22" s="67">
        <v>170</v>
      </c>
      <c r="CJ22" s="67">
        <v>191</v>
      </c>
      <c r="CK22" s="67">
        <v>201</v>
      </c>
      <c r="CL22" s="109">
        <v>225</v>
      </c>
      <c r="CM22" s="117">
        <v>254</v>
      </c>
      <c r="CN22" s="67">
        <v>281</v>
      </c>
      <c r="CO22" s="67">
        <v>307</v>
      </c>
      <c r="CP22" s="67">
        <v>318</v>
      </c>
      <c r="CQ22" s="67">
        <v>342</v>
      </c>
      <c r="CR22" s="67">
        <v>391</v>
      </c>
      <c r="CS22" s="67">
        <f>+CR22+20</f>
        <v>411</v>
      </c>
      <c r="CT22" s="67">
        <f>+CS22+20</f>
        <v>431</v>
      </c>
      <c r="CU22" s="67">
        <f>+CT22+20</f>
        <v>451</v>
      </c>
      <c r="CV22" s="67">
        <f>+CU22+20</f>
        <v>471</v>
      </c>
      <c r="CW22" s="67">
        <f>+CV22+20</f>
        <v>491</v>
      </c>
      <c r="CX22" s="67">
        <f>+CW22+20</f>
        <v>511</v>
      </c>
      <c r="CY22" s="67"/>
      <c r="CZ22" s="67"/>
      <c r="DA22" s="67"/>
      <c r="DB22" s="67"/>
      <c r="DC22" s="67"/>
      <c r="DD22" s="67"/>
      <c r="DE22" s="67"/>
      <c r="DF22" s="67"/>
      <c r="DG22" s="67"/>
      <c r="DH22" s="67"/>
      <c r="DI22" s="67"/>
      <c r="DJ22" s="67"/>
      <c r="DK22" s="67"/>
      <c r="DL22" s="67"/>
      <c r="DM22" s="67"/>
      <c r="DN22" s="67"/>
      <c r="DO22" s="67"/>
      <c r="DP22" s="67"/>
      <c r="DQ22" s="67"/>
      <c r="DR22" s="67"/>
      <c r="DS22" s="67"/>
      <c r="DT22" s="67">
        <f t="shared" si="39"/>
        <v>189</v>
      </c>
      <c r="DU22" s="67">
        <f t="shared" si="40"/>
        <v>350</v>
      </c>
      <c r="DV22" s="67">
        <f t="shared" si="41"/>
        <v>530</v>
      </c>
      <c r="DW22" s="67">
        <f t="shared" si="42"/>
        <v>787</v>
      </c>
      <c r="DX22" s="67">
        <f t="shared" si="43"/>
        <v>1160</v>
      </c>
      <c r="DY22" s="67">
        <f>+DX22*1.2</f>
        <v>1392</v>
      </c>
      <c r="DZ22" s="67">
        <f>+DY22*1.1</f>
        <v>1531.2</v>
      </c>
      <c r="EA22" s="67">
        <f>+DZ22*1.1</f>
        <v>1684.3200000000002</v>
      </c>
      <c r="EB22" s="67">
        <f>+EA22*1.1</f>
        <v>1852.7520000000004</v>
      </c>
      <c r="EC22" s="67">
        <f t="shared" ref="EC22:EI22" si="54">+EB22*1.05</f>
        <v>1945.3896000000004</v>
      </c>
      <c r="ED22" s="67">
        <f t="shared" si="54"/>
        <v>2042.6590800000006</v>
      </c>
      <c r="EE22" s="67">
        <f t="shared" si="54"/>
        <v>2144.7920340000005</v>
      </c>
      <c r="EF22" s="67">
        <f t="shared" si="54"/>
        <v>2252.0316357000006</v>
      </c>
      <c r="EG22" s="67">
        <f t="shared" si="54"/>
        <v>2364.6332174850008</v>
      </c>
      <c r="EH22" s="67">
        <f t="shared" si="54"/>
        <v>2482.8648783592512</v>
      </c>
      <c r="EI22" s="67">
        <f t="shared" si="54"/>
        <v>2607.0081222772137</v>
      </c>
      <c r="EJ22" s="67">
        <f>+EI22*0.1</f>
        <v>260.70081222772137</v>
      </c>
    </row>
    <row r="23" spans="2:141" s="26" customFormat="1">
      <c r="B23" s="98" t="s">
        <v>1198</v>
      </c>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v>159</v>
      </c>
      <c r="BW23" s="67">
        <v>141</v>
      </c>
      <c r="BX23" s="67">
        <v>152</v>
      </c>
      <c r="BY23" s="67">
        <v>168</v>
      </c>
      <c r="BZ23" s="67">
        <v>200</v>
      </c>
      <c r="CA23" s="67">
        <v>229</v>
      </c>
      <c r="CB23" s="67">
        <v>200</v>
      </c>
      <c r="CC23" s="67">
        <v>205</v>
      </c>
      <c r="CD23" s="67">
        <v>253</v>
      </c>
      <c r="CE23" s="67">
        <v>286</v>
      </c>
      <c r="CF23" s="67">
        <v>286</v>
      </c>
      <c r="CG23" s="67">
        <v>272</v>
      </c>
      <c r="CH23" s="67">
        <v>273</v>
      </c>
      <c r="CI23" s="67">
        <v>329</v>
      </c>
      <c r="CJ23" s="67">
        <v>325</v>
      </c>
      <c r="CK23" s="67">
        <v>309</v>
      </c>
      <c r="CL23" s="109">
        <v>333</v>
      </c>
      <c r="CM23" s="117">
        <v>388</v>
      </c>
      <c r="CN23" s="67">
        <v>424</v>
      </c>
      <c r="CO23" s="67">
        <v>406</v>
      </c>
      <c r="CP23" s="67">
        <v>417</v>
      </c>
      <c r="CQ23" s="67">
        <v>517</v>
      </c>
      <c r="CR23" s="67">
        <v>532</v>
      </c>
      <c r="CS23" s="67">
        <f>+CR23+25</f>
        <v>557</v>
      </c>
      <c r="CT23" s="67">
        <f>+CS23+25</f>
        <v>582</v>
      </c>
      <c r="CU23" s="67">
        <f>+CT23+25</f>
        <v>607</v>
      </c>
      <c r="CV23" s="67">
        <f>+CU23+25</f>
        <v>632</v>
      </c>
      <c r="CW23" s="67">
        <f>+CV23+25</f>
        <v>657</v>
      </c>
      <c r="CX23" s="67">
        <f>+CW23+25</f>
        <v>682</v>
      </c>
      <c r="CY23" s="67"/>
      <c r="CZ23" s="67"/>
      <c r="DA23" s="67"/>
      <c r="DB23" s="67"/>
      <c r="DC23" s="67"/>
      <c r="DD23" s="67"/>
      <c r="DE23" s="67"/>
      <c r="DF23" s="67"/>
      <c r="DG23" s="67"/>
      <c r="DH23" s="67"/>
      <c r="DI23" s="67"/>
      <c r="DJ23" s="67"/>
      <c r="DK23" s="67"/>
      <c r="DL23" s="67"/>
      <c r="DM23" s="67"/>
      <c r="DN23" s="67"/>
      <c r="DO23" s="67"/>
      <c r="DP23" s="67"/>
      <c r="DQ23" s="67"/>
      <c r="DR23" s="67"/>
      <c r="DS23" s="67"/>
      <c r="DT23" s="67">
        <f t="shared" si="39"/>
        <v>661</v>
      </c>
      <c r="DU23" s="67">
        <f t="shared" si="40"/>
        <v>887</v>
      </c>
      <c r="DV23" s="67">
        <f t="shared" si="41"/>
        <v>1117</v>
      </c>
      <c r="DW23" s="67">
        <f t="shared" si="42"/>
        <v>1296</v>
      </c>
      <c r="DX23" s="67">
        <f t="shared" si="43"/>
        <v>1635</v>
      </c>
      <c r="DY23" s="67">
        <f t="shared" ref="DY23" si="55">+DX23*1.2</f>
        <v>1962</v>
      </c>
      <c r="DZ23" s="67">
        <f t="shared" ref="DZ23:EB23" si="56">+DY23*1.1</f>
        <v>2158.2000000000003</v>
      </c>
      <c r="EA23" s="67">
        <f t="shared" si="56"/>
        <v>2374.0200000000004</v>
      </c>
      <c r="EB23" s="67">
        <f t="shared" si="56"/>
        <v>2611.4220000000005</v>
      </c>
      <c r="EC23" s="67">
        <f t="shared" ref="EC23:EI23" si="57">+EB23*1.05</f>
        <v>2741.9931000000006</v>
      </c>
      <c r="ED23" s="67">
        <f t="shared" si="57"/>
        <v>2879.0927550000006</v>
      </c>
      <c r="EE23" s="67">
        <f t="shared" si="57"/>
        <v>3023.0473927500007</v>
      </c>
      <c r="EF23" s="67">
        <f t="shared" si="57"/>
        <v>3174.1997623875009</v>
      </c>
      <c r="EG23" s="67">
        <f t="shared" si="57"/>
        <v>3332.9097505068762</v>
      </c>
      <c r="EH23" s="67">
        <f t="shared" si="57"/>
        <v>3499.5552380322201</v>
      </c>
      <c r="EI23" s="67">
        <f t="shared" si="57"/>
        <v>3674.5329999338314</v>
      </c>
      <c r="EJ23" s="67">
        <f t="shared" ref="EJ23" si="58">+EI23*0.1</f>
        <v>367.45329999338315</v>
      </c>
    </row>
    <row r="24" spans="2:141" s="26" customFormat="1">
      <c r="B24" s="98" t="s">
        <v>1199</v>
      </c>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v>95</v>
      </c>
      <c r="BW24" s="67">
        <v>59</v>
      </c>
      <c r="BX24" s="67">
        <v>83</v>
      </c>
      <c r="BY24" s="67">
        <v>66</v>
      </c>
      <c r="BZ24" s="67">
        <v>98</v>
      </c>
      <c r="CA24" s="67">
        <v>71</v>
      </c>
      <c r="CB24" s="67">
        <v>98</v>
      </c>
      <c r="CC24" s="67">
        <v>105</v>
      </c>
      <c r="CD24" s="67">
        <v>104</v>
      </c>
      <c r="CE24" s="67">
        <v>66</v>
      </c>
      <c r="CF24" s="67">
        <v>82</v>
      </c>
      <c r="CG24" s="67">
        <v>79</v>
      </c>
      <c r="CH24" s="67">
        <v>90</v>
      </c>
      <c r="CI24" s="67">
        <v>101</v>
      </c>
      <c r="CJ24" s="67">
        <v>92</v>
      </c>
      <c r="CK24" s="67">
        <v>107</v>
      </c>
      <c r="CL24" s="109">
        <v>114</v>
      </c>
      <c r="CM24" s="117"/>
      <c r="CN24" s="67"/>
      <c r="CO24" s="67">
        <v>94</v>
      </c>
      <c r="CP24" s="67">
        <v>78</v>
      </c>
      <c r="CQ24" s="67"/>
      <c r="CR24" s="67"/>
      <c r="CS24" s="67"/>
      <c r="CT24" s="67"/>
      <c r="CU24" s="67"/>
      <c r="CV24" s="67"/>
      <c r="CW24" s="67"/>
      <c r="CX24" s="67"/>
      <c r="CY24" s="67"/>
      <c r="CZ24" s="67"/>
      <c r="DA24" s="67"/>
      <c r="DB24" s="67"/>
      <c r="DC24" s="67"/>
      <c r="DD24" s="67"/>
      <c r="DE24" s="67"/>
      <c r="DF24" s="67"/>
      <c r="DG24" s="67"/>
      <c r="DH24" s="67"/>
      <c r="DI24" s="67"/>
      <c r="DJ24" s="67"/>
      <c r="DK24" s="67"/>
      <c r="DL24" s="67"/>
      <c r="DM24" s="67"/>
      <c r="DN24" s="67"/>
      <c r="DO24" s="67"/>
      <c r="DP24" s="67"/>
      <c r="DQ24" s="67"/>
      <c r="DR24" s="67"/>
      <c r="DS24" s="67"/>
      <c r="DT24" s="67">
        <f t="shared" si="39"/>
        <v>306</v>
      </c>
      <c r="DU24" s="67">
        <f t="shared" si="40"/>
        <v>378</v>
      </c>
      <c r="DV24" s="67">
        <f t="shared" si="41"/>
        <v>317</v>
      </c>
      <c r="DW24" s="67">
        <f t="shared" si="42"/>
        <v>414</v>
      </c>
      <c r="DX24" s="67">
        <f t="shared" si="43"/>
        <v>172</v>
      </c>
      <c r="DY24" s="67">
        <f>+DX24*1.01</f>
        <v>173.72</v>
      </c>
      <c r="DZ24" s="67">
        <f t="shared" ref="DZ24:EJ24" si="59">+DY24*1.01</f>
        <v>175.4572</v>
      </c>
      <c r="EA24" s="67">
        <f t="shared" si="59"/>
        <v>177.211772</v>
      </c>
      <c r="EB24" s="67">
        <f t="shared" si="59"/>
        <v>178.98388972000001</v>
      </c>
      <c r="EC24" s="67">
        <f t="shared" si="59"/>
        <v>180.77372861720002</v>
      </c>
      <c r="ED24" s="67">
        <f t="shared" si="59"/>
        <v>182.58146590337202</v>
      </c>
      <c r="EE24" s="67">
        <f t="shared" si="59"/>
        <v>184.40728056240573</v>
      </c>
      <c r="EF24" s="67">
        <f t="shared" si="59"/>
        <v>186.25135336802978</v>
      </c>
      <c r="EG24" s="67">
        <f t="shared" si="59"/>
        <v>188.11386690171008</v>
      </c>
      <c r="EH24" s="67">
        <f t="shared" si="59"/>
        <v>189.99500557072719</v>
      </c>
      <c r="EI24" s="67">
        <f t="shared" si="59"/>
        <v>191.89495562643447</v>
      </c>
      <c r="EJ24" s="67">
        <f t="shared" si="59"/>
        <v>193.81390518269882</v>
      </c>
    </row>
    <row r="25" spans="2:141" s="26" customFormat="1">
      <c r="B25" s="98" t="s">
        <v>1200</v>
      </c>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v>0</v>
      </c>
      <c r="BW25" s="67">
        <v>0</v>
      </c>
      <c r="BX25" s="67">
        <v>0</v>
      </c>
      <c r="BY25" s="67">
        <v>0</v>
      </c>
      <c r="BZ25" s="67">
        <v>0</v>
      </c>
      <c r="CA25" s="67">
        <v>0</v>
      </c>
      <c r="CB25" s="67">
        <v>0</v>
      </c>
      <c r="CC25" s="67">
        <v>0</v>
      </c>
      <c r="CD25" s="67">
        <v>0</v>
      </c>
      <c r="CE25" s="67">
        <v>0</v>
      </c>
      <c r="CF25" s="67">
        <v>0</v>
      </c>
      <c r="CG25" s="67">
        <v>0</v>
      </c>
      <c r="CH25" s="67">
        <v>0</v>
      </c>
      <c r="CI25" s="67">
        <v>7</v>
      </c>
      <c r="CJ25" s="67">
        <v>29</v>
      </c>
      <c r="CK25" s="67">
        <v>55</v>
      </c>
      <c r="CL25" s="109">
        <v>79</v>
      </c>
      <c r="CM25" s="117">
        <v>96</v>
      </c>
      <c r="CN25" s="67">
        <v>133</v>
      </c>
      <c r="CO25" s="67">
        <v>161</v>
      </c>
      <c r="CP25" s="67">
        <v>177</v>
      </c>
      <c r="CQ25" s="67">
        <v>173</v>
      </c>
      <c r="CR25" s="67">
        <v>234</v>
      </c>
      <c r="CS25" s="67">
        <f>+CR25+20</f>
        <v>254</v>
      </c>
      <c r="CT25" s="67">
        <f>+CS25+20</f>
        <v>274</v>
      </c>
      <c r="CU25" s="67">
        <f>+CT25+20</f>
        <v>294</v>
      </c>
      <c r="CV25" s="67">
        <f>+CU25+20</f>
        <v>314</v>
      </c>
      <c r="CW25" s="67">
        <f>+CV25+20</f>
        <v>334</v>
      </c>
      <c r="CX25" s="67">
        <f>+CW25+20</f>
        <v>354</v>
      </c>
      <c r="CY25" s="67"/>
      <c r="CZ25" s="67"/>
      <c r="DA25" s="67"/>
      <c r="DB25" s="67"/>
      <c r="DC25" s="67"/>
      <c r="DD25" s="67"/>
      <c r="DE25" s="67"/>
      <c r="DF25" s="67"/>
      <c r="DG25" s="67"/>
      <c r="DH25" s="67"/>
      <c r="DI25" s="67"/>
      <c r="DJ25" s="67"/>
      <c r="DK25" s="67"/>
      <c r="DL25" s="67"/>
      <c r="DM25" s="67"/>
      <c r="DN25" s="67"/>
      <c r="DO25" s="67"/>
      <c r="DP25" s="67"/>
      <c r="DQ25" s="67"/>
      <c r="DR25" s="67"/>
      <c r="DS25" s="67"/>
      <c r="DT25" s="67">
        <f t="shared" si="39"/>
        <v>0</v>
      </c>
      <c r="DU25" s="67">
        <f t="shared" si="40"/>
        <v>0</v>
      </c>
      <c r="DV25" s="67">
        <f t="shared" si="41"/>
        <v>0</v>
      </c>
      <c r="DW25" s="67">
        <f t="shared" si="42"/>
        <v>170</v>
      </c>
      <c r="DX25" s="67">
        <f t="shared" si="43"/>
        <v>567</v>
      </c>
      <c r="DY25" s="67">
        <f>+DX25*1.8</f>
        <v>1020.6</v>
      </c>
      <c r="DZ25" s="67">
        <f>+DY25*1.8</f>
        <v>1837.0800000000002</v>
      </c>
      <c r="EA25" s="67">
        <f>+DZ25*1.2</f>
        <v>2204.4960000000001</v>
      </c>
      <c r="EB25" s="67">
        <f>+EA25*1.1</f>
        <v>2424.9456000000005</v>
      </c>
      <c r="EC25" s="67">
        <f>+EB25*1.1</f>
        <v>2667.4401600000006</v>
      </c>
      <c r="ED25" s="67">
        <f>+EC25*1.05</f>
        <v>2800.8121680000008</v>
      </c>
      <c r="EE25" s="67">
        <f>+ED25*1.05</f>
        <v>2940.8527764000009</v>
      </c>
      <c r="EF25" s="67">
        <f>+EE25*1.05</f>
        <v>3087.8954152200013</v>
      </c>
      <c r="EG25" s="26">
        <f>+EF25*1.01</f>
        <v>3118.7743693722014</v>
      </c>
      <c r="EH25" s="26">
        <f>+EG25*1.01</f>
        <v>3149.9621130659234</v>
      </c>
      <c r="EI25" s="26">
        <f>+EH25*1.01</f>
        <v>3181.4617341965827</v>
      </c>
      <c r="EJ25" s="26">
        <f>+EI25*1.01</f>
        <v>3213.2763515385486</v>
      </c>
    </row>
    <row r="26" spans="2:141" s="26" customFormat="1">
      <c r="B26" s="98" t="s">
        <v>1202</v>
      </c>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v>11</v>
      </c>
      <c r="BW26" s="67">
        <v>31</v>
      </c>
      <c r="BX26" s="67">
        <v>52</v>
      </c>
      <c r="BY26" s="67">
        <v>61</v>
      </c>
      <c r="BZ26" s="67">
        <v>71</v>
      </c>
      <c r="CA26" s="67">
        <v>86</v>
      </c>
      <c r="CB26" s="67">
        <v>62</v>
      </c>
      <c r="CC26" s="67">
        <v>80</v>
      </c>
      <c r="CD26" s="67">
        <v>103</v>
      </c>
      <c r="CE26" s="67">
        <v>106</v>
      </c>
      <c r="CF26" s="67">
        <v>107</v>
      </c>
      <c r="CG26" s="67">
        <v>111</v>
      </c>
      <c r="CH26" s="67">
        <v>115</v>
      </c>
      <c r="CI26" s="67">
        <v>108</v>
      </c>
      <c r="CJ26" s="67">
        <v>116</v>
      </c>
      <c r="CK26" s="67">
        <v>117</v>
      </c>
      <c r="CL26" s="109">
        <v>119</v>
      </c>
      <c r="CM26" s="117">
        <v>164</v>
      </c>
      <c r="CN26" s="67">
        <v>150</v>
      </c>
      <c r="CO26" s="67">
        <v>152</v>
      </c>
      <c r="CP26" s="67">
        <v>160</v>
      </c>
      <c r="CQ26" s="67">
        <v>168</v>
      </c>
      <c r="CR26" s="67">
        <v>133</v>
      </c>
      <c r="CS26" s="67">
        <f>+CR26</f>
        <v>133</v>
      </c>
      <c r="CT26" s="67">
        <f>+CS26</f>
        <v>133</v>
      </c>
      <c r="CU26" s="67">
        <f>+CT26</f>
        <v>133</v>
      </c>
      <c r="CV26" s="67">
        <f>+CU26</f>
        <v>133</v>
      </c>
      <c r="CW26" s="67">
        <f>+CV26</f>
        <v>133</v>
      </c>
      <c r="CX26" s="67">
        <f>+CW26</f>
        <v>133</v>
      </c>
      <c r="CY26" s="67"/>
      <c r="CZ26" s="67"/>
      <c r="DA26" s="67"/>
      <c r="DB26" s="67"/>
      <c r="DC26" s="67"/>
      <c r="DD26" s="67"/>
      <c r="DE26" s="67"/>
      <c r="DF26" s="67"/>
      <c r="DG26" s="67"/>
      <c r="DH26" s="67"/>
      <c r="DI26" s="67"/>
      <c r="DJ26" s="67"/>
      <c r="DK26" s="67"/>
      <c r="DL26" s="67"/>
      <c r="DM26" s="67"/>
      <c r="DN26" s="67"/>
      <c r="DO26" s="67"/>
      <c r="DP26" s="67"/>
      <c r="DQ26" s="67"/>
      <c r="DR26" s="67"/>
      <c r="DS26" s="67"/>
      <c r="DT26" s="67">
        <f t="shared" si="39"/>
        <v>215</v>
      </c>
      <c r="DU26" s="67">
        <f t="shared" si="40"/>
        <v>331</v>
      </c>
      <c r="DV26" s="67">
        <f t="shared" si="41"/>
        <v>439</v>
      </c>
      <c r="DW26" s="67">
        <f t="shared" si="42"/>
        <v>460</v>
      </c>
      <c r="DX26" s="67">
        <f t="shared" si="43"/>
        <v>626</v>
      </c>
      <c r="DY26" s="67">
        <f t="shared" ref="DY26:EJ26" si="60">+DX26*0.9</f>
        <v>563.4</v>
      </c>
      <c r="DZ26" s="67">
        <f t="shared" si="60"/>
        <v>507.06</v>
      </c>
      <c r="EA26" s="67">
        <f t="shared" si="60"/>
        <v>456.35399999999998</v>
      </c>
      <c r="EB26" s="67">
        <f t="shared" si="60"/>
        <v>410.71859999999998</v>
      </c>
      <c r="EC26" s="67">
        <f t="shared" si="60"/>
        <v>369.64673999999997</v>
      </c>
      <c r="ED26" s="67">
        <f t="shared" si="60"/>
        <v>332.68206599999996</v>
      </c>
      <c r="EE26" s="67">
        <f t="shared" si="60"/>
        <v>299.41385939999998</v>
      </c>
      <c r="EF26" s="67">
        <f t="shared" si="60"/>
        <v>269.47247346</v>
      </c>
      <c r="EG26" s="67">
        <f t="shared" si="60"/>
        <v>242.52522611400002</v>
      </c>
      <c r="EH26" s="67">
        <f t="shared" si="60"/>
        <v>218.27270350260002</v>
      </c>
      <c r="EI26" s="67">
        <f t="shared" si="60"/>
        <v>196.44543315234003</v>
      </c>
      <c r="EJ26" s="67">
        <f t="shared" si="60"/>
        <v>176.80088983710604</v>
      </c>
    </row>
    <row r="27" spans="2:141" s="26" customFormat="1">
      <c r="B27" s="98" t="s">
        <v>1203</v>
      </c>
      <c r="C27" s="67"/>
      <c r="D27" s="67"/>
      <c r="E27" s="67"/>
      <c r="F27" s="67"/>
      <c r="G27" s="67"/>
      <c r="H27" s="67"/>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v>0</v>
      </c>
      <c r="BW27" s="67">
        <v>0</v>
      </c>
      <c r="BX27" s="67">
        <v>0</v>
      </c>
      <c r="BY27" s="67">
        <v>0</v>
      </c>
      <c r="BZ27" s="67">
        <v>0</v>
      </c>
      <c r="CA27" s="67">
        <v>0</v>
      </c>
      <c r="CB27" s="67">
        <v>0</v>
      </c>
      <c r="CC27" s="67">
        <v>0</v>
      </c>
      <c r="CD27" s="67">
        <v>0</v>
      </c>
      <c r="CE27" s="67">
        <v>0</v>
      </c>
      <c r="CF27" s="67">
        <v>9</v>
      </c>
      <c r="CG27" s="67">
        <v>36</v>
      </c>
      <c r="CH27" s="67">
        <v>45</v>
      </c>
      <c r="CI27" s="67">
        <v>62</v>
      </c>
      <c r="CJ27" s="67">
        <v>77</v>
      </c>
      <c r="CK27" s="67">
        <v>75</v>
      </c>
      <c r="CL27" s="67">
        <v>71</v>
      </c>
      <c r="CM27" s="117">
        <v>74</v>
      </c>
      <c r="CN27" s="67">
        <v>77</v>
      </c>
      <c r="CO27" s="67">
        <v>52</v>
      </c>
      <c r="CP27" s="67">
        <v>77</v>
      </c>
      <c r="CQ27" s="67">
        <v>82</v>
      </c>
      <c r="CR27" s="67">
        <v>85</v>
      </c>
      <c r="CS27" s="67">
        <f>+CO27+10</f>
        <v>62</v>
      </c>
      <c r="CT27" s="67">
        <f t="shared" ref="CT27:CX27" si="61">+CP27+10</f>
        <v>87</v>
      </c>
      <c r="CU27" s="67">
        <f t="shared" si="61"/>
        <v>92</v>
      </c>
      <c r="CV27" s="67">
        <f t="shared" si="61"/>
        <v>95</v>
      </c>
      <c r="CW27" s="67">
        <f t="shared" si="61"/>
        <v>72</v>
      </c>
      <c r="CX27" s="67">
        <f t="shared" si="61"/>
        <v>97</v>
      </c>
      <c r="CY27" s="67"/>
      <c r="CZ27" s="67"/>
      <c r="DA27" s="67"/>
      <c r="DB27" s="67"/>
      <c r="DC27" s="67"/>
      <c r="DD27" s="67"/>
      <c r="DE27" s="67"/>
      <c r="DF27" s="67"/>
      <c r="DG27" s="67"/>
      <c r="DH27" s="67"/>
      <c r="DI27" s="67"/>
      <c r="DJ27" s="67"/>
      <c r="DK27" s="67"/>
      <c r="DL27" s="67"/>
      <c r="DM27" s="67"/>
      <c r="DN27" s="67"/>
      <c r="DO27" s="67"/>
      <c r="DP27" s="67"/>
      <c r="DQ27" s="67"/>
      <c r="DR27" s="67"/>
      <c r="DS27" s="67"/>
      <c r="DT27" s="67">
        <f t="shared" si="39"/>
        <v>0</v>
      </c>
      <c r="DU27" s="67">
        <f t="shared" si="40"/>
        <v>0</v>
      </c>
      <c r="DV27" s="67">
        <f t="shared" si="41"/>
        <v>90</v>
      </c>
      <c r="DW27" s="67">
        <f t="shared" si="42"/>
        <v>285</v>
      </c>
      <c r="DX27" s="67">
        <f t="shared" si="43"/>
        <v>280</v>
      </c>
      <c r="DY27" s="67">
        <f>+DX27*1.05</f>
        <v>294</v>
      </c>
      <c r="DZ27" s="67">
        <f>+DY27*1.05</f>
        <v>308.7</v>
      </c>
      <c r="EA27" s="67">
        <f t="shared" ref="EA27:EJ27" si="62">+DZ27*1.01</f>
        <v>311.78699999999998</v>
      </c>
      <c r="EB27" s="67">
        <f t="shared" si="62"/>
        <v>314.90486999999996</v>
      </c>
      <c r="EC27" s="67">
        <f t="shared" si="62"/>
        <v>318.05391869999994</v>
      </c>
      <c r="ED27" s="67">
        <f t="shared" si="62"/>
        <v>321.23445788699996</v>
      </c>
      <c r="EE27" s="67">
        <f t="shared" si="62"/>
        <v>324.44680246586995</v>
      </c>
      <c r="EF27" s="67">
        <f t="shared" si="62"/>
        <v>327.69127049052867</v>
      </c>
      <c r="EG27" s="67">
        <f t="shared" si="62"/>
        <v>330.96818319543394</v>
      </c>
      <c r="EH27" s="67">
        <f t="shared" si="62"/>
        <v>334.27786502738826</v>
      </c>
      <c r="EI27" s="67">
        <f t="shared" si="62"/>
        <v>337.62064367766214</v>
      </c>
      <c r="EJ27" s="67">
        <f t="shared" si="62"/>
        <v>340.99685011443876</v>
      </c>
    </row>
    <row r="28" spans="2:141" s="26" customFormat="1">
      <c r="B28" s="98" t="s">
        <v>1163</v>
      </c>
      <c r="C28" s="67"/>
      <c r="D28" s="67"/>
      <c r="E28" s="67"/>
      <c r="F28" s="67"/>
      <c r="G28" s="67"/>
      <c r="H28" s="67"/>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v>0</v>
      </c>
      <c r="BA28" s="67"/>
      <c r="BB28" s="67"/>
      <c r="BC28" s="67"/>
      <c r="BD28" s="67">
        <v>78</v>
      </c>
      <c r="BE28" s="67"/>
      <c r="BF28" s="67"/>
      <c r="BG28" s="67"/>
      <c r="BH28" s="67"/>
      <c r="BI28" s="67"/>
      <c r="BJ28" s="67"/>
      <c r="BK28" s="67"/>
      <c r="BL28" s="67"/>
      <c r="BM28" s="67"/>
      <c r="BN28" s="67"/>
      <c r="BO28" s="67"/>
      <c r="BP28" s="67"/>
      <c r="BQ28" s="67"/>
      <c r="BR28" s="67"/>
      <c r="BS28" s="67"/>
      <c r="BT28" s="67"/>
      <c r="BU28" s="67"/>
      <c r="BV28" s="67">
        <v>251</v>
      </c>
      <c r="BW28" s="67">
        <v>245</v>
      </c>
      <c r="BX28" s="67">
        <v>267</v>
      </c>
      <c r="BY28" s="67">
        <v>266</v>
      </c>
      <c r="BZ28" s="67">
        <v>266</v>
      </c>
      <c r="CA28" s="67">
        <v>280</v>
      </c>
      <c r="CB28" s="67">
        <v>253</v>
      </c>
      <c r="CC28" s="67">
        <v>260</v>
      </c>
      <c r="CD28" s="67">
        <v>272</v>
      </c>
      <c r="CE28" s="67">
        <v>251</v>
      </c>
      <c r="CF28" s="67">
        <v>280</v>
      </c>
      <c r="CG28" s="67">
        <v>293</v>
      </c>
      <c r="CH28" s="67">
        <v>284</v>
      </c>
      <c r="CI28" s="67">
        <v>287</v>
      </c>
      <c r="CJ28" s="67">
        <v>317</v>
      </c>
      <c r="CK28" s="67">
        <v>318</v>
      </c>
      <c r="CL28" s="67">
        <v>325</v>
      </c>
      <c r="CM28" s="117">
        <v>358</v>
      </c>
      <c r="CN28" s="67">
        <v>346</v>
      </c>
      <c r="CO28" s="67">
        <v>349</v>
      </c>
      <c r="CP28" s="67">
        <v>350</v>
      </c>
      <c r="CQ28" s="67">
        <v>376</v>
      </c>
      <c r="CR28" s="67">
        <v>377</v>
      </c>
      <c r="CS28" s="67">
        <f>+CO28</f>
        <v>349</v>
      </c>
      <c r="CT28" s="67">
        <f>+CP28</f>
        <v>350</v>
      </c>
      <c r="CU28" s="67">
        <f>+CQ28</f>
        <v>376</v>
      </c>
      <c r="CV28" s="67">
        <f>+CR28</f>
        <v>377</v>
      </c>
      <c r="CW28" s="67">
        <f>+CS28</f>
        <v>349</v>
      </c>
      <c r="CX28" s="67">
        <f>+CT28</f>
        <v>350</v>
      </c>
      <c r="CY28" s="67"/>
      <c r="CZ28" s="67"/>
      <c r="DA28" s="67"/>
      <c r="DB28" s="67"/>
      <c r="DC28" s="67"/>
      <c r="DD28" s="67"/>
      <c r="DE28" s="67"/>
      <c r="DF28" s="67"/>
      <c r="DG28" s="67"/>
      <c r="DH28" s="67"/>
      <c r="DI28" s="67"/>
      <c r="DJ28" s="67"/>
      <c r="DK28" s="67"/>
      <c r="DL28" s="67"/>
      <c r="DM28" s="67"/>
      <c r="DN28" s="67"/>
      <c r="DO28" s="67"/>
      <c r="DP28" s="67"/>
      <c r="DQ28" s="67"/>
      <c r="DR28" s="67"/>
      <c r="DS28" s="67"/>
      <c r="DT28" s="67">
        <f t="shared" si="39"/>
        <v>1044</v>
      </c>
      <c r="DU28" s="67">
        <f t="shared" si="40"/>
        <v>1065</v>
      </c>
      <c r="DV28" s="67">
        <f t="shared" si="41"/>
        <v>1108</v>
      </c>
      <c r="DW28" s="67">
        <f t="shared" si="42"/>
        <v>1247</v>
      </c>
      <c r="DX28" s="67">
        <f t="shared" si="43"/>
        <v>1403</v>
      </c>
      <c r="DY28" s="67">
        <f>+DX28*1.1</f>
        <v>1543.3000000000002</v>
      </c>
      <c r="DZ28" s="67">
        <f>+DY28*1.1</f>
        <v>1697.6300000000003</v>
      </c>
      <c r="EA28" s="67">
        <f>+DZ28*0.5</f>
        <v>848.81500000000017</v>
      </c>
      <c r="EB28" s="67">
        <f>+EA28*0.5</f>
        <v>424.40750000000008</v>
      </c>
      <c r="EC28" s="67">
        <f>+EB28*0.5</f>
        <v>212.20375000000004</v>
      </c>
      <c r="ED28" s="67">
        <f>+EC28*0.5</f>
        <v>106.10187500000002</v>
      </c>
      <c r="EE28" s="67">
        <f t="shared" ref="EE28:EJ28" si="63">+ED28*0.5</f>
        <v>53.050937500000011</v>
      </c>
      <c r="EF28" s="67">
        <f t="shared" si="63"/>
        <v>26.525468750000005</v>
      </c>
      <c r="EG28" s="67">
        <f t="shared" si="63"/>
        <v>13.262734375000003</v>
      </c>
      <c r="EH28" s="67">
        <f t="shared" si="63"/>
        <v>6.6313671875000013</v>
      </c>
      <c r="EI28" s="67">
        <f t="shared" si="63"/>
        <v>3.3156835937500007</v>
      </c>
      <c r="EJ28" s="67">
        <f t="shared" si="63"/>
        <v>1.6578417968750003</v>
      </c>
    </row>
    <row r="29" spans="2:141" s="26" customFormat="1">
      <c r="B29" s="26" t="s">
        <v>791</v>
      </c>
      <c r="C29" s="67"/>
      <c r="D29" s="67"/>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f>28+21</f>
        <v>49</v>
      </c>
      <c r="AN29" s="67">
        <f>32+23</f>
        <v>55</v>
      </c>
      <c r="AO29" s="67">
        <f>35+25</f>
        <v>60</v>
      </c>
      <c r="AP29" s="67">
        <f>34+31</f>
        <v>65</v>
      </c>
      <c r="AQ29" s="67">
        <f>37+28</f>
        <v>65</v>
      </c>
      <c r="AR29" s="67">
        <f>40+35</f>
        <v>75</v>
      </c>
      <c r="AS29" s="67">
        <f>+AR29</f>
        <v>75</v>
      </c>
      <c r="AT29" s="67">
        <f>+AS29</f>
        <v>75</v>
      </c>
      <c r="AU29" s="67">
        <f>+AT29</f>
        <v>75</v>
      </c>
      <c r="AV29" s="67">
        <v>86</v>
      </c>
      <c r="AW29" s="67">
        <f>+AV29</f>
        <v>86</v>
      </c>
      <c r="AX29" s="67">
        <f>+AW29</f>
        <v>86</v>
      </c>
      <c r="AY29" s="67"/>
      <c r="AZ29" s="67">
        <v>105</v>
      </c>
      <c r="BA29" s="67"/>
      <c r="BB29" s="67"/>
      <c r="BC29" s="67"/>
      <c r="BD29" s="67">
        <v>118</v>
      </c>
      <c r="BE29" s="67"/>
      <c r="BF29" s="67"/>
      <c r="BG29" s="67"/>
      <c r="BH29" s="67"/>
      <c r="BI29" s="67"/>
      <c r="BJ29" s="67"/>
      <c r="BK29" s="67"/>
      <c r="BL29" s="67"/>
      <c r="BM29" s="67"/>
      <c r="BN29" s="67"/>
      <c r="BO29" s="67"/>
      <c r="BP29" s="67"/>
      <c r="BQ29" s="67"/>
      <c r="BR29" s="67"/>
      <c r="BS29" s="67"/>
      <c r="BT29" s="67"/>
      <c r="BU29" s="67"/>
      <c r="BV29" s="67">
        <v>182</v>
      </c>
      <c r="BW29" s="67">
        <v>189</v>
      </c>
      <c r="BX29" s="67">
        <v>201</v>
      </c>
      <c r="BY29" s="67">
        <v>195</v>
      </c>
      <c r="BZ29" s="67">
        <v>210</v>
      </c>
      <c r="CA29" s="67">
        <v>218</v>
      </c>
      <c r="CB29" s="67">
        <v>193</v>
      </c>
      <c r="CC29" s="67">
        <v>212</v>
      </c>
      <c r="CD29" s="67">
        <v>227</v>
      </c>
      <c r="CE29" s="67">
        <v>227</v>
      </c>
      <c r="CF29" s="67">
        <v>245</v>
      </c>
      <c r="CG29" s="67">
        <v>273</v>
      </c>
      <c r="CH29" s="67">
        <v>282</v>
      </c>
      <c r="CI29" s="67">
        <v>266</v>
      </c>
      <c r="CJ29" s="67">
        <v>284</v>
      </c>
      <c r="CK29" s="67">
        <v>288</v>
      </c>
      <c r="CL29" s="108">
        <v>469</v>
      </c>
      <c r="CM29" s="117">
        <v>362</v>
      </c>
      <c r="CN29" s="67">
        <v>310</v>
      </c>
      <c r="CO29" s="67">
        <v>419</v>
      </c>
      <c r="CP29" s="67">
        <v>386</v>
      </c>
      <c r="CQ29" s="67">
        <v>317</v>
      </c>
      <c r="CR29" s="67">
        <v>346</v>
      </c>
      <c r="CS29" s="67">
        <f>+CO29</f>
        <v>419</v>
      </c>
      <c r="CT29" s="67">
        <f>+CP29</f>
        <v>386</v>
      </c>
      <c r="CU29" s="67">
        <f>+CQ29</f>
        <v>317</v>
      </c>
      <c r="CV29" s="67">
        <f>+CR29</f>
        <v>346</v>
      </c>
      <c r="CW29" s="67">
        <f>+CS29</f>
        <v>419</v>
      </c>
      <c r="CX29" s="67">
        <f>+CT29</f>
        <v>386</v>
      </c>
      <c r="CY29" s="67"/>
      <c r="CZ29" s="67"/>
      <c r="DA29" s="67"/>
      <c r="DB29" s="67"/>
      <c r="DC29" s="67"/>
      <c r="DD29" s="67"/>
      <c r="DE29" s="67"/>
      <c r="DF29" s="67"/>
      <c r="DG29" s="67"/>
      <c r="DH29" s="67"/>
      <c r="DI29" s="67"/>
      <c r="DJ29" s="67"/>
      <c r="DK29" s="67">
        <f>SUM(AM29:AP29)</f>
        <v>229</v>
      </c>
      <c r="DL29" s="67">
        <f>SUM(AQ29:AT29)</f>
        <v>290</v>
      </c>
      <c r="DM29" s="67">
        <f t="shared" ref="DM29:DR29" si="64">+DL29*1.05</f>
        <v>304.5</v>
      </c>
      <c r="DN29" s="67">
        <f t="shared" si="64"/>
        <v>319.72500000000002</v>
      </c>
      <c r="DO29" s="67">
        <f t="shared" si="64"/>
        <v>335.71125000000006</v>
      </c>
      <c r="DP29" s="67">
        <f t="shared" si="64"/>
        <v>352.49681250000009</v>
      </c>
      <c r="DQ29" s="67">
        <f t="shared" si="64"/>
        <v>370.12165312500014</v>
      </c>
      <c r="DR29" s="67">
        <f t="shared" si="64"/>
        <v>388.62773578125018</v>
      </c>
      <c r="DS29" s="67"/>
      <c r="DT29" s="67">
        <f t="shared" si="39"/>
        <v>795</v>
      </c>
      <c r="DU29" s="67">
        <f t="shared" si="40"/>
        <v>850</v>
      </c>
      <c r="DV29" s="67">
        <f t="shared" si="41"/>
        <v>1027</v>
      </c>
      <c r="DW29" s="67">
        <f t="shared" si="42"/>
        <v>1307</v>
      </c>
      <c r="DX29" s="67">
        <f t="shared" si="43"/>
        <v>1477</v>
      </c>
      <c r="DY29" s="67">
        <f t="shared" ref="DY29:EB30" si="65">+DX29*1.05</f>
        <v>1550.8500000000001</v>
      </c>
      <c r="DZ29" s="67">
        <f t="shared" si="65"/>
        <v>1628.3925000000002</v>
      </c>
      <c r="EA29" s="67">
        <f t="shared" si="65"/>
        <v>1709.8121250000002</v>
      </c>
      <c r="EB29" s="67">
        <f t="shared" si="65"/>
        <v>1795.3027312500003</v>
      </c>
      <c r="EC29" s="67">
        <f t="shared" ref="EC29:EJ29" si="66">+EB29*0.99</f>
        <v>1777.3497039375002</v>
      </c>
      <c r="ED29" s="67">
        <f t="shared" si="66"/>
        <v>1759.5762068981251</v>
      </c>
      <c r="EE29" s="67">
        <f t="shared" si="66"/>
        <v>1741.9804448291438</v>
      </c>
      <c r="EF29" s="67">
        <f t="shared" si="66"/>
        <v>1724.5606403808524</v>
      </c>
      <c r="EG29" s="67">
        <f t="shared" si="66"/>
        <v>1707.3150339770439</v>
      </c>
      <c r="EH29" s="67">
        <f t="shared" si="66"/>
        <v>1690.2418836372733</v>
      </c>
      <c r="EI29" s="67">
        <f t="shared" si="66"/>
        <v>1673.3394648009005</v>
      </c>
      <c r="EJ29" s="67">
        <f t="shared" si="66"/>
        <v>1656.6060701528916</v>
      </c>
    </row>
    <row r="30" spans="2:141" s="26" customFormat="1">
      <c r="B30" s="98" t="s">
        <v>1204</v>
      </c>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v>63</v>
      </c>
      <c r="BW30" s="67">
        <v>69</v>
      </c>
      <c r="BX30" s="67">
        <v>78</v>
      </c>
      <c r="BY30" s="67">
        <v>85</v>
      </c>
      <c r="BZ30" s="67">
        <v>80</v>
      </c>
      <c r="CA30" s="67">
        <v>94</v>
      </c>
      <c r="CB30" s="67">
        <v>93</v>
      </c>
      <c r="CC30" s="67">
        <v>89</v>
      </c>
      <c r="CD30" s="67">
        <v>103</v>
      </c>
      <c r="CE30" s="67">
        <v>107</v>
      </c>
      <c r="CF30" s="67">
        <v>108</v>
      </c>
      <c r="CG30" s="67">
        <v>125</v>
      </c>
      <c r="CH30" s="67">
        <v>132</v>
      </c>
      <c r="CI30" s="67">
        <v>138</v>
      </c>
      <c r="CJ30" s="67">
        <v>139</v>
      </c>
      <c r="CK30" s="67">
        <v>142</v>
      </c>
      <c r="CL30" s="67">
        <v>164</v>
      </c>
      <c r="CM30" s="117">
        <v>194</v>
      </c>
      <c r="CN30" s="67">
        <v>206</v>
      </c>
      <c r="CO30" s="67">
        <v>220</v>
      </c>
      <c r="CP30" s="67">
        <v>241</v>
      </c>
      <c r="CQ30" s="67">
        <v>244</v>
      </c>
      <c r="CR30" s="67">
        <v>264</v>
      </c>
      <c r="CS30" s="67">
        <f>+CR30+5</f>
        <v>269</v>
      </c>
      <c r="CT30" s="67">
        <f>+CS30+5</f>
        <v>274</v>
      </c>
      <c r="CU30" s="67">
        <f>+CT30+5</f>
        <v>279</v>
      </c>
      <c r="CV30" s="67">
        <f>+CU30+5</f>
        <v>284</v>
      </c>
      <c r="CW30" s="67">
        <f>+CV30+5</f>
        <v>289</v>
      </c>
      <c r="CX30" s="67">
        <f>+CW30+5</f>
        <v>294</v>
      </c>
      <c r="CY30" s="67"/>
      <c r="CZ30" s="67"/>
      <c r="DA30" s="67"/>
      <c r="DB30" s="67"/>
      <c r="DC30" s="67"/>
      <c r="DD30" s="67"/>
      <c r="DE30" s="67"/>
      <c r="DF30" s="67"/>
      <c r="DG30" s="67"/>
      <c r="DH30" s="67"/>
      <c r="DI30" s="67"/>
      <c r="DJ30" s="67"/>
      <c r="DK30" s="67"/>
      <c r="DL30" s="67"/>
      <c r="DM30" s="67"/>
      <c r="DN30" s="67"/>
      <c r="DO30" s="67"/>
      <c r="DP30" s="67"/>
      <c r="DQ30" s="67"/>
      <c r="DR30" s="67"/>
      <c r="DS30" s="67"/>
      <c r="DT30" s="67">
        <f t="shared" si="39"/>
        <v>312</v>
      </c>
      <c r="DU30" s="67">
        <f t="shared" si="40"/>
        <v>379</v>
      </c>
      <c r="DV30" s="67">
        <f t="shared" si="41"/>
        <v>472</v>
      </c>
      <c r="DW30" s="67">
        <f t="shared" si="42"/>
        <v>583</v>
      </c>
      <c r="DX30" s="67">
        <f t="shared" si="43"/>
        <v>861</v>
      </c>
      <c r="DY30" s="67">
        <f t="shared" si="65"/>
        <v>904.05000000000007</v>
      </c>
      <c r="DZ30" s="67">
        <f t="shared" si="65"/>
        <v>949.25250000000017</v>
      </c>
      <c r="EA30" s="67">
        <f t="shared" si="65"/>
        <v>996.71512500000017</v>
      </c>
      <c r="EB30" s="67">
        <f t="shared" si="65"/>
        <v>1046.5508812500002</v>
      </c>
      <c r="EC30" s="67">
        <f t="shared" ref="EC30:EJ30" si="67">+EB30*1.05</f>
        <v>1098.8784253125002</v>
      </c>
      <c r="ED30" s="67">
        <f t="shared" si="67"/>
        <v>1153.8223465781252</v>
      </c>
      <c r="EE30" s="67">
        <f t="shared" si="67"/>
        <v>1211.5134639070316</v>
      </c>
      <c r="EF30" s="67">
        <f t="shared" si="67"/>
        <v>1272.0891371023831</v>
      </c>
      <c r="EG30" s="67">
        <f t="shared" si="67"/>
        <v>1335.6935939575023</v>
      </c>
      <c r="EH30" s="67">
        <f t="shared" si="67"/>
        <v>1402.4782736553775</v>
      </c>
      <c r="EI30" s="67">
        <f t="shared" si="67"/>
        <v>1472.6021873381465</v>
      </c>
      <c r="EJ30" s="67">
        <f t="shared" si="67"/>
        <v>1546.2322967050538</v>
      </c>
    </row>
    <row r="31" spans="2:141" s="26" customFormat="1">
      <c r="B31" s="98" t="s">
        <v>1205</v>
      </c>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v>0</v>
      </c>
      <c r="BW31" s="67">
        <v>0</v>
      </c>
      <c r="BX31" s="67">
        <v>0</v>
      </c>
      <c r="BY31" s="67">
        <v>43</v>
      </c>
      <c r="BZ31" s="67">
        <v>84</v>
      </c>
      <c r="CA31" s="67">
        <v>115</v>
      </c>
      <c r="CB31" s="67">
        <v>172</v>
      </c>
      <c r="CC31" s="67">
        <v>231</v>
      </c>
      <c r="CD31" s="67">
        <v>280</v>
      </c>
      <c r="CE31" s="67">
        <v>294</v>
      </c>
      <c r="CF31" s="67">
        <v>294</v>
      </c>
      <c r="CG31" s="67">
        <v>274</v>
      </c>
      <c r="CH31" s="67">
        <v>304</v>
      </c>
      <c r="CI31" s="67">
        <v>244</v>
      </c>
      <c r="CJ31" s="67">
        <v>243</v>
      </c>
      <c r="CK31" s="67">
        <v>209</v>
      </c>
      <c r="CL31" s="67">
        <v>205</v>
      </c>
      <c r="CM31" s="117">
        <v>202</v>
      </c>
      <c r="CN31" s="67">
        <v>197</v>
      </c>
      <c r="CO31" s="67">
        <v>213</v>
      </c>
      <c r="CP31" s="67">
        <v>188</v>
      </c>
      <c r="CQ31" s="67">
        <v>202</v>
      </c>
      <c r="CR31" s="67">
        <v>157</v>
      </c>
      <c r="CS31" s="67">
        <f>+CR31</f>
        <v>157</v>
      </c>
      <c r="CT31" s="67">
        <f>+CS31</f>
        <v>157</v>
      </c>
      <c r="CU31" s="67">
        <f>+CT31</f>
        <v>157</v>
      </c>
      <c r="CV31" s="67">
        <f>+CU31</f>
        <v>157</v>
      </c>
      <c r="CW31" s="67">
        <f>+CV31</f>
        <v>157</v>
      </c>
      <c r="CX31" s="67">
        <f>+CW31</f>
        <v>157</v>
      </c>
      <c r="CY31" s="67"/>
      <c r="CZ31" s="67"/>
      <c r="DA31" s="67"/>
      <c r="DB31" s="67"/>
      <c r="DC31" s="67"/>
      <c r="DD31" s="67"/>
      <c r="DE31" s="67"/>
      <c r="DF31" s="67"/>
      <c r="DG31" s="67"/>
      <c r="DH31" s="67"/>
      <c r="DI31" s="67"/>
      <c r="DJ31" s="67"/>
      <c r="DK31" s="67"/>
      <c r="DL31" s="67"/>
      <c r="DM31" s="67"/>
      <c r="DN31" s="67"/>
      <c r="DO31" s="67"/>
      <c r="DP31" s="67"/>
      <c r="DQ31" s="67"/>
      <c r="DR31" s="67"/>
      <c r="DS31" s="67"/>
      <c r="DT31" s="67">
        <f t="shared" si="39"/>
        <v>127</v>
      </c>
      <c r="DU31" s="67">
        <f t="shared" si="40"/>
        <v>798</v>
      </c>
      <c r="DV31" s="67">
        <f t="shared" si="41"/>
        <v>1166</v>
      </c>
      <c r="DW31" s="67">
        <f t="shared" si="42"/>
        <v>901</v>
      </c>
      <c r="DX31" s="67">
        <f t="shared" si="43"/>
        <v>800</v>
      </c>
      <c r="DY31" s="67">
        <f>+DX31*0.9</f>
        <v>720</v>
      </c>
      <c r="DZ31" s="67">
        <f t="shared" ref="DZ31:EJ31" si="68">+DY31*0.9</f>
        <v>648</v>
      </c>
      <c r="EA31" s="67">
        <f t="shared" si="68"/>
        <v>583.20000000000005</v>
      </c>
      <c r="EB31" s="67">
        <f t="shared" si="68"/>
        <v>524.88000000000011</v>
      </c>
      <c r="EC31" s="67">
        <f t="shared" si="68"/>
        <v>472.39200000000011</v>
      </c>
      <c r="ED31" s="67">
        <f t="shared" si="68"/>
        <v>425.15280000000013</v>
      </c>
      <c r="EE31" s="67">
        <f t="shared" si="68"/>
        <v>382.63752000000011</v>
      </c>
      <c r="EF31" s="67">
        <f t="shared" si="68"/>
        <v>344.3737680000001</v>
      </c>
      <c r="EG31" s="67">
        <f t="shared" si="68"/>
        <v>309.93639120000012</v>
      </c>
      <c r="EH31" s="67">
        <f t="shared" si="68"/>
        <v>278.9427520800001</v>
      </c>
      <c r="EI31" s="67">
        <f t="shared" si="68"/>
        <v>251.04847687200009</v>
      </c>
      <c r="EJ31" s="67">
        <f t="shared" si="68"/>
        <v>225.9436291848001</v>
      </c>
    </row>
    <row r="32" spans="2:141" s="26" customFormat="1">
      <c r="B32" s="97" t="s">
        <v>1305</v>
      </c>
      <c r="C32" s="67"/>
      <c r="D32" s="67"/>
      <c r="E32" s="67"/>
      <c r="F32" s="67"/>
      <c r="G32" s="67"/>
      <c r="H32" s="67"/>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c r="BR32" s="67"/>
      <c r="BS32" s="67"/>
      <c r="BT32" s="67"/>
      <c r="BU32" s="67"/>
      <c r="BV32" s="67"/>
      <c r="BW32" s="67"/>
      <c r="BX32" s="67"/>
      <c r="BY32" s="67"/>
      <c r="BZ32" s="67"/>
      <c r="CA32" s="67"/>
      <c r="CB32" s="67"/>
      <c r="CC32" s="67"/>
      <c r="CD32" s="67"/>
      <c r="CE32" s="67"/>
      <c r="CF32" s="67"/>
      <c r="CG32" s="67"/>
      <c r="CH32" s="67"/>
      <c r="CI32" s="67"/>
      <c r="CJ32" s="67"/>
      <c r="CK32" s="67"/>
      <c r="CL32" s="67"/>
      <c r="CM32" s="117"/>
      <c r="CN32" s="67">
        <v>0</v>
      </c>
      <c r="CO32" s="67"/>
      <c r="CP32" s="67"/>
      <c r="CQ32" s="67"/>
      <c r="CR32" s="67">
        <v>12</v>
      </c>
      <c r="CS32" s="67">
        <f>+CR32+5</f>
        <v>17</v>
      </c>
      <c r="CT32" s="67">
        <f>+CS32+5</f>
        <v>22</v>
      </c>
      <c r="CU32" s="67">
        <f>+CT32+5</f>
        <v>27</v>
      </c>
      <c r="CV32" s="67">
        <f>+CU32+5</f>
        <v>32</v>
      </c>
      <c r="CW32" s="67">
        <f>+CV32+5</f>
        <v>37</v>
      </c>
      <c r="CX32" s="67">
        <f>+CW32+5</f>
        <v>42</v>
      </c>
      <c r="CY32" s="67"/>
      <c r="CZ32" s="67"/>
      <c r="DA32" s="67"/>
      <c r="DB32" s="67"/>
      <c r="DC32" s="67"/>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7"/>
      <c r="EB32" s="67"/>
      <c r="EC32" s="67"/>
      <c r="ED32" s="67"/>
      <c r="EE32" s="67"/>
      <c r="EF32" s="67"/>
      <c r="EG32" s="67"/>
      <c r="EH32" s="67"/>
      <c r="EI32" s="67"/>
      <c r="EJ32" s="67"/>
    </row>
    <row r="33" spans="2:140" s="26" customFormat="1">
      <c r="B33" s="98" t="s">
        <v>1206</v>
      </c>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v>23</v>
      </c>
      <c r="BW33" s="67">
        <v>24</v>
      </c>
      <c r="BX33" s="67">
        <v>30</v>
      </c>
      <c r="BY33" s="67">
        <v>69</v>
      </c>
      <c r="BZ33" s="67">
        <v>103</v>
      </c>
      <c r="CA33" s="67">
        <v>119</v>
      </c>
      <c r="CB33" s="67">
        <v>123</v>
      </c>
      <c r="CC33" s="67">
        <v>167</v>
      </c>
      <c r="CD33" s="67">
        <v>158</v>
      </c>
      <c r="CE33" s="67">
        <v>161</v>
      </c>
      <c r="CF33" s="67">
        <v>156</v>
      </c>
      <c r="CG33" s="67">
        <v>116</v>
      </c>
      <c r="CH33" s="67">
        <v>139</v>
      </c>
      <c r="CI33" s="67">
        <v>96</v>
      </c>
      <c r="CJ33" s="67">
        <v>85</v>
      </c>
      <c r="CK33" s="67">
        <v>72</v>
      </c>
      <c r="CL33" s="67">
        <v>63</v>
      </c>
      <c r="CM33" s="117"/>
      <c r="CN33" s="67"/>
      <c r="CO33" s="67">
        <v>20</v>
      </c>
      <c r="CP33" s="67">
        <v>42</v>
      </c>
      <c r="CQ33" s="67"/>
      <c r="CR33" s="67"/>
      <c r="CS33" s="67"/>
      <c r="CT33" s="67"/>
      <c r="CU33" s="67"/>
      <c r="CV33" s="67"/>
      <c r="CW33" s="67"/>
      <c r="CX33" s="67"/>
      <c r="CY33" s="67"/>
      <c r="CZ33" s="67"/>
      <c r="DA33" s="67"/>
      <c r="DB33" s="67"/>
      <c r="DC33" s="67"/>
      <c r="DD33" s="67"/>
      <c r="DE33" s="67"/>
      <c r="DF33" s="67"/>
      <c r="DG33" s="67"/>
      <c r="DH33" s="67"/>
      <c r="DI33" s="67"/>
      <c r="DJ33" s="67"/>
      <c r="DK33" s="67"/>
      <c r="DL33" s="67"/>
      <c r="DM33" s="67"/>
      <c r="DN33" s="67"/>
      <c r="DO33" s="67"/>
      <c r="DP33" s="67"/>
      <c r="DQ33" s="67"/>
      <c r="DR33" s="67"/>
      <c r="DS33" s="67"/>
      <c r="DT33" s="67">
        <f t="shared" si="39"/>
        <v>226</v>
      </c>
      <c r="DU33" s="67">
        <f t="shared" si="40"/>
        <v>567</v>
      </c>
      <c r="DV33" s="67">
        <f t="shared" si="41"/>
        <v>572</v>
      </c>
      <c r="DW33" s="67">
        <f t="shared" si="42"/>
        <v>316</v>
      </c>
      <c r="DX33" s="67">
        <f t="shared" si="43"/>
        <v>62</v>
      </c>
      <c r="DY33" s="67">
        <f t="shared" ref="DY33:EJ33" si="69">+DX33*0.9</f>
        <v>55.800000000000004</v>
      </c>
      <c r="DZ33" s="67">
        <f t="shared" si="69"/>
        <v>50.220000000000006</v>
      </c>
      <c r="EA33" s="67">
        <f t="shared" si="69"/>
        <v>45.198000000000008</v>
      </c>
      <c r="EB33" s="67">
        <f t="shared" si="69"/>
        <v>40.678200000000011</v>
      </c>
      <c r="EC33" s="67">
        <f t="shared" si="69"/>
        <v>36.610380000000013</v>
      </c>
      <c r="ED33" s="67">
        <f t="shared" si="69"/>
        <v>32.949342000000016</v>
      </c>
      <c r="EE33" s="67">
        <f t="shared" si="69"/>
        <v>29.654407800000016</v>
      </c>
      <c r="EF33" s="67">
        <f t="shared" si="69"/>
        <v>26.688967020000014</v>
      </c>
      <c r="EG33" s="67">
        <f t="shared" si="69"/>
        <v>24.020070318000013</v>
      </c>
      <c r="EH33" s="67">
        <f t="shared" si="69"/>
        <v>21.618063286200012</v>
      </c>
      <c r="EI33" s="67">
        <f t="shared" si="69"/>
        <v>19.456256957580013</v>
      </c>
      <c r="EJ33" s="67">
        <f t="shared" si="69"/>
        <v>17.510631261822013</v>
      </c>
    </row>
    <row r="34" spans="2:140" s="26" customFormat="1">
      <c r="B34" s="97" t="s">
        <v>1309</v>
      </c>
      <c r="C34" s="67"/>
      <c r="D34" s="67"/>
      <c r="E34" s="67"/>
      <c r="F34" s="67"/>
      <c r="G34" s="67"/>
      <c r="H34" s="67"/>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c r="CJ34" s="67"/>
      <c r="CK34" s="67"/>
      <c r="CL34" s="67">
        <v>0</v>
      </c>
      <c r="CM34" s="117">
        <v>0</v>
      </c>
      <c r="CN34" s="67">
        <v>0</v>
      </c>
      <c r="CO34" s="67"/>
      <c r="CP34" s="67">
        <v>164</v>
      </c>
      <c r="CQ34" s="67">
        <v>169</v>
      </c>
      <c r="CR34" s="67">
        <v>187</v>
      </c>
      <c r="CS34" s="67">
        <f>+CR34</f>
        <v>187</v>
      </c>
      <c r="CT34" s="67">
        <f>+CS34</f>
        <v>187</v>
      </c>
      <c r="CU34" s="67">
        <f>+CT34</f>
        <v>187</v>
      </c>
      <c r="CV34" s="67">
        <f>+CU34</f>
        <v>187</v>
      </c>
      <c r="CW34" s="67">
        <f>+CV34</f>
        <v>187</v>
      </c>
      <c r="CX34" s="67">
        <f>+CW34</f>
        <v>187</v>
      </c>
      <c r="CY34" s="67"/>
      <c r="CZ34" s="67"/>
      <c r="DA34" s="67"/>
      <c r="DB34" s="67"/>
      <c r="DC34" s="67"/>
      <c r="DD34" s="67"/>
      <c r="DE34" s="67"/>
      <c r="DF34" s="67"/>
      <c r="DG34" s="67"/>
      <c r="DH34" s="67"/>
      <c r="DI34" s="67"/>
      <c r="DJ34" s="67"/>
      <c r="DK34" s="67"/>
      <c r="DL34" s="67"/>
      <c r="DM34" s="67"/>
      <c r="DN34" s="67"/>
      <c r="DO34" s="67"/>
      <c r="DP34" s="67"/>
      <c r="DQ34" s="67"/>
      <c r="DR34" s="67"/>
      <c r="DS34" s="67"/>
      <c r="DT34" s="67"/>
      <c r="DU34" s="67"/>
      <c r="DV34" s="67"/>
      <c r="DW34" s="67"/>
      <c r="DX34" s="67"/>
      <c r="DY34" s="67"/>
      <c r="DZ34" s="67"/>
      <c r="EA34" s="67"/>
      <c r="EB34" s="67"/>
      <c r="EC34" s="67"/>
      <c r="ED34" s="67"/>
      <c r="EE34" s="67"/>
      <c r="EF34" s="67"/>
      <c r="EG34" s="67"/>
      <c r="EH34" s="67"/>
      <c r="EI34" s="67"/>
      <c r="EJ34" s="67"/>
    </row>
    <row r="35" spans="2:140" s="26" customFormat="1">
      <c r="B35" s="26" t="s">
        <v>451</v>
      </c>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v>74</v>
      </c>
      <c r="BA35" s="67"/>
      <c r="BB35" s="67"/>
      <c r="BC35" s="67"/>
      <c r="BD35" s="67">
        <v>59</v>
      </c>
      <c r="BE35" s="67"/>
      <c r="BF35" s="67"/>
      <c r="BG35" s="67"/>
      <c r="BH35" s="67"/>
      <c r="BI35" s="67"/>
      <c r="BJ35" s="67"/>
      <c r="BK35" s="67"/>
      <c r="BL35" s="67"/>
      <c r="BM35" s="67"/>
      <c r="BN35" s="67"/>
      <c r="BO35" s="67"/>
      <c r="BP35" s="67"/>
      <c r="BQ35" s="67"/>
      <c r="BR35" s="67"/>
      <c r="BS35" s="67"/>
      <c r="BT35" s="67"/>
      <c r="BU35" s="67"/>
      <c r="BV35" s="67">
        <v>73</v>
      </c>
      <c r="BW35" s="67">
        <v>61</v>
      </c>
      <c r="BX35" s="67">
        <v>79</v>
      </c>
      <c r="BY35" s="67">
        <v>85</v>
      </c>
      <c r="BZ35" s="67">
        <v>87</v>
      </c>
      <c r="CA35" s="67">
        <v>64</v>
      </c>
      <c r="CB35" s="67">
        <v>60</v>
      </c>
      <c r="CC35" s="67">
        <v>83</v>
      </c>
      <c r="CD35" s="67">
        <v>76</v>
      </c>
      <c r="CE35" s="67">
        <v>72</v>
      </c>
      <c r="CF35" s="67">
        <v>68</v>
      </c>
      <c r="CG35" s="67">
        <v>93</v>
      </c>
      <c r="CH35" s="67">
        <v>106</v>
      </c>
      <c r="CI35" s="67">
        <v>85</v>
      </c>
      <c r="CJ35" s="67">
        <v>113</v>
      </c>
      <c r="CK35" s="67">
        <v>114</v>
      </c>
      <c r="CL35" s="67">
        <v>119</v>
      </c>
      <c r="CM35" s="117">
        <v>309</v>
      </c>
      <c r="CN35" s="67">
        <v>306</v>
      </c>
      <c r="CO35" s="67">
        <v>167</v>
      </c>
      <c r="CP35" s="67">
        <v>175</v>
      </c>
      <c r="CQ35" s="67">
        <v>357</v>
      </c>
      <c r="CR35" s="67">
        <v>346</v>
      </c>
      <c r="CS35" s="67">
        <f>+CR35</f>
        <v>346</v>
      </c>
      <c r="CT35" s="67">
        <f>+CS35</f>
        <v>346</v>
      </c>
      <c r="CU35" s="67">
        <f>+CT35</f>
        <v>346</v>
      </c>
      <c r="CV35" s="67">
        <f>+CU35</f>
        <v>346</v>
      </c>
      <c r="CW35" s="67">
        <f>+CV35</f>
        <v>346</v>
      </c>
      <c r="CX35" s="67">
        <f>+CW35</f>
        <v>346</v>
      </c>
      <c r="CY35" s="67"/>
      <c r="CZ35" s="67"/>
      <c r="DA35" s="67"/>
      <c r="DB35" s="67"/>
      <c r="DC35" s="67"/>
      <c r="DD35" s="67"/>
      <c r="DE35" s="67"/>
      <c r="DF35" s="67"/>
      <c r="DG35" s="67"/>
      <c r="DH35" s="67"/>
      <c r="DI35" s="67"/>
      <c r="DJ35" s="67"/>
      <c r="DK35" s="67"/>
      <c r="DL35" s="67"/>
      <c r="DM35" s="67"/>
      <c r="DN35" s="67"/>
      <c r="DO35" s="67"/>
      <c r="DP35" s="67"/>
      <c r="DQ35" s="67"/>
      <c r="DR35" s="67"/>
      <c r="DS35" s="67"/>
      <c r="DT35" s="67">
        <f t="shared" si="39"/>
        <v>312</v>
      </c>
      <c r="DU35" s="67">
        <f t="shared" si="40"/>
        <v>283</v>
      </c>
      <c r="DV35" s="67">
        <f t="shared" si="41"/>
        <v>339</v>
      </c>
      <c r="DW35" s="67">
        <f t="shared" si="42"/>
        <v>431</v>
      </c>
      <c r="DX35" s="67">
        <f t="shared" si="43"/>
        <v>957</v>
      </c>
      <c r="DY35" s="67">
        <f t="shared" ref="DY35:EJ35" si="70">+DX35*0.9</f>
        <v>861.30000000000007</v>
      </c>
      <c r="DZ35" s="67">
        <f t="shared" si="70"/>
        <v>775.17000000000007</v>
      </c>
      <c r="EA35" s="67">
        <f t="shared" si="70"/>
        <v>697.65300000000013</v>
      </c>
      <c r="EB35" s="67">
        <f t="shared" si="70"/>
        <v>627.88770000000011</v>
      </c>
      <c r="EC35" s="67">
        <f t="shared" si="70"/>
        <v>565.09893000000011</v>
      </c>
      <c r="ED35" s="67">
        <f t="shared" si="70"/>
        <v>508.58903700000013</v>
      </c>
      <c r="EE35" s="67">
        <f t="shared" si="70"/>
        <v>457.73013330000015</v>
      </c>
      <c r="EF35" s="67">
        <f t="shared" si="70"/>
        <v>411.95711997000012</v>
      </c>
      <c r="EG35" s="67">
        <f t="shared" si="70"/>
        <v>370.76140797300013</v>
      </c>
      <c r="EH35" s="67">
        <f t="shared" si="70"/>
        <v>333.68526717570012</v>
      </c>
      <c r="EI35" s="67">
        <f t="shared" si="70"/>
        <v>300.31674045813014</v>
      </c>
      <c r="EJ35" s="67">
        <f t="shared" si="70"/>
        <v>270.28506641231712</v>
      </c>
    </row>
    <row r="36" spans="2:140" s="26" customFormat="1">
      <c r="B36" s="97" t="s">
        <v>1233</v>
      </c>
      <c r="C36" s="67"/>
      <c r="D36" s="67"/>
      <c r="E36" s="67"/>
      <c r="F36" s="67"/>
      <c r="G36" s="67"/>
      <c r="H36" s="67"/>
      <c r="I36" s="67"/>
      <c r="J36" s="67"/>
      <c r="K36" s="67"/>
      <c r="L36" s="67"/>
      <c r="M36" s="67"/>
      <c r="N36" s="67"/>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67"/>
      <c r="CJ36" s="67"/>
      <c r="CK36" s="67">
        <v>0</v>
      </c>
      <c r="CL36" s="67">
        <v>21</v>
      </c>
      <c r="CM36" s="117">
        <v>23</v>
      </c>
      <c r="CN36" s="67">
        <v>30</v>
      </c>
      <c r="CO36" s="67">
        <v>37</v>
      </c>
      <c r="CP36" s="67">
        <v>44</v>
      </c>
      <c r="CQ36" s="67">
        <v>51</v>
      </c>
      <c r="CR36" s="67">
        <v>71</v>
      </c>
      <c r="CS36" s="67">
        <f>+CR36+7</f>
        <v>78</v>
      </c>
      <c r="CT36" s="67">
        <f>+CS36+7</f>
        <v>85</v>
      </c>
      <c r="CU36" s="67">
        <f>+CT36+7</f>
        <v>92</v>
      </c>
      <c r="CV36" s="67">
        <f>+CU36+7</f>
        <v>99</v>
      </c>
      <c r="CW36" s="67">
        <f>+CV36+7</f>
        <v>106</v>
      </c>
      <c r="CX36" s="67">
        <f>+CW36+7</f>
        <v>113</v>
      </c>
      <c r="CY36" s="67"/>
      <c r="CZ36" s="67"/>
      <c r="DA36" s="67"/>
      <c r="DB36" s="67"/>
      <c r="DC36" s="67"/>
      <c r="DD36" s="67"/>
      <c r="DE36" s="67"/>
      <c r="DF36" s="67"/>
      <c r="DG36" s="67"/>
      <c r="DH36" s="67"/>
      <c r="DI36" s="67"/>
      <c r="DJ36" s="67"/>
      <c r="DK36" s="67"/>
      <c r="DL36" s="67"/>
      <c r="DM36" s="67"/>
      <c r="DN36" s="67"/>
      <c r="DO36" s="67"/>
      <c r="DP36" s="67"/>
      <c r="DQ36" s="67"/>
      <c r="DR36" s="67"/>
      <c r="DS36" s="67"/>
      <c r="DT36" s="67"/>
      <c r="DU36" s="67"/>
      <c r="DV36" s="67"/>
      <c r="DW36" s="67">
        <f t="shared" si="42"/>
        <v>21</v>
      </c>
      <c r="DX36" s="67">
        <v>200</v>
      </c>
      <c r="DY36" s="67">
        <f>+DX36*1.5</f>
        <v>300</v>
      </c>
      <c r="DZ36" s="67">
        <f>+DY36*1.5</f>
        <v>450</v>
      </c>
      <c r="EA36" s="67">
        <f>+DZ36*1.5</f>
        <v>675</v>
      </c>
      <c r="EB36" s="67">
        <f>+EA36*1.01</f>
        <v>681.75</v>
      </c>
      <c r="EC36" s="67">
        <f t="shared" ref="EC36:EI36" si="71">+EB36*1.01</f>
        <v>688.5675</v>
      </c>
      <c r="ED36" s="67">
        <f t="shared" si="71"/>
        <v>695.45317499999999</v>
      </c>
      <c r="EE36" s="67">
        <f t="shared" si="71"/>
        <v>702.40770674999999</v>
      </c>
      <c r="EF36" s="67">
        <f t="shared" si="71"/>
        <v>709.43178381749999</v>
      </c>
      <c r="EG36" s="67">
        <f t="shared" si="71"/>
        <v>716.52610165567501</v>
      </c>
      <c r="EH36" s="67">
        <f t="shared" si="71"/>
        <v>723.69136267223178</v>
      </c>
      <c r="EI36" s="67">
        <f t="shared" si="71"/>
        <v>730.92827629895407</v>
      </c>
      <c r="EJ36" s="26">
        <f>+EI36*0.1</f>
        <v>73.09282762989541</v>
      </c>
    </row>
    <row r="37" spans="2:140" s="26" customFormat="1">
      <c r="B37" s="26" t="s">
        <v>98</v>
      </c>
      <c r="C37" s="67">
        <f t="shared" ref="C37:J37" si="72">C3+C4+C6+C7+C8+C15+C16</f>
        <v>797</v>
      </c>
      <c r="D37" s="67">
        <f t="shared" si="72"/>
        <v>858</v>
      </c>
      <c r="E37" s="67">
        <f t="shared" si="72"/>
        <v>903</v>
      </c>
      <c r="F37" s="67">
        <f t="shared" si="72"/>
        <v>962</v>
      </c>
      <c r="G37" s="67">
        <f t="shared" si="72"/>
        <v>908.60000000000014</v>
      </c>
      <c r="H37" s="67">
        <f t="shared" si="72"/>
        <v>1115</v>
      </c>
      <c r="I37" s="67">
        <f t="shared" si="72"/>
        <v>1345.8</v>
      </c>
      <c r="J37" s="67">
        <f t="shared" si="72"/>
        <v>1621.6000000000001</v>
      </c>
      <c r="K37" s="67">
        <f t="shared" ref="K37:S37" si="73">K3+K4+K6+K7+K8+K15+K16</f>
        <v>1636</v>
      </c>
      <c r="L37" s="67">
        <f t="shared" si="73"/>
        <v>1916.5</v>
      </c>
      <c r="M37" s="67">
        <f t="shared" si="73"/>
        <v>2078.1999999999998</v>
      </c>
      <c r="N37" s="67">
        <f t="shared" si="73"/>
        <v>2238</v>
      </c>
      <c r="O37" s="67">
        <f t="shared" si="73"/>
        <v>2207.6999999999998</v>
      </c>
      <c r="P37" s="67">
        <f t="shared" si="73"/>
        <v>2430.6999999999998</v>
      </c>
      <c r="Q37" s="67">
        <f t="shared" si="73"/>
        <v>2560</v>
      </c>
      <c r="R37" s="67">
        <f t="shared" si="73"/>
        <v>2778</v>
      </c>
      <c r="S37" s="67">
        <f t="shared" si="73"/>
        <v>2735</v>
      </c>
      <c r="T37" s="67">
        <f t="shared" ref="T37:Z37" si="74">T3+T4+T6+T7+T8+T15+T16+T18</f>
        <v>3072</v>
      </c>
      <c r="U37" s="67">
        <f t="shared" si="74"/>
        <v>3047</v>
      </c>
      <c r="V37" s="67">
        <f t="shared" si="74"/>
        <v>3168</v>
      </c>
      <c r="W37" s="67">
        <f t="shared" si="74"/>
        <v>3127</v>
      </c>
      <c r="X37" s="67">
        <f t="shared" si="74"/>
        <v>3491</v>
      </c>
      <c r="Y37" s="67">
        <f t="shared" si="74"/>
        <v>3503</v>
      </c>
      <c r="Z37" s="67">
        <f t="shared" si="74"/>
        <v>3737</v>
      </c>
      <c r="AA37" s="67">
        <f t="shared" ref="AA37:AI37" si="75">AA3+AA4+AA6+AA7+AA8+AA15+AA16+AA18</f>
        <v>3565</v>
      </c>
      <c r="AB37" s="67">
        <f t="shared" si="75"/>
        <v>3604</v>
      </c>
      <c r="AC37" s="67">
        <f t="shared" si="75"/>
        <v>3524</v>
      </c>
      <c r="AD37" s="67">
        <f t="shared" si="75"/>
        <v>3618</v>
      </c>
      <c r="AE37" s="67">
        <f t="shared" si="75"/>
        <v>3537</v>
      </c>
      <c r="AF37" s="67">
        <f t="shared" si="75"/>
        <v>3692</v>
      </c>
      <c r="AG37" s="67">
        <f>AG3+AG4+AG6+AG7+AG8+AG15+AG16+AG18</f>
        <v>3784</v>
      </c>
      <c r="AH37" s="67">
        <f t="shared" si="75"/>
        <v>3674</v>
      </c>
      <c r="AI37" s="67">
        <f t="shared" si="75"/>
        <v>3238</v>
      </c>
      <c r="AJ37" s="67">
        <f>AJ3+AJ4+AJ6+AJ7+AJ8+AJ15+AJ16+AJ18</f>
        <v>3634</v>
      </c>
      <c r="AK37" s="67">
        <f>AK3+AK4+AK6+AK7+AK8+AK15+AK16+AK18</f>
        <v>3736</v>
      </c>
      <c r="AL37" s="67">
        <f>AL3+AL4+AL6+AL7+AL8+AL15+AL16+AL18</f>
        <v>3743</v>
      </c>
      <c r="AM37" s="67">
        <f>AM3+AM4+AM6+AM7+AM8+AM15+AM16+AM18+AM29</f>
        <v>3528</v>
      </c>
      <c r="AN37" s="67">
        <f>AN3+AN4+AN6+AN7+AN8+AN15+AN16+AN18+AN29+AN19</f>
        <v>3613</v>
      </c>
      <c r="AO37" s="67">
        <f>AO3+AO4+AO6+AO7+AO8+AO15+AO16+AO18+AO29+AO19</f>
        <v>3759</v>
      </c>
      <c r="AP37" s="67">
        <f>AP3+AP4+AP6+AP7+AP8+AP15+AP16+AP18+AP29+AP19+AP20</f>
        <v>3760</v>
      </c>
      <c r="AQ37" s="67">
        <f>AQ3+AQ4+AQ6+AQ7+AQ8+AQ15+AQ16+AQ18+AQ29+AQ19+AQ20</f>
        <v>3618</v>
      </c>
      <c r="AR37" s="67">
        <f>SUM(AR5:AR29)</f>
        <v>3882</v>
      </c>
      <c r="AS37" s="67">
        <f>AS3+AS4+AS6+AS7+AS8+AS15+AS16+AS18+AS29+AS19</f>
        <v>3784.2</v>
      </c>
      <c r="AT37" s="67">
        <f>AT3+AT4+AT6+AT7+AT8+AT15+AT16+AT18+AT29+AT19</f>
        <v>3747.8</v>
      </c>
      <c r="AU37" s="67">
        <f>AU3+AU4+AU6+AU7+AU8+AU15+AU16+AU18+AU29+AU19</f>
        <v>3580.25</v>
      </c>
      <c r="AV37" s="67">
        <f>AV3+AV4+AV6+AV7+AV8+AV15+AV16+AV18+AV29+AV19+AV20</f>
        <v>4173</v>
      </c>
      <c r="AW37" s="67">
        <f>AW3+AW4+AW6+AW7+AW8+AW15+AW16+AW18+AW29+AW19</f>
        <v>3852.59</v>
      </c>
      <c r="AX37" s="67">
        <f>AX3+AX4+AX6+AX7+AX8+AX15+AX16+AX18+AX29+AX19+AX20+AX28</f>
        <v>4007.66</v>
      </c>
      <c r="AY37" s="67">
        <f t="shared" ref="AY37:BD37" si="76">SUM(AY5:AY35)</f>
        <v>0</v>
      </c>
      <c r="AZ37" s="67">
        <f t="shared" si="76"/>
        <v>4595</v>
      </c>
      <c r="BA37" s="67">
        <f t="shared" si="76"/>
        <v>0</v>
      </c>
      <c r="BB37" s="67">
        <f t="shared" si="76"/>
        <v>0</v>
      </c>
      <c r="BC37" s="67">
        <f t="shared" si="76"/>
        <v>0</v>
      </c>
      <c r="BD37" s="67">
        <f t="shared" si="76"/>
        <v>4949</v>
      </c>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67"/>
      <c r="CJ37" s="67"/>
      <c r="CK37" s="67"/>
      <c r="CL37" s="67"/>
      <c r="CM37" s="117"/>
      <c r="CN37" s="67"/>
      <c r="CO37" s="67"/>
      <c r="CP37" s="67"/>
      <c r="CQ37" s="67"/>
      <c r="CR37" s="67"/>
      <c r="CS37" s="67"/>
      <c r="CT37" s="67"/>
      <c r="CU37" s="67"/>
      <c r="CV37" s="67"/>
      <c r="CW37" s="67"/>
      <c r="CX37" s="67"/>
      <c r="CY37" s="67"/>
      <c r="CZ37" s="67"/>
      <c r="DA37" s="67">
        <f t="shared" ref="DA37:DG37" si="77">DA3+DA4+DA6+DA7+DA8+DA15+DA16+DA18</f>
        <v>3186.4</v>
      </c>
      <c r="DB37" s="67">
        <f t="shared" si="77"/>
        <v>3497.1</v>
      </c>
      <c r="DC37" s="67">
        <f t="shared" si="77"/>
        <v>4880.6000000000004</v>
      </c>
      <c r="DD37" s="74">
        <f t="shared" si="77"/>
        <v>7867.5</v>
      </c>
      <c r="DE37" s="74">
        <f t="shared" si="77"/>
        <v>9977.253999999999</v>
      </c>
      <c r="DF37" s="74">
        <f t="shared" si="77"/>
        <v>12022</v>
      </c>
      <c r="DG37" s="67">
        <f t="shared" si="77"/>
        <v>13858</v>
      </c>
      <c r="DH37" s="67">
        <f>DH3+DH4+DH6+DH7+DH8+DH15+DH16+DH18</f>
        <v>14311</v>
      </c>
      <c r="DI37" s="67">
        <f>DI3+DI4+DI6+DI7+DI8+DI15+DI16+DI18+DI19+DI29</f>
        <v>14687</v>
      </c>
      <c r="DJ37" s="67">
        <f>SUM(DJ5:DJ29)</f>
        <v>14351</v>
      </c>
      <c r="DK37" s="67">
        <f t="shared" ref="DK37:DP37" si="78">SUM(DK5:DK29)</f>
        <v>14660</v>
      </c>
      <c r="DL37" s="67">
        <f>SUM(DL5:DL29)</f>
        <v>15193</v>
      </c>
      <c r="DM37" s="67">
        <f t="shared" si="78"/>
        <v>13822.759999999998</v>
      </c>
      <c r="DN37" s="67">
        <f t="shared" si="78"/>
        <v>14735.160499999998</v>
      </c>
      <c r="DO37" s="67">
        <f t="shared" si="78"/>
        <v>13885.463324999999</v>
      </c>
      <c r="DP37" s="67">
        <f t="shared" si="78"/>
        <v>12983.17309875</v>
      </c>
      <c r="DQ37" s="67">
        <f>SUM(DQ5:DQ29)</f>
        <v>12758.420178562499</v>
      </c>
      <c r="DR37" s="67">
        <f>SUM(DR5:DR29)</f>
        <v>388.62773578125018</v>
      </c>
      <c r="DS37" s="67">
        <f>SUM(DS5:DS29)</f>
        <v>0</v>
      </c>
      <c r="DT37" s="67">
        <f>SUM(DT3:DT35)</f>
        <v>22204</v>
      </c>
      <c r="DU37" s="67">
        <f t="shared" ref="DU37:DV37" si="79">SUM(DU3:DU35)</f>
        <v>24240</v>
      </c>
      <c r="DV37" s="67">
        <f t="shared" si="79"/>
        <v>24297</v>
      </c>
      <c r="DW37" s="67">
        <f>SUM(DW3:DW35)</f>
        <v>24780</v>
      </c>
      <c r="DX37" s="67">
        <f>SUM(DX3:DX36)</f>
        <v>29127</v>
      </c>
      <c r="DY37" s="67">
        <f t="shared" ref="DY37:EJ37" si="80">SUM(DY3:DY36)</f>
        <v>31040.44</v>
      </c>
      <c r="DZ37" s="67">
        <f t="shared" si="80"/>
        <v>32345.001800000005</v>
      </c>
      <c r="EA37" s="67">
        <f t="shared" si="80"/>
        <v>32469.342093999992</v>
      </c>
      <c r="EB37" s="67">
        <f t="shared" si="80"/>
        <v>32855.748425180005</v>
      </c>
      <c r="EC37" s="67">
        <f t="shared" si="80"/>
        <v>32414.737696344404</v>
      </c>
      <c r="ED37" s="67">
        <f t="shared" si="80"/>
        <v>31434.693321408828</v>
      </c>
      <c r="EE37" s="67">
        <f t="shared" si="80"/>
        <v>26405.12891048277</v>
      </c>
      <c r="EF37" s="67">
        <f t="shared" si="80"/>
        <v>24011.28314611227</v>
      </c>
      <c r="EG37" s="67">
        <f t="shared" si="80"/>
        <v>22775.041713267801</v>
      </c>
      <c r="EH37" s="67">
        <f t="shared" si="80"/>
        <v>22190.48071118283</v>
      </c>
      <c r="EI37" s="67">
        <f t="shared" si="80"/>
        <v>21956.067375353075</v>
      </c>
      <c r="EJ37" s="67">
        <f t="shared" si="80"/>
        <v>15289.233629218439</v>
      </c>
    </row>
    <row r="38" spans="2:140" s="26" customFormat="1">
      <c r="B38" s="26" t="s">
        <v>451</v>
      </c>
      <c r="C38" s="67">
        <f>3+31.5+68.4</f>
        <v>102.9</v>
      </c>
      <c r="D38" s="67">
        <f>16+54+80</f>
        <v>150</v>
      </c>
      <c r="E38" s="67">
        <f>60.6+62.9+90.7+89.5</f>
        <v>303.7</v>
      </c>
      <c r="F38" s="67"/>
      <c r="G38" s="67">
        <f>31.5+68.4</f>
        <v>99.9</v>
      </c>
      <c r="H38" s="67">
        <f>80+53.9</f>
        <v>133.9</v>
      </c>
      <c r="I38" s="67">
        <f>62.8+90.7</f>
        <v>153.5</v>
      </c>
      <c r="J38" s="67">
        <f>92.4+52.1</f>
        <v>144.5</v>
      </c>
      <c r="K38" s="67">
        <v>125.3</v>
      </c>
      <c r="L38" s="67">
        <v>124.6</v>
      </c>
      <c r="M38" s="67">
        <v>130</v>
      </c>
      <c r="N38" s="67">
        <f>99.3+9.3</f>
        <v>108.6</v>
      </c>
      <c r="O38" s="67">
        <f>13+122.2</f>
        <v>135.19999999999999</v>
      </c>
      <c r="P38" s="67">
        <f>18+135.9</f>
        <v>153.9</v>
      </c>
      <c r="Q38" s="67">
        <f>19+134</f>
        <v>153</v>
      </c>
      <c r="R38" s="67">
        <v>131</v>
      </c>
      <c r="S38" s="67">
        <v>98</v>
      </c>
      <c r="T38" s="67">
        <v>100</v>
      </c>
      <c r="U38" s="67">
        <v>107</v>
      </c>
      <c r="V38" s="67">
        <v>103</v>
      </c>
      <c r="W38" s="67">
        <v>90</v>
      </c>
      <c r="X38" s="67">
        <v>113</v>
      </c>
      <c r="Y38" s="67">
        <v>109</v>
      </c>
      <c r="Z38" s="67">
        <v>98</v>
      </c>
      <c r="AA38" s="67">
        <v>122</v>
      </c>
      <c r="AB38" s="67">
        <v>124</v>
      </c>
      <c r="AC38" s="67">
        <v>87</v>
      </c>
      <c r="AD38" s="67">
        <v>127</v>
      </c>
      <c r="AE38" s="67">
        <v>76</v>
      </c>
      <c r="AF38" s="67">
        <v>72</v>
      </c>
      <c r="AG38" s="67">
        <v>91</v>
      </c>
      <c r="AH38" s="67">
        <v>77</v>
      </c>
      <c r="AI38" s="67">
        <v>70</v>
      </c>
      <c r="AJ38" s="67">
        <v>79</v>
      </c>
      <c r="AK38" s="67">
        <v>76</v>
      </c>
      <c r="AL38" s="67">
        <v>66</v>
      </c>
      <c r="AM38" s="67">
        <v>64</v>
      </c>
      <c r="AN38" s="67">
        <v>191</v>
      </c>
      <c r="AO38" s="67">
        <v>57</v>
      </c>
      <c r="AP38" s="67">
        <v>81</v>
      </c>
      <c r="AQ38" s="67">
        <v>88</v>
      </c>
      <c r="AR38" s="67">
        <f>11+66</f>
        <v>77</v>
      </c>
      <c r="AS38" s="67">
        <f>+AR38</f>
        <v>77</v>
      </c>
      <c r="AT38" s="67">
        <f>+AS38</f>
        <v>77</v>
      </c>
      <c r="AU38" s="67">
        <f>+AT38</f>
        <v>77</v>
      </c>
      <c r="AV38" s="67">
        <f>27+277</f>
        <v>304</v>
      </c>
      <c r="AW38" s="67">
        <f>+AV38</f>
        <v>304</v>
      </c>
      <c r="AX38" s="67">
        <f>+AW38</f>
        <v>304</v>
      </c>
      <c r="AY38" s="67"/>
      <c r="AZ38" s="67"/>
      <c r="BA38" s="67"/>
      <c r="BB38" s="67"/>
      <c r="BC38" s="67"/>
      <c r="BD38" s="67">
        <v>231</v>
      </c>
      <c r="BE38" s="67"/>
      <c r="BF38" s="67"/>
      <c r="BG38" s="67"/>
      <c r="BH38" s="67"/>
      <c r="BI38" s="67"/>
      <c r="BJ38" s="67"/>
      <c r="BK38" s="67"/>
      <c r="BL38" s="67"/>
      <c r="BM38" s="67"/>
      <c r="BN38" s="67"/>
      <c r="BO38" s="67"/>
      <c r="BP38" s="67"/>
      <c r="BQ38" s="67"/>
      <c r="BR38" s="67"/>
      <c r="BS38" s="67"/>
      <c r="BT38" s="67"/>
      <c r="BU38" s="67"/>
      <c r="BV38" s="67">
        <v>229</v>
      </c>
      <c r="BW38" s="67">
        <v>271</v>
      </c>
      <c r="BX38" s="67">
        <v>297</v>
      </c>
      <c r="BY38" s="67">
        <v>274</v>
      </c>
      <c r="BZ38" s="67">
        <v>316</v>
      </c>
      <c r="CA38" s="67">
        <v>267</v>
      </c>
      <c r="CB38" s="67">
        <v>298</v>
      </c>
      <c r="CC38" s="67">
        <v>319</v>
      </c>
      <c r="CD38" s="67">
        <v>300</v>
      </c>
      <c r="CE38" s="67">
        <v>309</v>
      </c>
      <c r="CF38" s="67">
        <v>412</v>
      </c>
      <c r="CG38" s="67">
        <v>386</v>
      </c>
      <c r="CH38" s="67">
        <v>575</v>
      </c>
      <c r="CI38" s="67">
        <v>507</v>
      </c>
      <c r="CJ38" s="67"/>
      <c r="CK38" s="67"/>
      <c r="CL38" s="67"/>
      <c r="CM38" s="67"/>
      <c r="CN38" s="67"/>
      <c r="CO38" s="67"/>
      <c r="CP38" s="67"/>
      <c r="CQ38" s="67"/>
      <c r="CR38" s="67"/>
      <c r="CS38" s="67"/>
      <c r="CT38" s="67"/>
      <c r="CU38" s="67"/>
      <c r="CV38" s="67"/>
      <c r="CW38" s="67"/>
      <c r="CX38" s="67"/>
      <c r="CY38" s="67"/>
      <c r="CZ38" s="67"/>
      <c r="DA38" s="67">
        <v>427</v>
      </c>
      <c r="DB38" s="67">
        <v>505</v>
      </c>
      <c r="DC38" s="67">
        <v>532</v>
      </c>
      <c r="DD38" s="67">
        <v>488</v>
      </c>
      <c r="DE38" s="67">
        <v>573.1</v>
      </c>
      <c r="DF38" s="67">
        <f>SUM(S38:V38)</f>
        <v>408</v>
      </c>
      <c r="DG38" s="67">
        <f>SUM(W38:Z38)</f>
        <v>410</v>
      </c>
      <c r="DH38" s="67">
        <f>SUM(AA38:AD38)</f>
        <v>460</v>
      </c>
      <c r="DI38" s="67">
        <f>SUM(AE38:AH38)</f>
        <v>316</v>
      </c>
      <c r="DJ38" s="67">
        <f>SUM(AI38:AL38)</f>
        <v>291</v>
      </c>
      <c r="DK38" s="67">
        <f>SUM(AM38:AP38)</f>
        <v>393</v>
      </c>
      <c r="DL38" s="67">
        <f>SUM(AQ38:AT38)</f>
        <v>319</v>
      </c>
      <c r="DM38" s="67">
        <f>DL38*(1+DM66)</f>
        <v>325.38</v>
      </c>
      <c r="DN38" s="67">
        <f>DM38*(1+DN66)</f>
        <v>331.88760000000002</v>
      </c>
      <c r="DO38" s="67">
        <f>DN38*(1+DO66)</f>
        <v>338.52535200000005</v>
      </c>
      <c r="DP38" s="67">
        <f>DO38</f>
        <v>338.52535200000005</v>
      </c>
      <c r="DQ38" s="67">
        <f>DP38</f>
        <v>338.52535200000005</v>
      </c>
      <c r="DR38" s="67">
        <f>DQ38</f>
        <v>338.52535200000005</v>
      </c>
      <c r="DS38" s="67"/>
      <c r="DT38" s="67">
        <f t="shared" ref="DT38" si="81">SUM(BW38:BZ38)</f>
        <v>1158</v>
      </c>
      <c r="DU38" s="67">
        <f>SUM(CA38:CD38)</f>
        <v>1184</v>
      </c>
      <c r="DV38" s="67">
        <f>SUM(CE38:CH38)</f>
        <v>1682</v>
      </c>
      <c r="DW38" s="67">
        <f>SUM(CI38:CL38)</f>
        <v>507</v>
      </c>
      <c r="DX38" s="67">
        <f t="shared" ref="DX38" si="82">SUM(CM38:CP38)</f>
        <v>0</v>
      </c>
      <c r="DY38" s="67">
        <f>+DX38*0.9</f>
        <v>0</v>
      </c>
      <c r="DZ38" s="67">
        <f t="shared" ref="DZ38:EJ38" si="83">+DY38*0.9</f>
        <v>0</v>
      </c>
      <c r="EA38" s="67">
        <f t="shared" si="83"/>
        <v>0</v>
      </c>
      <c r="EB38" s="67">
        <f t="shared" si="83"/>
        <v>0</v>
      </c>
      <c r="EC38" s="67">
        <f t="shared" si="83"/>
        <v>0</v>
      </c>
      <c r="ED38" s="67">
        <f t="shared" si="83"/>
        <v>0</v>
      </c>
      <c r="EE38" s="67">
        <f t="shared" si="83"/>
        <v>0</v>
      </c>
      <c r="EF38" s="67">
        <f t="shared" si="83"/>
        <v>0</v>
      </c>
      <c r="EG38" s="67">
        <f t="shared" si="83"/>
        <v>0</v>
      </c>
      <c r="EH38" s="67">
        <f t="shared" si="83"/>
        <v>0</v>
      </c>
      <c r="EI38" s="67">
        <f t="shared" si="83"/>
        <v>0</v>
      </c>
      <c r="EJ38" s="67">
        <f t="shared" si="83"/>
        <v>0</v>
      </c>
    </row>
    <row r="39" spans="2:140" s="15" customFormat="1">
      <c r="B39" s="32" t="s">
        <v>445</v>
      </c>
      <c r="C39" s="75">
        <f t="shared" ref="C39:J39" si="84">SUM(C37:C38)</f>
        <v>899.9</v>
      </c>
      <c r="D39" s="75">
        <f t="shared" si="84"/>
        <v>1008</v>
      </c>
      <c r="E39" s="75">
        <f t="shared" si="84"/>
        <v>1206.7</v>
      </c>
      <c r="F39" s="75">
        <f t="shared" si="84"/>
        <v>962</v>
      </c>
      <c r="G39" s="75">
        <f t="shared" si="84"/>
        <v>1008.5000000000001</v>
      </c>
      <c r="H39" s="75">
        <f t="shared" si="84"/>
        <v>1248.9000000000001</v>
      </c>
      <c r="I39" s="75">
        <f t="shared" si="84"/>
        <v>1499.3</v>
      </c>
      <c r="J39" s="75">
        <f t="shared" si="84"/>
        <v>1766.1000000000001</v>
      </c>
      <c r="K39" s="75">
        <f t="shared" ref="K39:S39" si="85">SUM(K37:K38)</f>
        <v>1761.3</v>
      </c>
      <c r="L39" s="75">
        <f t="shared" si="85"/>
        <v>2041.1</v>
      </c>
      <c r="M39" s="75">
        <f>SUM(M37:M38)</f>
        <v>2208.1999999999998</v>
      </c>
      <c r="N39" s="75">
        <f>SUM(N37:N38)</f>
        <v>2346.6</v>
      </c>
      <c r="O39" s="75">
        <f t="shared" si="85"/>
        <v>2342.8999999999996</v>
      </c>
      <c r="P39" s="75">
        <f t="shared" si="85"/>
        <v>2584.6</v>
      </c>
      <c r="Q39" s="75">
        <f t="shared" si="85"/>
        <v>2713</v>
      </c>
      <c r="R39" s="75">
        <f t="shared" si="85"/>
        <v>2909</v>
      </c>
      <c r="S39" s="75">
        <f t="shared" si="85"/>
        <v>2833</v>
      </c>
      <c r="T39" s="75">
        <f>SUM(T37,T38)</f>
        <v>3172</v>
      </c>
      <c r="U39" s="75">
        <f>SUM(U37,U38)</f>
        <v>3154</v>
      </c>
      <c r="V39" s="75">
        <f>SUM(V37,V38)</f>
        <v>3271</v>
      </c>
      <c r="W39" s="75">
        <f t="shared" ref="W39:AD39" si="86">SUM(W37:W38)</f>
        <v>3217</v>
      </c>
      <c r="X39" s="75">
        <f t="shared" si="86"/>
        <v>3604</v>
      </c>
      <c r="Y39" s="75">
        <f t="shared" si="86"/>
        <v>3612</v>
      </c>
      <c r="Z39" s="75">
        <f t="shared" si="86"/>
        <v>3835</v>
      </c>
      <c r="AA39" s="75">
        <f t="shared" si="86"/>
        <v>3687</v>
      </c>
      <c r="AB39" s="75">
        <f t="shared" si="86"/>
        <v>3728</v>
      </c>
      <c r="AC39" s="75">
        <f t="shared" si="86"/>
        <v>3611</v>
      </c>
      <c r="AD39" s="75">
        <f t="shared" si="86"/>
        <v>3745</v>
      </c>
      <c r="AE39" s="75">
        <f t="shared" ref="AE39:AN39" si="87">SUM(AE37:AE38)</f>
        <v>3613</v>
      </c>
      <c r="AF39" s="75">
        <f t="shared" si="87"/>
        <v>3764</v>
      </c>
      <c r="AG39" s="75">
        <f t="shared" si="87"/>
        <v>3875</v>
      </c>
      <c r="AH39" s="75">
        <f t="shared" si="87"/>
        <v>3751</v>
      </c>
      <c r="AI39" s="75">
        <f t="shared" si="87"/>
        <v>3308</v>
      </c>
      <c r="AJ39" s="75">
        <f t="shared" si="87"/>
        <v>3713</v>
      </c>
      <c r="AK39" s="75">
        <f t="shared" si="87"/>
        <v>3812</v>
      </c>
      <c r="AL39" s="75">
        <f t="shared" si="87"/>
        <v>3809</v>
      </c>
      <c r="AM39" s="75">
        <f t="shared" si="87"/>
        <v>3592</v>
      </c>
      <c r="AN39" s="75">
        <f t="shared" si="87"/>
        <v>3804</v>
      </c>
      <c r="AO39" s="75">
        <f t="shared" ref="AO39:AT39" si="88">SUM(AO37:AO38)</f>
        <v>3816</v>
      </c>
      <c r="AP39" s="75">
        <f t="shared" si="88"/>
        <v>3841</v>
      </c>
      <c r="AQ39" s="75">
        <f t="shared" si="88"/>
        <v>3706</v>
      </c>
      <c r="AR39" s="75">
        <f>SUM(AR37:AR38)</f>
        <v>3959</v>
      </c>
      <c r="AS39" s="75">
        <f>SUM(AS37:AS38)</f>
        <v>3861.2</v>
      </c>
      <c r="AT39" s="75">
        <f t="shared" si="88"/>
        <v>3824.8</v>
      </c>
      <c r="AU39" s="75">
        <f>SUM(AU37:AU38)</f>
        <v>3657.25</v>
      </c>
      <c r="AV39" s="75">
        <f>SUM(AV37:AV38)</f>
        <v>4477</v>
      </c>
      <c r="AW39" s="75">
        <f>SUM(AW37:AW38)</f>
        <v>4156.59</v>
      </c>
      <c r="AX39" s="75">
        <f>SUM(AX37:AX38)</f>
        <v>4311.66</v>
      </c>
      <c r="AY39" s="75"/>
      <c r="AZ39" s="75"/>
      <c r="BA39" s="75"/>
      <c r="BB39" s="75"/>
      <c r="BC39" s="75"/>
      <c r="BD39" s="75">
        <f>+BD37+BD38</f>
        <v>5180</v>
      </c>
      <c r="BE39" s="75"/>
      <c r="BF39" s="75"/>
      <c r="BG39" s="75"/>
      <c r="BH39" s="75"/>
      <c r="BI39" s="75"/>
      <c r="BJ39" s="75"/>
      <c r="BK39" s="75"/>
      <c r="BL39" s="75"/>
      <c r="BM39" s="75"/>
      <c r="BN39" s="75"/>
      <c r="BO39" s="75"/>
      <c r="BP39" s="75"/>
      <c r="BQ39" s="75"/>
      <c r="BR39" s="75"/>
      <c r="BS39" s="75"/>
      <c r="BT39" s="75"/>
      <c r="BU39" s="75"/>
      <c r="BV39" s="75">
        <f t="shared" ref="BV39:CB39" si="89">SUM(BV3:BV38)</f>
        <v>6230</v>
      </c>
      <c r="BW39" s="75">
        <f t="shared" si="89"/>
        <v>5557</v>
      </c>
      <c r="BX39" s="75">
        <f t="shared" si="89"/>
        <v>5871</v>
      </c>
      <c r="BY39" s="75">
        <f t="shared" si="89"/>
        <v>5737</v>
      </c>
      <c r="BZ39" s="75">
        <f t="shared" si="89"/>
        <v>6197</v>
      </c>
      <c r="CA39" s="75">
        <f t="shared" si="89"/>
        <v>6161</v>
      </c>
      <c r="CB39" s="75">
        <f t="shared" si="89"/>
        <v>6206</v>
      </c>
      <c r="CC39" s="75">
        <f t="shared" ref="CC39:CX39" si="90">SUM(CC3:CC38)</f>
        <v>6423</v>
      </c>
      <c r="CD39" s="75">
        <f t="shared" si="90"/>
        <v>6634</v>
      </c>
      <c r="CE39" s="75">
        <f t="shared" si="90"/>
        <v>5901</v>
      </c>
      <c r="CF39" s="75">
        <f t="shared" si="90"/>
        <v>6526</v>
      </c>
      <c r="CG39" s="75">
        <f t="shared" si="90"/>
        <v>6706</v>
      </c>
      <c r="CH39" s="75">
        <f t="shared" si="90"/>
        <v>6846</v>
      </c>
      <c r="CI39" s="75">
        <f t="shared" si="90"/>
        <v>6238</v>
      </c>
      <c r="CJ39" s="75">
        <f t="shared" si="90"/>
        <v>6281</v>
      </c>
      <c r="CK39" s="75">
        <f t="shared" si="90"/>
        <v>6237</v>
      </c>
      <c r="CL39" s="75">
        <f t="shared" si="90"/>
        <v>6552</v>
      </c>
      <c r="CM39" s="75">
        <f t="shared" si="90"/>
        <v>5846</v>
      </c>
      <c r="CN39" s="75">
        <f>SUM(CN3:CN38)</f>
        <v>6683</v>
      </c>
      <c r="CO39" s="75">
        <f t="shared" si="90"/>
        <v>6548</v>
      </c>
      <c r="CP39" s="75">
        <f t="shared" si="90"/>
        <v>7833</v>
      </c>
      <c r="CQ39" s="75">
        <f>SUM(CQ3:CQ38)</f>
        <v>7118</v>
      </c>
      <c r="CR39" s="75">
        <f t="shared" si="90"/>
        <v>8041</v>
      </c>
      <c r="CS39" s="75">
        <f t="shared" si="90"/>
        <v>7956</v>
      </c>
      <c r="CT39" s="75">
        <f t="shared" si="90"/>
        <v>8229</v>
      </c>
      <c r="CU39" s="75">
        <f t="shared" si="90"/>
        <v>7968</v>
      </c>
      <c r="CV39" s="75">
        <f t="shared" si="90"/>
        <v>8431</v>
      </c>
      <c r="CW39" s="75">
        <f t="shared" si="90"/>
        <v>8346</v>
      </c>
      <c r="CX39" s="75">
        <f t="shared" si="90"/>
        <v>8619</v>
      </c>
      <c r="CY39" s="75"/>
      <c r="CZ39" s="72"/>
      <c r="DA39" s="75">
        <f t="shared" ref="DA39:DG39" si="91">DA37+DA38</f>
        <v>3613.4</v>
      </c>
      <c r="DB39" s="75">
        <f t="shared" si="91"/>
        <v>4002.1</v>
      </c>
      <c r="DC39" s="75">
        <f t="shared" si="91"/>
        <v>5412.6</v>
      </c>
      <c r="DD39" s="75">
        <f t="shared" si="91"/>
        <v>8355.5</v>
      </c>
      <c r="DE39" s="75">
        <f t="shared" si="91"/>
        <v>10550.353999999999</v>
      </c>
      <c r="DF39" s="75">
        <f t="shared" si="91"/>
        <v>12430</v>
      </c>
      <c r="DG39" s="75">
        <f t="shared" si="91"/>
        <v>14268</v>
      </c>
      <c r="DH39" s="75">
        <f>DH37+DH38</f>
        <v>14771</v>
      </c>
      <c r="DI39" s="75">
        <f>DI37+DI38</f>
        <v>15003</v>
      </c>
      <c r="DJ39" s="75">
        <f>DJ37+DJ38</f>
        <v>14642</v>
      </c>
      <c r="DK39" s="75">
        <f t="shared" ref="DK39:DP39" si="92">DK38+DK37</f>
        <v>15053</v>
      </c>
      <c r="DL39" s="75">
        <f>DL38+DL37</f>
        <v>15512</v>
      </c>
      <c r="DM39" s="75">
        <f t="shared" si="92"/>
        <v>14148.139999999998</v>
      </c>
      <c r="DN39" s="75">
        <f t="shared" si="92"/>
        <v>15067.048099999998</v>
      </c>
      <c r="DO39" s="75">
        <f t="shared" si="92"/>
        <v>14223.988676999999</v>
      </c>
      <c r="DP39" s="75">
        <f t="shared" si="92"/>
        <v>13321.69845075</v>
      </c>
      <c r="DQ39" s="75">
        <f>DQ38+DQ37</f>
        <v>13096.9455305625</v>
      </c>
      <c r="DR39" s="75">
        <f>DR38+DR37</f>
        <v>727.15308778125018</v>
      </c>
      <c r="DS39" s="75">
        <f>DS38+DS37</f>
        <v>0</v>
      </c>
      <c r="DT39" s="75">
        <f>DT38+DT37</f>
        <v>23362</v>
      </c>
      <c r="DU39" s="75">
        <f t="shared" ref="DU39:EJ39" si="93">DU38+DU37</f>
        <v>25424</v>
      </c>
      <c r="DV39" s="75">
        <f t="shared" si="93"/>
        <v>25979</v>
      </c>
      <c r="DW39" s="75">
        <f t="shared" si="93"/>
        <v>25287</v>
      </c>
      <c r="DX39" s="75">
        <f t="shared" si="93"/>
        <v>29127</v>
      </c>
      <c r="DY39" s="75">
        <f t="shared" si="93"/>
        <v>31040.44</v>
      </c>
      <c r="DZ39" s="75">
        <f t="shared" si="93"/>
        <v>32345.001800000005</v>
      </c>
      <c r="EA39" s="75">
        <f t="shared" si="93"/>
        <v>32469.342093999992</v>
      </c>
      <c r="EB39" s="75">
        <f t="shared" si="93"/>
        <v>32855.748425180005</v>
      </c>
      <c r="EC39" s="75">
        <f t="shared" si="93"/>
        <v>32414.737696344404</v>
      </c>
      <c r="ED39" s="75">
        <f t="shared" si="93"/>
        <v>31434.693321408828</v>
      </c>
      <c r="EE39" s="75">
        <f t="shared" si="93"/>
        <v>26405.12891048277</v>
      </c>
      <c r="EF39" s="75">
        <f t="shared" si="93"/>
        <v>24011.28314611227</v>
      </c>
      <c r="EG39" s="75">
        <f t="shared" si="93"/>
        <v>22775.041713267801</v>
      </c>
      <c r="EH39" s="75">
        <f t="shared" si="93"/>
        <v>22190.48071118283</v>
      </c>
      <c r="EI39" s="75">
        <f t="shared" si="93"/>
        <v>21956.067375353075</v>
      </c>
      <c r="EJ39" s="75">
        <f t="shared" si="93"/>
        <v>15289.233629218439</v>
      </c>
    </row>
    <row r="40" spans="2:140" s="15" customFormat="1">
      <c r="B40" s="15" t="s">
        <v>99</v>
      </c>
      <c r="C40" s="67">
        <v>103.6</v>
      </c>
      <c r="D40" s="67">
        <v>132</v>
      </c>
      <c r="E40" s="67">
        <v>200.7</v>
      </c>
      <c r="F40" s="67"/>
      <c r="G40" s="67">
        <v>103.6</v>
      </c>
      <c r="H40" s="67">
        <v>131.9</v>
      </c>
      <c r="I40" s="67">
        <v>200.7</v>
      </c>
      <c r="J40" s="67">
        <v>253.3</v>
      </c>
      <c r="K40" s="67">
        <v>278.39999999999998</v>
      </c>
      <c r="L40" s="67">
        <v>324.2</v>
      </c>
      <c r="M40" s="67">
        <v>336</v>
      </c>
      <c r="N40" s="67">
        <v>383.5</v>
      </c>
      <c r="O40" s="67">
        <v>371.5</v>
      </c>
      <c r="P40" s="67">
        <v>435</v>
      </c>
      <c r="Q40" s="67">
        <v>447</v>
      </c>
      <c r="R40" s="67">
        <v>476</v>
      </c>
      <c r="S40" s="67">
        <v>489</v>
      </c>
      <c r="T40" s="67">
        <v>530</v>
      </c>
      <c r="U40" s="67">
        <v>505</v>
      </c>
      <c r="V40" s="67">
        <v>511</v>
      </c>
      <c r="W40" s="67">
        <v>552</v>
      </c>
      <c r="X40" s="67">
        <v>492</v>
      </c>
      <c r="Y40" s="67">
        <v>485</v>
      </c>
      <c r="Z40" s="67">
        <v>551</v>
      </c>
      <c r="AA40" s="67">
        <v>559</v>
      </c>
      <c r="AB40" s="67">
        <v>546</v>
      </c>
      <c r="AC40" s="67">
        <v>585</v>
      </c>
      <c r="AD40" s="67">
        <v>565</v>
      </c>
      <c r="AE40" s="67">
        <v>542</v>
      </c>
      <c r="AF40" s="67">
        <v>512</v>
      </c>
      <c r="AG40" s="67">
        <v>590</v>
      </c>
      <c r="AH40" s="67">
        <v>549</v>
      </c>
      <c r="AI40" s="67">
        <v>474</v>
      </c>
      <c r="AJ40" s="67">
        <v>527</v>
      </c>
      <c r="AK40" s="67">
        <v>542</v>
      </c>
      <c r="AL40" s="67">
        <v>535</v>
      </c>
      <c r="AM40" s="67">
        <v>504</v>
      </c>
      <c r="AN40" s="67">
        <v>549</v>
      </c>
      <c r="AO40" s="74">
        <v>584</v>
      </c>
      <c r="AP40" s="67">
        <v>568</v>
      </c>
      <c r="AQ40" s="67">
        <v>540</v>
      </c>
      <c r="AR40" s="67">
        <v>569</v>
      </c>
      <c r="AS40" s="67">
        <f>+AS39-AS41</f>
        <v>579.17999999999984</v>
      </c>
      <c r="AT40" s="67">
        <f>+AT39-AT41</f>
        <v>573.72000000000025</v>
      </c>
      <c r="AU40" s="67"/>
      <c r="AV40" s="67">
        <v>682</v>
      </c>
      <c r="AW40" s="67"/>
      <c r="AX40" s="67"/>
      <c r="AY40" s="67"/>
      <c r="AZ40" s="67"/>
      <c r="BA40" s="67"/>
      <c r="BB40" s="67"/>
      <c r="BC40" s="67"/>
      <c r="BD40" s="67">
        <v>789</v>
      </c>
      <c r="BE40" s="67"/>
      <c r="BF40" s="67"/>
      <c r="BG40" s="67"/>
      <c r="BH40" s="67"/>
      <c r="BI40" s="67"/>
      <c r="BJ40" s="67"/>
      <c r="BK40" s="67"/>
      <c r="BL40" s="67"/>
      <c r="BM40" s="67"/>
      <c r="BN40" s="67"/>
      <c r="BO40" s="67"/>
      <c r="BP40" s="67"/>
      <c r="BQ40" s="67"/>
      <c r="BR40" s="67"/>
      <c r="BS40" s="67"/>
      <c r="BT40" s="67"/>
      <c r="BU40" s="67"/>
      <c r="BV40" s="67">
        <v>819</v>
      </c>
      <c r="BW40" s="67">
        <v>779</v>
      </c>
      <c r="BX40" s="67">
        <v>736</v>
      </c>
      <c r="BY40" s="67"/>
      <c r="BZ40" s="67">
        <v>790</v>
      </c>
      <c r="CA40" s="67">
        <v>771</v>
      </c>
      <c r="CB40" s="67">
        <v>758</v>
      </c>
      <c r="CC40" s="67">
        <v>874</v>
      </c>
      <c r="CD40" s="67">
        <v>959</v>
      </c>
      <c r="CE40" s="67">
        <v>867</v>
      </c>
      <c r="CF40" s="67">
        <v>1034</v>
      </c>
      <c r="CG40" s="67">
        <v>997</v>
      </c>
      <c r="CH40" s="67">
        <v>1096</v>
      </c>
      <c r="CI40" s="67">
        <v>951</v>
      </c>
      <c r="CJ40" s="67">
        <v>926</v>
      </c>
      <c r="CK40" s="67">
        <v>1003</v>
      </c>
      <c r="CL40" s="67">
        <v>1071</v>
      </c>
      <c r="CM40" s="67">
        <f t="shared" ref="CM40:CP40" si="94">+CM39-CM41</f>
        <v>876.90000000000055</v>
      </c>
      <c r="CN40" s="67">
        <f t="shared" si="94"/>
        <v>1002.4499999999998</v>
      </c>
      <c r="CO40" s="67">
        <f t="shared" si="94"/>
        <v>982.19999999999982</v>
      </c>
      <c r="CP40" s="67">
        <f t="shared" si="94"/>
        <v>1174.9499999999998</v>
      </c>
      <c r="CQ40" s="67"/>
      <c r="CR40" s="67"/>
      <c r="CS40" s="67"/>
      <c r="CT40" s="67"/>
      <c r="CU40" s="67"/>
      <c r="CV40" s="67"/>
      <c r="CW40" s="67"/>
      <c r="CX40" s="67"/>
      <c r="CY40" s="67"/>
      <c r="CZ40" s="72"/>
      <c r="DA40" s="67">
        <v>408</v>
      </c>
      <c r="DB40" s="67">
        <v>443</v>
      </c>
      <c r="DC40" s="67">
        <v>736</v>
      </c>
      <c r="DD40" s="67">
        <v>1322</v>
      </c>
      <c r="DE40" s="67">
        <v>1729</v>
      </c>
      <c r="DF40" s="67">
        <v>2035.057</v>
      </c>
      <c r="DG40" s="67">
        <f>DG39-DG41</f>
        <v>2080</v>
      </c>
      <c r="DH40" s="67">
        <f>DH39-DH41</f>
        <v>2255</v>
      </c>
      <c r="DI40" s="67">
        <f>DI39-DI41</f>
        <v>2193</v>
      </c>
      <c r="DJ40" s="67">
        <f>DJ39-DJ41</f>
        <v>2078</v>
      </c>
      <c r="DK40" s="67">
        <f>SUM(AM40:AP40)</f>
        <v>2205</v>
      </c>
      <c r="DL40" s="67">
        <f t="shared" ref="DL40:DR40" si="95">DL39-DL41</f>
        <v>2326.8000000000011</v>
      </c>
      <c r="DM40" s="67">
        <f t="shared" si="95"/>
        <v>2122.2209999999995</v>
      </c>
      <c r="DN40" s="67">
        <f t="shared" si="95"/>
        <v>2260.0572150000007</v>
      </c>
      <c r="DO40" s="67">
        <f t="shared" si="95"/>
        <v>2133.5983015500005</v>
      </c>
      <c r="DP40" s="67">
        <f t="shared" si="95"/>
        <v>1998.2547676124996</v>
      </c>
      <c r="DQ40" s="67">
        <f t="shared" si="95"/>
        <v>1964.5418295843756</v>
      </c>
      <c r="DR40" s="67">
        <f t="shared" si="95"/>
        <v>109.07296316718759</v>
      </c>
      <c r="DS40" s="67"/>
      <c r="DT40" s="67"/>
      <c r="DU40" s="67">
        <v>3362</v>
      </c>
      <c r="DV40" s="67">
        <v>3994</v>
      </c>
      <c r="DW40" s="67">
        <f>SUM(CI40:CL40)</f>
        <v>3951</v>
      </c>
      <c r="DX40" s="72"/>
      <c r="DY40" s="72"/>
      <c r="DZ40" s="72"/>
      <c r="EA40" s="72"/>
      <c r="EB40" s="72"/>
      <c r="EC40" s="72"/>
      <c r="ED40" s="72"/>
      <c r="EE40" s="72"/>
    </row>
    <row r="41" spans="2:140" s="15" customFormat="1">
      <c r="B41" s="15" t="s">
        <v>100</v>
      </c>
      <c r="C41" s="67">
        <f>C39-C40</f>
        <v>796.3</v>
      </c>
      <c r="D41" s="67">
        <f>D39-D40</f>
        <v>876</v>
      </c>
      <c r="E41" s="67">
        <f t="shared" ref="E41:Y41" si="96">E39-E40</f>
        <v>1006</v>
      </c>
      <c r="F41" s="67"/>
      <c r="G41" s="67">
        <f t="shared" si="96"/>
        <v>904.90000000000009</v>
      </c>
      <c r="H41" s="67">
        <f t="shared" si="96"/>
        <v>1117</v>
      </c>
      <c r="I41" s="67">
        <f t="shared" si="96"/>
        <v>1298.5999999999999</v>
      </c>
      <c r="J41" s="67">
        <f t="shared" si="96"/>
        <v>1512.8000000000002</v>
      </c>
      <c r="K41" s="67">
        <f t="shared" si="96"/>
        <v>1482.9</v>
      </c>
      <c r="L41" s="67">
        <f t="shared" si="96"/>
        <v>1716.8999999999999</v>
      </c>
      <c r="M41" s="67">
        <f t="shared" si="96"/>
        <v>1872.1999999999998</v>
      </c>
      <c r="N41" s="67">
        <f t="shared" si="96"/>
        <v>1963.1</v>
      </c>
      <c r="O41" s="67">
        <f t="shared" si="96"/>
        <v>1971.3999999999996</v>
      </c>
      <c r="P41" s="67">
        <f t="shared" si="96"/>
        <v>2149.6</v>
      </c>
      <c r="Q41" s="67">
        <f t="shared" si="96"/>
        <v>2266</v>
      </c>
      <c r="R41" s="67">
        <f t="shared" si="96"/>
        <v>2433</v>
      </c>
      <c r="S41" s="67">
        <f t="shared" si="96"/>
        <v>2344</v>
      </c>
      <c r="T41" s="67">
        <f t="shared" si="96"/>
        <v>2642</v>
      </c>
      <c r="U41" s="67">
        <f t="shared" si="96"/>
        <v>2649</v>
      </c>
      <c r="V41" s="67">
        <f t="shared" si="96"/>
        <v>2760</v>
      </c>
      <c r="W41" s="67">
        <f t="shared" si="96"/>
        <v>2665</v>
      </c>
      <c r="X41" s="67">
        <f t="shared" si="96"/>
        <v>3112</v>
      </c>
      <c r="Y41" s="67">
        <f t="shared" si="96"/>
        <v>3127</v>
      </c>
      <c r="Z41" s="67">
        <f>Z39-Z40</f>
        <v>3284</v>
      </c>
      <c r="AA41" s="67">
        <f>AA39-AA40</f>
        <v>3128</v>
      </c>
      <c r="AB41" s="67">
        <f>AB39-AB40</f>
        <v>3182</v>
      </c>
      <c r="AC41" s="67">
        <f>+AC39-AC40</f>
        <v>3026</v>
      </c>
      <c r="AD41" s="67">
        <f>AD39-AD40</f>
        <v>3180</v>
      </c>
      <c r="AE41" s="67">
        <f>AE39-AE40</f>
        <v>3071</v>
      </c>
      <c r="AF41" s="67">
        <f>AF39-AF40</f>
        <v>3252</v>
      </c>
      <c r="AG41" s="67">
        <f>+AG39-AG40</f>
        <v>3285</v>
      </c>
      <c r="AH41" s="67">
        <f>AH39-AH40</f>
        <v>3202</v>
      </c>
      <c r="AI41" s="67">
        <f>AI39-AI40</f>
        <v>2834</v>
      </c>
      <c r="AJ41" s="67">
        <f>AJ39-AJ40</f>
        <v>3186</v>
      </c>
      <c r="AK41" s="67">
        <f>AK39-AK40</f>
        <v>3270</v>
      </c>
      <c r="AL41" s="67">
        <f t="shared" ref="AL41:AQ41" si="97">+AL39-AL40</f>
        <v>3274</v>
      </c>
      <c r="AM41" s="67">
        <f t="shared" si="97"/>
        <v>3088</v>
      </c>
      <c r="AN41" s="67">
        <f t="shared" si="97"/>
        <v>3255</v>
      </c>
      <c r="AO41" s="67">
        <f t="shared" si="97"/>
        <v>3232</v>
      </c>
      <c r="AP41" s="67">
        <f t="shared" si="97"/>
        <v>3273</v>
      </c>
      <c r="AQ41" s="67">
        <f t="shared" si="97"/>
        <v>3166</v>
      </c>
      <c r="AR41" s="67">
        <f>+AR39-AR40</f>
        <v>3390</v>
      </c>
      <c r="AS41" s="67">
        <f>+AS39*AS53</f>
        <v>3282.02</v>
      </c>
      <c r="AT41" s="67">
        <f>+AT39*AT53</f>
        <v>3251.08</v>
      </c>
      <c r="AU41" s="67"/>
      <c r="AV41" s="67">
        <f>+AV39-AV40</f>
        <v>3795</v>
      </c>
      <c r="AW41" s="67"/>
      <c r="AX41" s="67"/>
      <c r="AY41" s="67"/>
      <c r="AZ41" s="67"/>
      <c r="BA41" s="67"/>
      <c r="BB41" s="67"/>
      <c r="BC41" s="67"/>
      <c r="BD41" s="67">
        <f>+BD39-BD40</f>
        <v>4391</v>
      </c>
      <c r="BE41" s="67"/>
      <c r="BF41" s="67"/>
      <c r="BG41" s="67"/>
      <c r="BH41" s="67"/>
      <c r="BI41" s="67"/>
      <c r="BJ41" s="67"/>
      <c r="BK41" s="67"/>
      <c r="BL41" s="67"/>
      <c r="BM41" s="67"/>
      <c r="BN41" s="67"/>
      <c r="BO41" s="67"/>
      <c r="BP41" s="67"/>
      <c r="BQ41" s="67"/>
      <c r="BR41" s="67"/>
      <c r="BS41" s="67"/>
      <c r="BT41" s="67"/>
      <c r="BU41" s="67"/>
      <c r="BV41" s="67">
        <f>+BV39-BV40</f>
        <v>5411</v>
      </c>
      <c r="BW41" s="67">
        <f>+BW39-BW40</f>
        <v>4778</v>
      </c>
      <c r="BX41" s="67">
        <f t="shared" ref="BX41:CB41" si="98">BX39-BX40</f>
        <v>5135</v>
      </c>
      <c r="BY41" s="67">
        <f t="shared" si="98"/>
        <v>5737</v>
      </c>
      <c r="BZ41" s="67">
        <f t="shared" si="98"/>
        <v>5407</v>
      </c>
      <c r="CA41" s="67">
        <f t="shared" si="98"/>
        <v>5390</v>
      </c>
      <c r="CB41" s="67">
        <f t="shared" si="98"/>
        <v>5448</v>
      </c>
      <c r="CC41" s="67">
        <f>CC39-CC40</f>
        <v>5549</v>
      </c>
      <c r="CD41" s="67">
        <f>CD39-CD40</f>
        <v>5675</v>
      </c>
      <c r="CE41" s="67">
        <f>CE39-CE40</f>
        <v>5034</v>
      </c>
      <c r="CF41" s="67">
        <f t="shared" ref="CF41:CI41" si="99">CF39-CF40</f>
        <v>5492</v>
      </c>
      <c r="CG41" s="67">
        <f t="shared" si="99"/>
        <v>5709</v>
      </c>
      <c r="CH41" s="67">
        <f t="shared" si="99"/>
        <v>5750</v>
      </c>
      <c r="CI41" s="67">
        <f t="shared" si="99"/>
        <v>5287</v>
      </c>
      <c r="CJ41" s="67">
        <f>+CJ39-CJ40</f>
        <v>5355</v>
      </c>
      <c r="CK41" s="67">
        <f>+CK39-CK40</f>
        <v>5234</v>
      </c>
      <c r="CL41" s="67">
        <f>+CL39-CL40</f>
        <v>5481</v>
      </c>
      <c r="CM41" s="67">
        <f t="shared" ref="CM41:CP41" si="100">+CM39*0.85</f>
        <v>4969.0999999999995</v>
      </c>
      <c r="CN41" s="67">
        <f t="shared" si="100"/>
        <v>5680.55</v>
      </c>
      <c r="CO41" s="67">
        <f t="shared" si="100"/>
        <v>5565.8</v>
      </c>
      <c r="CP41" s="67">
        <f t="shared" si="100"/>
        <v>6658.05</v>
      </c>
      <c r="CQ41" s="67"/>
      <c r="CR41" s="67"/>
      <c r="CS41" s="67"/>
      <c r="CT41" s="67"/>
      <c r="CU41" s="67"/>
      <c r="CV41" s="67"/>
      <c r="CW41" s="67"/>
      <c r="CX41" s="67"/>
      <c r="CY41" s="67"/>
      <c r="CZ41" s="72"/>
      <c r="DA41" s="67">
        <f>DA39-DA40</f>
        <v>3205.4</v>
      </c>
      <c r="DB41" s="67">
        <f>DB39-DB40</f>
        <v>3559.1</v>
      </c>
      <c r="DC41" s="67">
        <f>DC39-DC40</f>
        <v>4676.6000000000004</v>
      </c>
      <c r="DD41" s="67">
        <f>DD39-DD40</f>
        <v>7033.5</v>
      </c>
      <c r="DE41" s="67">
        <f>SUM(O41:R41)</f>
        <v>8820</v>
      </c>
      <c r="DF41" s="67">
        <f>DF39-DF40</f>
        <v>10394.942999999999</v>
      </c>
      <c r="DG41" s="67">
        <f>SUM(W41:Z41)</f>
        <v>12188</v>
      </c>
      <c r="DH41" s="67">
        <f>SUM(AA41:AD41)</f>
        <v>12516</v>
      </c>
      <c r="DI41" s="67">
        <f>SUM(AE41:AH41)</f>
        <v>12810</v>
      </c>
      <c r="DJ41" s="67">
        <f>SUM(AI41:AL41)</f>
        <v>12564</v>
      </c>
      <c r="DK41" s="67">
        <f>SUM(AM41:AP41)</f>
        <v>12848</v>
      </c>
      <c r="DL41" s="67">
        <f t="shared" ref="DL41:DR41" si="101">DL39*DL53</f>
        <v>13185.199999999999</v>
      </c>
      <c r="DM41" s="67">
        <f t="shared" si="101"/>
        <v>12025.918999999998</v>
      </c>
      <c r="DN41" s="67">
        <f t="shared" si="101"/>
        <v>12806.990884999997</v>
      </c>
      <c r="DO41" s="67">
        <f t="shared" si="101"/>
        <v>12090.390375449999</v>
      </c>
      <c r="DP41" s="67">
        <f t="shared" si="101"/>
        <v>11323.443683137501</v>
      </c>
      <c r="DQ41" s="67">
        <f t="shared" si="101"/>
        <v>11132.403700978124</v>
      </c>
      <c r="DR41" s="67">
        <f t="shared" si="101"/>
        <v>618.08012461406258</v>
      </c>
      <c r="DS41" s="67"/>
      <c r="DT41" s="67"/>
      <c r="DU41" s="67">
        <f>DU39-DU40</f>
        <v>22062</v>
      </c>
      <c r="DV41" s="67">
        <f>DV39-DV40</f>
        <v>21985</v>
      </c>
      <c r="DW41" s="67">
        <f>DW39-DW40</f>
        <v>21336</v>
      </c>
      <c r="DX41" s="67">
        <f>+DX39*0.85</f>
        <v>24757.95</v>
      </c>
      <c r="DY41" s="67">
        <f t="shared" ref="DY41:EJ41" si="102">+DY39*0.85</f>
        <v>26384.374</v>
      </c>
      <c r="DZ41" s="67">
        <f t="shared" si="102"/>
        <v>27493.251530000005</v>
      </c>
      <c r="EA41" s="67">
        <f t="shared" si="102"/>
        <v>27598.940779899993</v>
      </c>
      <c r="EB41" s="67">
        <f t="shared" si="102"/>
        <v>27927.386161403003</v>
      </c>
      <c r="EC41" s="67">
        <f t="shared" si="102"/>
        <v>27552.527041892743</v>
      </c>
      <c r="ED41" s="67">
        <f t="shared" si="102"/>
        <v>26719.489323197504</v>
      </c>
      <c r="EE41" s="67">
        <f t="shared" si="102"/>
        <v>22444.359573910355</v>
      </c>
      <c r="EF41" s="67">
        <f t="shared" si="102"/>
        <v>20409.590674195428</v>
      </c>
      <c r="EG41" s="67">
        <f t="shared" si="102"/>
        <v>19358.78545627763</v>
      </c>
      <c r="EH41" s="67">
        <f t="shared" si="102"/>
        <v>18861.908604505406</v>
      </c>
      <c r="EI41" s="67">
        <f t="shared" si="102"/>
        <v>18662.657269050113</v>
      </c>
      <c r="EJ41" s="67">
        <f t="shared" si="102"/>
        <v>12995.848584835672</v>
      </c>
    </row>
    <row r="42" spans="2:140" s="15" customFormat="1">
      <c r="B42" s="15" t="s">
        <v>446</v>
      </c>
      <c r="C42" s="67">
        <v>203.4</v>
      </c>
      <c r="D42" s="67">
        <v>234</v>
      </c>
      <c r="E42" s="67">
        <v>304</v>
      </c>
      <c r="F42" s="67"/>
      <c r="G42" s="67">
        <v>203.4</v>
      </c>
      <c r="H42" s="67">
        <v>233.6</v>
      </c>
      <c r="I42" s="67">
        <v>304.10000000000002</v>
      </c>
      <c r="J42" s="67">
        <v>357.4</v>
      </c>
      <c r="K42" s="67">
        <v>341.6</v>
      </c>
      <c r="L42" s="67">
        <v>384.6</v>
      </c>
      <c r="M42" s="67">
        <v>400</v>
      </c>
      <c r="N42" s="67">
        <v>494.8</v>
      </c>
      <c r="O42" s="67">
        <v>432.9</v>
      </c>
      <c r="P42" s="67">
        <v>460.4</v>
      </c>
      <c r="Q42" s="67">
        <v>495</v>
      </c>
      <c r="R42" s="67">
        <v>608</v>
      </c>
      <c r="S42" s="67">
        <v>521</v>
      </c>
      <c r="T42" s="67">
        <v>564</v>
      </c>
      <c r="U42" s="67">
        <v>559</v>
      </c>
      <c r="V42" s="67">
        <v>658</v>
      </c>
      <c r="W42" s="67">
        <v>624</v>
      </c>
      <c r="X42" s="67">
        <v>729</v>
      </c>
      <c r="Y42" s="67">
        <v>835</v>
      </c>
      <c r="Z42" s="67">
        <v>1003</v>
      </c>
      <c r="AA42" s="67">
        <v>803</v>
      </c>
      <c r="AB42" s="67">
        <v>777</v>
      </c>
      <c r="AC42" s="67">
        <v>699</v>
      </c>
      <c r="AD42" s="67">
        <v>785</v>
      </c>
      <c r="AE42" s="67">
        <v>661</v>
      </c>
      <c r="AF42" s="67">
        <v>779</v>
      </c>
      <c r="AG42" s="67">
        <v>700</v>
      </c>
      <c r="AH42" s="67">
        <v>770</v>
      </c>
      <c r="AI42" s="67">
        <v>605</v>
      </c>
      <c r="AJ42" s="67">
        <v>657</v>
      </c>
      <c r="AK42" s="67">
        <v>613</v>
      </c>
      <c r="AL42" s="67">
        <v>864</v>
      </c>
      <c r="AM42" s="67">
        <v>617</v>
      </c>
      <c r="AN42" s="67">
        <v>642</v>
      </c>
      <c r="AO42" s="67">
        <v>689</v>
      </c>
      <c r="AP42" s="67">
        <v>825</v>
      </c>
      <c r="AQ42" s="67">
        <v>703</v>
      </c>
      <c r="AR42" s="67">
        <v>808</v>
      </c>
      <c r="AS42" s="67"/>
      <c r="AT42" s="67">
        <f>+AP42</f>
        <v>825</v>
      </c>
      <c r="AU42" s="67"/>
      <c r="AV42" s="67">
        <v>826</v>
      </c>
      <c r="AW42" s="67"/>
      <c r="AX42" s="67"/>
      <c r="AY42" s="67"/>
      <c r="AZ42" s="67"/>
      <c r="BA42" s="67"/>
      <c r="BB42" s="67"/>
      <c r="BC42" s="67"/>
      <c r="BD42" s="67">
        <v>979</v>
      </c>
      <c r="BE42" s="67"/>
      <c r="BF42" s="67"/>
      <c r="BG42" s="67"/>
      <c r="BH42" s="67"/>
      <c r="BI42" s="67"/>
      <c r="BJ42" s="67"/>
      <c r="BK42" s="67"/>
      <c r="BL42" s="67"/>
      <c r="BM42" s="67"/>
      <c r="BN42" s="67"/>
      <c r="BO42" s="67"/>
      <c r="BP42" s="67"/>
      <c r="BQ42" s="67"/>
      <c r="BR42" s="67"/>
      <c r="BS42" s="67"/>
      <c r="BT42" s="67"/>
      <c r="BU42" s="67"/>
      <c r="BV42" s="67">
        <v>1162</v>
      </c>
      <c r="BW42" s="67">
        <v>859</v>
      </c>
      <c r="BX42" s="67">
        <v>906</v>
      </c>
      <c r="BY42" s="67"/>
      <c r="BZ42" s="67">
        <v>1285</v>
      </c>
      <c r="CA42" s="67">
        <v>927</v>
      </c>
      <c r="CB42" s="67">
        <v>936</v>
      </c>
      <c r="CC42" s="67">
        <v>1037</v>
      </c>
      <c r="CD42" s="67">
        <v>1185</v>
      </c>
      <c r="CE42" s="67">
        <v>944</v>
      </c>
      <c r="CF42" s="67">
        <v>1036</v>
      </c>
      <c r="CG42" s="67">
        <v>997</v>
      </c>
      <c r="CH42" s="67">
        <v>1319</v>
      </c>
      <c r="CI42" s="67">
        <v>934</v>
      </c>
      <c r="CJ42" s="67">
        <v>1020</v>
      </c>
      <c r="CK42" s="67">
        <v>1096</v>
      </c>
      <c r="CL42" s="67">
        <v>1291</v>
      </c>
      <c r="CM42" s="67">
        <f t="shared" ref="CM42:CM43" si="103">+CI42</f>
        <v>934</v>
      </c>
      <c r="CN42" s="67">
        <f t="shared" ref="CN42:CN43" si="104">+CJ42</f>
        <v>1020</v>
      </c>
      <c r="CO42" s="67">
        <f t="shared" ref="CO42:CO43" si="105">+CK42</f>
        <v>1096</v>
      </c>
      <c r="CP42" s="67">
        <f t="shared" ref="CP42:CP43" si="106">+CL42</f>
        <v>1291</v>
      </c>
      <c r="CQ42" s="67"/>
      <c r="CR42" s="67"/>
      <c r="CS42" s="67"/>
      <c r="CT42" s="67"/>
      <c r="CU42" s="67"/>
      <c r="CV42" s="67"/>
      <c r="CW42" s="67"/>
      <c r="CX42" s="67"/>
      <c r="CY42" s="67"/>
      <c r="CZ42" s="72"/>
      <c r="DA42" s="67">
        <v>845</v>
      </c>
      <c r="DB42" s="67">
        <v>865</v>
      </c>
      <c r="DC42" s="67">
        <v>1117</v>
      </c>
      <c r="DD42" s="67">
        <v>1621</v>
      </c>
      <c r="DE42" s="67">
        <f>SUM(O42:R42)</f>
        <v>1996.3</v>
      </c>
      <c r="DF42" s="67">
        <f>SUM(S42:V42)</f>
        <v>2302</v>
      </c>
      <c r="DG42" s="67">
        <f>SUM(W42:Z42)</f>
        <v>3191</v>
      </c>
      <c r="DH42" s="67">
        <f>SUM(AA42:AD42)</f>
        <v>3064</v>
      </c>
      <c r="DI42" s="67">
        <f>SUM(AE42:AH42)</f>
        <v>2910</v>
      </c>
      <c r="DJ42" s="67">
        <f>SUM(AI42:AL42)</f>
        <v>2739</v>
      </c>
      <c r="DK42" s="67">
        <f>SUM(AM42:AP42)</f>
        <v>2773</v>
      </c>
      <c r="DL42" s="67">
        <f>SUM(AQ42:AT42)</f>
        <v>2336</v>
      </c>
      <c r="DM42" s="67"/>
      <c r="DN42" s="67"/>
      <c r="DO42" s="67"/>
      <c r="DP42" s="67"/>
      <c r="DQ42" s="67"/>
      <c r="DR42" s="67"/>
      <c r="DS42" s="67"/>
      <c r="DT42" s="67"/>
      <c r="DU42" s="67">
        <v>4085</v>
      </c>
      <c r="DV42" s="67">
        <v>4296</v>
      </c>
      <c r="DW42" s="67">
        <f t="shared" ref="DW42" si="107">SUM(CI42:CL42)</f>
        <v>4341</v>
      </c>
      <c r="DX42" s="72"/>
      <c r="DY42" s="72"/>
      <c r="DZ42" s="72"/>
      <c r="EA42" s="72"/>
      <c r="EB42" s="72"/>
      <c r="EC42" s="72"/>
      <c r="ED42" s="72"/>
      <c r="EE42" s="72"/>
    </row>
    <row r="43" spans="2:140" s="15" customFormat="1">
      <c r="B43" s="15" t="s">
        <v>447</v>
      </c>
      <c r="C43" s="67">
        <v>245.8</v>
      </c>
      <c r="D43" s="67">
        <v>321</v>
      </c>
      <c r="E43" s="67">
        <v>377</v>
      </c>
      <c r="F43" s="67"/>
      <c r="G43" s="67">
        <f>245.8-1.7</f>
        <v>244.10000000000002</v>
      </c>
      <c r="H43" s="67">
        <f>320.5-1.7</f>
        <v>318.8</v>
      </c>
      <c r="I43" s="67">
        <f>376.9-3.4</f>
        <v>373.5</v>
      </c>
      <c r="J43" s="67">
        <f>496-5.8</f>
        <v>490.2</v>
      </c>
      <c r="K43" s="67">
        <f>385.3-9.6</f>
        <v>375.7</v>
      </c>
      <c r="L43" s="67">
        <v>437.5</v>
      </c>
      <c r="M43" s="67">
        <f>479.3-10.9</f>
        <v>468.40000000000003</v>
      </c>
      <c r="N43" s="67">
        <f>621.8-10</f>
        <v>611.79999999999995</v>
      </c>
      <c r="O43" s="67">
        <v>513</v>
      </c>
      <c r="P43" s="67">
        <v>586.70000000000005</v>
      </c>
      <c r="Q43" s="67">
        <v>635</v>
      </c>
      <c r="R43" s="67">
        <v>813</v>
      </c>
      <c r="S43" s="67">
        <v>577</v>
      </c>
      <c r="T43" s="67">
        <v>646</v>
      </c>
      <c r="U43" s="67">
        <v>656</v>
      </c>
      <c r="V43" s="67">
        <v>913</v>
      </c>
      <c r="W43" s="67">
        <v>652</v>
      </c>
      <c r="X43" s="67">
        <v>799</v>
      </c>
      <c r="Y43" s="67">
        <v>782</v>
      </c>
      <c r="Z43" s="67">
        <v>1001</v>
      </c>
      <c r="AA43" s="67">
        <v>748</v>
      </c>
      <c r="AB43" s="67">
        <v>840</v>
      </c>
      <c r="AC43" s="67">
        <v>804</v>
      </c>
      <c r="AD43" s="67">
        <v>990</v>
      </c>
      <c r="AE43" s="67">
        <v>862</v>
      </c>
      <c r="AF43" s="67">
        <v>894</v>
      </c>
      <c r="AG43" s="67">
        <v>890</v>
      </c>
      <c r="AH43" s="67">
        <v>1062</v>
      </c>
      <c r="AI43" s="67">
        <v>774</v>
      </c>
      <c r="AJ43" s="67">
        <v>891</v>
      </c>
      <c r="AK43" s="67">
        <v>913</v>
      </c>
      <c r="AL43" s="67">
        <v>1159</v>
      </c>
      <c r="AM43" s="67">
        <v>873</v>
      </c>
      <c r="AN43" s="67">
        <v>968</v>
      </c>
      <c r="AO43" s="67">
        <v>942</v>
      </c>
      <c r="AP43" s="67">
        <v>1142</v>
      </c>
      <c r="AQ43" s="67">
        <v>1011</v>
      </c>
      <c r="AR43" s="67">
        <v>1111</v>
      </c>
      <c r="AS43" s="67">
        <f>+AO43</f>
        <v>942</v>
      </c>
      <c r="AT43" s="67">
        <f>+AP43</f>
        <v>1142</v>
      </c>
      <c r="AU43" s="67"/>
      <c r="AV43" s="67">
        <v>1228</v>
      </c>
      <c r="AW43" s="67"/>
      <c r="AX43" s="67"/>
      <c r="AY43" s="67"/>
      <c r="AZ43" s="67"/>
      <c r="BA43" s="67"/>
      <c r="BB43" s="67"/>
      <c r="BC43" s="67"/>
      <c r="BD43" s="67">
        <v>1093</v>
      </c>
      <c r="BE43" s="67"/>
      <c r="BF43" s="67"/>
      <c r="BG43" s="67"/>
      <c r="BH43" s="67"/>
      <c r="BI43" s="67"/>
      <c r="BJ43" s="67"/>
      <c r="BK43" s="67"/>
      <c r="BL43" s="67"/>
      <c r="BM43" s="67"/>
      <c r="BN43" s="67"/>
      <c r="BO43" s="67"/>
      <c r="BP43" s="67"/>
      <c r="BQ43" s="67"/>
      <c r="BR43" s="67"/>
      <c r="BS43" s="67"/>
      <c r="BT43" s="67"/>
      <c r="BU43" s="67"/>
      <c r="BV43" s="67">
        <v>1532</v>
      </c>
      <c r="BW43" s="67">
        <v>1149</v>
      </c>
      <c r="BX43" s="67">
        <v>1256</v>
      </c>
      <c r="BY43" s="67"/>
      <c r="BZ43" s="67">
        <v>1501</v>
      </c>
      <c r="CA43" s="67">
        <v>1287</v>
      </c>
      <c r="CB43" s="67">
        <v>1265</v>
      </c>
      <c r="CC43" s="67">
        <v>1329</v>
      </c>
      <c r="CD43" s="67">
        <v>1762</v>
      </c>
      <c r="CE43" s="67">
        <v>1226</v>
      </c>
      <c r="CF43" s="67">
        <v>1345</v>
      </c>
      <c r="CG43" s="67">
        <v>1260</v>
      </c>
      <c r="CH43" s="67">
        <v>1434</v>
      </c>
      <c r="CI43" s="67">
        <v>1213</v>
      </c>
      <c r="CJ43" s="67">
        <v>1313</v>
      </c>
      <c r="CK43" s="67">
        <v>1276</v>
      </c>
      <c r="CL43" s="67">
        <v>1468</v>
      </c>
      <c r="CM43" s="67">
        <f t="shared" si="103"/>
        <v>1213</v>
      </c>
      <c r="CN43" s="67">
        <f t="shared" si="104"/>
        <v>1313</v>
      </c>
      <c r="CO43" s="67">
        <f t="shared" si="105"/>
        <v>1276</v>
      </c>
      <c r="CP43" s="67">
        <f t="shared" si="106"/>
        <v>1468</v>
      </c>
      <c r="CQ43" s="67"/>
      <c r="CR43" s="67"/>
      <c r="CS43" s="67"/>
      <c r="CT43" s="67"/>
      <c r="CU43" s="67"/>
      <c r="CV43" s="67"/>
      <c r="CW43" s="67"/>
      <c r="CX43" s="67"/>
      <c r="CY43" s="67"/>
      <c r="CZ43" s="72"/>
      <c r="DA43" s="67">
        <v>851</v>
      </c>
      <c r="DB43" s="67">
        <v>974</v>
      </c>
      <c r="DC43" s="67">
        <v>1449</v>
      </c>
      <c r="DD43" s="67">
        <v>1893</v>
      </c>
      <c r="DE43" s="67">
        <f>SUM(O43:R43)</f>
        <v>2547.6999999999998</v>
      </c>
      <c r="DF43" s="67">
        <f>SUM(S43:V43)</f>
        <v>2792</v>
      </c>
      <c r="DG43" s="67">
        <f>SUM(W43:Z43)</f>
        <v>3234</v>
      </c>
      <c r="DH43" s="67">
        <f>SUM(AA43:AD43)</f>
        <v>3382</v>
      </c>
      <c r="DI43" s="67">
        <f>SUM(AE43:AH43)</f>
        <v>3708</v>
      </c>
      <c r="DJ43" s="67">
        <f>SUM(AI43:AL43)</f>
        <v>3737</v>
      </c>
      <c r="DK43" s="67">
        <f>SUM(AM43:AP43)</f>
        <v>3925</v>
      </c>
      <c r="DL43" s="67">
        <f>SUM(AQ43:AT43)</f>
        <v>4206</v>
      </c>
      <c r="DM43" s="67">
        <f>DM55*DM39</f>
        <v>2900.3686999999995</v>
      </c>
      <c r="DN43" s="67">
        <f>DN55*DN39</f>
        <v>3164.0801009999996</v>
      </c>
      <c r="DO43" s="67">
        <f>DO55*DO39</f>
        <v>3129.2775089399997</v>
      </c>
      <c r="DP43" s="67">
        <f>DP39*DP55</f>
        <v>3063.9906436725</v>
      </c>
      <c r="DQ43" s="67">
        <f>+DP43</f>
        <v>3063.9906436725</v>
      </c>
      <c r="DR43" s="67">
        <f>+DQ43</f>
        <v>3063.9906436725</v>
      </c>
      <c r="DS43" s="67"/>
      <c r="DT43" s="67"/>
      <c r="DU43" s="67">
        <f>SUM(CA43:CD43)</f>
        <v>5643</v>
      </c>
      <c r="DV43" s="67">
        <f>SUM(CE43:CH43)</f>
        <v>5265</v>
      </c>
      <c r="DW43" s="67">
        <f>SUM(CI43:CL43)</f>
        <v>5270</v>
      </c>
      <c r="DX43" s="67">
        <f>+DW43*0.95</f>
        <v>5006.5</v>
      </c>
      <c r="DY43" s="67">
        <f t="shared" ref="DY43:EJ43" si="108">+DX43*0.95</f>
        <v>4756.1750000000002</v>
      </c>
      <c r="DZ43" s="67">
        <f t="shared" si="108"/>
        <v>4518.36625</v>
      </c>
      <c r="EA43" s="67">
        <f t="shared" si="108"/>
        <v>4292.4479375000001</v>
      </c>
      <c r="EB43" s="67">
        <f t="shared" si="108"/>
        <v>4077.825540625</v>
      </c>
      <c r="EC43" s="67">
        <f t="shared" si="108"/>
        <v>3873.9342635937501</v>
      </c>
      <c r="ED43" s="67">
        <f t="shared" si="108"/>
        <v>3680.2375504140623</v>
      </c>
      <c r="EE43" s="67">
        <f t="shared" si="108"/>
        <v>3496.2256728933589</v>
      </c>
      <c r="EF43" s="67">
        <f t="shared" si="108"/>
        <v>3321.4143892486909</v>
      </c>
      <c r="EG43" s="67">
        <f t="shared" si="108"/>
        <v>3155.3436697862562</v>
      </c>
      <c r="EH43" s="67">
        <f t="shared" si="108"/>
        <v>2997.5764862969431</v>
      </c>
      <c r="EI43" s="67">
        <f t="shared" si="108"/>
        <v>2847.6976619820957</v>
      </c>
      <c r="EJ43" s="67">
        <f t="shared" si="108"/>
        <v>2705.3127788829906</v>
      </c>
    </row>
    <row r="44" spans="2:140" s="15" customFormat="1">
      <c r="B44" s="15" t="s">
        <v>634</v>
      </c>
      <c r="C44" s="67">
        <f>C43+C42</f>
        <v>449.20000000000005</v>
      </c>
      <c r="D44" s="67">
        <f>D43+D42</f>
        <v>555</v>
      </c>
      <c r="E44" s="67">
        <f t="shared" ref="E44:Z44" si="109">E43+E42</f>
        <v>681</v>
      </c>
      <c r="F44" s="67"/>
      <c r="G44" s="67">
        <f t="shared" si="109"/>
        <v>447.5</v>
      </c>
      <c r="H44" s="67">
        <f t="shared" si="109"/>
        <v>552.4</v>
      </c>
      <c r="I44" s="67">
        <f t="shared" si="109"/>
        <v>677.6</v>
      </c>
      <c r="J44" s="67">
        <f t="shared" si="109"/>
        <v>847.59999999999991</v>
      </c>
      <c r="K44" s="67">
        <f t="shared" si="109"/>
        <v>717.3</v>
      </c>
      <c r="L44" s="67">
        <f t="shared" si="109"/>
        <v>822.1</v>
      </c>
      <c r="M44" s="67">
        <f t="shared" si="109"/>
        <v>868.40000000000009</v>
      </c>
      <c r="N44" s="67">
        <f t="shared" si="109"/>
        <v>1106.5999999999999</v>
      </c>
      <c r="O44" s="67">
        <f t="shared" si="109"/>
        <v>945.9</v>
      </c>
      <c r="P44" s="67">
        <f t="shared" si="109"/>
        <v>1047.0999999999999</v>
      </c>
      <c r="Q44" s="67">
        <f t="shared" si="109"/>
        <v>1130</v>
      </c>
      <c r="R44" s="67">
        <f t="shared" si="109"/>
        <v>1421</v>
      </c>
      <c r="S44" s="67">
        <f t="shared" si="109"/>
        <v>1098</v>
      </c>
      <c r="T44" s="67">
        <f t="shared" si="109"/>
        <v>1210</v>
      </c>
      <c r="U44" s="67">
        <f t="shared" si="109"/>
        <v>1215</v>
      </c>
      <c r="V44" s="67">
        <f t="shared" si="109"/>
        <v>1571</v>
      </c>
      <c r="W44" s="67">
        <f t="shared" si="109"/>
        <v>1276</v>
      </c>
      <c r="X44" s="67">
        <f t="shared" si="109"/>
        <v>1528</v>
      </c>
      <c r="Y44" s="67">
        <f t="shared" si="109"/>
        <v>1617</v>
      </c>
      <c r="Z44" s="67">
        <f t="shared" si="109"/>
        <v>2004</v>
      </c>
      <c r="AA44" s="67">
        <f t="shared" ref="AA44:AJ44" si="110">AA43+AA42</f>
        <v>1551</v>
      </c>
      <c r="AB44" s="67">
        <f t="shared" si="110"/>
        <v>1617</v>
      </c>
      <c r="AC44" s="67">
        <f t="shared" si="110"/>
        <v>1503</v>
      </c>
      <c r="AD44" s="67">
        <f t="shared" si="110"/>
        <v>1775</v>
      </c>
      <c r="AE44" s="67">
        <f t="shared" si="110"/>
        <v>1523</v>
      </c>
      <c r="AF44" s="67">
        <f>AF43+AF42</f>
        <v>1673</v>
      </c>
      <c r="AG44" s="67">
        <f t="shared" si="110"/>
        <v>1590</v>
      </c>
      <c r="AH44" s="67">
        <f t="shared" si="110"/>
        <v>1832</v>
      </c>
      <c r="AI44" s="67">
        <f t="shared" si="110"/>
        <v>1379</v>
      </c>
      <c r="AJ44" s="67">
        <f t="shared" si="110"/>
        <v>1548</v>
      </c>
      <c r="AK44" s="67">
        <f t="shared" ref="AK44:AT44" si="111">AK43+AK42</f>
        <v>1526</v>
      </c>
      <c r="AL44" s="67">
        <f t="shared" si="111"/>
        <v>2023</v>
      </c>
      <c r="AM44" s="67">
        <f t="shared" si="111"/>
        <v>1490</v>
      </c>
      <c r="AN44" s="67">
        <f t="shared" si="111"/>
        <v>1610</v>
      </c>
      <c r="AO44" s="67">
        <f t="shared" si="111"/>
        <v>1631</v>
      </c>
      <c r="AP44" s="67">
        <f t="shared" si="111"/>
        <v>1967</v>
      </c>
      <c r="AQ44" s="67">
        <f>AQ43+AQ42</f>
        <v>1714</v>
      </c>
      <c r="AR44" s="67">
        <f>AR43+AR42</f>
        <v>1919</v>
      </c>
      <c r="AS44" s="67">
        <f t="shared" si="111"/>
        <v>942</v>
      </c>
      <c r="AT44" s="67">
        <f t="shared" si="111"/>
        <v>1967</v>
      </c>
      <c r="AU44" s="67"/>
      <c r="AV44" s="67">
        <f>AV43+AV42</f>
        <v>2054</v>
      </c>
      <c r="AW44" s="67"/>
      <c r="AX44" s="67"/>
      <c r="AY44" s="67"/>
      <c r="AZ44" s="67"/>
      <c r="BA44" s="67"/>
      <c r="BB44" s="67"/>
      <c r="BC44" s="67"/>
      <c r="BD44" s="67">
        <f>+BD43+BD42</f>
        <v>2072</v>
      </c>
      <c r="BE44" s="67"/>
      <c r="BF44" s="67"/>
      <c r="BG44" s="67"/>
      <c r="BH44" s="67"/>
      <c r="BI44" s="67"/>
      <c r="BJ44" s="67"/>
      <c r="BK44" s="67"/>
      <c r="BL44" s="67"/>
      <c r="BM44" s="67"/>
      <c r="BN44" s="67"/>
      <c r="BO44" s="67"/>
      <c r="BP44" s="67"/>
      <c r="BQ44" s="67"/>
      <c r="BR44" s="67"/>
      <c r="BS44" s="67"/>
      <c r="BT44" s="67"/>
      <c r="BU44" s="67"/>
      <c r="BV44" s="67">
        <f t="shared" ref="BV44:BW44" si="112">BV42+BV43</f>
        <v>2694</v>
      </c>
      <c r="BW44" s="67">
        <f t="shared" si="112"/>
        <v>2008</v>
      </c>
      <c r="BX44" s="67">
        <f t="shared" ref="BX44:CB44" si="113">BX42+BX43</f>
        <v>2162</v>
      </c>
      <c r="BY44" s="67">
        <f t="shared" si="113"/>
        <v>0</v>
      </c>
      <c r="BZ44" s="67">
        <f t="shared" si="113"/>
        <v>2786</v>
      </c>
      <c r="CA44" s="67">
        <f t="shared" si="113"/>
        <v>2214</v>
      </c>
      <c r="CB44" s="67">
        <f t="shared" si="113"/>
        <v>2201</v>
      </c>
      <c r="CC44" s="67">
        <f t="shared" ref="CC44" si="114">CC42+CC43</f>
        <v>2366</v>
      </c>
      <c r="CD44" s="67">
        <f t="shared" ref="CD44" si="115">CD42+CD43</f>
        <v>2947</v>
      </c>
      <c r="CE44" s="67">
        <f t="shared" ref="CE44:CH44" si="116">CE42+CE43</f>
        <v>2170</v>
      </c>
      <c r="CF44" s="67">
        <f t="shared" si="116"/>
        <v>2381</v>
      </c>
      <c r="CG44" s="67">
        <f t="shared" si="116"/>
        <v>2257</v>
      </c>
      <c r="CH44" s="67">
        <f t="shared" si="116"/>
        <v>2753</v>
      </c>
      <c r="CI44" s="67">
        <f>CI42+CI43</f>
        <v>2147</v>
      </c>
      <c r="CJ44" s="67">
        <f>CJ42+CJ43</f>
        <v>2333</v>
      </c>
      <c r="CK44" s="67">
        <f t="shared" ref="CK44:CP44" si="117">CK42+CK43</f>
        <v>2372</v>
      </c>
      <c r="CL44" s="67">
        <f t="shared" si="117"/>
        <v>2759</v>
      </c>
      <c r="CM44" s="67">
        <f t="shared" si="117"/>
        <v>2147</v>
      </c>
      <c r="CN44" s="67">
        <f t="shared" si="117"/>
        <v>2333</v>
      </c>
      <c r="CO44" s="67">
        <f t="shared" si="117"/>
        <v>2372</v>
      </c>
      <c r="CP44" s="67">
        <f t="shared" si="117"/>
        <v>2759</v>
      </c>
      <c r="CQ44" s="67"/>
      <c r="CR44" s="67"/>
      <c r="CS44" s="67"/>
      <c r="CT44" s="67"/>
      <c r="CU44" s="67"/>
      <c r="CV44" s="67"/>
      <c r="CW44" s="67"/>
      <c r="CX44" s="67"/>
      <c r="CY44" s="67"/>
      <c r="CZ44" s="72"/>
      <c r="DA44" s="67">
        <f t="shared" ref="DA44:DM44" si="118">DA43+DA42</f>
        <v>1696</v>
      </c>
      <c r="DB44" s="67">
        <f t="shared" si="118"/>
        <v>1839</v>
      </c>
      <c r="DC44" s="67">
        <f t="shared" si="118"/>
        <v>2566</v>
      </c>
      <c r="DD44" s="67">
        <f t="shared" si="118"/>
        <v>3514</v>
      </c>
      <c r="DE44" s="67">
        <f t="shared" si="118"/>
        <v>4544</v>
      </c>
      <c r="DF44" s="67">
        <f t="shared" si="118"/>
        <v>5094</v>
      </c>
      <c r="DG44" s="67">
        <f t="shared" si="118"/>
        <v>6425</v>
      </c>
      <c r="DH44" s="67">
        <f t="shared" si="118"/>
        <v>6446</v>
      </c>
      <c r="DI44" s="67">
        <f>DI43+DI42</f>
        <v>6618</v>
      </c>
      <c r="DJ44" s="67">
        <f>DJ43+DJ42</f>
        <v>6476</v>
      </c>
      <c r="DK44" s="67">
        <f>DK43+DK42</f>
        <v>6698</v>
      </c>
      <c r="DL44" s="67">
        <f>DL43+DL42</f>
        <v>6542</v>
      </c>
      <c r="DM44" s="67">
        <f t="shared" si="118"/>
        <v>2900.3686999999995</v>
      </c>
      <c r="DN44" s="67">
        <f t="shared" ref="DN44:DT44" si="119">DN43+DN42</f>
        <v>3164.0801009999996</v>
      </c>
      <c r="DO44" s="67">
        <f t="shared" si="119"/>
        <v>3129.2775089399997</v>
      </c>
      <c r="DP44" s="67">
        <f t="shared" si="119"/>
        <v>3063.9906436725</v>
      </c>
      <c r="DQ44" s="67">
        <f t="shared" si="119"/>
        <v>3063.9906436725</v>
      </c>
      <c r="DR44" s="67">
        <f t="shared" si="119"/>
        <v>3063.9906436725</v>
      </c>
      <c r="DS44" s="67">
        <f t="shared" si="119"/>
        <v>0</v>
      </c>
      <c r="DT44" s="67">
        <f t="shared" si="119"/>
        <v>0</v>
      </c>
      <c r="DU44" s="67">
        <f t="shared" ref="DU44:DV44" si="120">DU43+DU42</f>
        <v>9728</v>
      </c>
      <c r="DV44" s="67">
        <f t="shared" si="120"/>
        <v>9561</v>
      </c>
      <c r="DW44" s="67">
        <f t="shared" ref="DW44:DX44" si="121">DW43+DW42</f>
        <v>9611</v>
      </c>
      <c r="DX44" s="67">
        <f t="shared" si="121"/>
        <v>5006.5</v>
      </c>
      <c r="DY44" s="67">
        <f t="shared" ref="DY44:EJ44" si="122">DY43+DY42</f>
        <v>4756.1750000000002</v>
      </c>
      <c r="DZ44" s="67">
        <f t="shared" si="122"/>
        <v>4518.36625</v>
      </c>
      <c r="EA44" s="67">
        <f t="shared" si="122"/>
        <v>4292.4479375000001</v>
      </c>
      <c r="EB44" s="67">
        <f t="shared" si="122"/>
        <v>4077.825540625</v>
      </c>
      <c r="EC44" s="67">
        <f t="shared" si="122"/>
        <v>3873.9342635937501</v>
      </c>
      <c r="ED44" s="67">
        <f t="shared" si="122"/>
        <v>3680.2375504140623</v>
      </c>
      <c r="EE44" s="67">
        <f t="shared" si="122"/>
        <v>3496.2256728933589</v>
      </c>
      <c r="EF44" s="67">
        <f t="shared" si="122"/>
        <v>3321.4143892486909</v>
      </c>
      <c r="EG44" s="67">
        <f t="shared" si="122"/>
        <v>3155.3436697862562</v>
      </c>
      <c r="EH44" s="67">
        <f t="shared" si="122"/>
        <v>2997.5764862969431</v>
      </c>
      <c r="EI44" s="67">
        <f t="shared" si="122"/>
        <v>2847.6976619820957</v>
      </c>
      <c r="EJ44" s="67">
        <f t="shared" si="122"/>
        <v>2705.3127788829906</v>
      </c>
    </row>
    <row r="45" spans="2:140" s="15" customFormat="1">
      <c r="B45" s="15" t="s">
        <v>706</v>
      </c>
      <c r="C45" s="67">
        <f>C41-C44</f>
        <v>347.09999999999991</v>
      </c>
      <c r="D45" s="67">
        <f>D41-D44</f>
        <v>321</v>
      </c>
      <c r="E45" s="67">
        <f t="shared" ref="E45:Z45" si="123">E41-E44</f>
        <v>325</v>
      </c>
      <c r="F45" s="67"/>
      <c r="G45" s="67">
        <f t="shared" si="123"/>
        <v>457.40000000000009</v>
      </c>
      <c r="H45" s="67">
        <f t="shared" si="123"/>
        <v>564.6</v>
      </c>
      <c r="I45" s="67">
        <f t="shared" si="123"/>
        <v>620.99999999999989</v>
      </c>
      <c r="J45" s="67">
        <f t="shared" si="123"/>
        <v>665.20000000000027</v>
      </c>
      <c r="K45" s="67">
        <f t="shared" si="123"/>
        <v>765.60000000000014</v>
      </c>
      <c r="L45" s="67">
        <f t="shared" si="123"/>
        <v>894.79999999999984</v>
      </c>
      <c r="M45" s="67">
        <f t="shared" si="123"/>
        <v>1003.7999999999997</v>
      </c>
      <c r="N45" s="67">
        <f t="shared" si="123"/>
        <v>856.5</v>
      </c>
      <c r="O45" s="67">
        <f t="shared" si="123"/>
        <v>1025.4999999999995</v>
      </c>
      <c r="P45" s="67">
        <f t="shared" si="123"/>
        <v>1102.5</v>
      </c>
      <c r="Q45" s="67">
        <f t="shared" si="123"/>
        <v>1136</v>
      </c>
      <c r="R45" s="67">
        <f t="shared" si="123"/>
        <v>1012</v>
      </c>
      <c r="S45" s="67">
        <f t="shared" si="123"/>
        <v>1246</v>
      </c>
      <c r="T45" s="67">
        <f t="shared" si="123"/>
        <v>1432</v>
      </c>
      <c r="U45" s="67">
        <f t="shared" si="123"/>
        <v>1434</v>
      </c>
      <c r="V45" s="67">
        <f t="shared" si="123"/>
        <v>1189</v>
      </c>
      <c r="W45" s="67">
        <f t="shared" si="123"/>
        <v>1389</v>
      </c>
      <c r="X45" s="67">
        <f t="shared" si="123"/>
        <v>1584</v>
      </c>
      <c r="Y45" s="67">
        <f t="shared" si="123"/>
        <v>1510</v>
      </c>
      <c r="Z45" s="67">
        <f t="shared" si="123"/>
        <v>1280</v>
      </c>
      <c r="AA45" s="67">
        <f t="shared" ref="AA45:AJ45" si="124">AA41-AA44</f>
        <v>1577</v>
      </c>
      <c r="AB45" s="67">
        <f t="shared" si="124"/>
        <v>1565</v>
      </c>
      <c r="AC45" s="67">
        <f t="shared" si="124"/>
        <v>1523</v>
      </c>
      <c r="AD45" s="67">
        <f t="shared" si="124"/>
        <v>1405</v>
      </c>
      <c r="AE45" s="67">
        <f t="shared" si="124"/>
        <v>1548</v>
      </c>
      <c r="AF45" s="67">
        <f>AF41-AF44</f>
        <v>1579</v>
      </c>
      <c r="AG45" s="67">
        <f t="shared" si="124"/>
        <v>1695</v>
      </c>
      <c r="AH45" s="67">
        <f t="shared" si="124"/>
        <v>1370</v>
      </c>
      <c r="AI45" s="67">
        <f t="shared" si="124"/>
        <v>1455</v>
      </c>
      <c r="AJ45" s="67">
        <f t="shared" si="124"/>
        <v>1638</v>
      </c>
      <c r="AK45" s="67">
        <f t="shared" ref="AK45:AT45" si="125">AK41-AK44</f>
        <v>1744</v>
      </c>
      <c r="AL45" s="67">
        <f t="shared" si="125"/>
        <v>1251</v>
      </c>
      <c r="AM45" s="67">
        <f t="shared" si="125"/>
        <v>1598</v>
      </c>
      <c r="AN45" s="67">
        <f t="shared" si="125"/>
        <v>1645</v>
      </c>
      <c r="AO45" s="67">
        <f t="shared" si="125"/>
        <v>1601</v>
      </c>
      <c r="AP45" s="67">
        <f t="shared" si="125"/>
        <v>1306</v>
      </c>
      <c r="AQ45" s="67">
        <f>AQ41-AQ44</f>
        <v>1452</v>
      </c>
      <c r="AR45" s="67">
        <f>AR41-AR44</f>
        <v>1471</v>
      </c>
      <c r="AS45" s="67">
        <f t="shared" si="125"/>
        <v>2340.02</v>
      </c>
      <c r="AT45" s="67">
        <f t="shared" si="125"/>
        <v>1284.08</v>
      </c>
      <c r="AU45" s="67"/>
      <c r="AV45" s="67">
        <f>AV41-AV44</f>
        <v>1741</v>
      </c>
      <c r="AW45" s="67"/>
      <c r="AX45" s="67"/>
      <c r="AY45" s="67"/>
      <c r="AZ45" s="67"/>
      <c r="BA45" s="67"/>
      <c r="BB45" s="67"/>
      <c r="BC45" s="67"/>
      <c r="BD45" s="67">
        <f>+BD41-BD44</f>
        <v>2319</v>
      </c>
      <c r="BE45" s="67"/>
      <c r="BF45" s="67"/>
      <c r="BG45" s="67"/>
      <c r="BH45" s="67"/>
      <c r="BI45" s="67"/>
      <c r="BJ45" s="67"/>
      <c r="BK45" s="67"/>
      <c r="BL45" s="67"/>
      <c r="BM45" s="67"/>
      <c r="BN45" s="67"/>
      <c r="BO45" s="67"/>
      <c r="BP45" s="67"/>
      <c r="BQ45" s="67"/>
      <c r="BR45" s="67"/>
      <c r="BS45" s="67"/>
      <c r="BT45" s="67"/>
      <c r="BU45" s="67"/>
      <c r="BV45" s="67">
        <f t="shared" ref="BV45:BW45" si="126">BV41-BV44</f>
        <v>2717</v>
      </c>
      <c r="BW45" s="67">
        <f t="shared" si="126"/>
        <v>2770</v>
      </c>
      <c r="BX45" s="67">
        <f t="shared" ref="BX45:CB45" si="127">BX41-BX44</f>
        <v>2973</v>
      </c>
      <c r="BY45" s="67">
        <f t="shared" si="127"/>
        <v>5737</v>
      </c>
      <c r="BZ45" s="67">
        <f t="shared" si="127"/>
        <v>2621</v>
      </c>
      <c r="CA45" s="67">
        <f t="shared" si="127"/>
        <v>3176</v>
      </c>
      <c r="CB45" s="67">
        <f t="shared" si="127"/>
        <v>3247</v>
      </c>
      <c r="CC45" s="67">
        <f t="shared" ref="CC45" si="128">CC41-CC44</f>
        <v>3183</v>
      </c>
      <c r="CD45" s="67">
        <f t="shared" ref="CD45" si="129">CD41-CD44</f>
        <v>2728</v>
      </c>
      <c r="CE45" s="67">
        <f t="shared" ref="CE45:CH45" si="130">CE41-CE44</f>
        <v>2864</v>
      </c>
      <c r="CF45" s="67">
        <f t="shared" si="130"/>
        <v>3111</v>
      </c>
      <c r="CG45" s="67">
        <f t="shared" si="130"/>
        <v>3452</v>
      </c>
      <c r="CH45" s="67">
        <f t="shared" si="130"/>
        <v>2997</v>
      </c>
      <c r="CI45" s="67">
        <f>CI41-CI44</f>
        <v>3140</v>
      </c>
      <c r="CJ45" s="67">
        <f>CJ41-CJ44</f>
        <v>3022</v>
      </c>
      <c r="CK45" s="67">
        <f t="shared" ref="CK45:CP45" si="131">CK41-CK44</f>
        <v>2862</v>
      </c>
      <c r="CL45" s="67">
        <f>CL41-CL44</f>
        <v>2722</v>
      </c>
      <c r="CM45" s="67">
        <f t="shared" si="131"/>
        <v>2822.0999999999995</v>
      </c>
      <c r="CN45" s="67">
        <f t="shared" si="131"/>
        <v>3347.55</v>
      </c>
      <c r="CO45" s="67">
        <f t="shared" si="131"/>
        <v>3193.8</v>
      </c>
      <c r="CP45" s="67">
        <f t="shared" si="131"/>
        <v>3899.05</v>
      </c>
      <c r="CQ45" s="67"/>
      <c r="CR45" s="67"/>
      <c r="CS45" s="67"/>
      <c r="CT45" s="67"/>
      <c r="CU45" s="67"/>
      <c r="CV45" s="67"/>
      <c r="CW45" s="67"/>
      <c r="CX45" s="67"/>
      <c r="CY45" s="67"/>
      <c r="CZ45" s="72"/>
      <c r="DA45" s="67">
        <f t="shared" ref="DA45:DF45" si="132">DA41-DA44</f>
        <v>1509.4</v>
      </c>
      <c r="DB45" s="67">
        <f t="shared" si="132"/>
        <v>1720.1</v>
      </c>
      <c r="DC45" s="67">
        <f t="shared" si="132"/>
        <v>2110.6000000000004</v>
      </c>
      <c r="DD45" s="67">
        <f t="shared" si="132"/>
        <v>3519.5</v>
      </c>
      <c r="DE45" s="67">
        <f t="shared" si="132"/>
        <v>4276</v>
      </c>
      <c r="DF45" s="67">
        <f t="shared" si="132"/>
        <v>5300.9429999999993</v>
      </c>
      <c r="DG45" s="67">
        <f t="shared" ref="DG45:DM45" si="133">DG41-DG44</f>
        <v>5763</v>
      </c>
      <c r="DH45" s="67">
        <f t="shared" si="133"/>
        <v>6070</v>
      </c>
      <c r="DI45" s="67">
        <f>DI41-DI44</f>
        <v>6192</v>
      </c>
      <c r="DJ45" s="67">
        <f>DJ41-DJ44</f>
        <v>6088</v>
      </c>
      <c r="DK45" s="67">
        <f>DK41-DK44</f>
        <v>6150</v>
      </c>
      <c r="DL45" s="67">
        <f>DL41-DL44</f>
        <v>6643.1999999999989</v>
      </c>
      <c r="DM45" s="67">
        <f t="shared" si="133"/>
        <v>9125.550299999999</v>
      </c>
      <c r="DN45" s="67">
        <f t="shared" ref="DN45:DT45" si="134">DN41-DN44</f>
        <v>9642.9107839999979</v>
      </c>
      <c r="DO45" s="67">
        <f t="shared" si="134"/>
        <v>8961.1128665099986</v>
      </c>
      <c r="DP45" s="67">
        <f t="shared" si="134"/>
        <v>8259.453039465001</v>
      </c>
      <c r="DQ45" s="67">
        <f t="shared" si="134"/>
        <v>8068.4130573056245</v>
      </c>
      <c r="DR45" s="67">
        <f t="shared" si="134"/>
        <v>-2445.9105190584373</v>
      </c>
      <c r="DS45" s="67">
        <f t="shared" si="134"/>
        <v>0</v>
      </c>
      <c r="DT45" s="67">
        <f t="shared" si="134"/>
        <v>0</v>
      </c>
      <c r="DU45" s="67">
        <f t="shared" ref="DU45:DV45" si="135">DU41-DU44</f>
        <v>12334</v>
      </c>
      <c r="DV45" s="67">
        <f t="shared" si="135"/>
        <v>12424</v>
      </c>
      <c r="DW45" s="67">
        <f t="shared" ref="DW45:DX45" si="136">DW41-DW44</f>
        <v>11725</v>
      </c>
      <c r="DX45" s="67">
        <f t="shared" si="136"/>
        <v>19751.45</v>
      </c>
      <c r="DY45" s="67">
        <f t="shared" ref="DY45:EJ45" si="137">DY41-DY44</f>
        <v>21628.199000000001</v>
      </c>
      <c r="DZ45" s="67">
        <f t="shared" si="137"/>
        <v>22974.885280000006</v>
      </c>
      <c r="EA45" s="67">
        <f t="shared" si="137"/>
        <v>23306.492842399992</v>
      </c>
      <c r="EB45" s="67">
        <f t="shared" si="137"/>
        <v>23849.560620778004</v>
      </c>
      <c r="EC45" s="67">
        <f t="shared" si="137"/>
        <v>23678.592778298993</v>
      </c>
      <c r="ED45" s="67">
        <f t="shared" si="137"/>
        <v>23039.251772783442</v>
      </c>
      <c r="EE45" s="67">
        <f t="shared" si="137"/>
        <v>18948.133901016998</v>
      </c>
      <c r="EF45" s="67">
        <f t="shared" si="137"/>
        <v>17088.176284946738</v>
      </c>
      <c r="EG45" s="67">
        <f t="shared" si="137"/>
        <v>16203.441786491374</v>
      </c>
      <c r="EH45" s="67">
        <f t="shared" si="137"/>
        <v>15864.332118208464</v>
      </c>
      <c r="EI45" s="67">
        <f t="shared" si="137"/>
        <v>15814.959607068016</v>
      </c>
      <c r="EJ45" s="67">
        <f t="shared" si="137"/>
        <v>10290.535805952681</v>
      </c>
    </row>
    <row r="46" spans="2:140" s="15" customFormat="1">
      <c r="B46" s="15" t="s">
        <v>451</v>
      </c>
      <c r="C46" s="67">
        <v>36.700000000000003</v>
      </c>
      <c r="D46" s="67">
        <v>32.799999999999997</v>
      </c>
      <c r="E46" s="67">
        <v>12.1</v>
      </c>
      <c r="F46" s="67"/>
      <c r="G46" s="67">
        <v>36.700000000000003</v>
      </c>
      <c r="H46" s="67">
        <v>32.799999999999997</v>
      </c>
      <c r="I46" s="67">
        <v>12.1</v>
      </c>
      <c r="J46" s="67">
        <v>18.399999999999999</v>
      </c>
      <c r="K46" s="67">
        <v>25.9</v>
      </c>
      <c r="L46" s="67">
        <v>31.6</v>
      </c>
      <c r="M46" s="67">
        <v>9.4</v>
      </c>
      <c r="N46" s="67">
        <v>15</v>
      </c>
      <c r="O46" s="67">
        <v>21.1</v>
      </c>
      <c r="P46" s="67">
        <v>10.1</v>
      </c>
      <c r="Q46" s="67">
        <v>15</v>
      </c>
      <c r="R46" s="67">
        <v>7</v>
      </c>
      <c r="S46" s="67">
        <v>10</v>
      </c>
      <c r="T46" s="67">
        <v>-14</v>
      </c>
      <c r="U46" s="67">
        <v>14</v>
      </c>
      <c r="V46" s="67">
        <v>10</v>
      </c>
      <c r="W46" s="67">
        <v>80</v>
      </c>
      <c r="X46" s="67">
        <v>21</v>
      </c>
      <c r="Y46" s="67">
        <v>39</v>
      </c>
      <c r="Z46" s="67">
        <v>40</v>
      </c>
      <c r="AA46" s="67">
        <v>45</v>
      </c>
      <c r="AB46" s="67">
        <v>7</v>
      </c>
      <c r="AC46" s="67">
        <v>-21</v>
      </c>
      <c r="AD46" s="67">
        <v>1</v>
      </c>
      <c r="AE46" s="67">
        <v>22</v>
      </c>
      <c r="AF46" s="67">
        <v>9</v>
      </c>
      <c r="AG46" s="67">
        <v>-3</v>
      </c>
      <c r="AH46" s="67">
        <v>18</v>
      </c>
      <c r="AI46" s="67">
        <v>-28</v>
      </c>
      <c r="AJ46" s="67">
        <f>-88+50</f>
        <v>-38</v>
      </c>
      <c r="AK46" s="67">
        <f>-76+74</f>
        <v>-2</v>
      </c>
      <c r="AL46" s="67">
        <f>-78+94</f>
        <v>16</v>
      </c>
      <c r="AM46" s="67">
        <f>-80+84</f>
        <v>4</v>
      </c>
      <c r="AN46" s="67">
        <f>-81+94</f>
        <v>13</v>
      </c>
      <c r="AO46" s="67">
        <f>-83+105</f>
        <v>22</v>
      </c>
      <c r="AP46" s="67">
        <v>-1</v>
      </c>
      <c r="AQ46" s="67">
        <f>148-91</f>
        <v>57</v>
      </c>
      <c r="AR46" s="67">
        <f>-90+129</f>
        <v>39</v>
      </c>
      <c r="AS46" s="67">
        <v>0</v>
      </c>
      <c r="AT46" s="67">
        <v>0</v>
      </c>
      <c r="AU46" s="67"/>
      <c r="AV46" s="67">
        <f>-79-256+124</f>
        <v>-211</v>
      </c>
      <c r="AW46" s="67"/>
      <c r="AX46" s="67"/>
      <c r="AY46" s="67"/>
      <c r="AZ46" s="67"/>
      <c r="BA46" s="67"/>
      <c r="BB46" s="67"/>
      <c r="BC46" s="67"/>
      <c r="BD46" s="67">
        <f>-282+138</f>
        <v>-144</v>
      </c>
      <c r="BE46" s="67"/>
      <c r="BF46" s="67"/>
      <c r="BG46" s="67"/>
      <c r="BH46" s="67"/>
      <c r="BI46" s="67"/>
      <c r="BJ46" s="67"/>
      <c r="BK46" s="67"/>
      <c r="BL46" s="67"/>
      <c r="BM46" s="67"/>
      <c r="BN46" s="67"/>
      <c r="BO46" s="67"/>
      <c r="BP46" s="67"/>
      <c r="BQ46" s="67"/>
      <c r="BR46" s="67"/>
      <c r="BS46" s="67"/>
      <c r="BT46" s="67"/>
      <c r="BU46" s="67"/>
      <c r="BV46" s="67">
        <f>-352+155</f>
        <v>-197</v>
      </c>
      <c r="BW46" s="67">
        <f>-343+185</f>
        <v>-158</v>
      </c>
      <c r="BX46" s="67">
        <f>-332-218</f>
        <v>-550</v>
      </c>
      <c r="BY46" s="67"/>
      <c r="BZ46" s="67">
        <f>-301+236</f>
        <v>-65</v>
      </c>
      <c r="CA46" s="67">
        <f>-346+11</f>
        <v>-335</v>
      </c>
      <c r="CB46" s="67">
        <v>-293</v>
      </c>
      <c r="CC46" s="67">
        <v>-302</v>
      </c>
      <c r="CD46" s="67">
        <v>-318</v>
      </c>
      <c r="CE46" s="67">
        <v>-285</v>
      </c>
      <c r="CF46" s="67">
        <f>-281+54</f>
        <v>-227</v>
      </c>
      <c r="CG46" s="67">
        <v>-296</v>
      </c>
      <c r="CH46" s="67">
        <v>-335</v>
      </c>
      <c r="CI46" s="67">
        <v>-295</v>
      </c>
      <c r="CJ46" s="67">
        <f>-328-82</f>
        <v>-410</v>
      </c>
      <c r="CK46" s="67">
        <f>-368+100</f>
        <v>-268</v>
      </c>
      <c r="CL46" s="67">
        <f>34-415-67-10</f>
        <v>-458</v>
      </c>
      <c r="CM46" s="67">
        <f t="shared" ref="CM46:CP46" si="138">CL46+5</f>
        <v>-453</v>
      </c>
      <c r="CN46" s="67">
        <f t="shared" si="138"/>
        <v>-448</v>
      </c>
      <c r="CO46" s="67">
        <f t="shared" si="138"/>
        <v>-443</v>
      </c>
      <c r="CP46" s="67">
        <f t="shared" si="138"/>
        <v>-438</v>
      </c>
      <c r="CQ46" s="67"/>
      <c r="CR46" s="67"/>
      <c r="CS46" s="67"/>
      <c r="CT46" s="67"/>
      <c r="CU46" s="67"/>
      <c r="CV46" s="67"/>
      <c r="CW46" s="67"/>
      <c r="CX46" s="67"/>
      <c r="CY46" s="67"/>
      <c r="CZ46" s="72"/>
      <c r="DA46" s="72"/>
      <c r="DB46" s="72"/>
      <c r="DC46" s="72"/>
      <c r="DD46" s="67">
        <v>82</v>
      </c>
      <c r="DE46" s="67">
        <f>SUM(O46:R46)</f>
        <v>53.2</v>
      </c>
      <c r="DF46" s="67">
        <f>SUM(S46:V46)</f>
        <v>20</v>
      </c>
      <c r="DG46" s="67">
        <v>180</v>
      </c>
      <c r="DH46" s="67">
        <v>150</v>
      </c>
      <c r="DI46" s="67">
        <f>SUM(AE46:AH46)</f>
        <v>46</v>
      </c>
      <c r="DJ46" s="67">
        <f>DI88*0.08</f>
        <v>-23.6</v>
      </c>
      <c r="DK46" s="67">
        <f>SUM(AM46:AP46)</f>
        <v>38</v>
      </c>
      <c r="DL46" s="67">
        <v>0</v>
      </c>
      <c r="DM46" s="67">
        <f t="shared" ref="DM46:DR46" si="139">DL88*$EM$52</f>
        <v>147.76685999999998</v>
      </c>
      <c r="DN46" s="67">
        <f t="shared" si="139"/>
        <v>221.02606556399996</v>
      </c>
      <c r="DO46" s="67">
        <f t="shared" si="139"/>
        <v>298.9511666755555</v>
      </c>
      <c r="DP46" s="67">
        <f t="shared" si="139"/>
        <v>372.10567253772143</v>
      </c>
      <c r="DQ46" s="67">
        <f t="shared" si="139"/>
        <v>440.29498636254294</v>
      </c>
      <c r="DR46" s="67">
        <f t="shared" si="139"/>
        <v>507.5137799075215</v>
      </c>
      <c r="DS46" s="67"/>
      <c r="DT46" s="67"/>
      <c r="DU46" s="67">
        <v>-1262</v>
      </c>
      <c r="DV46" s="67">
        <v>-1197</v>
      </c>
      <c r="DW46" s="67">
        <f t="shared" ref="DW46:DW48" si="140">SUM(CI46:CL46)</f>
        <v>-1431</v>
      </c>
      <c r="DX46" s="72"/>
      <c r="DY46" s="72"/>
      <c r="DZ46" s="72"/>
      <c r="EA46" s="67">
        <f>+DZ88*$EM$52</f>
        <v>0</v>
      </c>
      <c r="EB46" s="67">
        <f t="shared" ref="EB46:EJ46" si="141">+EA88*$EM$52</f>
        <v>186.45194273919995</v>
      </c>
      <c r="EC46" s="67">
        <f t="shared" si="141"/>
        <v>378.74004324733761</v>
      </c>
      <c r="ED46" s="67">
        <f t="shared" si="141"/>
        <v>571.19870581970827</v>
      </c>
      <c r="EE46" s="67">
        <f t="shared" si="141"/>
        <v>760.0823096485334</v>
      </c>
      <c r="EF46" s="67">
        <f t="shared" si="141"/>
        <v>917.74803933385761</v>
      </c>
      <c r="EG46" s="67">
        <f t="shared" si="141"/>
        <v>1061.7954339281025</v>
      </c>
      <c r="EH46" s="67">
        <f t="shared" si="141"/>
        <v>1199.9173316914582</v>
      </c>
      <c r="EI46" s="67">
        <f t="shared" si="141"/>
        <v>1336.4313272906575</v>
      </c>
      <c r="EJ46" s="67">
        <f t="shared" si="141"/>
        <v>1473.642454765527</v>
      </c>
    </row>
    <row r="47" spans="2:140" s="15" customFormat="1">
      <c r="B47" s="15" t="s">
        <v>102</v>
      </c>
      <c r="C47" s="67">
        <f>C45+C46</f>
        <v>383.7999999999999</v>
      </c>
      <c r="D47" s="67">
        <f>D45+D46</f>
        <v>353.8</v>
      </c>
      <c r="E47" s="67">
        <f>SUM(E45:E46)</f>
        <v>337.1</v>
      </c>
      <c r="F47" s="67"/>
      <c r="G47" s="67">
        <f>G45+G46+1.7</f>
        <v>495.80000000000007</v>
      </c>
      <c r="H47" s="67">
        <f>SUM(H45:H46)+5.3</f>
        <v>602.69999999999993</v>
      </c>
      <c r="I47" s="67">
        <f t="shared" ref="I47:Z47" si="142">SUM(I45:I46)</f>
        <v>633.09999999999991</v>
      </c>
      <c r="J47" s="67">
        <f t="shared" si="142"/>
        <v>683.60000000000025</v>
      </c>
      <c r="K47" s="67">
        <f>K45+K46+5.2</f>
        <v>796.70000000000016</v>
      </c>
      <c r="L47" s="67">
        <f>SUM(L45:L46)+5.3</f>
        <v>931.69999999999982</v>
      </c>
      <c r="M47" s="67">
        <f t="shared" si="142"/>
        <v>1013.1999999999997</v>
      </c>
      <c r="N47" s="67">
        <f t="shared" si="142"/>
        <v>871.5</v>
      </c>
      <c r="O47" s="67">
        <f>SUM(O45:O46)+5.3</f>
        <v>1051.8999999999994</v>
      </c>
      <c r="P47" s="67">
        <f>SUM(P45:P46)+5.3</f>
        <v>1117.8999999999999</v>
      </c>
      <c r="Q47" s="67">
        <f t="shared" si="142"/>
        <v>1151</v>
      </c>
      <c r="R47" s="67">
        <f t="shared" si="142"/>
        <v>1019</v>
      </c>
      <c r="S47" s="67">
        <f t="shared" si="142"/>
        <v>1256</v>
      </c>
      <c r="T47" s="67">
        <f t="shared" si="142"/>
        <v>1418</v>
      </c>
      <c r="U47" s="67">
        <f t="shared" si="142"/>
        <v>1448</v>
      </c>
      <c r="V47" s="67">
        <f t="shared" si="142"/>
        <v>1199</v>
      </c>
      <c r="W47" s="67">
        <f t="shared" si="142"/>
        <v>1469</v>
      </c>
      <c r="X47" s="67">
        <f t="shared" si="142"/>
        <v>1605</v>
      </c>
      <c r="Y47" s="67">
        <f t="shared" si="142"/>
        <v>1549</v>
      </c>
      <c r="Z47" s="67">
        <f t="shared" si="142"/>
        <v>1320</v>
      </c>
      <c r="AA47" s="67">
        <f t="shared" ref="AA47:AJ47" si="143">SUM(AA45:AA46)</f>
        <v>1622</v>
      </c>
      <c r="AB47" s="67">
        <f t="shared" si="143"/>
        <v>1572</v>
      </c>
      <c r="AC47" s="67">
        <f t="shared" si="143"/>
        <v>1502</v>
      </c>
      <c r="AD47" s="67">
        <f t="shared" si="143"/>
        <v>1406</v>
      </c>
      <c r="AE47" s="67">
        <f t="shared" si="143"/>
        <v>1570</v>
      </c>
      <c r="AF47" s="67">
        <f t="shared" si="143"/>
        <v>1588</v>
      </c>
      <c r="AG47" s="67">
        <f t="shared" si="143"/>
        <v>1692</v>
      </c>
      <c r="AH47" s="67">
        <f t="shared" si="143"/>
        <v>1388</v>
      </c>
      <c r="AI47" s="67">
        <f t="shared" si="143"/>
        <v>1427</v>
      </c>
      <c r="AJ47" s="67">
        <f t="shared" si="143"/>
        <v>1600</v>
      </c>
      <c r="AK47" s="67">
        <f t="shared" ref="AK47:AT47" si="144">SUM(AK45:AK46)</f>
        <v>1742</v>
      </c>
      <c r="AL47" s="67">
        <f t="shared" si="144"/>
        <v>1267</v>
      </c>
      <c r="AM47" s="67">
        <f t="shared" si="144"/>
        <v>1602</v>
      </c>
      <c r="AN47" s="67">
        <f t="shared" si="144"/>
        <v>1658</v>
      </c>
      <c r="AO47" s="67">
        <f t="shared" si="144"/>
        <v>1623</v>
      </c>
      <c r="AP47" s="67">
        <f t="shared" si="144"/>
        <v>1305</v>
      </c>
      <c r="AQ47" s="67">
        <f t="shared" si="144"/>
        <v>1509</v>
      </c>
      <c r="AR47" s="67">
        <f t="shared" si="144"/>
        <v>1510</v>
      </c>
      <c r="AS47" s="67">
        <f t="shared" si="144"/>
        <v>2340.02</v>
      </c>
      <c r="AT47" s="67">
        <f t="shared" si="144"/>
        <v>1284.08</v>
      </c>
      <c r="AU47" s="67"/>
      <c r="AV47" s="67">
        <f>SUM(AV45:AV46)</f>
        <v>1530</v>
      </c>
      <c r="AW47" s="67"/>
      <c r="AX47" s="67"/>
      <c r="AY47" s="67"/>
      <c r="AZ47" s="67"/>
      <c r="BA47" s="67"/>
      <c r="BB47" s="67"/>
      <c r="BC47" s="67"/>
      <c r="BD47" s="67">
        <f>+BD46+BD45</f>
        <v>2175</v>
      </c>
      <c r="BE47" s="67"/>
      <c r="BF47" s="67"/>
      <c r="BG47" s="67"/>
      <c r="BH47" s="67"/>
      <c r="BI47" s="67"/>
      <c r="BJ47" s="67"/>
      <c r="BK47" s="67"/>
      <c r="BL47" s="67"/>
      <c r="BM47" s="67"/>
      <c r="BN47" s="67"/>
      <c r="BO47" s="67"/>
      <c r="BP47" s="67"/>
      <c r="BQ47" s="67"/>
      <c r="BR47" s="67"/>
      <c r="BS47" s="67"/>
      <c r="BT47" s="67"/>
      <c r="BU47" s="67"/>
      <c r="BV47" s="67">
        <f>+BV45+BV46</f>
        <v>2520</v>
      </c>
      <c r="BW47" s="67">
        <f t="shared" ref="BW47:CE47" si="145">BW45+BW46</f>
        <v>2612</v>
      </c>
      <c r="BX47" s="67">
        <f t="shared" si="145"/>
        <v>2423</v>
      </c>
      <c r="BY47" s="67">
        <f t="shared" si="145"/>
        <v>5737</v>
      </c>
      <c r="BZ47" s="67">
        <f t="shared" si="145"/>
        <v>2556</v>
      </c>
      <c r="CA47" s="67">
        <f t="shared" si="145"/>
        <v>2841</v>
      </c>
      <c r="CB47" s="67">
        <f t="shared" si="145"/>
        <v>2954</v>
      </c>
      <c r="CC47" s="67">
        <f t="shared" si="145"/>
        <v>2881</v>
      </c>
      <c r="CD47" s="67">
        <f t="shared" si="145"/>
        <v>2410</v>
      </c>
      <c r="CE47" s="67">
        <f t="shared" si="145"/>
        <v>2579</v>
      </c>
      <c r="CF47" s="67">
        <f t="shared" ref="CF47:CP47" si="146">CF45+CF46</f>
        <v>2884</v>
      </c>
      <c r="CG47" s="67">
        <f t="shared" si="146"/>
        <v>3156</v>
      </c>
      <c r="CH47" s="67">
        <f t="shared" si="146"/>
        <v>2662</v>
      </c>
      <c r="CI47" s="67">
        <f t="shared" si="146"/>
        <v>2845</v>
      </c>
      <c r="CJ47" s="67">
        <f t="shared" si="146"/>
        <v>2612</v>
      </c>
      <c r="CK47" s="67">
        <f t="shared" si="146"/>
        <v>2594</v>
      </c>
      <c r="CL47" s="67">
        <f t="shared" si="146"/>
        <v>2264</v>
      </c>
      <c r="CM47" s="67">
        <f t="shared" si="146"/>
        <v>2369.0999999999995</v>
      </c>
      <c r="CN47" s="67">
        <f t="shared" si="146"/>
        <v>2899.55</v>
      </c>
      <c r="CO47" s="67">
        <f t="shared" si="146"/>
        <v>2750.8</v>
      </c>
      <c r="CP47" s="67">
        <f t="shared" si="146"/>
        <v>3461.05</v>
      </c>
      <c r="CQ47" s="67"/>
      <c r="CR47" s="67"/>
      <c r="CS47" s="67"/>
      <c r="CT47" s="67"/>
      <c r="CU47" s="67"/>
      <c r="CV47" s="67"/>
      <c r="CW47" s="67"/>
      <c r="CX47" s="67"/>
      <c r="CY47" s="67"/>
      <c r="CZ47" s="72"/>
      <c r="DA47" s="72"/>
      <c r="DB47" s="72"/>
      <c r="DC47" s="72"/>
      <c r="DD47" s="67">
        <f>DD45+DD46</f>
        <v>3601.5</v>
      </c>
      <c r="DE47" s="67">
        <f>DE45+DE46</f>
        <v>4329.2</v>
      </c>
      <c r="DF47" s="67">
        <f>DF45+DF46</f>
        <v>5320.9429999999993</v>
      </c>
      <c r="DG47" s="67">
        <f>DG45+DG46</f>
        <v>5943</v>
      </c>
      <c r="DH47" s="67">
        <f>DH45+DH46</f>
        <v>6220</v>
      </c>
      <c r="DI47" s="67">
        <f t="shared" ref="DI47:DP47" si="147">DI45+DI46</f>
        <v>6238</v>
      </c>
      <c r="DJ47" s="67">
        <f t="shared" si="147"/>
        <v>6064.4</v>
      </c>
      <c r="DK47" s="67">
        <f t="shared" si="147"/>
        <v>6188</v>
      </c>
      <c r="DL47" s="67">
        <f t="shared" si="147"/>
        <v>6643.1999999999989</v>
      </c>
      <c r="DM47" s="67">
        <f t="shared" si="147"/>
        <v>9273.3171599999987</v>
      </c>
      <c r="DN47" s="67">
        <f t="shared" si="147"/>
        <v>9863.9368495639974</v>
      </c>
      <c r="DO47" s="67">
        <f t="shared" si="147"/>
        <v>9260.0640331855539</v>
      </c>
      <c r="DP47" s="67">
        <f t="shared" si="147"/>
        <v>8631.558712002723</v>
      </c>
      <c r="DQ47" s="67">
        <f>DQ45+DQ46</f>
        <v>8508.7080436681681</v>
      </c>
      <c r="DR47" s="67">
        <f>DR45+DR46</f>
        <v>-1938.3967391509159</v>
      </c>
      <c r="DS47" s="67">
        <f>DS45+DS46</f>
        <v>0</v>
      </c>
      <c r="DT47" s="67">
        <f>DT45+DT46</f>
        <v>0</v>
      </c>
      <c r="DU47" s="67">
        <f t="shared" ref="DU47:EJ47" si="148">DU45+DU46</f>
        <v>11072</v>
      </c>
      <c r="DV47" s="67">
        <f t="shared" si="148"/>
        <v>11227</v>
      </c>
      <c r="DW47" s="67">
        <f t="shared" si="148"/>
        <v>10294</v>
      </c>
      <c r="DX47" s="67">
        <f t="shared" si="148"/>
        <v>19751.45</v>
      </c>
      <c r="DY47" s="67">
        <f t="shared" si="148"/>
        <v>21628.199000000001</v>
      </c>
      <c r="DZ47" s="67">
        <f t="shared" si="148"/>
        <v>22974.885280000006</v>
      </c>
      <c r="EA47" s="67">
        <f t="shared" si="148"/>
        <v>23306.492842399992</v>
      </c>
      <c r="EB47" s="67">
        <f t="shared" si="148"/>
        <v>24036.012563517204</v>
      </c>
      <c r="EC47" s="67">
        <f t="shared" si="148"/>
        <v>24057.33282154633</v>
      </c>
      <c r="ED47" s="67">
        <f t="shared" si="148"/>
        <v>23610.45047860315</v>
      </c>
      <c r="EE47" s="67">
        <f t="shared" si="148"/>
        <v>19708.216210665531</v>
      </c>
      <c r="EF47" s="67">
        <f t="shared" si="148"/>
        <v>18005.924324280597</v>
      </c>
      <c r="EG47" s="67">
        <f t="shared" si="148"/>
        <v>17265.237220419476</v>
      </c>
      <c r="EH47" s="67">
        <f t="shared" si="148"/>
        <v>17064.249449899922</v>
      </c>
      <c r="EI47" s="67">
        <f t="shared" si="148"/>
        <v>17151.390934358675</v>
      </c>
      <c r="EJ47" s="67">
        <f t="shared" si="148"/>
        <v>11764.178260718207</v>
      </c>
    </row>
    <row r="48" spans="2:140" s="15" customFormat="1">
      <c r="B48" s="15" t="s">
        <v>103</v>
      </c>
      <c r="C48" s="67">
        <v>153.19999999999999</v>
      </c>
      <c r="D48" s="67">
        <v>185.2</v>
      </c>
      <c r="E48" s="67">
        <v>196.3</v>
      </c>
      <c r="F48" s="67"/>
      <c r="G48" s="67">
        <v>153.19999999999999</v>
      </c>
      <c r="H48" s="67">
        <v>185.2</v>
      </c>
      <c r="I48" s="67">
        <v>196.3</v>
      </c>
      <c r="J48" s="67">
        <v>211.9</v>
      </c>
      <c r="K48" s="67">
        <v>233.5</v>
      </c>
      <c r="L48" s="67">
        <v>273.3</v>
      </c>
      <c r="M48" s="67">
        <v>298.89999999999998</v>
      </c>
      <c r="N48" s="67">
        <v>256.7</v>
      </c>
      <c r="O48" s="67">
        <v>295</v>
      </c>
      <c r="P48" s="67">
        <v>304</v>
      </c>
      <c r="Q48" s="67">
        <v>312.2</v>
      </c>
      <c r="R48" s="67">
        <v>263.8</v>
      </c>
      <c r="S48" s="67">
        <v>332</v>
      </c>
      <c r="T48" s="67">
        <v>314</v>
      </c>
      <c r="U48" s="67">
        <v>381</v>
      </c>
      <c r="V48" s="67">
        <v>271</v>
      </c>
      <c r="W48" s="67">
        <v>368</v>
      </c>
      <c r="X48" s="67">
        <v>370</v>
      </c>
      <c r="Y48" s="67">
        <v>325</v>
      </c>
      <c r="Z48" s="67">
        <v>260</v>
      </c>
      <c r="AA48" s="67">
        <v>352</v>
      </c>
      <c r="AB48" s="67">
        <v>307</v>
      </c>
      <c r="AC48" s="67">
        <v>321</v>
      </c>
      <c r="AD48" s="67">
        <v>318</v>
      </c>
      <c r="AE48" s="67">
        <v>352</v>
      </c>
      <c r="AF48" s="67">
        <v>353</v>
      </c>
      <c r="AG48" s="67">
        <v>384</v>
      </c>
      <c r="AH48" s="67">
        <v>264</v>
      </c>
      <c r="AI48" s="67">
        <v>307</v>
      </c>
      <c r="AJ48" s="67">
        <v>289</v>
      </c>
      <c r="AK48" s="67">
        <v>224</v>
      </c>
      <c r="AL48" s="67">
        <v>202</v>
      </c>
      <c r="AM48" s="67">
        <v>320</v>
      </c>
      <c r="AN48" s="67">
        <v>332</v>
      </c>
      <c r="AO48" s="67">
        <v>310</v>
      </c>
      <c r="AP48" s="67">
        <v>202</v>
      </c>
      <c r="AQ48" s="67">
        <v>251</v>
      </c>
      <c r="AR48" s="67">
        <v>229</v>
      </c>
      <c r="AS48" s="67">
        <f>+AS47*0.2</f>
        <v>468.00400000000002</v>
      </c>
      <c r="AT48" s="67">
        <f>+AT47*0.2</f>
        <v>256.81599999999997</v>
      </c>
      <c r="AU48" s="67"/>
      <c r="AV48" s="67">
        <v>191</v>
      </c>
      <c r="AW48" s="67"/>
      <c r="AX48" s="67"/>
      <c r="AY48" s="67"/>
      <c r="AZ48" s="67"/>
      <c r="BA48" s="67"/>
      <c r="BB48" s="67"/>
      <c r="BC48" s="67"/>
      <c r="BD48" s="67">
        <v>352</v>
      </c>
      <c r="BE48" s="67"/>
      <c r="BF48" s="67"/>
      <c r="BG48" s="67"/>
      <c r="BH48" s="67"/>
      <c r="BI48" s="67"/>
      <c r="BJ48" s="67"/>
      <c r="BK48" s="67"/>
      <c r="BL48" s="67"/>
      <c r="BM48" s="67"/>
      <c r="BN48" s="67"/>
      <c r="BO48" s="67"/>
      <c r="BP48" s="67"/>
      <c r="BQ48" s="67"/>
      <c r="BR48" s="67"/>
      <c r="BS48" s="67"/>
      <c r="BT48" s="67"/>
      <c r="BU48" s="67"/>
      <c r="BV48" s="67">
        <v>257</v>
      </c>
      <c r="BW48" s="67">
        <v>382</v>
      </c>
      <c r="BX48" s="67">
        <v>385</v>
      </c>
      <c r="BY48" s="67"/>
      <c r="BZ48" s="67">
        <v>280</v>
      </c>
      <c r="CA48" s="67">
        <v>365</v>
      </c>
      <c r="CB48" s="67">
        <v>227</v>
      </c>
      <c r="CC48" s="67">
        <v>185</v>
      </c>
      <c r="CD48" s="67">
        <v>262</v>
      </c>
      <c r="CE48" s="67">
        <v>211</v>
      </c>
      <c r="CF48" s="67">
        <v>362</v>
      </c>
      <c r="CG48" s="67">
        <v>271</v>
      </c>
      <c r="CH48" s="67">
        <v>232</v>
      </c>
      <c r="CI48" s="67">
        <v>199</v>
      </c>
      <c r="CJ48" s="67">
        <v>430</v>
      </c>
      <c r="CK48" s="67">
        <v>249</v>
      </c>
      <c r="CL48" s="67">
        <v>340</v>
      </c>
      <c r="CM48" s="67">
        <f t="shared" ref="CM48:CP48" si="149">+CM47*0.2</f>
        <v>473.81999999999994</v>
      </c>
      <c r="CN48" s="67">
        <f t="shared" si="149"/>
        <v>579.91000000000008</v>
      </c>
      <c r="CO48" s="67">
        <f t="shared" si="149"/>
        <v>550.16000000000008</v>
      </c>
      <c r="CP48" s="67">
        <f t="shared" si="149"/>
        <v>692.21</v>
      </c>
      <c r="CQ48" s="67"/>
      <c r="CR48" s="67"/>
      <c r="CS48" s="67"/>
      <c r="CT48" s="67"/>
      <c r="CU48" s="67"/>
      <c r="CV48" s="67"/>
      <c r="CW48" s="67"/>
      <c r="CX48" s="67"/>
      <c r="CY48" s="67"/>
      <c r="CZ48" s="72"/>
      <c r="DA48" s="72"/>
      <c r="DB48" s="72"/>
      <c r="DC48" s="72"/>
      <c r="DD48" s="67">
        <v>1063</v>
      </c>
      <c r="DE48" s="67">
        <f>SUM(O48:R48)</f>
        <v>1175</v>
      </c>
      <c r="DF48" s="67">
        <f>SUM(S48:V48)</f>
        <v>1298</v>
      </c>
      <c r="DG48" s="67">
        <f>SUM(W48:Z48)</f>
        <v>1323</v>
      </c>
      <c r="DH48" s="67">
        <f>DH47*DH58</f>
        <v>1368.4</v>
      </c>
      <c r="DI48" s="67">
        <f>SUM(AE48:AH48)</f>
        <v>1353</v>
      </c>
      <c r="DJ48" s="67">
        <f>DJ47*DJ58</f>
        <v>1364.49</v>
      </c>
      <c r="DK48" s="67">
        <f>SUM(AM48:AP48)</f>
        <v>1164</v>
      </c>
      <c r="DL48" s="67">
        <f t="shared" ref="DL48:DT48" si="150">DL47*DL58</f>
        <v>1295.4239999999998</v>
      </c>
      <c r="DM48" s="67">
        <f t="shared" si="150"/>
        <v>1947.3966035999997</v>
      </c>
      <c r="DN48" s="67">
        <f t="shared" si="150"/>
        <v>2071.4267384084392</v>
      </c>
      <c r="DO48" s="67">
        <f t="shared" si="150"/>
        <v>1944.6134469689662</v>
      </c>
      <c r="DP48" s="67">
        <f t="shared" si="150"/>
        <v>1812.6273295205717</v>
      </c>
      <c r="DQ48" s="67">
        <f t="shared" si="150"/>
        <v>1786.8286891703153</v>
      </c>
      <c r="DR48" s="67">
        <f t="shared" si="150"/>
        <v>-407.06331522169233</v>
      </c>
      <c r="DS48" s="67">
        <f t="shared" si="150"/>
        <v>0</v>
      </c>
      <c r="DT48" s="67">
        <f t="shared" si="150"/>
        <v>0</v>
      </c>
      <c r="DU48" s="67">
        <v>869</v>
      </c>
      <c r="DV48" s="67">
        <v>808</v>
      </c>
      <c r="DW48" s="67">
        <f t="shared" si="140"/>
        <v>1218</v>
      </c>
      <c r="DX48" s="67">
        <f>+DX47*0.2</f>
        <v>3950.2900000000004</v>
      </c>
      <c r="DY48" s="67">
        <f t="shared" ref="DY48:EJ48" si="151">+DY47*0.2</f>
        <v>4325.6397999999999</v>
      </c>
      <c r="DZ48" s="67">
        <f t="shared" si="151"/>
        <v>4594.9770560000015</v>
      </c>
      <c r="EA48" s="67">
        <f t="shared" si="151"/>
        <v>4661.2985684799987</v>
      </c>
      <c r="EB48" s="67">
        <f t="shared" si="151"/>
        <v>4807.2025127034412</v>
      </c>
      <c r="EC48" s="67">
        <f t="shared" si="151"/>
        <v>4811.4665643092658</v>
      </c>
      <c r="ED48" s="67">
        <f t="shared" si="151"/>
        <v>4722.0900957206304</v>
      </c>
      <c r="EE48" s="67">
        <f t="shared" si="151"/>
        <v>3941.6432421331065</v>
      </c>
      <c r="EF48" s="67">
        <f t="shared" si="151"/>
        <v>3601.1848648561195</v>
      </c>
      <c r="EG48" s="67">
        <f t="shared" si="151"/>
        <v>3453.0474440838952</v>
      </c>
      <c r="EH48" s="67">
        <f t="shared" si="151"/>
        <v>3412.8498899799847</v>
      </c>
      <c r="EI48" s="67">
        <f t="shared" si="151"/>
        <v>3430.2781868717352</v>
      </c>
      <c r="EJ48" s="67">
        <f t="shared" si="151"/>
        <v>2352.8356521436413</v>
      </c>
    </row>
    <row r="49" spans="2:210" s="15" customFormat="1">
      <c r="B49" s="37" t="s">
        <v>1096</v>
      </c>
      <c r="C49" s="67">
        <f>C47-C48</f>
        <v>230.59999999999991</v>
      </c>
      <c r="D49" s="67">
        <f>D47-D48</f>
        <v>168.60000000000002</v>
      </c>
      <c r="E49" s="67">
        <f>E47-E48</f>
        <v>140.80000000000001</v>
      </c>
      <c r="F49" s="67"/>
      <c r="G49" s="67">
        <f t="shared" ref="G49:N49" si="152">G47-G48</f>
        <v>342.60000000000008</v>
      </c>
      <c r="H49" s="67">
        <f t="shared" si="152"/>
        <v>417.49999999999994</v>
      </c>
      <c r="I49" s="67">
        <f t="shared" si="152"/>
        <v>436.7999999999999</v>
      </c>
      <c r="J49" s="67">
        <f t="shared" si="152"/>
        <v>471.70000000000027</v>
      </c>
      <c r="K49" s="67">
        <f t="shared" si="152"/>
        <v>563.20000000000016</v>
      </c>
      <c r="L49" s="67">
        <f t="shared" si="152"/>
        <v>658.39999999999986</v>
      </c>
      <c r="M49" s="67">
        <f t="shared" si="152"/>
        <v>714.29999999999973</v>
      </c>
      <c r="N49" s="67">
        <f t="shared" si="152"/>
        <v>614.79999999999995</v>
      </c>
      <c r="O49" s="67">
        <f t="shared" ref="O49:V49" si="153">O47-O48</f>
        <v>756.89999999999941</v>
      </c>
      <c r="P49" s="67">
        <f t="shared" si="153"/>
        <v>813.89999999999986</v>
      </c>
      <c r="Q49" s="67">
        <f t="shared" si="153"/>
        <v>838.8</v>
      </c>
      <c r="R49" s="67">
        <f t="shared" si="153"/>
        <v>755.2</v>
      </c>
      <c r="S49" s="67">
        <f>S47-S48</f>
        <v>924</v>
      </c>
      <c r="T49" s="67">
        <f t="shared" si="153"/>
        <v>1104</v>
      </c>
      <c r="U49" s="67">
        <f t="shared" si="153"/>
        <v>1067</v>
      </c>
      <c r="V49" s="67">
        <f t="shared" si="153"/>
        <v>928</v>
      </c>
      <c r="W49" s="67">
        <f t="shared" ref="W49:AD49" si="154">W47-W48</f>
        <v>1101</v>
      </c>
      <c r="X49" s="67">
        <f t="shared" si="154"/>
        <v>1235</v>
      </c>
      <c r="Y49" s="67">
        <f t="shared" si="154"/>
        <v>1224</v>
      </c>
      <c r="Z49" s="67">
        <f t="shared" si="154"/>
        <v>1060</v>
      </c>
      <c r="AA49" s="67">
        <f t="shared" si="154"/>
        <v>1270</v>
      </c>
      <c r="AB49" s="67">
        <f t="shared" si="154"/>
        <v>1265</v>
      </c>
      <c r="AC49" s="67">
        <f t="shared" si="154"/>
        <v>1181</v>
      </c>
      <c r="AD49" s="67">
        <f t="shared" si="154"/>
        <v>1088</v>
      </c>
      <c r="AE49" s="67">
        <f t="shared" ref="AE49:AL49" si="155">AE47-AE48</f>
        <v>1218</v>
      </c>
      <c r="AF49" s="67">
        <f t="shared" si="155"/>
        <v>1235</v>
      </c>
      <c r="AG49" s="67">
        <f t="shared" si="155"/>
        <v>1308</v>
      </c>
      <c r="AH49" s="67">
        <f t="shared" si="155"/>
        <v>1124</v>
      </c>
      <c r="AI49" s="67">
        <f t="shared" si="155"/>
        <v>1120</v>
      </c>
      <c r="AJ49" s="67">
        <f t="shared" si="155"/>
        <v>1311</v>
      </c>
      <c r="AK49" s="67">
        <f t="shared" si="155"/>
        <v>1518</v>
      </c>
      <c r="AL49" s="67">
        <f t="shared" si="155"/>
        <v>1065</v>
      </c>
      <c r="AM49" s="67">
        <f t="shared" ref="AM49:AT49" si="156">AM47-AM48</f>
        <v>1282</v>
      </c>
      <c r="AN49" s="67">
        <f t="shared" si="156"/>
        <v>1326</v>
      </c>
      <c r="AO49" s="67">
        <f t="shared" si="156"/>
        <v>1313</v>
      </c>
      <c r="AP49" s="67">
        <f t="shared" si="156"/>
        <v>1103</v>
      </c>
      <c r="AQ49" s="67">
        <f t="shared" si="156"/>
        <v>1258</v>
      </c>
      <c r="AR49" s="67">
        <f t="shared" si="156"/>
        <v>1281</v>
      </c>
      <c r="AS49" s="67">
        <f>AS47-AS48</f>
        <v>1872.0160000000001</v>
      </c>
      <c r="AT49" s="67">
        <f t="shared" si="156"/>
        <v>1027.2639999999999</v>
      </c>
      <c r="AU49" s="67"/>
      <c r="AV49" s="67">
        <f>AV47-AV48</f>
        <v>1339</v>
      </c>
      <c r="AW49" s="67"/>
      <c r="AX49" s="67"/>
      <c r="AY49" s="67"/>
      <c r="AZ49" s="67"/>
      <c r="BA49" s="67"/>
      <c r="BB49" s="67"/>
      <c r="BC49" s="67"/>
      <c r="BD49" s="67">
        <f>+BD47-BD48</f>
        <v>1823</v>
      </c>
      <c r="BE49" s="67"/>
      <c r="BF49" s="67"/>
      <c r="BG49" s="67"/>
      <c r="BH49" s="67"/>
      <c r="BI49" s="67"/>
      <c r="BJ49" s="67"/>
      <c r="BK49" s="67"/>
      <c r="BL49" s="67"/>
      <c r="BM49" s="67"/>
      <c r="BN49" s="67"/>
      <c r="BO49" s="67"/>
      <c r="BP49" s="67"/>
      <c r="BQ49" s="67"/>
      <c r="BR49" s="67"/>
      <c r="BS49" s="67"/>
      <c r="BT49" s="67"/>
      <c r="BU49" s="67"/>
      <c r="BV49" s="67">
        <f>+BV47-BV48</f>
        <v>2263</v>
      </c>
      <c r="BW49" s="67">
        <f t="shared" ref="BW49:CB49" si="157">BW47-BW48</f>
        <v>2230</v>
      </c>
      <c r="BX49" s="67">
        <f t="shared" si="157"/>
        <v>2038</v>
      </c>
      <c r="BY49" s="67">
        <f t="shared" si="157"/>
        <v>5737</v>
      </c>
      <c r="BZ49" s="67">
        <f t="shared" si="157"/>
        <v>2276</v>
      </c>
      <c r="CA49" s="67">
        <f t="shared" si="157"/>
        <v>2476</v>
      </c>
      <c r="CB49" s="67">
        <f t="shared" si="157"/>
        <v>2727</v>
      </c>
      <c r="CC49" s="67">
        <f t="shared" ref="CC49:CD49" si="158">CC47-CC48</f>
        <v>2696</v>
      </c>
      <c r="CD49" s="67">
        <f t="shared" si="158"/>
        <v>2148</v>
      </c>
      <c r="CE49" s="67">
        <f>CE47-CE48</f>
        <v>2368</v>
      </c>
      <c r="CF49" s="67">
        <f t="shared" ref="CF49:CP49" si="159">CF47-CF48</f>
        <v>2522</v>
      </c>
      <c r="CG49" s="67">
        <f t="shared" si="159"/>
        <v>2885</v>
      </c>
      <c r="CH49" s="67">
        <f t="shared" si="159"/>
        <v>2430</v>
      </c>
      <c r="CI49" s="67">
        <f t="shared" si="159"/>
        <v>2646</v>
      </c>
      <c r="CJ49" s="67">
        <f t="shared" si="159"/>
        <v>2182</v>
      </c>
      <c r="CK49" s="67">
        <f t="shared" si="159"/>
        <v>2345</v>
      </c>
      <c r="CL49" s="67">
        <f t="shared" si="159"/>
        <v>1924</v>
      </c>
      <c r="CM49" s="67">
        <f t="shared" si="159"/>
        <v>1895.2799999999995</v>
      </c>
      <c r="CN49" s="67">
        <f t="shared" si="159"/>
        <v>2319.6400000000003</v>
      </c>
      <c r="CO49" s="67">
        <f t="shared" si="159"/>
        <v>2200.6400000000003</v>
      </c>
      <c r="CP49" s="67">
        <f t="shared" si="159"/>
        <v>2768.84</v>
      </c>
      <c r="CQ49" s="67"/>
      <c r="CR49" s="67"/>
      <c r="CS49" s="67"/>
      <c r="CT49" s="67"/>
      <c r="CU49" s="67"/>
      <c r="CV49" s="67"/>
      <c r="CW49" s="67"/>
      <c r="CX49" s="67"/>
      <c r="CY49" s="67"/>
      <c r="CZ49" s="72"/>
      <c r="DA49" s="72"/>
      <c r="DB49" s="72"/>
      <c r="DC49" s="72"/>
      <c r="DD49" s="67">
        <v>2560</v>
      </c>
      <c r="DE49" s="67">
        <v>3169</v>
      </c>
      <c r="DF49" s="67">
        <f t="shared" ref="DF49:DM49" si="160">DF47-DF48</f>
        <v>4022.9429999999993</v>
      </c>
      <c r="DG49" s="67">
        <f t="shared" si="160"/>
        <v>4620</v>
      </c>
      <c r="DH49" s="67">
        <f t="shared" si="160"/>
        <v>4851.6000000000004</v>
      </c>
      <c r="DI49" s="67">
        <f>DI47-DI48</f>
        <v>4885</v>
      </c>
      <c r="DJ49" s="67">
        <f>DJ47-DJ48</f>
        <v>4699.91</v>
      </c>
      <c r="DK49" s="67">
        <f>DK47-DK48</f>
        <v>5024</v>
      </c>
      <c r="DL49" s="67">
        <f>DL47-DL48</f>
        <v>5347.7759999999989</v>
      </c>
      <c r="DM49" s="67">
        <f t="shared" si="160"/>
        <v>7325.9205563999985</v>
      </c>
      <c r="DN49" s="67">
        <f t="shared" ref="DN49:DT49" si="161">DN47-DN48</f>
        <v>7792.5101111555578</v>
      </c>
      <c r="DO49" s="67">
        <f t="shared" si="161"/>
        <v>7315.4505862165879</v>
      </c>
      <c r="DP49" s="67">
        <f t="shared" si="161"/>
        <v>6818.9313824821511</v>
      </c>
      <c r="DQ49" s="67">
        <f t="shared" si="161"/>
        <v>6721.8793544978525</v>
      </c>
      <c r="DR49" s="67">
        <f t="shared" si="161"/>
        <v>-1531.3334239292235</v>
      </c>
      <c r="DS49" s="67">
        <f t="shared" si="161"/>
        <v>0</v>
      </c>
      <c r="DT49" s="67">
        <f t="shared" si="161"/>
        <v>0</v>
      </c>
      <c r="DU49" s="67">
        <f>DU47-DU48</f>
        <v>10203</v>
      </c>
      <c r="DV49" s="67">
        <f>DV47-DV48</f>
        <v>10419</v>
      </c>
      <c r="DW49" s="67">
        <f>DW47-DW48</f>
        <v>9076</v>
      </c>
      <c r="DX49" s="67">
        <f>DX47-DX48</f>
        <v>15801.16</v>
      </c>
      <c r="DY49" s="67">
        <f t="shared" ref="DY49:EJ49" si="162">DY47-DY48</f>
        <v>17302.5592</v>
      </c>
      <c r="DZ49" s="67">
        <f t="shared" si="162"/>
        <v>18379.908224000006</v>
      </c>
      <c r="EA49" s="67">
        <f t="shared" si="162"/>
        <v>18645.194273919995</v>
      </c>
      <c r="EB49" s="67">
        <f t="shared" si="162"/>
        <v>19228.810050813765</v>
      </c>
      <c r="EC49" s="67">
        <f t="shared" si="162"/>
        <v>19245.866257237063</v>
      </c>
      <c r="ED49" s="67">
        <f t="shared" si="162"/>
        <v>18888.360382882522</v>
      </c>
      <c r="EE49" s="67">
        <f t="shared" si="162"/>
        <v>15766.572968532424</v>
      </c>
      <c r="EF49" s="67">
        <f t="shared" si="162"/>
        <v>14404.739459424478</v>
      </c>
      <c r="EG49" s="67">
        <f t="shared" si="162"/>
        <v>13812.189776335581</v>
      </c>
      <c r="EH49" s="67">
        <f t="shared" si="162"/>
        <v>13651.399559919937</v>
      </c>
      <c r="EI49" s="67">
        <f t="shared" si="162"/>
        <v>13721.112747486939</v>
      </c>
      <c r="EJ49" s="67">
        <f t="shared" si="162"/>
        <v>9411.342608574565</v>
      </c>
      <c r="EK49" s="18">
        <f>+EJ49*(1+$EM$53)</f>
        <v>9223.1157564030727</v>
      </c>
      <c r="EL49" s="18">
        <f t="shared" ref="EL49:GW49" si="163">+EK49*(1+$EM$53)</f>
        <v>9038.6534412750116</v>
      </c>
      <c r="EM49" s="18">
        <f t="shared" si="163"/>
        <v>8857.8803724495119</v>
      </c>
      <c r="EN49" s="18">
        <f t="shared" si="163"/>
        <v>8680.7227650005207</v>
      </c>
      <c r="EO49" s="18">
        <f t="shared" si="163"/>
        <v>8507.1083097005103</v>
      </c>
      <c r="EP49" s="18">
        <f t="shared" si="163"/>
        <v>8336.9661435064991</v>
      </c>
      <c r="EQ49" s="18">
        <f t="shared" si="163"/>
        <v>8170.2268206363688</v>
      </c>
      <c r="ER49" s="18">
        <f t="shared" si="163"/>
        <v>8006.822284223641</v>
      </c>
      <c r="ES49" s="18">
        <f t="shared" si="163"/>
        <v>7846.6858385391679</v>
      </c>
      <c r="ET49" s="18">
        <f t="shared" si="163"/>
        <v>7689.7521217683843</v>
      </c>
      <c r="EU49" s="18">
        <f t="shared" si="163"/>
        <v>7535.9570793330167</v>
      </c>
      <c r="EV49" s="18">
        <f t="shared" si="163"/>
        <v>7385.2379377463567</v>
      </c>
      <c r="EW49" s="18">
        <f t="shared" si="163"/>
        <v>7237.5331789914298</v>
      </c>
      <c r="EX49" s="18">
        <f t="shared" si="163"/>
        <v>7092.7825154116008</v>
      </c>
      <c r="EY49" s="18">
        <f t="shared" si="163"/>
        <v>6950.926865103369</v>
      </c>
      <c r="EZ49" s="18">
        <f t="shared" si="163"/>
        <v>6811.9083278013013</v>
      </c>
      <c r="FA49" s="18">
        <f t="shared" si="163"/>
        <v>6675.6701612452753</v>
      </c>
      <c r="FB49" s="18">
        <f t="shared" si="163"/>
        <v>6542.15675802037</v>
      </c>
      <c r="FC49" s="18">
        <f t="shared" si="163"/>
        <v>6411.3136228599624</v>
      </c>
      <c r="FD49" s="18">
        <f t="shared" si="163"/>
        <v>6283.0873504027631</v>
      </c>
      <c r="FE49" s="18">
        <f t="shared" si="163"/>
        <v>6157.4256033947077</v>
      </c>
      <c r="FF49" s="18">
        <f t="shared" si="163"/>
        <v>6034.2770913268132</v>
      </c>
      <c r="FG49" s="18">
        <f t="shared" si="163"/>
        <v>5913.5915495002764</v>
      </c>
      <c r="FH49" s="18">
        <f t="shared" si="163"/>
        <v>5795.3197185102708</v>
      </c>
      <c r="FI49" s="18">
        <f t="shared" si="163"/>
        <v>5679.413324140065</v>
      </c>
      <c r="FJ49" s="18">
        <f t="shared" si="163"/>
        <v>5565.8250576572636</v>
      </c>
      <c r="FK49" s="18">
        <f t="shared" si="163"/>
        <v>5454.5085565041181</v>
      </c>
      <c r="FL49" s="18">
        <f t="shared" si="163"/>
        <v>5345.418385374036</v>
      </c>
      <c r="FM49" s="18">
        <f t="shared" si="163"/>
        <v>5238.5100176665555</v>
      </c>
      <c r="FN49" s="18">
        <f t="shared" si="163"/>
        <v>5133.7398173132242</v>
      </c>
      <c r="FO49" s="18">
        <f t="shared" si="163"/>
        <v>5031.0650209669593</v>
      </c>
      <c r="FP49" s="18">
        <f t="shared" si="163"/>
        <v>4930.4437205476197</v>
      </c>
      <c r="FQ49" s="18">
        <f t="shared" si="163"/>
        <v>4831.8348461366668</v>
      </c>
      <c r="FR49" s="18">
        <f t="shared" si="163"/>
        <v>4735.198149213933</v>
      </c>
      <c r="FS49" s="18">
        <f t="shared" si="163"/>
        <v>4640.4941862296546</v>
      </c>
      <c r="FT49" s="18">
        <f t="shared" si="163"/>
        <v>4547.6843025050612</v>
      </c>
      <c r="FU49" s="18">
        <f t="shared" si="163"/>
        <v>4456.73061645496</v>
      </c>
      <c r="FV49" s="18">
        <f t="shared" si="163"/>
        <v>4367.5960041258604</v>
      </c>
      <c r="FW49" s="18">
        <f t="shared" si="163"/>
        <v>4280.2440840433428</v>
      </c>
      <c r="FX49" s="18">
        <f t="shared" si="163"/>
        <v>4194.6392023624758</v>
      </c>
      <c r="FY49" s="18">
        <f t="shared" si="163"/>
        <v>4110.746418315226</v>
      </c>
      <c r="FZ49" s="18">
        <f t="shared" si="163"/>
        <v>4028.5314899489213</v>
      </c>
      <c r="GA49" s="18">
        <f t="shared" si="163"/>
        <v>3947.9608601499426</v>
      </c>
      <c r="GB49" s="18">
        <f t="shared" si="163"/>
        <v>3869.0016429469438</v>
      </c>
      <c r="GC49" s="18">
        <f t="shared" si="163"/>
        <v>3791.6216100880047</v>
      </c>
      <c r="GD49" s="18">
        <f t="shared" si="163"/>
        <v>3715.7891778862445</v>
      </c>
      <c r="GE49" s="18">
        <f t="shared" si="163"/>
        <v>3641.4733943285196</v>
      </c>
      <c r="GF49" s="18">
        <f t="shared" si="163"/>
        <v>3568.6439264419491</v>
      </c>
      <c r="GG49" s="18">
        <f t="shared" si="163"/>
        <v>3497.2710479131101</v>
      </c>
      <c r="GH49" s="18">
        <f t="shared" si="163"/>
        <v>3427.3256269548478</v>
      </c>
      <c r="GI49" s="18">
        <f t="shared" si="163"/>
        <v>3358.7791144157509</v>
      </c>
      <c r="GJ49" s="18">
        <f t="shared" si="163"/>
        <v>3291.6035321274358</v>
      </c>
      <c r="GK49" s="18">
        <f t="shared" si="163"/>
        <v>3225.7714614848869</v>
      </c>
      <c r="GL49" s="18">
        <f t="shared" si="163"/>
        <v>3161.256032255189</v>
      </c>
      <c r="GM49" s="18">
        <f t="shared" si="163"/>
        <v>3098.0309116100852</v>
      </c>
      <c r="GN49" s="18">
        <f t="shared" si="163"/>
        <v>3036.0702933778834</v>
      </c>
      <c r="GO49" s="18">
        <f t="shared" si="163"/>
        <v>2975.3488875103258</v>
      </c>
      <c r="GP49" s="18">
        <f t="shared" si="163"/>
        <v>2915.8419097601191</v>
      </c>
      <c r="GQ49" s="18">
        <f t="shared" si="163"/>
        <v>2857.5250715649167</v>
      </c>
      <c r="GR49" s="18">
        <f t="shared" si="163"/>
        <v>2800.3745701336184</v>
      </c>
      <c r="GS49" s="18">
        <f t="shared" si="163"/>
        <v>2744.3670787309461</v>
      </c>
      <c r="GT49" s="18">
        <f t="shared" si="163"/>
        <v>2689.4797371563272</v>
      </c>
      <c r="GU49" s="18">
        <f t="shared" si="163"/>
        <v>2635.6901424132006</v>
      </c>
      <c r="GV49" s="18">
        <f t="shared" si="163"/>
        <v>2582.9763395649366</v>
      </c>
      <c r="GW49" s="18">
        <f t="shared" si="163"/>
        <v>2531.3168127736376</v>
      </c>
      <c r="GX49" s="18">
        <f t="shared" ref="GX49:HB49" si="164">+GW49*(1+$EM$53)</f>
        <v>2480.6904765181648</v>
      </c>
      <c r="GY49" s="18">
        <f t="shared" si="164"/>
        <v>2431.0766669878017</v>
      </c>
      <c r="GZ49" s="18">
        <f t="shared" si="164"/>
        <v>2382.4551336480454</v>
      </c>
      <c r="HA49" s="18">
        <f t="shared" si="164"/>
        <v>2334.8060309750845</v>
      </c>
      <c r="HB49" s="18">
        <f t="shared" si="164"/>
        <v>2288.1099103555825</v>
      </c>
    </row>
    <row r="50" spans="2:210" s="61" customFormat="1">
      <c r="B50" s="91" t="s">
        <v>450</v>
      </c>
      <c r="C50" s="76">
        <f>C49/C51</f>
        <v>0.21241709653647745</v>
      </c>
      <c r="D50" s="76">
        <f>D49/D51</f>
        <v>0.15344011649071718</v>
      </c>
      <c r="E50" s="76">
        <f>E49/E51</f>
        <v>0.12981744421906696</v>
      </c>
      <c r="F50" s="76"/>
      <c r="G50" s="76">
        <f t="shared" ref="G50:AN50" si="165">G49/G51</f>
        <v>0.31558585114222559</v>
      </c>
      <c r="H50" s="76">
        <f t="shared" si="165"/>
        <v>0.37995995631598101</v>
      </c>
      <c r="I50" s="76">
        <f t="shared" si="165"/>
        <v>0.3353036002149381</v>
      </c>
      <c r="J50" s="76">
        <f t="shared" si="165"/>
        <v>0.35008163871159287</v>
      </c>
      <c r="K50" s="76">
        <f t="shared" si="165"/>
        <v>0.41721609008074684</v>
      </c>
      <c r="L50" s="76">
        <f t="shared" si="165"/>
        <v>0.48878990348923523</v>
      </c>
      <c r="M50" s="76">
        <f t="shared" si="165"/>
        <v>0.52989614243323424</v>
      </c>
      <c r="N50" s="76">
        <f t="shared" si="165"/>
        <v>0.45880597014925367</v>
      </c>
      <c r="O50" s="76">
        <f t="shared" si="165"/>
        <v>0.56803001876172565</v>
      </c>
      <c r="P50" s="76">
        <f t="shared" si="165"/>
        <v>0.61766714730211725</v>
      </c>
      <c r="Q50" s="76">
        <f t="shared" si="165"/>
        <v>0.63545454545454538</v>
      </c>
      <c r="R50" s="76">
        <f t="shared" si="165"/>
        <v>0.57648854961832063</v>
      </c>
      <c r="S50" s="76">
        <f t="shared" si="165"/>
        <v>0.71627906976744182</v>
      </c>
      <c r="T50" s="76">
        <f t="shared" si="165"/>
        <v>0.88319999999999999</v>
      </c>
      <c r="U50" s="76">
        <f t="shared" si="165"/>
        <v>0.85428342674139313</v>
      </c>
      <c r="V50" s="76">
        <f t="shared" si="165"/>
        <v>0.74658085277554309</v>
      </c>
      <c r="W50" s="76">
        <f t="shared" si="165"/>
        <v>0.90691927512355852</v>
      </c>
      <c r="X50" s="76">
        <f t="shared" si="165"/>
        <v>1.0457239627434378</v>
      </c>
      <c r="Y50" s="76">
        <f t="shared" si="165"/>
        <v>1.0425894378194207</v>
      </c>
      <c r="Z50" s="76">
        <f t="shared" si="165"/>
        <v>0.90212765957446805</v>
      </c>
      <c r="AA50" s="76">
        <f t="shared" si="165"/>
        <v>1.0836177474402731</v>
      </c>
      <c r="AB50" s="76">
        <f t="shared" si="165"/>
        <v>1.1174911660777385</v>
      </c>
      <c r="AC50" s="76">
        <f t="shared" si="165"/>
        <v>1.0844811753902663</v>
      </c>
      <c r="AD50" s="76">
        <f t="shared" si="165"/>
        <v>0.997250229147571</v>
      </c>
      <c r="AE50" s="76">
        <f t="shared" si="165"/>
        <v>1.1164069660861595</v>
      </c>
      <c r="AF50" s="76">
        <f t="shared" si="165"/>
        <v>1.1435185185185186</v>
      </c>
      <c r="AG50" s="76">
        <f t="shared" si="165"/>
        <v>1.2304797742238947</v>
      </c>
      <c r="AH50" s="76">
        <f t="shared" si="165"/>
        <v>1.05937794533459</v>
      </c>
      <c r="AI50" s="76">
        <f t="shared" si="165"/>
        <v>1.0800385728061717</v>
      </c>
      <c r="AJ50" s="76">
        <f t="shared" si="165"/>
        <v>1.2903543307086613</v>
      </c>
      <c r="AK50" s="76">
        <f t="shared" si="165"/>
        <v>1.4867776689520078</v>
      </c>
      <c r="AL50" s="76">
        <f t="shared" si="165"/>
        <v>1.0523715415019763</v>
      </c>
      <c r="AM50" s="76">
        <f t="shared" si="165"/>
        <v>1.2975708502024292</v>
      </c>
      <c r="AN50" s="76">
        <f t="shared" si="165"/>
        <v>1.3755186721991701</v>
      </c>
      <c r="AO50" s="76">
        <f t="shared" ref="AO50:AT50" si="166">AO49/AO51</f>
        <v>1.3648648648648649</v>
      </c>
      <c r="AP50" s="76">
        <f t="shared" si="166"/>
        <v>1.1659619450317125</v>
      </c>
      <c r="AQ50" s="76">
        <f t="shared" si="166"/>
        <v>1.3382978723404255</v>
      </c>
      <c r="AR50" s="76">
        <f t="shared" si="166"/>
        <v>1.3715203426124196</v>
      </c>
      <c r="AS50" s="76">
        <f>AS49/AS51</f>
        <v>2.0042997858672376</v>
      </c>
      <c r="AT50" s="76">
        <f t="shared" si="166"/>
        <v>1.0998543897216273</v>
      </c>
      <c r="AU50" s="76"/>
      <c r="AV50" s="76">
        <f>AV49/AV51</f>
        <v>1.7057324840764332</v>
      </c>
      <c r="AW50" s="76"/>
      <c r="AX50" s="76"/>
      <c r="AY50" s="76"/>
      <c r="AZ50" s="76"/>
      <c r="BA50" s="76"/>
      <c r="BB50" s="76"/>
      <c r="BC50" s="76"/>
      <c r="BD50" s="76">
        <f>+BD49/BD51</f>
        <v>2.3736979166666665</v>
      </c>
      <c r="BE50" s="76"/>
      <c r="BF50" s="76"/>
      <c r="BG50" s="76"/>
      <c r="BH50" s="76"/>
      <c r="BI50" s="76"/>
      <c r="BJ50" s="76"/>
      <c r="BK50" s="76"/>
      <c r="BL50" s="76"/>
      <c r="BM50" s="76"/>
      <c r="BN50" s="76"/>
      <c r="BO50" s="76"/>
      <c r="BP50" s="76"/>
      <c r="BQ50" s="76"/>
      <c r="BR50" s="76"/>
      <c r="BS50" s="76"/>
      <c r="BT50" s="76"/>
      <c r="BU50" s="76"/>
      <c r="BV50" s="76">
        <f>+BV49/BV51</f>
        <v>3.5359375000000002</v>
      </c>
      <c r="BW50" s="96">
        <f t="shared" ref="BW50:CB50" si="167">BW49/BW51</f>
        <v>3.5623003194888181</v>
      </c>
      <c r="BX50" s="96">
        <f t="shared" si="167"/>
        <v>3.3409836065573773</v>
      </c>
      <c r="BY50" s="96" t="e">
        <f t="shared" si="167"/>
        <v>#DIV/0!</v>
      </c>
      <c r="BZ50" s="96">
        <f t="shared" si="167"/>
        <v>3.8060200668896322</v>
      </c>
      <c r="CA50" s="96">
        <f t="shared" si="167"/>
        <v>4.1683501683501687</v>
      </c>
      <c r="CB50" s="96">
        <f t="shared" si="167"/>
        <v>4.6064189189189193</v>
      </c>
      <c r="CC50" s="96">
        <f t="shared" ref="CC50:CD50" si="168">CC49/CC51</f>
        <v>4.5772495755517824</v>
      </c>
      <c r="CD50" s="96">
        <f t="shared" si="168"/>
        <v>3.6717948717948716</v>
      </c>
      <c r="CE50" s="96">
        <f>CE49/CE51</f>
        <v>4.0757314974182446</v>
      </c>
      <c r="CF50" s="96">
        <f t="shared" ref="CF50:CP50" si="169">CF49/CF51</f>
        <v>4.3784722222222223</v>
      </c>
      <c r="CG50" s="96">
        <f t="shared" si="169"/>
        <v>5.0614035087719298</v>
      </c>
      <c r="CH50" s="96">
        <f t="shared" si="169"/>
        <v>4.3008849557522124</v>
      </c>
      <c r="CI50" s="96">
        <f t="shared" si="169"/>
        <v>4.8021778584392019</v>
      </c>
      <c r="CJ50" s="96">
        <f t="shared" si="169"/>
        <v>4.0633147113594044</v>
      </c>
      <c r="CK50" s="96">
        <f t="shared" si="169"/>
        <v>4.3587360594795541</v>
      </c>
      <c r="CL50" s="96">
        <f t="shared" si="169"/>
        <v>3.5695732838589982</v>
      </c>
      <c r="CM50" s="96">
        <f t="shared" si="169"/>
        <v>3.5162894248608527</v>
      </c>
      <c r="CN50" s="96">
        <f t="shared" si="169"/>
        <v>4.3035992578849731</v>
      </c>
      <c r="CO50" s="96">
        <f t="shared" si="169"/>
        <v>4.0828200371057521</v>
      </c>
      <c r="CP50" s="96">
        <f t="shared" si="169"/>
        <v>5.136994434137292</v>
      </c>
      <c r="CQ50" s="96"/>
      <c r="CR50" s="96"/>
      <c r="CS50" s="96"/>
      <c r="CT50" s="96"/>
      <c r="CU50" s="96"/>
      <c r="CV50" s="96"/>
      <c r="CW50" s="96"/>
      <c r="CX50" s="76"/>
      <c r="CY50" s="76"/>
      <c r="CZ50" s="77"/>
      <c r="DA50" s="76"/>
      <c r="DB50" s="76"/>
      <c r="DC50" s="76"/>
      <c r="DD50" s="76">
        <f t="shared" ref="DD50:EJ50" si="170">DD49/DD51</f>
        <v>1.9019316493313521</v>
      </c>
      <c r="DE50" s="76">
        <f t="shared" si="170"/>
        <v>2.4007575757575759</v>
      </c>
      <c r="DF50" s="76">
        <f t="shared" si="170"/>
        <v>3.1978879173290933</v>
      </c>
      <c r="DG50" s="76">
        <f t="shared" si="170"/>
        <v>3.8954468802698146</v>
      </c>
      <c r="DH50" s="76">
        <f t="shared" si="170"/>
        <v>4.327921498661909</v>
      </c>
      <c r="DI50" s="76">
        <f t="shared" si="170"/>
        <v>4.5494761350407451</v>
      </c>
      <c r="DJ50" s="76">
        <f t="shared" si="170"/>
        <v>4.4182467685076379</v>
      </c>
      <c r="DK50" s="76">
        <f>DK49/DK51</f>
        <v>5.2062176165803109</v>
      </c>
      <c r="DL50" s="76">
        <f>DL49/DL51</f>
        <v>5.7164895777658993</v>
      </c>
      <c r="DM50" s="76">
        <f t="shared" si="170"/>
        <v>7.9156353931928676</v>
      </c>
      <c r="DN50" s="76">
        <f t="shared" si="170"/>
        <v>8.5117532617755955</v>
      </c>
      <c r="DO50" s="76">
        <f t="shared" si="170"/>
        <v>8.0789073287869559</v>
      </c>
      <c r="DP50" s="76">
        <f t="shared" si="170"/>
        <v>7.5305702733099409</v>
      </c>
      <c r="DQ50" s="76">
        <f t="shared" si="170"/>
        <v>7.4233896791804002</v>
      </c>
      <c r="DR50" s="76">
        <f t="shared" si="170"/>
        <v>-1.6911467961670055</v>
      </c>
      <c r="DS50" s="76">
        <f t="shared" si="170"/>
        <v>0</v>
      </c>
      <c r="DT50" s="76" t="e">
        <f t="shared" si="170"/>
        <v>#DIV/0!</v>
      </c>
      <c r="DU50" s="76">
        <f t="shared" si="170"/>
        <v>17.293220338983051</v>
      </c>
      <c r="DV50" s="76">
        <f t="shared" si="170"/>
        <v>18.183246073298431</v>
      </c>
      <c r="DW50" s="76">
        <f t="shared" si="170"/>
        <v>16.768591224018476</v>
      </c>
      <c r="DX50" s="76">
        <f t="shared" si="170"/>
        <v>29.315695732838591</v>
      </c>
      <c r="DY50" s="76">
        <f t="shared" si="170"/>
        <v>32.101223005565863</v>
      </c>
      <c r="DZ50" s="76">
        <f t="shared" si="170"/>
        <v>34.100015257884984</v>
      </c>
      <c r="EA50" s="76">
        <f t="shared" si="170"/>
        <v>34.592197168682738</v>
      </c>
      <c r="EB50" s="76">
        <f t="shared" si="170"/>
        <v>35.674972264960601</v>
      </c>
      <c r="EC50" s="76">
        <f t="shared" si="170"/>
        <v>35.706616432721823</v>
      </c>
      <c r="ED50" s="76">
        <f t="shared" si="170"/>
        <v>35.043340227982412</v>
      </c>
      <c r="EE50" s="76">
        <f t="shared" si="170"/>
        <v>29.251526843288357</v>
      </c>
      <c r="EF50" s="76">
        <f t="shared" si="170"/>
        <v>26.724934062012018</v>
      </c>
      <c r="EG50" s="76">
        <f t="shared" si="170"/>
        <v>25.625584000622599</v>
      </c>
      <c r="EH50" s="76">
        <f t="shared" si="170"/>
        <v>25.327271910797656</v>
      </c>
      <c r="EI50" s="76">
        <f t="shared" si="170"/>
        <v>25.456609921126045</v>
      </c>
      <c r="EJ50" s="76">
        <f t="shared" si="170"/>
        <v>17.460746954683795</v>
      </c>
    </row>
    <row r="51" spans="2:210" s="26" customFormat="1">
      <c r="B51" s="26" t="s">
        <v>449</v>
      </c>
      <c r="C51" s="67">
        <v>1085.5999999999999</v>
      </c>
      <c r="D51" s="67">
        <v>1098.8</v>
      </c>
      <c r="E51" s="67">
        <v>1084.5999999999999</v>
      </c>
      <c r="F51" s="67"/>
      <c r="G51" s="67">
        <v>1085.5999999999999</v>
      </c>
      <c r="H51" s="67">
        <v>1098.8</v>
      </c>
      <c r="I51" s="67">
        <v>1302.7</v>
      </c>
      <c r="J51" s="67">
        <v>1347.4</v>
      </c>
      <c r="K51" s="67">
        <v>1349.9</v>
      </c>
      <c r="L51" s="67">
        <v>1347</v>
      </c>
      <c r="M51" s="67">
        <v>1348</v>
      </c>
      <c r="N51" s="67">
        <v>1340</v>
      </c>
      <c r="O51" s="67">
        <v>1332.5</v>
      </c>
      <c r="P51" s="67">
        <v>1317.7</v>
      </c>
      <c r="Q51" s="67">
        <v>1320</v>
      </c>
      <c r="R51" s="67">
        <v>1310</v>
      </c>
      <c r="S51" s="67">
        <v>1290</v>
      </c>
      <c r="T51" s="67">
        <v>1250</v>
      </c>
      <c r="U51" s="67">
        <v>1249</v>
      </c>
      <c r="V51" s="67">
        <v>1243</v>
      </c>
      <c r="W51" s="67">
        <v>1214</v>
      </c>
      <c r="X51" s="67">
        <v>1181</v>
      </c>
      <c r="Y51" s="67">
        <v>1174</v>
      </c>
      <c r="Z51" s="67">
        <v>1175</v>
      </c>
      <c r="AA51" s="67">
        <v>1172</v>
      </c>
      <c r="AB51" s="67">
        <v>1132</v>
      </c>
      <c r="AC51" s="67">
        <v>1089</v>
      </c>
      <c r="AD51" s="67">
        <v>1091</v>
      </c>
      <c r="AE51" s="67">
        <v>1091</v>
      </c>
      <c r="AF51" s="67">
        <v>1080</v>
      </c>
      <c r="AG51" s="67">
        <v>1063</v>
      </c>
      <c r="AH51" s="67">
        <v>1061</v>
      </c>
      <c r="AI51" s="67">
        <v>1037</v>
      </c>
      <c r="AJ51" s="67">
        <v>1016</v>
      </c>
      <c r="AK51" s="67">
        <v>1021</v>
      </c>
      <c r="AL51" s="67">
        <v>1012</v>
      </c>
      <c r="AM51" s="67">
        <v>988</v>
      </c>
      <c r="AN51" s="67">
        <v>964</v>
      </c>
      <c r="AO51" s="67">
        <v>962</v>
      </c>
      <c r="AP51" s="67">
        <v>946</v>
      </c>
      <c r="AQ51" s="67">
        <v>940</v>
      </c>
      <c r="AR51" s="67">
        <v>934</v>
      </c>
      <c r="AS51" s="67">
        <f>+AR51</f>
        <v>934</v>
      </c>
      <c r="AT51" s="67">
        <f>+AS51</f>
        <v>934</v>
      </c>
      <c r="AU51" s="67"/>
      <c r="AV51" s="67">
        <v>785</v>
      </c>
      <c r="AW51" s="67"/>
      <c r="AX51" s="67"/>
      <c r="AY51" s="67"/>
      <c r="AZ51" s="67"/>
      <c r="BA51" s="67"/>
      <c r="BB51" s="67"/>
      <c r="BC51" s="67"/>
      <c r="BD51" s="67">
        <v>768</v>
      </c>
      <c r="BE51" s="67"/>
      <c r="BF51" s="67"/>
      <c r="BG51" s="67"/>
      <c r="BH51" s="67"/>
      <c r="BI51" s="67"/>
      <c r="BJ51" s="67"/>
      <c r="BK51" s="67"/>
      <c r="BL51" s="67"/>
      <c r="BM51" s="67"/>
      <c r="BN51" s="67"/>
      <c r="BO51" s="67"/>
      <c r="BP51" s="67"/>
      <c r="BQ51" s="67"/>
      <c r="BR51" s="67"/>
      <c r="BS51" s="67"/>
      <c r="BT51" s="67"/>
      <c r="BU51" s="67"/>
      <c r="BV51" s="67">
        <v>640</v>
      </c>
      <c r="BW51" s="67">
        <v>626</v>
      </c>
      <c r="BX51" s="67">
        <v>610</v>
      </c>
      <c r="BY51" s="67"/>
      <c r="BZ51" s="67">
        <v>598</v>
      </c>
      <c r="CA51" s="67">
        <v>594</v>
      </c>
      <c r="CB51" s="67">
        <v>592</v>
      </c>
      <c r="CC51" s="67">
        <v>589</v>
      </c>
      <c r="CD51" s="67">
        <v>585</v>
      </c>
      <c r="CE51" s="67">
        <v>581</v>
      </c>
      <c r="CF51" s="67">
        <v>576</v>
      </c>
      <c r="CG51" s="67">
        <v>570</v>
      </c>
      <c r="CH51" s="67">
        <v>565</v>
      </c>
      <c r="CI51" s="67">
        <v>551</v>
      </c>
      <c r="CJ51" s="67">
        <v>537</v>
      </c>
      <c r="CK51" s="67">
        <v>538</v>
      </c>
      <c r="CL51" s="67">
        <v>539</v>
      </c>
      <c r="CM51" s="67">
        <f t="shared" ref="CM51:CP51" si="171">+CL51</f>
        <v>539</v>
      </c>
      <c r="CN51" s="67">
        <f t="shared" si="171"/>
        <v>539</v>
      </c>
      <c r="CO51" s="67">
        <f t="shared" si="171"/>
        <v>539</v>
      </c>
      <c r="CP51" s="67">
        <f t="shared" si="171"/>
        <v>539</v>
      </c>
      <c r="CQ51" s="67"/>
      <c r="CR51" s="67"/>
      <c r="CS51" s="67"/>
      <c r="CT51" s="67"/>
      <c r="CU51" s="67"/>
      <c r="CV51" s="67"/>
      <c r="CW51" s="67"/>
      <c r="CX51" s="67"/>
      <c r="CY51" s="67"/>
      <c r="CZ51" s="67"/>
      <c r="DA51" s="67"/>
      <c r="DB51" s="67"/>
      <c r="DC51" s="67"/>
      <c r="DD51" s="67">
        <v>1346</v>
      </c>
      <c r="DE51" s="67">
        <v>1320</v>
      </c>
      <c r="DF51" s="67">
        <f>AVERAGE(S51:V51)</f>
        <v>1258</v>
      </c>
      <c r="DG51" s="67">
        <f>AVERAGE(W51:Z51)</f>
        <v>1186</v>
      </c>
      <c r="DH51" s="67">
        <f>AVERAGE(AA51:AD51)</f>
        <v>1121</v>
      </c>
      <c r="DI51" s="67">
        <f>AVERAGE(AE51:AH51)</f>
        <v>1073.75</v>
      </c>
      <c r="DJ51" s="67">
        <f t="shared" ref="DJ51:DO51" si="172">DI51-10</f>
        <v>1063.75</v>
      </c>
      <c r="DK51" s="67">
        <f>AVERAGE(AM51:AP51)</f>
        <v>965</v>
      </c>
      <c r="DL51" s="67">
        <f>AVERAGE(AQ51:AT51)</f>
        <v>935.5</v>
      </c>
      <c r="DM51" s="67">
        <f t="shared" si="172"/>
        <v>925.5</v>
      </c>
      <c r="DN51" s="67">
        <f t="shared" si="172"/>
        <v>915.5</v>
      </c>
      <c r="DO51" s="67">
        <f t="shared" si="172"/>
        <v>905.5</v>
      </c>
      <c r="DP51" s="67">
        <f>DO51</f>
        <v>905.5</v>
      </c>
      <c r="DQ51" s="67">
        <f>+DP51</f>
        <v>905.5</v>
      </c>
      <c r="DR51" s="67">
        <f>+DQ51</f>
        <v>905.5</v>
      </c>
      <c r="DS51" s="67">
        <f>+DR51</f>
        <v>905.5</v>
      </c>
      <c r="DT51" s="67"/>
      <c r="DU51" s="67">
        <v>590</v>
      </c>
      <c r="DV51" s="67">
        <v>573</v>
      </c>
      <c r="DW51" s="67">
        <f>AVERAGE(CI51:CL51)</f>
        <v>541.25</v>
      </c>
      <c r="DX51" s="67">
        <f>AVERAGE(CM51:CP51)</f>
        <v>539</v>
      </c>
      <c r="DY51" s="67">
        <f>+DX51</f>
        <v>539</v>
      </c>
      <c r="DZ51" s="67">
        <f t="shared" ref="DZ51:EJ51" si="173">+DY51</f>
        <v>539</v>
      </c>
      <c r="EA51" s="67">
        <f t="shared" si="173"/>
        <v>539</v>
      </c>
      <c r="EB51" s="67">
        <f t="shared" si="173"/>
        <v>539</v>
      </c>
      <c r="EC51" s="67">
        <f t="shared" si="173"/>
        <v>539</v>
      </c>
      <c r="ED51" s="67">
        <f t="shared" si="173"/>
        <v>539</v>
      </c>
      <c r="EE51" s="67">
        <f t="shared" si="173"/>
        <v>539</v>
      </c>
      <c r="EF51" s="67">
        <f t="shared" si="173"/>
        <v>539</v>
      </c>
      <c r="EG51" s="67">
        <f t="shared" si="173"/>
        <v>539</v>
      </c>
      <c r="EH51" s="67">
        <f t="shared" si="173"/>
        <v>539</v>
      </c>
      <c r="EI51" s="67">
        <f t="shared" si="173"/>
        <v>539</v>
      </c>
      <c r="EJ51" s="67">
        <f t="shared" si="173"/>
        <v>539</v>
      </c>
    </row>
    <row r="52" spans="2:210">
      <c r="DB52" s="70"/>
      <c r="DC52" s="70"/>
      <c r="DD52" s="70"/>
      <c r="DE52" s="70"/>
      <c r="DF52" s="70"/>
      <c r="DG52" s="70"/>
      <c r="DH52" s="70"/>
      <c r="DI52" s="70"/>
      <c r="DJ52" s="70"/>
      <c r="DK52" s="70"/>
      <c r="DL52" s="70"/>
      <c r="DM52" s="78"/>
      <c r="DN52" s="70"/>
      <c r="DO52" s="70"/>
      <c r="DP52" s="70"/>
      <c r="EL52" s="70" t="s">
        <v>1127</v>
      </c>
      <c r="EM52" s="62">
        <v>0.01</v>
      </c>
    </row>
    <row r="53" spans="2:210" s="19" customFormat="1">
      <c r="B53" s="38" t="s">
        <v>101</v>
      </c>
      <c r="C53" s="79"/>
      <c r="D53" s="79"/>
      <c r="E53" s="79"/>
      <c r="F53" s="79"/>
      <c r="G53" s="79"/>
      <c r="H53" s="79"/>
      <c r="I53" s="79"/>
      <c r="J53" s="79"/>
      <c r="K53" s="79">
        <f t="shared" ref="K53:AR53" si="174">K41/K39</f>
        <v>0.84193493442343725</v>
      </c>
      <c r="L53" s="79">
        <f t="shared" si="174"/>
        <v>0.8411640781931311</v>
      </c>
      <c r="M53" s="79">
        <f t="shared" si="174"/>
        <v>0.84783986957703106</v>
      </c>
      <c r="N53" s="79">
        <f t="shared" si="174"/>
        <v>0.8365720617062985</v>
      </c>
      <c r="O53" s="79">
        <f t="shared" si="174"/>
        <v>0.84143582739340128</v>
      </c>
      <c r="P53" s="79">
        <f t="shared" si="174"/>
        <v>0.83169542675849262</v>
      </c>
      <c r="Q53" s="79">
        <f t="shared" si="174"/>
        <v>0.83523774419461849</v>
      </c>
      <c r="R53" s="79">
        <f t="shared" si="174"/>
        <v>0.83636988655895494</v>
      </c>
      <c r="S53" s="79">
        <f t="shared" si="174"/>
        <v>0.82739145781856693</v>
      </c>
      <c r="T53" s="79">
        <f t="shared" si="174"/>
        <v>0.83291298865069352</v>
      </c>
      <c r="U53" s="79">
        <f t="shared" si="174"/>
        <v>0.83988585922637915</v>
      </c>
      <c r="V53" s="79">
        <f t="shared" si="174"/>
        <v>0.84377866095995113</v>
      </c>
      <c r="W53" s="79">
        <f t="shared" si="174"/>
        <v>0.82841156356854218</v>
      </c>
      <c r="X53" s="79">
        <f t="shared" si="174"/>
        <v>0.86348501664816868</v>
      </c>
      <c r="Y53" s="79">
        <f t="shared" si="174"/>
        <v>0.86572535991140642</v>
      </c>
      <c r="Z53" s="79">
        <f t="shared" si="174"/>
        <v>0.85632333767926994</v>
      </c>
      <c r="AA53" s="79">
        <f t="shared" si="174"/>
        <v>0.84838622186059132</v>
      </c>
      <c r="AB53" s="79">
        <f t="shared" si="174"/>
        <v>0.85354077253218885</v>
      </c>
      <c r="AC53" s="79">
        <f t="shared" si="174"/>
        <v>0.83799501523123787</v>
      </c>
      <c r="AD53" s="79">
        <f t="shared" si="174"/>
        <v>0.84913217623497994</v>
      </c>
      <c r="AE53" s="79">
        <f t="shared" si="174"/>
        <v>0.84998616108497094</v>
      </c>
      <c r="AF53" s="79">
        <f t="shared" si="174"/>
        <v>0.8639744952178533</v>
      </c>
      <c r="AG53" s="79">
        <f t="shared" si="174"/>
        <v>0.847741935483871</v>
      </c>
      <c r="AH53" s="79">
        <f t="shared" si="174"/>
        <v>0.8536390295921088</v>
      </c>
      <c r="AI53" s="79">
        <f t="shared" si="174"/>
        <v>0.85671100362756958</v>
      </c>
      <c r="AJ53" s="79">
        <f t="shared" si="174"/>
        <v>0.858066253703205</v>
      </c>
      <c r="AK53" s="79">
        <f t="shared" si="174"/>
        <v>0.85781741867785943</v>
      </c>
      <c r="AL53" s="79">
        <f t="shared" si="174"/>
        <v>0.85954318718823841</v>
      </c>
      <c r="AM53" s="79">
        <f t="shared" si="174"/>
        <v>0.85968819599109136</v>
      </c>
      <c r="AN53" s="79">
        <f t="shared" si="174"/>
        <v>0.85567823343848581</v>
      </c>
      <c r="AO53" s="79">
        <f t="shared" si="174"/>
        <v>0.84696016771488469</v>
      </c>
      <c r="AP53" s="79">
        <f t="shared" si="174"/>
        <v>0.85212184326998175</v>
      </c>
      <c r="AQ53" s="93">
        <f t="shared" si="174"/>
        <v>0.85429033998920667</v>
      </c>
      <c r="AR53" s="93">
        <f t="shared" si="174"/>
        <v>0.85627683758524875</v>
      </c>
      <c r="AS53" s="79">
        <v>0.85</v>
      </c>
      <c r="AT53" s="79">
        <v>0.85</v>
      </c>
      <c r="AU53" s="79"/>
      <c r="AV53" s="93">
        <f>AV41/AV39</f>
        <v>0.84766584766584763</v>
      </c>
      <c r="AW53" s="79"/>
      <c r="AX53" s="79"/>
      <c r="AY53" s="79"/>
      <c r="AZ53" s="79"/>
      <c r="BA53" s="79"/>
      <c r="BB53" s="79"/>
      <c r="BC53" s="79"/>
      <c r="BD53" s="79"/>
      <c r="BE53" s="79"/>
      <c r="BF53" s="79"/>
      <c r="BG53" s="79"/>
      <c r="BH53" s="79"/>
      <c r="BI53" s="79"/>
      <c r="BJ53" s="79"/>
      <c r="BK53" s="79"/>
      <c r="BL53" s="79"/>
      <c r="BM53" s="79"/>
      <c r="BN53" s="79"/>
      <c r="BO53" s="79"/>
      <c r="BP53" s="79"/>
      <c r="BQ53" s="79"/>
      <c r="BR53" s="79"/>
      <c r="BS53" s="79"/>
      <c r="BT53" s="79"/>
      <c r="BU53" s="79"/>
      <c r="BV53" s="79">
        <f t="shared" ref="BV53" si="175">BV41/BV39</f>
        <v>0.86853932584269666</v>
      </c>
      <c r="BW53" s="79">
        <f t="shared" ref="BW53" si="176">BW41/BW39</f>
        <v>0.85981644772359189</v>
      </c>
      <c r="BX53" s="79">
        <f t="shared" ref="BX53" si="177">BX41/BX39</f>
        <v>0.87463805143927775</v>
      </c>
      <c r="BY53" s="79"/>
      <c r="BZ53" s="79">
        <f t="shared" ref="BZ53:CA53" si="178">BZ41/BZ39</f>
        <v>0.87251896078747782</v>
      </c>
      <c r="CA53" s="79">
        <f t="shared" si="178"/>
        <v>0.87485797760103878</v>
      </c>
      <c r="CB53" s="79">
        <f t="shared" ref="CB53:CC53" si="179">CB41/CB39</f>
        <v>0.87786013535288432</v>
      </c>
      <c r="CC53" s="79">
        <f t="shared" si="179"/>
        <v>0.86392651408998911</v>
      </c>
      <c r="CD53" s="79">
        <f t="shared" ref="CD53:CH53" si="180">CD41/CD39</f>
        <v>0.8554416641543563</v>
      </c>
      <c r="CE53" s="79">
        <f t="shared" si="180"/>
        <v>0.85307574987290291</v>
      </c>
      <c r="CF53" s="79">
        <f t="shared" si="180"/>
        <v>0.841556849524977</v>
      </c>
      <c r="CG53" s="79">
        <f t="shared" si="180"/>
        <v>0.8513271696987772</v>
      </c>
      <c r="CH53" s="79">
        <f t="shared" si="180"/>
        <v>0.83990651475314049</v>
      </c>
      <c r="CI53" s="79">
        <f>CI41/CI39</f>
        <v>0.8475472907983328</v>
      </c>
      <c r="CJ53" s="79">
        <f t="shared" ref="CJ53:CP53" si="181">CJ41/CJ39</f>
        <v>0.85257124661678074</v>
      </c>
      <c r="CK53" s="79">
        <f t="shared" si="181"/>
        <v>0.83918550585217255</v>
      </c>
      <c r="CL53" s="79">
        <f t="shared" si="181"/>
        <v>0.83653846153846156</v>
      </c>
      <c r="CM53" s="79">
        <f t="shared" si="181"/>
        <v>0.84999999999999987</v>
      </c>
      <c r="CN53" s="79">
        <f t="shared" si="181"/>
        <v>0.85</v>
      </c>
      <c r="CO53" s="79">
        <f t="shared" si="181"/>
        <v>0.85</v>
      </c>
      <c r="CP53" s="79">
        <f t="shared" si="181"/>
        <v>0.85</v>
      </c>
      <c r="CQ53" s="79"/>
      <c r="CR53" s="79"/>
      <c r="CS53" s="79"/>
      <c r="CT53" s="79"/>
      <c r="CU53" s="79"/>
      <c r="CV53" s="79"/>
      <c r="CW53" s="79"/>
      <c r="CX53" s="79"/>
      <c r="CY53" s="79"/>
      <c r="CZ53" s="80"/>
      <c r="DA53" s="79"/>
      <c r="DB53" s="79"/>
      <c r="DC53" s="79"/>
      <c r="DD53" s="79"/>
      <c r="DE53" s="79">
        <f>DE41/DE39</f>
        <v>0.83599090608713233</v>
      </c>
      <c r="DF53" s="79">
        <f>DF41/DF39</f>
        <v>0.83627860016090094</v>
      </c>
      <c r="DG53" s="79">
        <f>DG41/DG39</f>
        <v>0.85421923184749093</v>
      </c>
      <c r="DH53" s="79">
        <f>DH41/DH39</f>
        <v>0.84733599620878752</v>
      </c>
      <c r="DI53" s="79">
        <f>DI41/DI39</f>
        <v>0.85382923415316936</v>
      </c>
      <c r="DJ53" s="79">
        <v>0.85499999999999998</v>
      </c>
      <c r="DK53" s="79">
        <v>0.85</v>
      </c>
      <c r="DL53" s="79">
        <v>0.85</v>
      </c>
      <c r="DM53" s="79">
        <v>0.85</v>
      </c>
      <c r="DN53" s="79">
        <v>0.85</v>
      </c>
      <c r="DO53" s="79">
        <v>0.85</v>
      </c>
      <c r="DP53" s="79">
        <v>0.85</v>
      </c>
      <c r="DQ53" s="79">
        <v>0.85</v>
      </c>
      <c r="DR53" s="79">
        <v>0.85</v>
      </c>
      <c r="DS53" s="79">
        <v>0.85</v>
      </c>
      <c r="DT53" s="79"/>
      <c r="DU53" s="79">
        <f t="shared" ref="DU53:DX53" si="182">DU41/DU39</f>
        <v>0.86776274386406549</v>
      </c>
      <c r="DV53" s="79">
        <f t="shared" si="182"/>
        <v>0.84626044112552445</v>
      </c>
      <c r="DW53" s="79">
        <f t="shared" si="182"/>
        <v>0.84375370743860478</v>
      </c>
      <c r="DX53" s="79">
        <f t="shared" si="182"/>
        <v>0.85</v>
      </c>
      <c r="DY53" s="80"/>
      <c r="DZ53" s="80"/>
      <c r="EA53" s="80"/>
      <c r="EB53" s="80"/>
      <c r="EC53" s="80"/>
      <c r="EF53" s="80"/>
      <c r="EL53" s="71" t="s">
        <v>798</v>
      </c>
      <c r="EM53" s="62">
        <v>-0.02</v>
      </c>
    </row>
    <row r="54" spans="2:210" s="30" customFormat="1">
      <c r="B54" s="30" t="s">
        <v>283</v>
      </c>
      <c r="C54" s="81"/>
      <c r="D54" s="82"/>
      <c r="E54" s="82"/>
      <c r="F54" s="82"/>
      <c r="G54" s="82"/>
      <c r="H54" s="82"/>
      <c r="I54" s="82"/>
      <c r="J54" s="82"/>
      <c r="K54" s="79">
        <f t="shared" ref="K54:AT54" si="183">K42/K39</f>
        <v>0.19394765230227676</v>
      </c>
      <c r="L54" s="79">
        <f t="shared" si="183"/>
        <v>0.18842780853461372</v>
      </c>
      <c r="M54" s="79">
        <f t="shared" si="183"/>
        <v>0.18114301240829636</v>
      </c>
      <c r="N54" s="79">
        <f t="shared" si="183"/>
        <v>0.21085826301883578</v>
      </c>
      <c r="O54" s="79">
        <f t="shared" si="183"/>
        <v>0.18477101028639722</v>
      </c>
      <c r="P54" s="79">
        <f t="shared" si="183"/>
        <v>0.17813201269055173</v>
      </c>
      <c r="Q54" s="79">
        <f t="shared" si="183"/>
        <v>0.18245484703280501</v>
      </c>
      <c r="R54" s="79">
        <f t="shared" si="183"/>
        <v>0.20900653145410794</v>
      </c>
      <c r="S54" s="79">
        <f t="shared" si="183"/>
        <v>0.18390398870455349</v>
      </c>
      <c r="T54" s="79">
        <f t="shared" si="183"/>
        <v>0.17780580075662042</v>
      </c>
      <c r="U54" s="79">
        <f t="shared" si="183"/>
        <v>0.17723525681674066</v>
      </c>
      <c r="V54" s="79">
        <f t="shared" si="183"/>
        <v>0.20116172424335066</v>
      </c>
      <c r="W54" s="79">
        <f t="shared" si="183"/>
        <v>0.19396953683556109</v>
      </c>
      <c r="X54" s="79">
        <f t="shared" si="183"/>
        <v>0.20227524972253053</v>
      </c>
      <c r="Y54" s="79">
        <f t="shared" si="183"/>
        <v>0.23117386489479513</v>
      </c>
      <c r="Z54" s="79">
        <f t="shared" si="183"/>
        <v>0.26153846153846155</v>
      </c>
      <c r="AA54" s="79">
        <f t="shared" si="183"/>
        <v>0.21779224301600217</v>
      </c>
      <c r="AB54" s="79">
        <f t="shared" si="183"/>
        <v>0.20842274678111589</v>
      </c>
      <c r="AC54" s="79">
        <f t="shared" si="183"/>
        <v>0.19357518692882858</v>
      </c>
      <c r="AD54" s="79">
        <f t="shared" si="183"/>
        <v>0.20961281708945259</v>
      </c>
      <c r="AE54" s="79">
        <f t="shared" si="183"/>
        <v>0.18295045668419596</v>
      </c>
      <c r="AF54" s="79">
        <f t="shared" si="183"/>
        <v>0.20696068012752392</v>
      </c>
      <c r="AG54" s="79">
        <f t="shared" si="183"/>
        <v>0.18064516129032257</v>
      </c>
      <c r="AH54" s="79">
        <f t="shared" si="183"/>
        <v>0.20527859237536658</v>
      </c>
      <c r="AI54" s="79">
        <f t="shared" si="183"/>
        <v>0.18288996372430472</v>
      </c>
      <c r="AJ54" s="79">
        <f t="shared" si="183"/>
        <v>0.17694586587664962</v>
      </c>
      <c r="AK54" s="79">
        <f t="shared" si="183"/>
        <v>0.16080797481636935</v>
      </c>
      <c r="AL54" s="79">
        <f t="shared" si="183"/>
        <v>0.22683118928852716</v>
      </c>
      <c r="AM54" s="79">
        <f t="shared" si="183"/>
        <v>0.1717706013363029</v>
      </c>
      <c r="AN54" s="79">
        <f t="shared" si="183"/>
        <v>0.16876971608832808</v>
      </c>
      <c r="AO54" s="79">
        <f t="shared" si="183"/>
        <v>0.18055555555555555</v>
      </c>
      <c r="AP54" s="79">
        <f t="shared" si="183"/>
        <v>0.21478781567300181</v>
      </c>
      <c r="AQ54" s="93">
        <f t="shared" si="183"/>
        <v>0.18969239071775498</v>
      </c>
      <c r="AR54" s="93">
        <f t="shared" si="183"/>
        <v>0.20409194240969941</v>
      </c>
      <c r="AS54" s="79">
        <f t="shared" si="183"/>
        <v>0</v>
      </c>
      <c r="AT54" s="79">
        <f t="shared" si="183"/>
        <v>0.21569755281321898</v>
      </c>
      <c r="AU54" s="79"/>
      <c r="AV54" s="93">
        <f>AV42/AV39</f>
        <v>0.18449854813491176</v>
      </c>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f t="shared" ref="BV54" si="184">BV42/BV39</f>
        <v>0.18651685393258427</v>
      </c>
      <c r="BW54" s="79">
        <f t="shared" ref="BW54" si="185">BW42/BW39</f>
        <v>0.15457980924959511</v>
      </c>
      <c r="BX54" s="79">
        <f t="shared" ref="BX54" si="186">BX42/BX39</f>
        <v>0.1543178334184977</v>
      </c>
      <c r="BY54" s="79"/>
      <c r="BZ54" s="79">
        <f t="shared" ref="BZ54:CA54" si="187">BZ42/BZ39</f>
        <v>0.20735839922543167</v>
      </c>
      <c r="CA54" s="79">
        <f t="shared" si="187"/>
        <v>0.1504625872423308</v>
      </c>
      <c r="CB54" s="79">
        <f t="shared" ref="CB54:CC54" si="188">CB42/CB39</f>
        <v>0.15082178536899774</v>
      </c>
      <c r="CC54" s="79">
        <f t="shared" si="188"/>
        <v>0.16145103534174063</v>
      </c>
      <c r="CD54" s="79">
        <f t="shared" ref="CD54:CH54" si="189">CD42/CD39</f>
        <v>0.17862526379258367</v>
      </c>
      <c r="CE54" s="79">
        <f t="shared" si="189"/>
        <v>0.15997288595153364</v>
      </c>
      <c r="CF54" s="79">
        <f t="shared" si="189"/>
        <v>0.15874961691694758</v>
      </c>
      <c r="CG54" s="79">
        <f t="shared" si="189"/>
        <v>0.14867283030122277</v>
      </c>
      <c r="CH54" s="79">
        <f t="shared" si="189"/>
        <v>0.19266725094945955</v>
      </c>
      <c r="CI54" s="79">
        <f>CI42/CI39</f>
        <v>0.14972747675537032</v>
      </c>
      <c r="CJ54" s="79">
        <f t="shared" ref="CJ54:CP54" si="190">CJ42/CJ39</f>
        <v>0.16239452316510111</v>
      </c>
      <c r="CK54" s="79">
        <f t="shared" si="190"/>
        <v>0.17572550905884241</v>
      </c>
      <c r="CL54" s="79">
        <f t="shared" si="190"/>
        <v>0.19703907203907203</v>
      </c>
      <c r="CM54" s="79">
        <f t="shared" si="190"/>
        <v>0.15976736229900787</v>
      </c>
      <c r="CN54" s="79">
        <f t="shared" si="190"/>
        <v>0.15262606613796198</v>
      </c>
      <c r="CO54" s="79">
        <f t="shared" si="190"/>
        <v>0.16737935247403787</v>
      </c>
      <c r="CP54" s="79">
        <f t="shared" si="190"/>
        <v>0.16481552406485384</v>
      </c>
      <c r="CQ54" s="79"/>
      <c r="CR54" s="79"/>
      <c r="CS54" s="79"/>
      <c r="CT54" s="79"/>
      <c r="CU54" s="79"/>
      <c r="CV54" s="79"/>
      <c r="CW54" s="79"/>
      <c r="CX54" s="79"/>
      <c r="CY54" s="79"/>
      <c r="CZ54" s="82"/>
      <c r="DA54" s="79"/>
      <c r="DB54" s="79"/>
      <c r="DC54" s="79"/>
      <c r="DD54" s="79"/>
      <c r="DE54" s="79">
        <f>DE42/DE39</f>
        <v>0.18921639975303198</v>
      </c>
      <c r="DF54" s="79">
        <f>DF42/DF39</f>
        <v>0.18519710378117457</v>
      </c>
      <c r="DG54" s="79">
        <f>DG42/DG39</f>
        <v>0.22364732268012336</v>
      </c>
      <c r="DH54" s="79">
        <f>DH42/DH39</f>
        <v>0.20743348453049895</v>
      </c>
      <c r="DI54" s="79">
        <f>DI42/DI39</f>
        <v>0.1939612077584483</v>
      </c>
      <c r="DJ54" s="79">
        <v>0.19</v>
      </c>
      <c r="DK54" s="79">
        <f>DJ54-1%</f>
        <v>0.18</v>
      </c>
      <c r="DL54" s="79">
        <f t="shared" ref="DL54:DS54" si="191">DK54-0.5%</f>
        <v>0.17499999999999999</v>
      </c>
      <c r="DM54" s="79">
        <f t="shared" si="191"/>
        <v>0.16999999999999998</v>
      </c>
      <c r="DN54" s="79">
        <f t="shared" si="191"/>
        <v>0.16499999999999998</v>
      </c>
      <c r="DO54" s="79">
        <f t="shared" si="191"/>
        <v>0.15999999999999998</v>
      </c>
      <c r="DP54" s="79">
        <f t="shared" si="191"/>
        <v>0.15499999999999997</v>
      </c>
      <c r="DQ54" s="79">
        <f t="shared" si="191"/>
        <v>0.14999999999999997</v>
      </c>
      <c r="DR54" s="79">
        <f t="shared" si="191"/>
        <v>0.14499999999999996</v>
      </c>
      <c r="DS54" s="79">
        <f t="shared" si="191"/>
        <v>0.13999999999999996</v>
      </c>
      <c r="DT54" s="79"/>
      <c r="DU54" s="82"/>
      <c r="DV54" s="82"/>
      <c r="DW54" s="82"/>
      <c r="DX54" s="82"/>
      <c r="DY54" s="82"/>
      <c r="DZ54" s="82"/>
      <c r="EA54" s="82"/>
      <c r="EB54" s="82"/>
      <c r="EC54" s="82"/>
      <c r="EF54" s="82"/>
      <c r="EL54" s="71" t="s">
        <v>799</v>
      </c>
      <c r="EM54" s="62">
        <v>0.08</v>
      </c>
    </row>
    <row r="55" spans="2:210" s="30" customFormat="1">
      <c r="B55" s="30" t="s">
        <v>284</v>
      </c>
      <c r="C55" s="82"/>
      <c r="D55" s="82"/>
      <c r="E55" s="82"/>
      <c r="F55" s="82"/>
      <c r="G55" s="82"/>
      <c r="H55" s="82"/>
      <c r="I55" s="82"/>
      <c r="J55" s="82"/>
      <c r="K55" s="79">
        <f t="shared" ref="K55:AT55" si="192">K43/K39</f>
        <v>0.21330835178561289</v>
      </c>
      <c r="L55" s="79">
        <f t="shared" si="192"/>
        <v>0.21434520601636373</v>
      </c>
      <c r="M55" s="79">
        <f t="shared" si="192"/>
        <v>0.21211846753011507</v>
      </c>
      <c r="N55" s="79">
        <f t="shared" si="192"/>
        <v>0.26071763402369386</v>
      </c>
      <c r="O55" s="79">
        <f t="shared" si="192"/>
        <v>0.2189594092790986</v>
      </c>
      <c r="P55" s="79">
        <f t="shared" si="192"/>
        <v>0.22699837499032735</v>
      </c>
      <c r="Q55" s="79">
        <f t="shared" si="192"/>
        <v>0.23405823811279028</v>
      </c>
      <c r="R55" s="79">
        <f t="shared" si="192"/>
        <v>0.27947748367136471</v>
      </c>
      <c r="S55" s="79">
        <f t="shared" si="192"/>
        <v>0.20367102012001412</v>
      </c>
      <c r="T55" s="79">
        <f t="shared" si="192"/>
        <v>0.20365699873896595</v>
      </c>
      <c r="U55" s="79">
        <f t="shared" si="192"/>
        <v>0.20798985415345592</v>
      </c>
      <c r="V55" s="79">
        <f t="shared" si="192"/>
        <v>0.27911953531030265</v>
      </c>
      <c r="W55" s="79">
        <f t="shared" si="192"/>
        <v>0.20267329810382345</v>
      </c>
      <c r="X55" s="79">
        <f t="shared" si="192"/>
        <v>0.22169811320754718</v>
      </c>
      <c r="Y55" s="79">
        <f t="shared" si="192"/>
        <v>0.21650055370985605</v>
      </c>
      <c r="Z55" s="79">
        <f t="shared" si="192"/>
        <v>0.26101694915254237</v>
      </c>
      <c r="AA55" s="79">
        <f t="shared" si="192"/>
        <v>0.2028749660970979</v>
      </c>
      <c r="AB55" s="79">
        <f t="shared" si="192"/>
        <v>0.22532188841201717</v>
      </c>
      <c r="AC55" s="79">
        <f t="shared" si="192"/>
        <v>0.22265300470783717</v>
      </c>
      <c r="AD55" s="79">
        <f t="shared" si="192"/>
        <v>0.2643524699599466</v>
      </c>
      <c r="AE55" s="79">
        <f t="shared" si="192"/>
        <v>0.23858289510102407</v>
      </c>
      <c r="AF55" s="79">
        <f t="shared" si="192"/>
        <v>0.23751328374070138</v>
      </c>
      <c r="AG55" s="79">
        <f t="shared" si="192"/>
        <v>0.22967741935483871</v>
      </c>
      <c r="AH55" s="79">
        <f t="shared" si="192"/>
        <v>0.28312450013329776</v>
      </c>
      <c r="AI55" s="79">
        <f t="shared" si="192"/>
        <v>0.23397823458282951</v>
      </c>
      <c r="AJ55" s="79">
        <f t="shared" si="192"/>
        <v>0.23996768112038783</v>
      </c>
      <c r="AK55" s="79">
        <f t="shared" si="192"/>
        <v>0.2395068205666317</v>
      </c>
      <c r="AL55" s="79">
        <f t="shared" si="192"/>
        <v>0.30427933840903126</v>
      </c>
      <c r="AM55" s="79">
        <f t="shared" si="192"/>
        <v>0.2430400890868597</v>
      </c>
      <c r="AN55" s="79">
        <f t="shared" si="192"/>
        <v>0.25446898002103052</v>
      </c>
      <c r="AO55" s="79">
        <f t="shared" si="192"/>
        <v>0.24685534591194969</v>
      </c>
      <c r="AP55" s="79">
        <f t="shared" si="192"/>
        <v>0.29731840666493103</v>
      </c>
      <c r="AQ55" s="93">
        <f t="shared" si="192"/>
        <v>0.27280086346465193</v>
      </c>
      <c r="AR55" s="93">
        <f t="shared" si="192"/>
        <v>0.28062642081333672</v>
      </c>
      <c r="AS55" s="79">
        <f t="shared" si="192"/>
        <v>0.24396560654718741</v>
      </c>
      <c r="AT55" s="79">
        <f t="shared" si="192"/>
        <v>0.2985777034093286</v>
      </c>
      <c r="AU55" s="79"/>
      <c r="AV55" s="93">
        <f>AV43/AV39</f>
        <v>0.27429081974536518</v>
      </c>
      <c r="AW55" s="79"/>
      <c r="AX55" s="79"/>
      <c r="AY55" s="79"/>
      <c r="AZ55" s="79"/>
      <c r="BA55" s="79"/>
      <c r="BB55" s="79"/>
      <c r="BC55" s="79"/>
      <c r="BD55" s="79"/>
      <c r="BE55" s="79"/>
      <c r="BF55" s="79"/>
      <c r="BG55" s="79"/>
      <c r="BH55" s="79"/>
      <c r="BI55" s="79"/>
      <c r="BJ55" s="79"/>
      <c r="BK55" s="79"/>
      <c r="BL55" s="79"/>
      <c r="BM55" s="79"/>
      <c r="BN55" s="79"/>
      <c r="BO55" s="79"/>
      <c r="BP55" s="79"/>
      <c r="BQ55" s="79"/>
      <c r="BR55" s="79"/>
      <c r="BS55" s="79"/>
      <c r="BT55" s="79"/>
      <c r="BU55" s="79"/>
      <c r="BV55" s="79">
        <f t="shared" ref="BV55" si="193">BV43/BV39</f>
        <v>0.24590690208667737</v>
      </c>
      <c r="BW55" s="79">
        <f t="shared" ref="BW55" si="194">BW43/BW39</f>
        <v>0.20676624077739789</v>
      </c>
      <c r="BX55" s="79">
        <f t="shared" ref="BX55" si="195">BX43/BX39</f>
        <v>0.21393289047862374</v>
      </c>
      <c r="BY55" s="79"/>
      <c r="BZ55" s="79">
        <f t="shared" ref="BZ55:CA55" si="196">BZ43/BZ39</f>
        <v>0.24221397450379215</v>
      </c>
      <c r="CA55" s="79">
        <f t="shared" si="196"/>
        <v>0.20889465995779904</v>
      </c>
      <c r="CB55" s="79">
        <f t="shared" ref="CB55:CC55" si="197">CB43/CB39</f>
        <v>0.20383499838865615</v>
      </c>
      <c r="CC55" s="79">
        <f t="shared" si="197"/>
        <v>0.2069126576366184</v>
      </c>
      <c r="CD55" s="79">
        <f t="shared" ref="CD55:CH55" si="198">CD43/CD39</f>
        <v>0.26560144709074462</v>
      </c>
      <c r="CE55" s="79">
        <f t="shared" si="198"/>
        <v>0.20776139637349603</v>
      </c>
      <c r="CF55" s="79">
        <f t="shared" si="198"/>
        <v>0.20609868219429972</v>
      </c>
      <c r="CG55" s="79">
        <f t="shared" si="198"/>
        <v>0.18789144050104384</v>
      </c>
      <c r="CH55" s="79">
        <f t="shared" si="198"/>
        <v>0.20946538124452235</v>
      </c>
      <c r="CI55" s="79">
        <f>CI43/CI39</f>
        <v>0.19445335043283105</v>
      </c>
      <c r="CJ55" s="79">
        <f t="shared" ref="CJ55:CP55" si="199">CJ43/CJ39</f>
        <v>0.20904314599586052</v>
      </c>
      <c r="CK55" s="79">
        <f t="shared" si="199"/>
        <v>0.20458553791887124</v>
      </c>
      <c r="CL55" s="79">
        <f t="shared" si="199"/>
        <v>0.22405372405372406</v>
      </c>
      <c r="CM55" s="79">
        <f t="shared" si="199"/>
        <v>0.20749230242901129</v>
      </c>
      <c r="CN55" s="79">
        <f t="shared" si="199"/>
        <v>0.19646865180308246</v>
      </c>
      <c r="CO55" s="79">
        <f t="shared" si="199"/>
        <v>0.19486866218692731</v>
      </c>
      <c r="CP55" s="79">
        <f t="shared" si="199"/>
        <v>0.18741223030767268</v>
      </c>
      <c r="CQ55" s="79"/>
      <c r="CR55" s="79"/>
      <c r="CS55" s="79"/>
      <c r="CT55" s="79"/>
      <c r="CU55" s="79"/>
      <c r="CV55" s="79"/>
      <c r="CW55" s="79"/>
      <c r="CX55" s="79"/>
      <c r="CY55" s="79"/>
      <c r="CZ55" s="82"/>
      <c r="DA55" s="79"/>
      <c r="DB55" s="79"/>
      <c r="DC55" s="79"/>
      <c r="DD55" s="79"/>
      <c r="DE55" s="79">
        <f>DE43/DE39</f>
        <v>0.2414800489158942</v>
      </c>
      <c r="DF55" s="79">
        <f>DF43/DF39</f>
        <v>0.2246178600160901</v>
      </c>
      <c r="DG55" s="79">
        <f>DG43/DG39</f>
        <v>0.2266610597140454</v>
      </c>
      <c r="DH55" s="79">
        <f>DH43/DH39</f>
        <v>0.2289621555751134</v>
      </c>
      <c r="DI55" s="79">
        <f>DI43/DI39</f>
        <v>0.2471505698860228</v>
      </c>
      <c r="DJ55" s="79">
        <v>0.24</v>
      </c>
      <c r="DK55" s="79">
        <v>0.19500000000000001</v>
      </c>
      <c r="DL55" s="79">
        <v>0.2</v>
      </c>
      <c r="DM55" s="79">
        <v>0.20499999999999999</v>
      </c>
      <c r="DN55" s="79">
        <v>0.21</v>
      </c>
      <c r="DO55" s="79">
        <v>0.22</v>
      </c>
      <c r="DP55" s="79">
        <v>0.23</v>
      </c>
      <c r="DQ55" s="79">
        <v>0.23</v>
      </c>
      <c r="DR55" s="79">
        <v>0.23</v>
      </c>
      <c r="DS55" s="79">
        <v>0.23</v>
      </c>
      <c r="DT55" s="79"/>
      <c r="DU55" s="82"/>
      <c r="DV55" s="82"/>
      <c r="DW55" s="82"/>
      <c r="DX55" s="82"/>
      <c r="DY55" s="82"/>
      <c r="DZ55" s="82"/>
      <c r="EA55" s="82"/>
      <c r="EB55" s="82"/>
      <c r="EC55" s="82"/>
      <c r="EF55" s="82"/>
      <c r="EL55" s="71" t="s">
        <v>800</v>
      </c>
      <c r="EM55" s="67">
        <f>NPV($EM$54,DY49:GR49)+Main!J5-Main!J6+DX49</f>
        <v>148271.65215182173</v>
      </c>
    </row>
    <row r="56" spans="2:210" s="30" customFormat="1">
      <c r="B56" s="30" t="s">
        <v>979</v>
      </c>
      <c r="C56" s="82"/>
      <c r="D56" s="82"/>
      <c r="E56" s="82"/>
      <c r="F56" s="82"/>
      <c r="G56" s="82"/>
      <c r="H56" s="82"/>
      <c r="I56" s="82"/>
      <c r="J56" s="82"/>
      <c r="K56" s="79">
        <f t="shared" ref="K56:AT56" si="200">K45/K39</f>
        <v>0.43467893033554772</v>
      </c>
      <c r="L56" s="79">
        <f t="shared" si="200"/>
        <v>0.43839106364215369</v>
      </c>
      <c r="M56" s="79">
        <f t="shared" si="200"/>
        <v>0.45457838963861963</v>
      </c>
      <c r="N56" s="79">
        <f t="shared" si="200"/>
        <v>0.36499616466376889</v>
      </c>
      <c r="O56" s="79">
        <f t="shared" si="200"/>
        <v>0.43770540782790546</v>
      </c>
      <c r="P56" s="79">
        <f t="shared" si="200"/>
        <v>0.42656503907761356</v>
      </c>
      <c r="Q56" s="79">
        <f t="shared" si="200"/>
        <v>0.41872465904902323</v>
      </c>
      <c r="R56" s="79">
        <f t="shared" si="200"/>
        <v>0.34788587143348232</v>
      </c>
      <c r="S56" s="79">
        <f t="shared" si="200"/>
        <v>0.4398164489939993</v>
      </c>
      <c r="T56" s="79">
        <f t="shared" si="200"/>
        <v>0.45145018915510721</v>
      </c>
      <c r="U56" s="79">
        <f t="shared" si="200"/>
        <v>0.45466074825618263</v>
      </c>
      <c r="V56" s="79">
        <f t="shared" si="200"/>
        <v>0.36349740140629777</v>
      </c>
      <c r="W56" s="79">
        <f t="shared" si="200"/>
        <v>0.43176872862915761</v>
      </c>
      <c r="X56" s="79">
        <f t="shared" si="200"/>
        <v>0.43951165371809103</v>
      </c>
      <c r="Y56" s="79">
        <f t="shared" si="200"/>
        <v>0.41805094130675524</v>
      </c>
      <c r="Z56" s="79">
        <f t="shared" si="200"/>
        <v>0.33376792698826596</v>
      </c>
      <c r="AA56" s="79">
        <f t="shared" si="200"/>
        <v>0.42771901274749119</v>
      </c>
      <c r="AB56" s="79">
        <f t="shared" si="200"/>
        <v>0.4197961373390558</v>
      </c>
      <c r="AC56" s="79">
        <f t="shared" si="200"/>
        <v>0.42176682359457213</v>
      </c>
      <c r="AD56" s="79">
        <f t="shared" si="200"/>
        <v>0.37516688918558078</v>
      </c>
      <c r="AE56" s="79">
        <f t="shared" si="200"/>
        <v>0.42845280929975088</v>
      </c>
      <c r="AF56" s="79">
        <f t="shared" si="200"/>
        <v>0.41950053134962806</v>
      </c>
      <c r="AG56" s="79">
        <f t="shared" si="200"/>
        <v>0.4374193548387097</v>
      </c>
      <c r="AH56" s="79">
        <f t="shared" si="200"/>
        <v>0.36523593708344443</v>
      </c>
      <c r="AI56" s="79">
        <f t="shared" si="200"/>
        <v>0.43984280532043529</v>
      </c>
      <c r="AJ56" s="79">
        <f t="shared" si="200"/>
        <v>0.44115270670616752</v>
      </c>
      <c r="AK56" s="79">
        <f t="shared" si="200"/>
        <v>0.45750262329485836</v>
      </c>
      <c r="AL56" s="79">
        <f t="shared" si="200"/>
        <v>0.32843265949067996</v>
      </c>
      <c r="AM56" s="79">
        <f t="shared" si="200"/>
        <v>0.44487750556792871</v>
      </c>
      <c r="AN56" s="79">
        <f t="shared" si="200"/>
        <v>0.43243953732912721</v>
      </c>
      <c r="AO56" s="79">
        <f t="shared" si="200"/>
        <v>0.41954926624737948</v>
      </c>
      <c r="AP56" s="79">
        <f t="shared" si="200"/>
        <v>0.34001562093204896</v>
      </c>
      <c r="AQ56" s="93">
        <f t="shared" si="200"/>
        <v>0.39179708580679978</v>
      </c>
      <c r="AR56" s="93">
        <f t="shared" si="200"/>
        <v>0.37155847436221268</v>
      </c>
      <c r="AS56" s="79">
        <f t="shared" si="200"/>
        <v>0.60603439345281263</v>
      </c>
      <c r="AT56" s="79">
        <f t="shared" si="200"/>
        <v>0.33572474377745237</v>
      </c>
      <c r="AU56" s="79"/>
      <c r="AV56" s="93">
        <f>AV45/AV39</f>
        <v>0.38887647978557072</v>
      </c>
      <c r="AW56" s="79"/>
      <c r="AX56" s="79"/>
      <c r="AY56" s="79"/>
      <c r="AZ56" s="79"/>
      <c r="BA56" s="79"/>
      <c r="BB56" s="79"/>
      <c r="BC56" s="79"/>
      <c r="BD56" s="79"/>
      <c r="BE56" s="79"/>
      <c r="BF56" s="79"/>
      <c r="BG56" s="79"/>
      <c r="BH56" s="79"/>
      <c r="BI56" s="79"/>
      <c r="BJ56" s="79"/>
      <c r="BK56" s="79"/>
      <c r="BL56" s="79"/>
      <c r="BM56" s="79"/>
      <c r="BN56" s="79"/>
      <c r="BO56" s="79"/>
      <c r="BP56" s="79"/>
      <c r="BQ56" s="79"/>
      <c r="BR56" s="79"/>
      <c r="BS56" s="79"/>
      <c r="BT56" s="79"/>
      <c r="BU56" s="79"/>
      <c r="BV56" s="79">
        <f t="shared" ref="BV56" si="201">BV45/BV39</f>
        <v>0.43611556982343497</v>
      </c>
      <c r="BW56" s="79">
        <f t="shared" ref="BW56" si="202">BW45/BW39</f>
        <v>0.4984703976965989</v>
      </c>
      <c r="BX56" s="79">
        <f t="shared" ref="BX56" si="203">BX45/BX39</f>
        <v>0.50638732754215632</v>
      </c>
      <c r="BY56" s="79"/>
      <c r="BZ56" s="79">
        <f t="shared" ref="BZ56:CA56" si="204">BZ45/BZ39</f>
        <v>0.422946587058254</v>
      </c>
      <c r="CA56" s="79">
        <f t="shared" si="204"/>
        <v>0.51550073040090894</v>
      </c>
      <c r="CB56" s="79">
        <f t="shared" ref="CB56:CC56" si="205">CB45/CB39</f>
        <v>0.52320335159523046</v>
      </c>
      <c r="CC56" s="79">
        <f t="shared" si="205"/>
        <v>0.49556282111163008</v>
      </c>
      <c r="CD56" s="79">
        <f t="shared" ref="CD56:CH56" si="206">CD45/CD39</f>
        <v>0.41121495327102803</v>
      </c>
      <c r="CE56" s="79">
        <f t="shared" si="206"/>
        <v>0.48534146754787322</v>
      </c>
      <c r="CF56" s="79">
        <f t="shared" si="206"/>
        <v>0.47670855041372967</v>
      </c>
      <c r="CG56" s="79">
        <f t="shared" si="206"/>
        <v>0.51476289889651061</v>
      </c>
      <c r="CH56" s="79">
        <f t="shared" si="206"/>
        <v>0.43777388255915861</v>
      </c>
      <c r="CI56" s="79">
        <f>CI45/CI39</f>
        <v>0.50336646361013149</v>
      </c>
      <c r="CJ56" s="79">
        <f t="shared" ref="CJ56:CP56" si="207">CJ45/CJ39</f>
        <v>0.48113357745581914</v>
      </c>
      <c r="CK56" s="79">
        <f t="shared" si="207"/>
        <v>0.45887445887445888</v>
      </c>
      <c r="CL56" s="79">
        <f t="shared" si="207"/>
        <v>0.41544566544566547</v>
      </c>
      <c r="CM56" s="79">
        <f t="shared" si="207"/>
        <v>0.48274033527198074</v>
      </c>
      <c r="CN56" s="79">
        <f t="shared" si="207"/>
        <v>0.50090528205895557</v>
      </c>
      <c r="CO56" s="79">
        <f t="shared" si="207"/>
        <v>0.48775198533903485</v>
      </c>
      <c r="CP56" s="79">
        <f t="shared" si="207"/>
        <v>0.49777224562747352</v>
      </c>
      <c r="CQ56" s="79"/>
      <c r="CR56" s="79"/>
      <c r="CS56" s="79"/>
      <c r="CT56" s="79"/>
      <c r="CU56" s="79"/>
      <c r="CV56" s="79"/>
      <c r="CW56" s="79"/>
      <c r="CX56" s="79"/>
      <c r="CY56" s="79"/>
      <c r="CZ56" s="82"/>
      <c r="DA56" s="79"/>
      <c r="DB56" s="79"/>
      <c r="DC56" s="79"/>
      <c r="DD56" s="79"/>
      <c r="DE56" s="79">
        <f t="shared" ref="DE56:DT56" si="208">DE45/DE39</f>
        <v>0.40529445741820608</v>
      </c>
      <c r="DF56" s="79">
        <f t="shared" si="208"/>
        <v>0.42646363636363632</v>
      </c>
      <c r="DG56" s="79">
        <f t="shared" si="208"/>
        <v>0.40391084945332212</v>
      </c>
      <c r="DH56" s="79">
        <f t="shared" si="208"/>
        <v>0.41094035610317514</v>
      </c>
      <c r="DI56" s="79">
        <f t="shared" si="208"/>
        <v>0.41271745650869823</v>
      </c>
      <c r="DJ56" s="79">
        <f t="shared" si="208"/>
        <v>0.4157901925966398</v>
      </c>
      <c r="DK56" s="79">
        <f t="shared" si="208"/>
        <v>0.40855643393343521</v>
      </c>
      <c r="DL56" s="79">
        <f t="shared" si="208"/>
        <v>0.42826199071686427</v>
      </c>
      <c r="DM56" s="79">
        <f t="shared" si="208"/>
        <v>0.64500000000000002</v>
      </c>
      <c r="DN56" s="79">
        <f t="shared" si="208"/>
        <v>0.6399999999999999</v>
      </c>
      <c r="DO56" s="79">
        <f t="shared" si="208"/>
        <v>0.62999999999999989</v>
      </c>
      <c r="DP56" s="79">
        <f t="shared" si="208"/>
        <v>0.62000000000000011</v>
      </c>
      <c r="DQ56" s="79">
        <f t="shared" si="208"/>
        <v>0.61605303606688322</v>
      </c>
      <c r="DR56" s="79">
        <f t="shared" si="208"/>
        <v>-3.3636803035817429</v>
      </c>
      <c r="DS56" s="79" t="e">
        <f t="shared" si="208"/>
        <v>#DIV/0!</v>
      </c>
      <c r="DT56" s="79">
        <f t="shared" si="208"/>
        <v>0</v>
      </c>
      <c r="DU56" s="79">
        <f t="shared" ref="DU56:DV56" si="209">DU45/DU39</f>
        <v>0.48513215859030839</v>
      </c>
      <c r="DV56" s="79">
        <f t="shared" si="209"/>
        <v>0.47823241849185882</v>
      </c>
      <c r="DW56" s="82"/>
      <c r="DX56" s="82"/>
      <c r="DY56" s="82"/>
      <c r="DZ56" s="82"/>
      <c r="EA56" s="82"/>
      <c r="EB56" s="82"/>
      <c r="EC56" s="82"/>
      <c r="EF56" s="82"/>
      <c r="EL56" s="82"/>
      <c r="EM56" s="63">
        <f>EM55/Main!J3</f>
        <v>275.08655315736871</v>
      </c>
    </row>
    <row r="57" spans="2:210" s="30" customFormat="1">
      <c r="B57" s="30" t="s">
        <v>980</v>
      </c>
      <c r="C57" s="82"/>
      <c r="D57" s="82"/>
      <c r="E57" s="82"/>
      <c r="F57" s="82"/>
      <c r="G57" s="82"/>
      <c r="H57" s="82"/>
      <c r="I57" s="82"/>
      <c r="J57" s="82"/>
      <c r="K57" s="79">
        <f t="shared" ref="K57:AT57" si="210">K49/K39</f>
        <v>0.31976381082155236</v>
      </c>
      <c r="L57" s="79">
        <f t="shared" si="210"/>
        <v>0.32257116260839735</v>
      </c>
      <c r="M57" s="79">
        <f t="shared" si="210"/>
        <v>0.32347613440811512</v>
      </c>
      <c r="N57" s="79">
        <f t="shared" si="210"/>
        <v>0.26199607943407482</v>
      </c>
      <c r="O57" s="79">
        <f t="shared" si="210"/>
        <v>0.32306116351530134</v>
      </c>
      <c r="P57" s="79">
        <f t="shared" si="210"/>
        <v>0.31490366014083415</v>
      </c>
      <c r="Q57" s="79">
        <f t="shared" si="210"/>
        <v>0.30917803169922592</v>
      </c>
      <c r="R57" s="79">
        <f t="shared" si="210"/>
        <v>0.25960811275352358</v>
      </c>
      <c r="S57" s="79">
        <f t="shared" si="210"/>
        <v>0.32615601835510061</v>
      </c>
      <c r="T57" s="79">
        <f t="shared" si="210"/>
        <v>0.34804539722572508</v>
      </c>
      <c r="U57" s="79">
        <f t="shared" si="210"/>
        <v>0.3383005707038681</v>
      </c>
      <c r="V57" s="79">
        <f t="shared" si="210"/>
        <v>0.28370528890247632</v>
      </c>
      <c r="W57" s="79">
        <f t="shared" si="210"/>
        <v>0.34224432701274482</v>
      </c>
      <c r="X57" s="79">
        <f t="shared" si="210"/>
        <v>0.34267480577136517</v>
      </c>
      <c r="Y57" s="79">
        <f t="shared" si="210"/>
        <v>0.33887043189368771</v>
      </c>
      <c r="Z57" s="79">
        <f t="shared" si="210"/>
        <v>0.27640156453715775</v>
      </c>
      <c r="AA57" s="79">
        <f t="shared" si="210"/>
        <v>0.34445348521833469</v>
      </c>
      <c r="AB57" s="79">
        <f t="shared" si="210"/>
        <v>0.33932403433476394</v>
      </c>
      <c r="AC57" s="79">
        <f t="shared" si="210"/>
        <v>0.32705621711437277</v>
      </c>
      <c r="AD57" s="79">
        <f t="shared" si="210"/>
        <v>0.290520694259012</v>
      </c>
      <c r="AE57" s="79">
        <f t="shared" si="210"/>
        <v>0.33711597010794353</v>
      </c>
      <c r="AF57" s="79">
        <f t="shared" si="210"/>
        <v>0.32810839532412328</v>
      </c>
      <c r="AG57" s="79">
        <f t="shared" si="210"/>
        <v>0.33754838709677421</v>
      </c>
      <c r="AH57" s="79">
        <f t="shared" si="210"/>
        <v>0.29965342575313247</v>
      </c>
      <c r="AI57" s="79">
        <f t="shared" si="210"/>
        <v>0.3385731559854897</v>
      </c>
      <c r="AJ57" s="79">
        <f t="shared" si="210"/>
        <v>0.35308375976299489</v>
      </c>
      <c r="AK57" s="79">
        <f t="shared" si="210"/>
        <v>0.39821615949632738</v>
      </c>
      <c r="AL57" s="79">
        <f t="shared" si="210"/>
        <v>0.27960094512995537</v>
      </c>
      <c r="AM57" s="79">
        <f t="shared" si="210"/>
        <v>0.35690423162583518</v>
      </c>
      <c r="AN57" s="79">
        <f t="shared" si="210"/>
        <v>0.34858044164037855</v>
      </c>
      <c r="AO57" s="79">
        <f t="shared" si="210"/>
        <v>0.3440775681341719</v>
      </c>
      <c r="AP57" s="79">
        <f t="shared" si="210"/>
        <v>0.28716480083311635</v>
      </c>
      <c r="AQ57" s="93">
        <f t="shared" si="210"/>
        <v>0.33944954128440369</v>
      </c>
      <c r="AR57" s="93">
        <f t="shared" si="210"/>
        <v>0.32356655721141703</v>
      </c>
      <c r="AS57" s="79">
        <f t="shared" si="210"/>
        <v>0.48482751476225011</v>
      </c>
      <c r="AT57" s="79">
        <f t="shared" si="210"/>
        <v>0.26857979502196189</v>
      </c>
      <c r="AU57" s="79"/>
      <c r="AV57" s="93">
        <f>AV49/AV39</f>
        <v>0.29908420817511727</v>
      </c>
      <c r="AW57" s="79"/>
      <c r="AX57" s="79"/>
      <c r="AY57" s="79"/>
      <c r="AZ57" s="79"/>
      <c r="BA57" s="79"/>
      <c r="BB57" s="79"/>
      <c r="BC57" s="79"/>
      <c r="BD57" s="79"/>
      <c r="BE57" s="79"/>
      <c r="BF57" s="79"/>
      <c r="BG57" s="79"/>
      <c r="BH57" s="79"/>
      <c r="BI57" s="79"/>
      <c r="BJ57" s="79"/>
      <c r="BK57" s="79"/>
      <c r="BL57" s="79"/>
      <c r="BM57" s="79"/>
      <c r="BN57" s="79"/>
      <c r="BO57" s="79"/>
      <c r="BP57" s="79"/>
      <c r="BQ57" s="79"/>
      <c r="BR57" s="79"/>
      <c r="BS57" s="79"/>
      <c r="BT57" s="79"/>
      <c r="BU57" s="79"/>
      <c r="BV57" s="79">
        <f t="shared" ref="BV57" si="211">BV49/BV39</f>
        <v>0.36324237560192618</v>
      </c>
      <c r="BW57" s="79">
        <f t="shared" ref="BW57" si="212">BW49/BW39</f>
        <v>0.40129566312758685</v>
      </c>
      <c r="BX57" s="79">
        <f t="shared" ref="BX57" si="213">BX49/BX39</f>
        <v>0.34712996082439107</v>
      </c>
      <c r="BY57" s="79"/>
      <c r="BZ57" s="79">
        <f t="shared" ref="BZ57:CA57" si="214">BZ49/BZ39</f>
        <v>0.36727448765531706</v>
      </c>
      <c r="CA57" s="79">
        <f t="shared" si="214"/>
        <v>0.40188281123194286</v>
      </c>
      <c r="CB57" s="79">
        <f t="shared" ref="CB57:CC57" si="215">CB49/CB39</f>
        <v>0.43941347083467613</v>
      </c>
      <c r="CC57" s="79">
        <f t="shared" si="215"/>
        <v>0.41974155379106337</v>
      </c>
      <c r="CD57" s="79">
        <f t="shared" ref="CD57:CH57" si="216">CD49/CD39</f>
        <v>0.32378655411516433</v>
      </c>
      <c r="CE57" s="79">
        <f t="shared" si="216"/>
        <v>0.40128791730215219</v>
      </c>
      <c r="CF57" s="79">
        <f t="shared" si="216"/>
        <v>0.38645418326693226</v>
      </c>
      <c r="CG57" s="79">
        <f t="shared" si="216"/>
        <v>0.43021175067104084</v>
      </c>
      <c r="CH57" s="79">
        <f t="shared" si="216"/>
        <v>0.35495179666958809</v>
      </c>
      <c r="CI57" s="79">
        <f>CI49/CI39</f>
        <v>0.42417441487656299</v>
      </c>
      <c r="CJ57" s="79">
        <f t="shared" ref="CJ57:CP57" si="217">CJ49/CJ39</f>
        <v>0.34739691131985351</v>
      </c>
      <c r="CK57" s="79">
        <f t="shared" si="217"/>
        <v>0.37598204264870932</v>
      </c>
      <c r="CL57" s="79">
        <f t="shared" si="217"/>
        <v>0.29365079365079366</v>
      </c>
      <c r="CM57" s="79">
        <f t="shared" si="217"/>
        <v>0.32420116318850489</v>
      </c>
      <c r="CN57" s="79">
        <f t="shared" si="217"/>
        <v>0.34709561574143355</v>
      </c>
      <c r="CO57" s="79">
        <f t="shared" si="217"/>
        <v>0.33607819181429449</v>
      </c>
      <c r="CP57" s="79">
        <f t="shared" si="217"/>
        <v>0.3534839780416188</v>
      </c>
      <c r="CQ57" s="79"/>
      <c r="CR57" s="79"/>
      <c r="CS57" s="79"/>
      <c r="CT57" s="79"/>
      <c r="CU57" s="79"/>
      <c r="CV57" s="79"/>
      <c r="CW57" s="79"/>
      <c r="CX57" s="79"/>
      <c r="CY57" s="79"/>
      <c r="CZ57" s="82"/>
      <c r="DA57" s="79"/>
      <c r="DB57" s="79"/>
      <c r="DC57" s="79"/>
      <c r="DD57" s="79"/>
      <c r="DE57" s="79">
        <f t="shared" ref="DE57:DT57" si="218">DE49/DE39</f>
        <v>0.30036906818482112</v>
      </c>
      <c r="DF57" s="79">
        <f t="shared" si="218"/>
        <v>0.32364786806114232</v>
      </c>
      <c r="DG57" s="79">
        <f t="shared" si="218"/>
        <v>0.32380151387720774</v>
      </c>
      <c r="DH57" s="79">
        <f t="shared" si="218"/>
        <v>0.3284544038995329</v>
      </c>
      <c r="DI57" s="79">
        <f t="shared" si="218"/>
        <v>0.32560154635739519</v>
      </c>
      <c r="DJ57" s="79">
        <f t="shared" si="218"/>
        <v>0.32098825297090561</v>
      </c>
      <c r="DK57" s="79">
        <f t="shared" si="218"/>
        <v>0.33375406895635423</v>
      </c>
      <c r="DL57" s="79">
        <f t="shared" si="218"/>
        <v>0.34475090252707574</v>
      </c>
      <c r="DM57" s="79">
        <f t="shared" si="218"/>
        <v>0.5178009658089332</v>
      </c>
      <c r="DN57" s="79">
        <f t="shared" si="218"/>
        <v>0.51718890518147076</v>
      </c>
      <c r="DO57" s="79">
        <f t="shared" si="218"/>
        <v>0.51430374083786878</v>
      </c>
      <c r="DP57" s="79">
        <f t="shared" si="218"/>
        <v>0.51186651669767014</v>
      </c>
      <c r="DQ57" s="79">
        <f t="shared" si="218"/>
        <v>0.51324023138158037</v>
      </c>
      <c r="DR57" s="79">
        <f t="shared" si="218"/>
        <v>-2.1059298924271297</v>
      </c>
      <c r="DS57" s="79" t="e">
        <f t="shared" si="218"/>
        <v>#DIV/0!</v>
      </c>
      <c r="DT57" s="79">
        <f t="shared" si="218"/>
        <v>0</v>
      </c>
      <c r="DU57" s="79">
        <f t="shared" ref="DU57:DV57" si="219">DU49/DU39</f>
        <v>0.40131371932032722</v>
      </c>
      <c r="DV57" s="79">
        <f t="shared" si="219"/>
        <v>0.40105469802532817</v>
      </c>
      <c r="DW57" s="82"/>
      <c r="DX57" s="82"/>
      <c r="DY57" s="82"/>
      <c r="DZ57" s="82"/>
      <c r="EA57" s="82"/>
      <c r="EB57" s="82"/>
      <c r="EC57" s="82"/>
      <c r="ED57" s="82"/>
      <c r="EE57" s="86"/>
      <c r="EF57" s="82"/>
    </row>
    <row r="58" spans="2:210" s="38" customFormat="1">
      <c r="B58" s="38" t="s">
        <v>448</v>
      </c>
      <c r="C58" s="79"/>
      <c r="D58" s="79"/>
      <c r="E58" s="79">
        <f>E48/E47</f>
        <v>0.58231978641352711</v>
      </c>
      <c r="F58" s="79"/>
      <c r="G58" s="79">
        <f t="shared" ref="G58:AT58" si="220">G48/G47</f>
        <v>0.30899556272690593</v>
      </c>
      <c r="H58" s="79">
        <f t="shared" si="220"/>
        <v>0.30728388916542226</v>
      </c>
      <c r="I58" s="79">
        <f t="shared" si="220"/>
        <v>0.31006160164271052</v>
      </c>
      <c r="J58" s="79">
        <f t="shared" si="220"/>
        <v>0.30997659449970733</v>
      </c>
      <c r="K58" s="79">
        <f t="shared" si="220"/>
        <v>0.29308397138195047</v>
      </c>
      <c r="L58" s="79">
        <f t="shared" si="220"/>
        <v>0.29333476440914463</v>
      </c>
      <c r="M58" s="79">
        <f t="shared" si="220"/>
        <v>0.29500592183182006</v>
      </c>
      <c r="N58" s="79">
        <f t="shared" si="220"/>
        <v>0.29454962707974752</v>
      </c>
      <c r="O58" s="79">
        <f t="shared" si="220"/>
        <v>0.2804449092119024</v>
      </c>
      <c r="P58" s="79">
        <f t="shared" si="220"/>
        <v>0.27193845603363453</v>
      </c>
      <c r="Q58" s="79">
        <f t="shared" si="220"/>
        <v>0.27124239791485666</v>
      </c>
      <c r="R58" s="79">
        <f t="shared" si="220"/>
        <v>0.25888125613346419</v>
      </c>
      <c r="S58" s="79">
        <f t="shared" si="220"/>
        <v>0.2643312101910828</v>
      </c>
      <c r="T58" s="79">
        <f t="shared" si="220"/>
        <v>0.22143864598025387</v>
      </c>
      <c r="U58" s="79">
        <f t="shared" si="220"/>
        <v>0.26312154696132595</v>
      </c>
      <c r="V58" s="79">
        <f t="shared" si="220"/>
        <v>0.22602168473728107</v>
      </c>
      <c r="W58" s="79">
        <f t="shared" si="220"/>
        <v>0.25051055139550715</v>
      </c>
      <c r="X58" s="79">
        <f t="shared" si="220"/>
        <v>0.23052959501557632</v>
      </c>
      <c r="Y58" s="79">
        <f t="shared" si="220"/>
        <v>0.20981278244028406</v>
      </c>
      <c r="Z58" s="79">
        <f t="shared" si="220"/>
        <v>0.19696969696969696</v>
      </c>
      <c r="AA58" s="79">
        <f t="shared" si="220"/>
        <v>0.21701602959309493</v>
      </c>
      <c r="AB58" s="79">
        <f t="shared" si="220"/>
        <v>0.19529262086513996</v>
      </c>
      <c r="AC58" s="79">
        <f t="shared" si="220"/>
        <v>0.21371504660452731</v>
      </c>
      <c r="AD58" s="79">
        <f t="shared" si="220"/>
        <v>0.22617354196301565</v>
      </c>
      <c r="AE58" s="79">
        <f t="shared" si="220"/>
        <v>0.22420382165605096</v>
      </c>
      <c r="AF58" s="79">
        <f t="shared" si="220"/>
        <v>0.22229219143576825</v>
      </c>
      <c r="AG58" s="79">
        <f t="shared" si="220"/>
        <v>0.22695035460992907</v>
      </c>
      <c r="AH58" s="79">
        <f t="shared" si="220"/>
        <v>0.19020172910662825</v>
      </c>
      <c r="AI58" s="79">
        <f t="shared" si="220"/>
        <v>0.21513665031534687</v>
      </c>
      <c r="AJ58" s="79">
        <f t="shared" si="220"/>
        <v>0.18062500000000001</v>
      </c>
      <c r="AK58" s="79">
        <f t="shared" si="220"/>
        <v>0.12858783008036739</v>
      </c>
      <c r="AL58" s="79">
        <f t="shared" si="220"/>
        <v>0.15943172849250198</v>
      </c>
      <c r="AM58" s="79">
        <f t="shared" si="220"/>
        <v>0.19975031210986266</v>
      </c>
      <c r="AN58" s="79">
        <f t="shared" si="220"/>
        <v>0.20024125452352232</v>
      </c>
      <c r="AO58" s="79">
        <f t="shared" si="220"/>
        <v>0.19100431300061615</v>
      </c>
      <c r="AP58" s="79">
        <f t="shared" si="220"/>
        <v>0.15478927203065135</v>
      </c>
      <c r="AQ58" s="93">
        <f t="shared" si="220"/>
        <v>0.1663353214049039</v>
      </c>
      <c r="AR58" s="93">
        <f t="shared" si="220"/>
        <v>0.15165562913907285</v>
      </c>
      <c r="AS58" s="79">
        <f t="shared" si="220"/>
        <v>0.2</v>
      </c>
      <c r="AT58" s="79">
        <f t="shared" si="220"/>
        <v>0.19999999999999998</v>
      </c>
      <c r="AU58" s="79"/>
      <c r="AV58" s="93">
        <f>AV48/AV47</f>
        <v>0.12483660130718954</v>
      </c>
      <c r="AW58" s="79"/>
      <c r="AX58" s="79"/>
      <c r="AY58" s="79"/>
      <c r="AZ58" s="79"/>
      <c r="BA58" s="79"/>
      <c r="BB58" s="79"/>
      <c r="BC58" s="79"/>
      <c r="BD58" s="79"/>
      <c r="BE58" s="79"/>
      <c r="BF58" s="79"/>
      <c r="BG58" s="79"/>
      <c r="BH58" s="79"/>
      <c r="BI58" s="79"/>
      <c r="BJ58" s="79"/>
      <c r="BK58" s="79"/>
      <c r="BL58" s="79"/>
      <c r="BM58" s="79"/>
      <c r="BN58" s="79"/>
      <c r="BO58" s="79"/>
      <c r="BP58" s="79"/>
      <c r="BQ58" s="79"/>
      <c r="BR58" s="79"/>
      <c r="BS58" s="79"/>
      <c r="BT58" s="79"/>
      <c r="BU58" s="79"/>
      <c r="BV58" s="79">
        <f t="shared" ref="BV58" si="221">BV48/BV47</f>
        <v>0.10198412698412698</v>
      </c>
      <c r="BW58" s="79">
        <f t="shared" ref="BW58" si="222">BW48/BW47</f>
        <v>0.14624808575803983</v>
      </c>
      <c r="BX58" s="79">
        <f t="shared" ref="BX58" si="223">BX48/BX47</f>
        <v>0.15889393314073463</v>
      </c>
      <c r="BY58" s="79"/>
      <c r="BZ58" s="79">
        <f t="shared" ref="BZ58:CA58" si="224">BZ48/BZ47</f>
        <v>0.10954616588419405</v>
      </c>
      <c r="CA58" s="79">
        <f t="shared" si="224"/>
        <v>0.1284758887715593</v>
      </c>
      <c r="CB58" s="79">
        <f t="shared" ref="CB58:CC58" si="225">CB48/CB47</f>
        <v>7.6844955991875422E-2</v>
      </c>
      <c r="CC58" s="79">
        <f t="shared" si="225"/>
        <v>6.4213814647691769E-2</v>
      </c>
      <c r="CD58" s="79">
        <f t="shared" ref="CD58:CH58" si="226">CD48/CD47</f>
        <v>0.10871369294605809</v>
      </c>
      <c r="CE58" s="79">
        <f t="shared" si="226"/>
        <v>8.1814656843737885E-2</v>
      </c>
      <c r="CF58" s="79">
        <f t="shared" si="226"/>
        <v>0.12552011095700416</v>
      </c>
      <c r="CG58" s="79">
        <f t="shared" si="226"/>
        <v>8.5868187579214189E-2</v>
      </c>
      <c r="CH58" s="79">
        <f t="shared" si="226"/>
        <v>8.7152516904583019E-2</v>
      </c>
      <c r="CI58" s="79">
        <f>CI48/CI47</f>
        <v>6.9947275922671359E-2</v>
      </c>
      <c r="CJ58" s="79">
        <f t="shared" ref="CJ58:CP58" si="227">CJ48/CJ47</f>
        <v>0.16462480857580397</v>
      </c>
      <c r="CK58" s="79">
        <f t="shared" si="227"/>
        <v>9.5990747879722435E-2</v>
      </c>
      <c r="CL58" s="79">
        <f t="shared" si="227"/>
        <v>0.15017667844522969</v>
      </c>
      <c r="CM58" s="79">
        <f t="shared" si="227"/>
        <v>0.2</v>
      </c>
      <c r="CN58" s="79">
        <f t="shared" si="227"/>
        <v>0.2</v>
      </c>
      <c r="CO58" s="79">
        <f t="shared" si="227"/>
        <v>0.2</v>
      </c>
      <c r="CP58" s="79">
        <f t="shared" si="227"/>
        <v>0.2</v>
      </c>
      <c r="CQ58" s="79"/>
      <c r="CR58" s="79"/>
      <c r="CS58" s="79"/>
      <c r="CT58" s="79"/>
      <c r="CU58" s="79"/>
      <c r="CV58" s="79"/>
      <c r="CW58" s="79"/>
      <c r="CX58" s="79"/>
      <c r="CY58" s="79"/>
      <c r="CZ58" s="79"/>
      <c r="DA58" s="79"/>
      <c r="DB58" s="79"/>
      <c r="DC58" s="79"/>
      <c r="DD58" s="79">
        <f>DD48/DD47</f>
        <v>0.29515479661252259</v>
      </c>
      <c r="DE58" s="79">
        <f>DE48/DE47</f>
        <v>0.27141273214450706</v>
      </c>
      <c r="DF58" s="79">
        <f>DF48/DF47</f>
        <v>0.24394172236011552</v>
      </c>
      <c r="DG58" s="79">
        <f>DG48/DG47</f>
        <v>0.22261484098939929</v>
      </c>
      <c r="DH58" s="79">
        <v>0.22</v>
      </c>
      <c r="DI58" s="79">
        <v>0.22500000000000001</v>
      </c>
      <c r="DJ58" s="79">
        <v>0.22500000000000001</v>
      </c>
      <c r="DK58" s="79">
        <f>DK48/DK47</f>
        <v>0.1881060116354234</v>
      </c>
      <c r="DL58" s="79">
        <v>0.19500000000000001</v>
      </c>
      <c r="DM58" s="79">
        <v>0.21</v>
      </c>
      <c r="DN58" s="79">
        <v>0.21</v>
      </c>
      <c r="DO58" s="79">
        <v>0.21</v>
      </c>
      <c r="DP58" s="79">
        <v>0.21</v>
      </c>
      <c r="DQ58" s="79">
        <v>0.21</v>
      </c>
      <c r="DR58" s="79">
        <v>0.21</v>
      </c>
      <c r="DS58" s="79">
        <v>0.21</v>
      </c>
      <c r="DT58" s="79"/>
      <c r="DU58" s="79"/>
      <c r="DV58" s="79"/>
      <c r="DW58" s="79"/>
      <c r="DX58" s="79"/>
      <c r="DY58" s="79"/>
      <c r="DZ58" s="79"/>
      <c r="EA58" s="79"/>
      <c r="EB58" s="79"/>
      <c r="EC58" s="79"/>
      <c r="ED58" s="79"/>
      <c r="EE58" s="79"/>
      <c r="EF58" s="79"/>
    </row>
    <row r="59" spans="2:210" s="30" customFormat="1">
      <c r="C59" s="82"/>
      <c r="D59" s="82"/>
      <c r="E59" s="82"/>
      <c r="F59" s="82"/>
      <c r="G59" s="82"/>
      <c r="H59" s="82"/>
      <c r="I59" s="82"/>
      <c r="J59" s="82"/>
      <c r="K59" s="79"/>
      <c r="L59" s="79"/>
      <c r="M59" s="79"/>
      <c r="N59" s="79"/>
      <c r="O59" s="79"/>
      <c r="P59" s="79"/>
      <c r="Q59" s="79"/>
      <c r="R59" s="79"/>
      <c r="S59" s="79"/>
      <c r="T59" s="79"/>
      <c r="U59" s="79"/>
      <c r="V59" s="79"/>
      <c r="W59" s="79"/>
      <c r="X59" s="79"/>
      <c r="Y59" s="79"/>
      <c r="Z59" s="79"/>
      <c r="AA59" s="79"/>
      <c r="AB59" s="79"/>
      <c r="AC59" s="79"/>
      <c r="AD59" s="79"/>
      <c r="AE59" s="82"/>
      <c r="AF59" s="82"/>
      <c r="AG59" s="82"/>
      <c r="AH59" s="82"/>
      <c r="AI59" s="82"/>
      <c r="AJ59" s="82"/>
      <c r="AK59" s="82"/>
      <c r="AL59" s="82"/>
      <c r="AM59" s="82"/>
      <c r="AN59" s="82"/>
      <c r="AO59" s="82"/>
      <c r="AP59" s="82"/>
      <c r="AQ59" s="82"/>
      <c r="AR59" s="82"/>
      <c r="AS59" s="82"/>
      <c r="AT59" s="82"/>
      <c r="AU59" s="82"/>
      <c r="AV59" s="82"/>
      <c r="AW59" s="82"/>
      <c r="AX59" s="82"/>
      <c r="AY59" s="82"/>
      <c r="AZ59" s="82"/>
      <c r="BA59" s="82"/>
      <c r="BB59" s="82"/>
      <c r="BC59" s="82"/>
      <c r="BD59" s="82"/>
      <c r="BE59" s="82"/>
      <c r="BF59" s="82"/>
      <c r="BG59" s="82"/>
      <c r="BH59" s="82"/>
      <c r="BI59" s="82"/>
      <c r="BJ59" s="82"/>
      <c r="BK59" s="82"/>
      <c r="BL59" s="82"/>
      <c r="BM59" s="82"/>
      <c r="BN59" s="82"/>
      <c r="BO59" s="82"/>
      <c r="BP59" s="82"/>
      <c r="BQ59" s="82"/>
      <c r="BR59" s="82"/>
      <c r="BS59" s="82"/>
      <c r="BT59" s="82"/>
      <c r="BU59" s="82"/>
      <c r="BV59" s="82"/>
      <c r="BW59" s="82"/>
      <c r="BX59" s="82"/>
      <c r="BY59" s="82"/>
      <c r="BZ59" s="82"/>
      <c r="CA59" s="82"/>
      <c r="CB59" s="82"/>
      <c r="CC59" s="82"/>
      <c r="CD59" s="82"/>
      <c r="CE59" s="82"/>
      <c r="CF59" s="82"/>
      <c r="CG59" s="82"/>
      <c r="CH59" s="82"/>
      <c r="CI59" s="82"/>
      <c r="CJ59" s="82"/>
      <c r="CK59" s="82"/>
      <c r="CL59" s="82"/>
      <c r="CM59" s="82"/>
      <c r="CN59" s="82"/>
      <c r="CO59" s="82"/>
      <c r="CP59" s="82"/>
      <c r="CQ59" s="82"/>
      <c r="CR59" s="82"/>
      <c r="CS59" s="82"/>
      <c r="CT59" s="82"/>
      <c r="CU59" s="82"/>
      <c r="CV59" s="82"/>
      <c r="CW59" s="82"/>
      <c r="CX59" s="82"/>
      <c r="CY59" s="82"/>
      <c r="CZ59" s="82"/>
      <c r="DA59" s="79"/>
      <c r="DB59" s="79"/>
      <c r="DC59" s="79"/>
      <c r="DD59" s="79"/>
      <c r="DE59" s="79"/>
      <c r="DF59" s="79"/>
      <c r="DG59" s="79"/>
      <c r="DH59" s="79"/>
      <c r="DI59" s="79"/>
      <c r="DJ59" s="79"/>
      <c r="DK59" s="79"/>
      <c r="DL59" s="79"/>
      <c r="DM59" s="79"/>
      <c r="DN59" s="79"/>
      <c r="DO59" s="79"/>
      <c r="DP59" s="79"/>
      <c r="DQ59" s="82"/>
      <c r="DR59" s="82"/>
      <c r="DS59" s="82"/>
      <c r="DT59" s="82"/>
      <c r="DU59" s="82"/>
      <c r="DV59" s="82"/>
      <c r="DW59" s="82"/>
      <c r="DX59" s="82"/>
      <c r="DY59" s="82"/>
      <c r="DZ59" s="82"/>
      <c r="EA59" s="82"/>
      <c r="EB59" s="82"/>
      <c r="EC59" s="82"/>
      <c r="ED59" s="82"/>
      <c r="EE59" s="82"/>
    </row>
    <row r="60" spans="2:210" s="31" customFormat="1">
      <c r="B60" s="35" t="s">
        <v>282</v>
      </c>
      <c r="C60" s="83"/>
      <c r="D60" s="83"/>
      <c r="E60" s="83"/>
      <c r="F60" s="83"/>
      <c r="G60" s="83"/>
      <c r="H60" s="83"/>
      <c r="I60" s="84"/>
      <c r="J60" s="84"/>
      <c r="K60" s="84">
        <f t="shared" ref="K60:AV60" si="228">K39/G39-1</f>
        <v>0.74645513138324215</v>
      </c>
      <c r="L60" s="84">
        <f t="shared" si="228"/>
        <v>0.63431820001601391</v>
      </c>
      <c r="M60" s="84">
        <f t="shared" si="228"/>
        <v>0.47282064963649706</v>
      </c>
      <c r="N60" s="84">
        <f t="shared" si="228"/>
        <v>0.32869033463563779</v>
      </c>
      <c r="O60" s="84">
        <f t="shared" si="228"/>
        <v>0.33021063986827892</v>
      </c>
      <c r="P60" s="84">
        <f t="shared" si="228"/>
        <v>0.26627798735975694</v>
      </c>
      <c r="Q60" s="84">
        <f t="shared" si="228"/>
        <v>0.22860248165927</v>
      </c>
      <c r="R60" s="84">
        <f t="shared" si="228"/>
        <v>0.23966589959942053</v>
      </c>
      <c r="S60" s="84">
        <f t="shared" si="228"/>
        <v>0.20918519783174716</v>
      </c>
      <c r="T60" s="84">
        <f t="shared" si="228"/>
        <v>0.22726920993577338</v>
      </c>
      <c r="U60" s="84">
        <f t="shared" si="228"/>
        <v>0.16255068190195354</v>
      </c>
      <c r="V60" s="84">
        <f t="shared" si="228"/>
        <v>0.12444138879339972</v>
      </c>
      <c r="W60" s="84">
        <f t="shared" si="228"/>
        <v>0.13554535827744441</v>
      </c>
      <c r="X60" s="84">
        <f t="shared" si="228"/>
        <v>0.1361916771752838</v>
      </c>
      <c r="Y60" s="84">
        <f t="shared" si="228"/>
        <v>0.14521242866201645</v>
      </c>
      <c r="Z60" s="84">
        <f t="shared" si="228"/>
        <v>0.17242433506572907</v>
      </c>
      <c r="AA60" s="84">
        <f t="shared" si="228"/>
        <v>0.14609884986011812</v>
      </c>
      <c r="AB60" s="84">
        <f t="shared" si="228"/>
        <v>3.4406215316315159E-2</v>
      </c>
      <c r="AC60" s="84">
        <f t="shared" si="228"/>
        <v>-2.7685492801776679E-4</v>
      </c>
      <c r="AD60" s="84">
        <f t="shared" si="228"/>
        <v>-2.3468057366362483E-2</v>
      </c>
      <c r="AE60" s="84">
        <f t="shared" si="228"/>
        <v>-2.0070518036343965E-2</v>
      </c>
      <c r="AF60" s="84">
        <f t="shared" si="228"/>
        <v>9.65665236051505E-3</v>
      </c>
      <c r="AG60" s="84">
        <f t="shared" si="228"/>
        <v>7.3109941844364368E-2</v>
      </c>
      <c r="AH60" s="84">
        <f t="shared" si="228"/>
        <v>1.6021361815754531E-3</v>
      </c>
      <c r="AI60" s="84">
        <f t="shared" si="228"/>
        <v>-8.4417381677276526E-2</v>
      </c>
      <c r="AJ60" s="84">
        <f t="shared" si="228"/>
        <v>-1.3549415515409113E-2</v>
      </c>
      <c r="AK60" s="84">
        <f t="shared" si="228"/>
        <v>-1.6258064516128989E-2</v>
      </c>
      <c r="AL60" s="84">
        <f t="shared" si="228"/>
        <v>1.5462543321780764E-2</v>
      </c>
      <c r="AM60" s="84">
        <f t="shared" si="228"/>
        <v>8.5852478839177682E-2</v>
      </c>
      <c r="AN60" s="84">
        <f t="shared" si="228"/>
        <v>2.4508483705898199E-2</v>
      </c>
      <c r="AO60" s="84">
        <f t="shared" si="228"/>
        <v>1.0493179433368471E-3</v>
      </c>
      <c r="AP60" s="84">
        <f t="shared" si="228"/>
        <v>8.4011551588343281E-3</v>
      </c>
      <c r="AQ60" s="84">
        <f t="shared" si="228"/>
        <v>3.1737193763919924E-2</v>
      </c>
      <c r="AR60" s="84">
        <f t="shared" si="228"/>
        <v>4.0746582544689769E-2</v>
      </c>
      <c r="AS60" s="84">
        <f t="shared" si="228"/>
        <v>1.1844863731656163E-2</v>
      </c>
      <c r="AT60" s="84">
        <f t="shared" si="228"/>
        <v>-4.2176516532153041E-3</v>
      </c>
      <c r="AU60" s="84">
        <f t="shared" si="228"/>
        <v>-1.3154344306529953E-2</v>
      </c>
      <c r="AV60" s="84">
        <f t="shared" si="228"/>
        <v>0.13084112149532712</v>
      </c>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4"/>
      <c r="BY60" s="84"/>
      <c r="BZ60" s="84"/>
      <c r="CA60" s="84"/>
      <c r="CB60" s="84"/>
      <c r="CC60" s="84"/>
      <c r="CD60" s="84"/>
      <c r="CE60" s="84">
        <f t="shared" ref="CE60:CF60" si="229">CE39/CA39-1</f>
        <v>-4.2200941405615922E-2</v>
      </c>
      <c r="CF60" s="84">
        <f t="shared" si="229"/>
        <v>5.1563003544956576E-2</v>
      </c>
      <c r="CG60" s="84">
        <f t="shared" ref="CG60:CH60" si="230">CG39/CC39-1</f>
        <v>4.4060407909076726E-2</v>
      </c>
      <c r="CH60" s="84">
        <f t="shared" si="230"/>
        <v>3.1956587277660597E-2</v>
      </c>
      <c r="CI60" s="84">
        <f>CI39/CE39-1</f>
        <v>5.7108964582274213E-2</v>
      </c>
      <c r="CJ60" s="84">
        <f t="shared" ref="CJ60" si="231">CJ39/CF39-1</f>
        <v>-3.7542139135764652E-2</v>
      </c>
      <c r="CK60" s="84">
        <f t="shared" ref="CK60" si="232">CK39/CG39-1</f>
        <v>-6.9937369519832981E-2</v>
      </c>
      <c r="CL60" s="84">
        <f t="shared" ref="CL60" si="233">CL39/CH39-1</f>
        <v>-4.2944785276073594E-2</v>
      </c>
      <c r="CM60" s="84">
        <f t="shared" ref="CM60" si="234">CM39/CI39-1</f>
        <v>-6.2840654055787093E-2</v>
      </c>
      <c r="CN60" s="84">
        <f t="shared" ref="CN60" si="235">CN39/CJ39-1</f>
        <v>6.4002547365069162E-2</v>
      </c>
      <c r="CO60" s="84">
        <f t="shared" ref="CO60" si="236">CO39/CK39-1</f>
        <v>4.986371653038324E-2</v>
      </c>
      <c r="CP60" s="84">
        <f t="shared" ref="CP60:CX60" si="237">CP39/CL39-1</f>
        <v>0.19551282051282048</v>
      </c>
      <c r="CQ60" s="84">
        <f t="shared" si="237"/>
        <v>0.21758467328087572</v>
      </c>
      <c r="CR60" s="84">
        <f t="shared" si="237"/>
        <v>0.20320215472093373</v>
      </c>
      <c r="CS60" s="84">
        <f t="shared" si="237"/>
        <v>0.21502748930971283</v>
      </c>
      <c r="CT60" s="84">
        <f t="shared" si="237"/>
        <v>5.0555342780543855E-2</v>
      </c>
      <c r="CU60" s="84">
        <f t="shared" si="237"/>
        <v>0.11941556617027249</v>
      </c>
      <c r="CV60" s="84">
        <f t="shared" si="237"/>
        <v>4.850143017037678E-2</v>
      </c>
      <c r="CW60" s="84">
        <f t="shared" si="237"/>
        <v>4.9019607843137303E-2</v>
      </c>
      <c r="CX60" s="84">
        <f t="shared" si="237"/>
        <v>4.7393364928909998E-2</v>
      </c>
      <c r="CY60" s="84"/>
      <c r="CZ60" s="85"/>
      <c r="DA60" s="84"/>
      <c r="DB60" s="84">
        <f t="shared" ref="DB60:DT60" si="238">DB39/DA39-1</f>
        <v>0.10757181601815469</v>
      </c>
      <c r="DC60" s="84">
        <f t="shared" si="238"/>
        <v>0.35243996901626651</v>
      </c>
      <c r="DD60" s="84">
        <f t="shared" si="238"/>
        <v>0.54371281823892392</v>
      </c>
      <c r="DE60" s="84">
        <f t="shared" si="238"/>
        <v>0.26268374124827942</v>
      </c>
      <c r="DF60" s="84">
        <f t="shared" si="238"/>
        <v>0.17815951957630993</v>
      </c>
      <c r="DG60" s="84">
        <f t="shared" si="238"/>
        <v>0.14786806114239748</v>
      </c>
      <c r="DH60" s="84">
        <f t="shared" si="238"/>
        <v>3.5253714606111597E-2</v>
      </c>
      <c r="DI60" s="84">
        <f t="shared" si="238"/>
        <v>1.5706451831291046E-2</v>
      </c>
      <c r="DJ60" s="84">
        <f t="shared" si="238"/>
        <v>-2.4061854295807539E-2</v>
      </c>
      <c r="DK60" s="84">
        <f t="shared" si="238"/>
        <v>2.8069935801120049E-2</v>
      </c>
      <c r="DL60" s="84">
        <f t="shared" si="238"/>
        <v>3.0492260678934402E-2</v>
      </c>
      <c r="DM60" s="84">
        <f t="shared" si="238"/>
        <v>-8.7922898401237903E-2</v>
      </c>
      <c r="DN60" s="84">
        <f t="shared" si="238"/>
        <v>6.4949039237666595E-2</v>
      </c>
      <c r="DO60" s="84">
        <f t="shared" si="238"/>
        <v>-5.5953854889465582E-2</v>
      </c>
      <c r="DP60" s="84">
        <f t="shared" si="238"/>
        <v>-6.3434402736061712E-2</v>
      </c>
      <c r="DQ60" s="84">
        <f t="shared" si="238"/>
        <v>-1.6871191088614346E-2</v>
      </c>
      <c r="DR60" s="84">
        <f t="shared" si="238"/>
        <v>-0.94447918515928808</v>
      </c>
      <c r="DS60" s="84">
        <f t="shared" si="238"/>
        <v>-1</v>
      </c>
      <c r="DT60" s="84" t="e">
        <f t="shared" si="238"/>
        <v>#DIV/0!</v>
      </c>
      <c r="DU60" s="85"/>
      <c r="DV60" s="85"/>
      <c r="DW60" s="85"/>
      <c r="DX60" s="85"/>
      <c r="DY60" s="85"/>
      <c r="DZ60" s="85"/>
      <c r="EA60" s="85"/>
      <c r="EB60" s="85"/>
      <c r="EC60" s="85"/>
      <c r="ED60" s="85"/>
      <c r="EE60" s="85"/>
    </row>
    <row r="61" spans="2:210" s="15" customFormat="1">
      <c r="B61" s="30" t="s">
        <v>178</v>
      </c>
      <c r="C61" s="82"/>
      <c r="D61" s="82"/>
      <c r="E61" s="79"/>
      <c r="F61" s="79"/>
      <c r="G61" s="79">
        <f t="shared" ref="G61:AV61" si="239">G5/C5-1</f>
        <v>9.6222664015904735E-2</v>
      </c>
      <c r="H61" s="79">
        <f t="shared" si="239"/>
        <v>0.20849420849420852</v>
      </c>
      <c r="I61" s="79">
        <f t="shared" si="239"/>
        <v>0.29249999999999976</v>
      </c>
      <c r="J61" s="79">
        <f t="shared" si="239"/>
        <v>0.35747126436781618</v>
      </c>
      <c r="K61" s="79">
        <f t="shared" si="239"/>
        <v>0.45429815016322084</v>
      </c>
      <c r="L61" s="79">
        <f t="shared" si="239"/>
        <v>0.5316293929712459</v>
      </c>
      <c r="M61" s="79">
        <f t="shared" si="239"/>
        <v>0.583395328076179</v>
      </c>
      <c r="N61" s="79">
        <f t="shared" si="239"/>
        <v>0.39542760372565611</v>
      </c>
      <c r="O61" s="79">
        <f t="shared" si="239"/>
        <v>0.41289437585733868</v>
      </c>
      <c r="P61" s="79">
        <f t="shared" si="239"/>
        <v>0.30329578639966615</v>
      </c>
      <c r="Q61" s="79">
        <f t="shared" si="239"/>
        <v>0.21123848900582609</v>
      </c>
      <c r="R61" s="79">
        <f t="shared" si="239"/>
        <v>0.21532593619972262</v>
      </c>
      <c r="S61" s="79">
        <f t="shared" si="239"/>
        <v>0.15269196822594888</v>
      </c>
      <c r="T61" s="79">
        <f t="shared" si="239"/>
        <v>0.18758002560819476</v>
      </c>
      <c r="U61" s="79">
        <f t="shared" si="239"/>
        <v>0.1163692785104733</v>
      </c>
      <c r="V61" s="79">
        <f t="shared" si="239"/>
        <v>6.9186875891583455E-2</v>
      </c>
      <c r="W61" s="79">
        <f t="shared" si="239"/>
        <v>0.14624808575803971</v>
      </c>
      <c r="X61" s="79">
        <f t="shared" si="239"/>
        <v>0.12398921832884091</v>
      </c>
      <c r="Y61" s="79">
        <f t="shared" si="239"/>
        <v>0.1813759555246699</v>
      </c>
      <c r="Z61" s="79">
        <f t="shared" si="239"/>
        <v>0.17878585723815887</v>
      </c>
      <c r="AA61" s="79">
        <f t="shared" si="239"/>
        <v>9.8864395457581855E-2</v>
      </c>
      <c r="AB61" s="79">
        <f t="shared" si="239"/>
        <v>-5.6954436450839308E-2</v>
      </c>
      <c r="AC61" s="79">
        <f t="shared" si="239"/>
        <v>-0.16470588235294115</v>
      </c>
      <c r="AD61" s="79">
        <f t="shared" si="239"/>
        <v>-0.17091114883984149</v>
      </c>
      <c r="AE61" s="79">
        <f t="shared" si="239"/>
        <v>-0.20060790273556228</v>
      </c>
      <c r="AF61" s="79">
        <f t="shared" si="239"/>
        <v>-8.0101716465352801E-2</v>
      </c>
      <c r="AG61" s="79">
        <f t="shared" si="239"/>
        <v>4.1549295774647943E-2</v>
      </c>
      <c r="AH61" s="79">
        <f t="shared" si="239"/>
        <v>-7.7133105802047797E-2</v>
      </c>
      <c r="AI61" s="79">
        <f t="shared" si="239"/>
        <v>-9.4296577946768045E-2</v>
      </c>
      <c r="AJ61" s="79">
        <f t="shared" si="239"/>
        <v>-8.0165860400829292E-2</v>
      </c>
      <c r="AK61" s="79">
        <f t="shared" si="239"/>
        <v>-8.8573360378634169E-2</v>
      </c>
      <c r="AL61" s="79">
        <f t="shared" si="239"/>
        <v>-7.3964497041423272E-4</v>
      </c>
      <c r="AM61" s="79">
        <f t="shared" si="239"/>
        <v>4.9538203190596208E-2</v>
      </c>
      <c r="AN61" s="79">
        <f t="shared" si="239"/>
        <v>-5.3343350864011985E-2</v>
      </c>
      <c r="AO61" s="79">
        <f t="shared" si="239"/>
        <v>-5.3412462908011826E-2</v>
      </c>
      <c r="AP61" s="79">
        <f t="shared" si="239"/>
        <v>-9.4004441154700191E-2</v>
      </c>
      <c r="AQ61" s="79">
        <f t="shared" si="239"/>
        <v>-0.10799999999999998</v>
      </c>
      <c r="AR61" s="79">
        <f t="shared" si="239"/>
        <v>-0.10476190476190472</v>
      </c>
      <c r="AS61" s="79">
        <f t="shared" si="239"/>
        <v>-4.9999999999999933E-2</v>
      </c>
      <c r="AT61" s="79">
        <f t="shared" si="239"/>
        <v>-5.0000000000000044E-2</v>
      </c>
      <c r="AU61" s="79">
        <f t="shared" si="239"/>
        <v>-5.0000000000000044E-2</v>
      </c>
      <c r="AV61" s="79">
        <f t="shared" si="239"/>
        <v>-5.939716312056742E-2</v>
      </c>
      <c r="AW61" s="79"/>
      <c r="AX61" s="79"/>
      <c r="AY61" s="79"/>
      <c r="AZ61" s="79"/>
      <c r="BA61" s="79"/>
      <c r="BB61" s="79"/>
      <c r="BC61" s="79"/>
      <c r="BD61" s="79"/>
      <c r="BE61" s="79"/>
      <c r="BF61" s="79"/>
      <c r="BG61" s="79"/>
      <c r="BH61" s="79"/>
      <c r="BI61" s="79"/>
      <c r="BJ61" s="79"/>
      <c r="BK61" s="79"/>
      <c r="BL61" s="79"/>
      <c r="BM61" s="79"/>
      <c r="BN61" s="79"/>
      <c r="BO61" s="79"/>
      <c r="BP61" s="79"/>
      <c r="BQ61" s="79"/>
      <c r="BR61" s="79"/>
      <c r="BS61" s="79"/>
      <c r="BT61" s="79"/>
      <c r="BU61" s="79"/>
      <c r="BV61" s="79"/>
      <c r="BW61" s="79"/>
      <c r="BX61" s="79"/>
      <c r="BY61" s="79"/>
      <c r="BZ61" s="79"/>
      <c r="CA61" s="79"/>
      <c r="CB61" s="79"/>
      <c r="CC61" s="79"/>
      <c r="CD61" s="79"/>
      <c r="CE61" s="79"/>
      <c r="CF61" s="79"/>
      <c r="CG61" s="79"/>
      <c r="CH61" s="79"/>
      <c r="CI61" s="79"/>
      <c r="CJ61" s="79"/>
      <c r="CK61" s="79"/>
      <c r="CL61" s="79"/>
      <c r="CM61" s="79"/>
      <c r="CN61" s="79"/>
      <c r="CO61" s="79"/>
      <c r="CP61" s="79"/>
      <c r="CQ61" s="79"/>
      <c r="CR61" s="79"/>
      <c r="CS61" s="79"/>
      <c r="CT61" s="79"/>
      <c r="CU61" s="79"/>
      <c r="CV61" s="79"/>
      <c r="CW61" s="79"/>
      <c r="CX61" s="79"/>
      <c r="CY61" s="79"/>
      <c r="CZ61" s="72"/>
      <c r="DA61" s="79"/>
      <c r="DB61" s="79">
        <f t="shared" ref="DB61:DP61" si="240">DB5/DA5-1</f>
        <v>9.5648185894822602E-2</v>
      </c>
      <c r="DC61" s="79">
        <f t="shared" si="240"/>
        <v>0.24440723687270371</v>
      </c>
      <c r="DD61" s="79">
        <f t="shared" si="240"/>
        <v>0.48695619674091795</v>
      </c>
      <c r="DE61" s="79">
        <f t="shared" si="240"/>
        <v>0.2752544928993339</v>
      </c>
      <c r="DF61" s="79">
        <f t="shared" si="240"/>
        <v>0.12898139388205609</v>
      </c>
      <c r="DG61" s="79">
        <f t="shared" si="240"/>
        <v>0.1578212290502794</v>
      </c>
      <c r="DH61" s="79">
        <f t="shared" si="240"/>
        <v>-7.9764776839565732E-2</v>
      </c>
      <c r="DI61" s="79">
        <f t="shared" si="240"/>
        <v>-8.3565459610027815E-2</v>
      </c>
      <c r="DJ61" s="79">
        <f t="shared" si="240"/>
        <v>-6.6511711067405721E-2</v>
      </c>
      <c r="DK61" s="79">
        <f t="shared" si="240"/>
        <v>-4.0413713847921806E-2</v>
      </c>
      <c r="DL61" s="79">
        <f t="shared" si="240"/>
        <v>-7.8243512974051854E-2</v>
      </c>
      <c r="DM61" s="79">
        <f t="shared" si="240"/>
        <v>-0.12340190558683428</v>
      </c>
      <c r="DN61" s="79">
        <f t="shared" si="240"/>
        <v>-0.14465864485577284</v>
      </c>
      <c r="DO61" s="79">
        <f t="shared" si="240"/>
        <v>-9.9999999999999978E-2</v>
      </c>
      <c r="DP61" s="79">
        <f t="shared" si="240"/>
        <v>-9.9999999999999978E-2</v>
      </c>
      <c r="DQ61" s="72"/>
      <c r="DR61" s="72"/>
      <c r="DS61" s="72"/>
      <c r="DT61" s="72"/>
      <c r="DU61" s="72"/>
      <c r="DV61" s="72"/>
      <c r="DW61" s="72"/>
      <c r="DX61" s="72"/>
      <c r="DY61" s="72"/>
      <c r="DZ61" s="72"/>
      <c r="EA61" s="72"/>
      <c r="EB61" s="72"/>
      <c r="EC61" s="72"/>
      <c r="ED61" s="72"/>
      <c r="EE61" s="72"/>
    </row>
    <row r="62" spans="2:210" s="37" customFormat="1">
      <c r="B62" s="30" t="s">
        <v>177</v>
      </c>
      <c r="C62" s="82"/>
      <c r="D62" s="82"/>
      <c r="E62" s="82"/>
      <c r="F62" s="82"/>
      <c r="G62" s="82"/>
      <c r="H62" s="79"/>
      <c r="I62" s="86">
        <f t="shared" ref="I62:AV62" si="241">I4/E4-1</f>
        <v>21.74</v>
      </c>
      <c r="J62" s="86">
        <f t="shared" si="241"/>
        <v>4.5945945945945947</v>
      </c>
      <c r="K62" s="86">
        <f t="shared" si="241"/>
        <v>5.5</v>
      </c>
      <c r="L62" s="86">
        <f t="shared" si="241"/>
        <v>5.2423698384201076</v>
      </c>
      <c r="M62" s="86">
        <f t="shared" si="241"/>
        <v>2.8548812664907652</v>
      </c>
      <c r="N62" s="86">
        <f t="shared" si="241"/>
        <v>1.4299516908212562</v>
      </c>
      <c r="O62" s="86">
        <f t="shared" si="241"/>
        <v>1.1310832025117739</v>
      </c>
      <c r="P62" s="79">
        <f t="shared" si="241"/>
        <v>0.77451826287029046</v>
      </c>
      <c r="Q62" s="79">
        <f t="shared" si="241"/>
        <v>0.38717773214693141</v>
      </c>
      <c r="R62" s="79">
        <f t="shared" si="241"/>
        <v>0.40159045725646125</v>
      </c>
      <c r="S62" s="79">
        <f t="shared" si="241"/>
        <v>0.33149171270718236</v>
      </c>
      <c r="T62" s="79">
        <f t="shared" si="241"/>
        <v>0.35656401944894656</v>
      </c>
      <c r="U62" s="79">
        <f t="shared" si="241"/>
        <v>0.38157894736842102</v>
      </c>
      <c r="V62" s="79">
        <f t="shared" si="241"/>
        <v>0.23829787234042543</v>
      </c>
      <c r="W62" s="79">
        <f t="shared" si="241"/>
        <v>0.23513139695712315</v>
      </c>
      <c r="X62" s="79">
        <f t="shared" si="241"/>
        <v>0.26045400238948635</v>
      </c>
      <c r="Y62" s="79">
        <f t="shared" si="241"/>
        <v>0.27023809523809517</v>
      </c>
      <c r="Z62" s="79">
        <f t="shared" si="241"/>
        <v>0.26689576174112251</v>
      </c>
      <c r="AA62" s="79">
        <f t="shared" si="241"/>
        <v>0.14221724524076151</v>
      </c>
      <c r="AB62" s="79">
        <f t="shared" si="241"/>
        <v>-0.10047393364928914</v>
      </c>
      <c r="AC62" s="79">
        <f t="shared" si="241"/>
        <v>-0.23336457357075913</v>
      </c>
      <c r="AD62" s="79">
        <f t="shared" si="241"/>
        <v>-0.25226039783001808</v>
      </c>
      <c r="AE62" s="79">
        <f t="shared" si="241"/>
        <v>-0.25392156862745097</v>
      </c>
      <c r="AF62" s="79">
        <f t="shared" si="241"/>
        <v>-0.13066385669125391</v>
      </c>
      <c r="AG62" s="79">
        <f t="shared" si="241"/>
        <v>3.3007334963325086E-2</v>
      </c>
      <c r="AH62" s="79">
        <f t="shared" si="241"/>
        <v>-0.14631197097944382</v>
      </c>
      <c r="AI62" s="79">
        <f t="shared" si="241"/>
        <v>-0.17739816031537448</v>
      </c>
      <c r="AJ62" s="79">
        <f t="shared" si="241"/>
        <v>-0.16000000000000003</v>
      </c>
      <c r="AK62" s="79">
        <f t="shared" si="241"/>
        <v>-0.18934911242603547</v>
      </c>
      <c r="AL62" s="79">
        <f t="shared" si="241"/>
        <v>-8.2152974504249299E-2</v>
      </c>
      <c r="AM62" s="79">
        <f t="shared" si="241"/>
        <v>1.5974440894568342E-3</v>
      </c>
      <c r="AN62" s="79">
        <f t="shared" si="241"/>
        <v>-0.12987012987012991</v>
      </c>
      <c r="AO62" s="79">
        <f t="shared" si="241"/>
        <v>-9.0510948905109467E-2</v>
      </c>
      <c r="AP62" s="79">
        <f t="shared" si="241"/>
        <v>-2.314814814814814E-2</v>
      </c>
      <c r="AQ62" s="79">
        <f t="shared" si="241"/>
        <v>-7.496012759170656E-2</v>
      </c>
      <c r="AR62" s="79">
        <f t="shared" si="241"/>
        <v>-2.9850746268656692E-2</v>
      </c>
      <c r="AS62" s="79">
        <f t="shared" si="241"/>
        <v>-4.9999999999999933E-2</v>
      </c>
      <c r="AT62" s="79">
        <f t="shared" si="241"/>
        <v>-4.9999999999999933E-2</v>
      </c>
      <c r="AU62" s="79">
        <f t="shared" si="241"/>
        <v>-5.0000000000000044E-2</v>
      </c>
      <c r="AV62" s="79">
        <f t="shared" si="241"/>
        <v>-8.3760683760683796E-2</v>
      </c>
      <c r="AW62" s="79"/>
      <c r="AX62" s="79"/>
      <c r="AY62" s="79"/>
      <c r="AZ62" s="79"/>
      <c r="BA62" s="79"/>
      <c r="BB62" s="79"/>
      <c r="BC62" s="79"/>
      <c r="BD62" s="79"/>
      <c r="BE62" s="79"/>
      <c r="BF62" s="79"/>
      <c r="BG62" s="79"/>
      <c r="BH62" s="79"/>
      <c r="BI62" s="79"/>
      <c r="BJ62" s="79"/>
      <c r="BK62" s="79"/>
      <c r="BL62" s="79"/>
      <c r="BM62" s="79"/>
      <c r="BN62" s="79"/>
      <c r="BO62" s="79"/>
      <c r="BP62" s="79"/>
      <c r="BQ62" s="79"/>
      <c r="BR62" s="79"/>
      <c r="BS62" s="79"/>
      <c r="BT62" s="79"/>
      <c r="BU62" s="79"/>
      <c r="BV62" s="79"/>
      <c r="BW62" s="79"/>
      <c r="BX62" s="79"/>
      <c r="BY62" s="79"/>
      <c r="BZ62" s="79"/>
      <c r="CA62" s="79"/>
      <c r="CB62" s="79"/>
      <c r="CC62" s="79"/>
      <c r="CD62" s="79"/>
      <c r="CE62" s="79"/>
      <c r="CF62" s="79"/>
      <c r="CG62" s="79"/>
      <c r="CH62" s="79"/>
      <c r="CI62" s="79"/>
      <c r="CJ62" s="79"/>
      <c r="CK62" s="79"/>
      <c r="CL62" s="79"/>
      <c r="CM62" s="79"/>
      <c r="CN62" s="79"/>
      <c r="CO62" s="79"/>
      <c r="CP62" s="79"/>
      <c r="CQ62" s="79"/>
      <c r="CR62" s="79"/>
      <c r="CS62" s="79"/>
      <c r="CT62" s="79"/>
      <c r="CU62" s="79"/>
      <c r="CV62" s="79"/>
      <c r="CW62" s="79"/>
      <c r="CX62" s="79"/>
      <c r="CY62" s="79"/>
      <c r="CZ62" s="99"/>
      <c r="DA62" s="79"/>
      <c r="DB62" s="79"/>
      <c r="DC62" s="86">
        <f t="shared" ref="DC62:DJ62" si="242">DC4/DB4-1</f>
        <v>8.8952380952380956</v>
      </c>
      <c r="DD62" s="86">
        <f t="shared" si="242"/>
        <v>2.7146294513955724</v>
      </c>
      <c r="DE62" s="79">
        <f t="shared" si="242"/>
        <v>0.60189143671460044</v>
      </c>
      <c r="DF62" s="79">
        <f t="shared" si="242"/>
        <v>0.32349373230893641</v>
      </c>
      <c r="DG62" s="79">
        <f t="shared" si="242"/>
        <v>0.25908952031775123</v>
      </c>
      <c r="DH62" s="79">
        <f t="shared" si="242"/>
        <v>-0.12302839116719244</v>
      </c>
      <c r="DI62" s="79">
        <f t="shared" si="242"/>
        <v>-0.13198671831765352</v>
      </c>
      <c r="DJ62" s="79">
        <f t="shared" si="242"/>
        <v>-0.15460631176283068</v>
      </c>
      <c r="DK62" s="79">
        <v>-0.05</v>
      </c>
      <c r="DL62" s="79">
        <v>-0.05</v>
      </c>
      <c r="DM62" s="79">
        <v>-0.05</v>
      </c>
      <c r="DN62" s="79">
        <v>-0.1</v>
      </c>
      <c r="DO62" s="79">
        <v>-0.1</v>
      </c>
      <c r="DP62" s="79">
        <v>-0.1</v>
      </c>
      <c r="DQ62" s="99"/>
      <c r="DR62" s="99"/>
      <c r="DS62" s="99"/>
      <c r="DT62" s="99"/>
      <c r="DU62" s="99"/>
      <c r="DV62" s="99"/>
      <c r="DW62" s="99"/>
      <c r="DX62" s="99"/>
      <c r="DY62" s="99"/>
      <c r="DZ62" s="99"/>
      <c r="EA62" s="99"/>
      <c r="EB62" s="99"/>
      <c r="EC62" s="99"/>
      <c r="ED62" s="99"/>
      <c r="EE62" s="99"/>
    </row>
    <row r="63" spans="2:210" s="15" customFormat="1">
      <c r="B63" s="30" t="s">
        <v>176</v>
      </c>
      <c r="C63" s="82"/>
      <c r="D63" s="82"/>
      <c r="E63" s="82"/>
      <c r="F63" s="82"/>
      <c r="G63" s="79">
        <f t="shared" ref="G63:AV63" si="243">G3/C3-1</f>
        <v>1.829025844930432E-2</v>
      </c>
      <c r="H63" s="79">
        <f t="shared" si="243"/>
        <v>0.10096525096525077</v>
      </c>
      <c r="I63" s="79">
        <f t="shared" si="243"/>
        <v>8.4271844660194217E-2</v>
      </c>
      <c r="J63" s="79">
        <f t="shared" si="243"/>
        <v>8.3391608391608418E-2</v>
      </c>
      <c r="K63" s="79">
        <f t="shared" si="243"/>
        <v>6.8137446310035044E-2</v>
      </c>
      <c r="L63" s="79">
        <f t="shared" si="243"/>
        <v>7.1541294055760263E-2</v>
      </c>
      <c r="M63" s="79">
        <f t="shared" si="243"/>
        <v>0.12088108882521498</v>
      </c>
      <c r="N63" s="79">
        <f t="shared" si="243"/>
        <v>4.9862836856543469E-2</v>
      </c>
      <c r="O63" s="79">
        <f t="shared" si="243"/>
        <v>7.8413452750868196E-2</v>
      </c>
      <c r="P63" s="79">
        <f t="shared" si="243"/>
        <v>3.5182457862870331E-2</v>
      </c>
      <c r="Q63" s="79">
        <f t="shared" si="243"/>
        <v>8.8033232145710238E-2</v>
      </c>
      <c r="R63" s="79">
        <f t="shared" si="243"/>
        <v>7.1318782662157965E-2</v>
      </c>
      <c r="S63" s="79">
        <f t="shared" si="243"/>
        <v>-1.1864406779661052E-2</v>
      </c>
      <c r="T63" s="79">
        <f t="shared" si="243"/>
        <v>2.2763199494151065E-2</v>
      </c>
      <c r="U63" s="79">
        <f t="shared" si="243"/>
        <v>-0.1204111600587372</v>
      </c>
      <c r="V63" s="79">
        <f t="shared" si="243"/>
        <v>-0.10186513629842175</v>
      </c>
      <c r="W63" s="79">
        <f t="shared" si="243"/>
        <v>3.6020583190394584E-2</v>
      </c>
      <c r="X63" s="79">
        <f t="shared" si="243"/>
        <v>-5.255023183925811E-2</v>
      </c>
      <c r="Y63" s="79">
        <f t="shared" si="243"/>
        <v>5.6761268781302165E-2</v>
      </c>
      <c r="Z63" s="79">
        <f t="shared" si="243"/>
        <v>5.5910543130990309E-2</v>
      </c>
      <c r="AA63" s="79">
        <f t="shared" si="243"/>
        <v>3.4768211920529701E-2</v>
      </c>
      <c r="AB63" s="79">
        <f t="shared" si="243"/>
        <v>1.794453507340954E-2</v>
      </c>
      <c r="AC63" s="79">
        <f t="shared" si="243"/>
        <v>-4.8973143759873605E-2</v>
      </c>
      <c r="AD63" s="79">
        <f t="shared" si="243"/>
        <v>-3.479576399394857E-2</v>
      </c>
      <c r="AE63" s="79">
        <f t="shared" si="243"/>
        <v>-0.11360000000000003</v>
      </c>
      <c r="AF63" s="79">
        <f t="shared" si="243"/>
        <v>-3.2051282051281937E-3</v>
      </c>
      <c r="AG63" s="79">
        <f t="shared" si="243"/>
        <v>5.3156146179401897E-2</v>
      </c>
      <c r="AH63" s="79">
        <f t="shared" si="243"/>
        <v>1.2539184952978122E-2</v>
      </c>
      <c r="AI63" s="79">
        <f t="shared" si="243"/>
        <v>1.9855595667870096E-2</v>
      </c>
      <c r="AJ63" s="79">
        <f t="shared" si="243"/>
        <v>2.5723472668810254E-2</v>
      </c>
      <c r="AK63" s="79">
        <f t="shared" si="243"/>
        <v>4.5741324921135584E-2</v>
      </c>
      <c r="AL63" s="79">
        <f t="shared" si="243"/>
        <v>8.8235294117646967E-2</v>
      </c>
      <c r="AM63" s="79">
        <f t="shared" si="243"/>
        <v>0.10265486725663719</v>
      </c>
      <c r="AN63" s="79">
        <f t="shared" si="243"/>
        <v>2.9780564263322873E-2</v>
      </c>
      <c r="AO63" s="79">
        <f t="shared" si="243"/>
        <v>-1.5082956259426794E-2</v>
      </c>
      <c r="AP63" s="79">
        <f t="shared" si="243"/>
        <v>-0.15931721194879089</v>
      </c>
      <c r="AQ63" s="79">
        <f t="shared" si="243"/>
        <v>-0.14125200642054569</v>
      </c>
      <c r="AR63" s="79">
        <f t="shared" si="243"/>
        <v>-0.17351598173515981</v>
      </c>
      <c r="AS63" s="79">
        <f t="shared" si="243"/>
        <v>-4.9999999999999933E-2</v>
      </c>
      <c r="AT63" s="79">
        <f t="shared" si="243"/>
        <v>-5.0000000000000155E-2</v>
      </c>
      <c r="AU63" s="79">
        <f t="shared" si="243"/>
        <v>-5.0000000000000044E-2</v>
      </c>
      <c r="AV63" s="79">
        <f t="shared" si="243"/>
        <v>-3.3149171270718258E-2</v>
      </c>
      <c r="AW63" s="79"/>
      <c r="AX63" s="79"/>
      <c r="AY63" s="79"/>
      <c r="AZ63" s="79"/>
      <c r="BA63" s="79"/>
      <c r="BB63" s="79"/>
      <c r="BC63" s="79"/>
      <c r="BD63" s="79"/>
      <c r="BE63" s="79"/>
      <c r="BF63" s="79"/>
      <c r="BG63" s="79"/>
      <c r="BH63" s="79"/>
      <c r="BI63" s="79"/>
      <c r="BJ63" s="79"/>
      <c r="BK63" s="79"/>
      <c r="BL63" s="79"/>
      <c r="BM63" s="79"/>
      <c r="BN63" s="79"/>
      <c r="BO63" s="79"/>
      <c r="BP63" s="79"/>
      <c r="BQ63" s="79"/>
      <c r="BR63" s="79"/>
      <c r="BS63" s="79"/>
      <c r="BT63" s="79"/>
      <c r="BU63" s="79"/>
      <c r="BV63" s="79"/>
      <c r="BW63" s="79"/>
      <c r="BX63" s="79"/>
      <c r="BY63" s="79"/>
      <c r="BZ63" s="79"/>
      <c r="CA63" s="79"/>
      <c r="CB63" s="79"/>
      <c r="CC63" s="79"/>
      <c r="CD63" s="79"/>
      <c r="CE63" s="79"/>
      <c r="CF63" s="79"/>
      <c r="CG63" s="79"/>
      <c r="CH63" s="79"/>
      <c r="CI63" s="79"/>
      <c r="CJ63" s="79"/>
      <c r="CK63" s="79"/>
      <c r="CL63" s="79"/>
      <c r="CM63" s="79"/>
      <c r="CN63" s="79"/>
      <c r="CO63" s="79"/>
      <c r="CP63" s="79"/>
      <c r="CQ63" s="79"/>
      <c r="CR63" s="79"/>
      <c r="CS63" s="79"/>
      <c r="CT63" s="79"/>
      <c r="CU63" s="79"/>
      <c r="CV63" s="79"/>
      <c r="CW63" s="79"/>
      <c r="CX63" s="79"/>
      <c r="CY63" s="79"/>
      <c r="CZ63" s="72"/>
      <c r="DA63" s="79"/>
      <c r="DB63" s="79">
        <f t="shared" ref="DB63:DI63" si="244">DB3/DA3-1</f>
        <v>7.4245821443130744E-2</v>
      </c>
      <c r="DC63" s="79">
        <f t="shared" si="244"/>
        <v>7.2055405341302725E-2</v>
      </c>
      <c r="DD63" s="79">
        <f t="shared" si="244"/>
        <v>7.7300884955752158E-2</v>
      </c>
      <c r="DE63" s="79">
        <f t="shared" si="244"/>
        <v>6.8139811886474666E-2</v>
      </c>
      <c r="DF63" s="79">
        <f t="shared" si="244"/>
        <v>-5.598707990463736E-2</v>
      </c>
      <c r="DG63" s="79">
        <f t="shared" si="244"/>
        <v>2.281059063136448E-2</v>
      </c>
      <c r="DH63" s="79">
        <f t="shared" si="244"/>
        <v>-8.7614496216646964E-3</v>
      </c>
      <c r="DI63" s="79">
        <f t="shared" si="244"/>
        <v>-1.3258336681398197E-2</v>
      </c>
      <c r="DJ63" s="79">
        <v>0.02</v>
      </c>
      <c r="DK63" s="79">
        <v>0</v>
      </c>
      <c r="DL63" s="79">
        <v>-0.1</v>
      </c>
      <c r="DM63" s="79">
        <v>-0.1</v>
      </c>
      <c r="DN63" s="79">
        <v>-0.1</v>
      </c>
      <c r="DO63" s="79">
        <v>-0.1</v>
      </c>
      <c r="DP63" s="79">
        <v>-0.1</v>
      </c>
      <c r="DQ63" s="72"/>
      <c r="DR63" s="72"/>
      <c r="DS63" s="72"/>
      <c r="DT63" s="72"/>
      <c r="DU63" s="72"/>
      <c r="DV63" s="72"/>
      <c r="DW63" s="72"/>
      <c r="DX63" s="72"/>
      <c r="DY63" s="72"/>
      <c r="DZ63" s="72"/>
      <c r="EA63" s="72"/>
      <c r="EB63" s="72"/>
      <c r="EC63" s="72"/>
      <c r="ED63" s="72"/>
      <c r="EE63" s="72"/>
    </row>
    <row r="64" spans="2:210" s="15" customFormat="1">
      <c r="B64" s="30" t="s">
        <v>440</v>
      </c>
      <c r="C64" s="82"/>
      <c r="D64" s="82"/>
      <c r="E64" s="82"/>
      <c r="F64" s="82"/>
      <c r="G64" s="82"/>
      <c r="H64" s="82"/>
      <c r="I64" s="82"/>
      <c r="J64" s="79"/>
      <c r="K64" s="86"/>
      <c r="L64" s="86">
        <f t="shared" ref="L64:AV64" si="245">L7/H7-1</f>
        <v>1.7590909090909093</v>
      </c>
      <c r="M64" s="86">
        <f t="shared" si="245"/>
        <v>1.3076923076923079</v>
      </c>
      <c r="N64" s="79">
        <f t="shared" si="245"/>
        <v>0.72971698113207539</v>
      </c>
      <c r="O64" s="79">
        <f t="shared" si="245"/>
        <v>0.52984496124031</v>
      </c>
      <c r="P64" s="79">
        <f t="shared" si="245"/>
        <v>0.40329489291598009</v>
      </c>
      <c r="Q64" s="79">
        <f t="shared" si="245"/>
        <v>0.37614678899082565</v>
      </c>
      <c r="R64" s="79">
        <f t="shared" si="245"/>
        <v>0.27897463866921202</v>
      </c>
      <c r="S64" s="79">
        <f t="shared" si="245"/>
        <v>0.26931846972384088</v>
      </c>
      <c r="T64" s="79">
        <f t="shared" si="245"/>
        <v>0.37825780699694778</v>
      </c>
      <c r="U64" s="79">
        <f t="shared" si="245"/>
        <v>0.28222222222222215</v>
      </c>
      <c r="V64" s="79">
        <f t="shared" si="245"/>
        <v>0.32835820895522394</v>
      </c>
      <c r="W64" s="79">
        <f t="shared" si="245"/>
        <v>0.21357285429141726</v>
      </c>
      <c r="X64" s="79">
        <f t="shared" si="245"/>
        <v>0.1942078364565587</v>
      </c>
      <c r="Y64" s="79">
        <f t="shared" si="245"/>
        <v>0.19584055459272087</v>
      </c>
      <c r="Z64" s="79">
        <f t="shared" si="245"/>
        <v>0.14125200642054581</v>
      </c>
      <c r="AA64" s="79">
        <f t="shared" si="245"/>
        <v>0.18256578947368429</v>
      </c>
      <c r="AB64" s="79">
        <f t="shared" si="245"/>
        <v>4.707560627674745E-2</v>
      </c>
      <c r="AC64" s="79">
        <f t="shared" si="245"/>
        <v>0.10579710144927534</v>
      </c>
      <c r="AD64" s="79">
        <f t="shared" si="245"/>
        <v>0.1026722925457102</v>
      </c>
      <c r="AE64" s="79">
        <f t="shared" si="245"/>
        <v>5.1460361613351768E-2</v>
      </c>
      <c r="AF64" s="79">
        <f t="shared" si="245"/>
        <v>0.17438692098092634</v>
      </c>
      <c r="AG64" s="79">
        <f t="shared" si="245"/>
        <v>0.11664482306684132</v>
      </c>
      <c r="AH64" s="79">
        <f t="shared" si="245"/>
        <v>8.163265306122458E-2</v>
      </c>
      <c r="AI64" s="79">
        <f t="shared" si="245"/>
        <v>2.7777777777777679E-2</v>
      </c>
      <c r="AJ64" s="79">
        <f t="shared" si="245"/>
        <v>-3.5962877030162432E-2</v>
      </c>
      <c r="AK64" s="79">
        <f t="shared" si="245"/>
        <v>2.2300469483568008E-2</v>
      </c>
      <c r="AL64" s="79">
        <f t="shared" si="245"/>
        <v>3.3018867924528239E-2</v>
      </c>
      <c r="AM64" s="79">
        <f t="shared" si="245"/>
        <v>0.11068211068211076</v>
      </c>
      <c r="AN64" s="79">
        <f t="shared" si="245"/>
        <v>3.6101083032491044E-2</v>
      </c>
      <c r="AO64" s="79">
        <f t="shared" si="245"/>
        <v>5.1664753157290466E-2</v>
      </c>
      <c r="AP64" s="79">
        <f t="shared" si="245"/>
        <v>4.7945205479452024E-2</v>
      </c>
      <c r="AQ64" s="79">
        <f t="shared" si="245"/>
        <v>8.4588644264194768E-2</v>
      </c>
      <c r="AR64" s="79">
        <f t="shared" si="245"/>
        <v>0.17886178861788626</v>
      </c>
      <c r="AS64" s="79">
        <f t="shared" si="245"/>
        <v>0</v>
      </c>
      <c r="AT64" s="79">
        <f t="shared" si="245"/>
        <v>0</v>
      </c>
      <c r="AU64" s="79">
        <f t="shared" si="245"/>
        <v>0</v>
      </c>
      <c r="AV64" s="79">
        <f t="shared" si="245"/>
        <v>0</v>
      </c>
      <c r="AW64" s="79"/>
      <c r="AX64" s="79"/>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79"/>
      <c r="BW64" s="79"/>
      <c r="BX64" s="79"/>
      <c r="BY64" s="79"/>
      <c r="BZ64" s="79"/>
      <c r="CA64" s="79"/>
      <c r="CB64" s="79"/>
      <c r="CC64" s="79"/>
      <c r="CD64" s="79"/>
      <c r="CE64" s="79"/>
      <c r="CF64" s="79"/>
      <c r="CG64" s="79"/>
      <c r="CH64" s="79"/>
      <c r="CI64" s="79"/>
      <c r="CJ64" s="79"/>
      <c r="CK64" s="79"/>
      <c r="CL64" s="79"/>
      <c r="CM64" s="79"/>
      <c r="CN64" s="79"/>
      <c r="CO64" s="79"/>
      <c r="CP64" s="79"/>
      <c r="CQ64" s="79"/>
      <c r="CR64" s="79"/>
      <c r="CS64" s="79"/>
      <c r="CT64" s="79"/>
      <c r="CU64" s="79"/>
      <c r="CV64" s="79"/>
      <c r="CW64" s="79"/>
      <c r="CX64" s="79"/>
      <c r="CY64" s="79"/>
      <c r="CZ64" s="72"/>
      <c r="DA64" s="79"/>
      <c r="DB64" s="79"/>
      <c r="DC64" s="79"/>
      <c r="DD64" s="79"/>
      <c r="DE64" s="82"/>
      <c r="DF64" s="79">
        <f>DF7/DE7-1</f>
        <v>0.31524488388135219</v>
      </c>
      <c r="DG64" s="79">
        <f>DG7/DF7-1</f>
        <v>0.18444055944055937</v>
      </c>
      <c r="DH64" s="79">
        <f>DH7/DG7-1</f>
        <v>0.10701107011070121</v>
      </c>
      <c r="DI64" s="79">
        <f>DI7/DH7-1</f>
        <v>0.10600000000000009</v>
      </c>
      <c r="DJ64" s="79">
        <v>0.08</v>
      </c>
      <c r="DK64" s="79">
        <v>0.05</v>
      </c>
      <c r="DL64" s="79">
        <v>0.02</v>
      </c>
      <c r="DM64" s="79">
        <v>0</v>
      </c>
      <c r="DN64" s="79">
        <v>0</v>
      </c>
      <c r="DO64" s="79">
        <v>0</v>
      </c>
      <c r="DP64" s="79"/>
      <c r="DQ64" s="72"/>
      <c r="DR64" s="72"/>
      <c r="DS64" s="72"/>
      <c r="DT64" s="72"/>
      <c r="DU64" s="72"/>
      <c r="DV64" s="72"/>
      <c r="DW64" s="72"/>
      <c r="DX64" s="72"/>
      <c r="DY64" s="72"/>
      <c r="DZ64" s="72"/>
      <c r="EA64" s="72"/>
      <c r="EB64" s="72"/>
      <c r="EC64" s="72"/>
      <c r="ED64" s="72"/>
      <c r="EE64" s="72"/>
    </row>
    <row r="65" spans="2:135" s="15" customFormat="1">
      <c r="B65" s="30" t="s">
        <v>723</v>
      </c>
      <c r="C65" s="82"/>
      <c r="D65" s="82"/>
      <c r="E65" s="82"/>
      <c r="F65" s="82"/>
      <c r="G65" s="79"/>
      <c r="H65" s="79"/>
      <c r="I65" s="79"/>
      <c r="J65" s="79"/>
      <c r="K65" s="79">
        <f t="shared" ref="K65:AV65" si="246">K37/G37-1</f>
        <v>0.80057230904688503</v>
      </c>
      <c r="L65" s="79">
        <f t="shared" si="246"/>
        <v>0.71883408071748889</v>
      </c>
      <c r="M65" s="79">
        <f t="shared" si="246"/>
        <v>0.54421162134046663</v>
      </c>
      <c r="N65" s="79">
        <f t="shared" si="246"/>
        <v>0.38011840157868759</v>
      </c>
      <c r="O65" s="79">
        <f t="shared" si="246"/>
        <v>0.3494498777506112</v>
      </c>
      <c r="P65" s="79">
        <f t="shared" si="246"/>
        <v>0.26830159144273402</v>
      </c>
      <c r="Q65" s="79">
        <f t="shared" si="246"/>
        <v>0.23183524203637784</v>
      </c>
      <c r="R65" s="79">
        <f t="shared" si="246"/>
        <v>0.24128686327077742</v>
      </c>
      <c r="S65" s="79">
        <f t="shared" si="246"/>
        <v>0.2388458576799386</v>
      </c>
      <c r="T65" s="79">
        <f t="shared" si="246"/>
        <v>0.26383346361130555</v>
      </c>
      <c r="U65" s="79">
        <f t="shared" si="246"/>
        <v>0.19023437499999996</v>
      </c>
      <c r="V65" s="79">
        <f t="shared" si="246"/>
        <v>0.14038876889848817</v>
      </c>
      <c r="W65" s="79">
        <f t="shared" si="246"/>
        <v>0.1433272394881171</v>
      </c>
      <c r="X65" s="79">
        <f t="shared" si="246"/>
        <v>0.13639322916666674</v>
      </c>
      <c r="Y65" s="79">
        <f t="shared" si="246"/>
        <v>0.1496553987528717</v>
      </c>
      <c r="Z65" s="79">
        <f t="shared" si="246"/>
        <v>0.17960858585858586</v>
      </c>
      <c r="AA65" s="79">
        <f t="shared" si="246"/>
        <v>0.1400703549728175</v>
      </c>
      <c r="AB65" s="79">
        <f t="shared" si="246"/>
        <v>3.2368948725293611E-2</v>
      </c>
      <c r="AC65" s="79">
        <f t="shared" si="246"/>
        <v>5.9948615472451561E-3</v>
      </c>
      <c r="AD65" s="79">
        <f t="shared" si="246"/>
        <v>-3.184372491303189E-2</v>
      </c>
      <c r="AE65" s="79">
        <f t="shared" si="246"/>
        <v>-7.8541374474053738E-3</v>
      </c>
      <c r="AF65" s="79">
        <f t="shared" si="246"/>
        <v>2.441731409544956E-2</v>
      </c>
      <c r="AG65" s="79">
        <f t="shared" si="246"/>
        <v>7.3779795686719662E-2</v>
      </c>
      <c r="AH65" s="79">
        <f t="shared" si="246"/>
        <v>1.5478164731896005E-2</v>
      </c>
      <c r="AI65" s="79">
        <f t="shared" si="246"/>
        <v>-8.4534916595985332E-2</v>
      </c>
      <c r="AJ65" s="79">
        <f t="shared" si="246"/>
        <v>-1.5709642470205898E-2</v>
      </c>
      <c r="AK65" s="79">
        <f t="shared" si="246"/>
        <v>-1.2684989429175508E-2</v>
      </c>
      <c r="AL65" s="79">
        <f t="shared" si="246"/>
        <v>1.8780620577027785E-2</v>
      </c>
      <c r="AM65" s="79">
        <f t="shared" si="246"/>
        <v>8.9561457689931956E-2</v>
      </c>
      <c r="AN65" s="79">
        <f t="shared" si="246"/>
        <v>-5.778756191524459E-3</v>
      </c>
      <c r="AO65" s="79">
        <f t="shared" si="246"/>
        <v>6.1563169164882137E-3</v>
      </c>
      <c r="AP65" s="79">
        <f t="shared" si="246"/>
        <v>4.5418113812449867E-3</v>
      </c>
      <c r="AQ65" s="79">
        <f t="shared" si="246"/>
        <v>2.5510204081632626E-2</v>
      </c>
      <c r="AR65" s="79">
        <f t="shared" si="246"/>
        <v>7.4453362856351957E-2</v>
      </c>
      <c r="AS65" s="79">
        <f t="shared" si="246"/>
        <v>6.7039106145250216E-3</v>
      </c>
      <c r="AT65" s="79">
        <f t="shared" si="246"/>
        <v>-3.2446808510637748E-3</v>
      </c>
      <c r="AU65" s="79">
        <f t="shared" si="246"/>
        <v>-1.0433941404090707E-2</v>
      </c>
      <c r="AV65" s="79">
        <f t="shared" si="246"/>
        <v>7.4961360123647625E-2</v>
      </c>
      <c r="AW65" s="79"/>
      <c r="AX65" s="79"/>
      <c r="AY65" s="79"/>
      <c r="AZ65" s="79"/>
      <c r="BA65" s="79"/>
      <c r="BB65" s="79"/>
      <c r="BC65" s="79"/>
      <c r="BD65" s="79"/>
      <c r="BE65" s="79"/>
      <c r="BF65" s="79"/>
      <c r="BG65" s="79"/>
      <c r="BH65" s="79"/>
      <c r="BI65" s="79"/>
      <c r="BJ65" s="79"/>
      <c r="BK65" s="79"/>
      <c r="BL65" s="79"/>
      <c r="BM65" s="79"/>
      <c r="BN65" s="79"/>
      <c r="BO65" s="79"/>
      <c r="BP65" s="79"/>
      <c r="BQ65" s="79"/>
      <c r="BR65" s="79"/>
      <c r="BS65" s="79"/>
      <c r="BT65" s="79"/>
      <c r="BU65" s="79"/>
      <c r="BV65" s="79"/>
      <c r="BW65" s="79"/>
      <c r="BX65" s="79"/>
      <c r="BY65" s="79"/>
      <c r="BZ65" s="79"/>
      <c r="CA65" s="79"/>
      <c r="CB65" s="79"/>
      <c r="CC65" s="79"/>
      <c r="CD65" s="79"/>
      <c r="CE65" s="79"/>
      <c r="CF65" s="79"/>
      <c r="CG65" s="79"/>
      <c r="CH65" s="79"/>
      <c r="CI65" s="79"/>
      <c r="CJ65" s="79"/>
      <c r="CK65" s="79"/>
      <c r="CL65" s="79"/>
      <c r="CM65" s="79"/>
      <c r="CN65" s="79"/>
      <c r="CO65" s="79"/>
      <c r="CP65" s="79"/>
      <c r="CQ65" s="79"/>
      <c r="CR65" s="79"/>
      <c r="CS65" s="79"/>
      <c r="CT65" s="79"/>
      <c r="CU65" s="79"/>
      <c r="CV65" s="79"/>
      <c r="CW65" s="79"/>
      <c r="CX65" s="79"/>
      <c r="CY65" s="79"/>
      <c r="CZ65" s="72"/>
      <c r="DA65" s="79"/>
      <c r="DB65" s="79"/>
      <c r="DC65" s="79"/>
      <c r="DD65" s="79"/>
      <c r="DE65" s="82"/>
      <c r="DF65" s="79">
        <f t="shared" ref="DF65:DO65" si="247">DF37/DE37-1</f>
        <v>0.20494075824871261</v>
      </c>
      <c r="DG65" s="79">
        <f t="shared" si="247"/>
        <v>0.1527200133089337</v>
      </c>
      <c r="DH65" s="79">
        <f t="shared" si="247"/>
        <v>3.268869966806176E-2</v>
      </c>
      <c r="DI65" s="79">
        <f t="shared" si="247"/>
        <v>2.6273495912235267E-2</v>
      </c>
      <c r="DJ65" s="79">
        <f t="shared" si="247"/>
        <v>-2.2877374548920804E-2</v>
      </c>
      <c r="DK65" s="79">
        <f t="shared" si="247"/>
        <v>2.1531600585324995E-2</v>
      </c>
      <c r="DL65" s="79">
        <f t="shared" si="247"/>
        <v>3.635743519781709E-2</v>
      </c>
      <c r="DM65" s="79">
        <f t="shared" si="247"/>
        <v>-9.0188902784177016E-2</v>
      </c>
      <c r="DN65" s="79">
        <f t="shared" si="247"/>
        <v>6.6007114353428653E-2</v>
      </c>
      <c r="DO65" s="79">
        <f t="shared" si="247"/>
        <v>-5.7664602635308926E-2</v>
      </c>
      <c r="DP65" s="79"/>
      <c r="DQ65" s="72"/>
      <c r="DR65" s="72"/>
      <c r="DS65" s="72"/>
      <c r="DT65" s="72"/>
      <c r="DU65" s="72"/>
      <c r="DV65" s="72"/>
      <c r="DW65" s="72"/>
      <c r="DX65" s="72"/>
      <c r="DY65" s="72"/>
      <c r="DZ65" s="72"/>
      <c r="EA65" s="72"/>
      <c r="EB65" s="72"/>
      <c r="EC65" s="72"/>
      <c r="ED65" s="72"/>
      <c r="EE65" s="72"/>
    </row>
    <row r="66" spans="2:135" s="15" customFormat="1">
      <c r="B66" s="30" t="s">
        <v>725</v>
      </c>
      <c r="C66" s="82"/>
      <c r="D66" s="82"/>
      <c r="E66" s="82"/>
      <c r="F66" s="82"/>
      <c r="G66" s="82"/>
      <c r="H66" s="82"/>
      <c r="I66" s="82"/>
      <c r="J66" s="82"/>
      <c r="K66" s="82"/>
      <c r="L66" s="82"/>
      <c r="M66" s="79">
        <f t="shared" ref="M66:AV66" si="248">M38/I38-1</f>
        <v>-0.15309446254071657</v>
      </c>
      <c r="N66" s="79">
        <f t="shared" si="248"/>
        <v>-0.2484429065743945</v>
      </c>
      <c r="O66" s="79">
        <f t="shared" si="248"/>
        <v>7.901037509976061E-2</v>
      </c>
      <c r="P66" s="79">
        <f t="shared" si="248"/>
        <v>0.23515248796147681</v>
      </c>
      <c r="Q66" s="79">
        <f t="shared" si="248"/>
        <v>0.17692307692307696</v>
      </c>
      <c r="R66" s="79">
        <f t="shared" si="248"/>
        <v>0.20626151012891358</v>
      </c>
      <c r="S66" s="79">
        <f t="shared" si="248"/>
        <v>-0.2751479289940828</v>
      </c>
      <c r="T66" s="79">
        <f t="shared" si="248"/>
        <v>-0.35022742040285904</v>
      </c>
      <c r="U66" s="79">
        <f t="shared" si="248"/>
        <v>-0.30065359477124187</v>
      </c>
      <c r="V66" s="79">
        <f t="shared" si="248"/>
        <v>-0.2137404580152672</v>
      </c>
      <c r="W66" s="79">
        <f t="shared" si="248"/>
        <v>-8.1632653061224469E-2</v>
      </c>
      <c r="X66" s="79">
        <f t="shared" si="248"/>
        <v>0.12999999999999989</v>
      </c>
      <c r="Y66" s="79">
        <f t="shared" si="248"/>
        <v>1.8691588785046731E-2</v>
      </c>
      <c r="Z66" s="79">
        <f t="shared" si="248"/>
        <v>-4.8543689320388328E-2</v>
      </c>
      <c r="AA66" s="79">
        <f t="shared" si="248"/>
        <v>0.35555555555555562</v>
      </c>
      <c r="AB66" s="79">
        <f t="shared" si="248"/>
        <v>9.7345132743362761E-2</v>
      </c>
      <c r="AC66" s="79">
        <f t="shared" si="248"/>
        <v>-0.20183486238532111</v>
      </c>
      <c r="AD66" s="79">
        <f t="shared" si="248"/>
        <v>0.29591836734693877</v>
      </c>
      <c r="AE66" s="79">
        <f t="shared" si="248"/>
        <v>-0.37704918032786883</v>
      </c>
      <c r="AF66" s="79">
        <f t="shared" si="248"/>
        <v>-0.41935483870967738</v>
      </c>
      <c r="AG66" s="79">
        <f t="shared" si="248"/>
        <v>4.5977011494252817E-2</v>
      </c>
      <c r="AH66" s="79">
        <f t="shared" si="248"/>
        <v>-0.39370078740157477</v>
      </c>
      <c r="AI66" s="79">
        <f t="shared" si="248"/>
        <v>-7.8947368421052655E-2</v>
      </c>
      <c r="AJ66" s="79">
        <f t="shared" si="248"/>
        <v>9.7222222222222321E-2</v>
      </c>
      <c r="AK66" s="79">
        <f t="shared" si="248"/>
        <v>-0.1648351648351648</v>
      </c>
      <c r="AL66" s="79">
        <f t="shared" si="248"/>
        <v>-0.1428571428571429</v>
      </c>
      <c r="AM66" s="79">
        <f t="shared" si="248"/>
        <v>-8.5714285714285743E-2</v>
      </c>
      <c r="AN66" s="79">
        <f t="shared" si="248"/>
        <v>1.4177215189873418</v>
      </c>
      <c r="AO66" s="79">
        <f t="shared" si="248"/>
        <v>-0.25</v>
      </c>
      <c r="AP66" s="79">
        <f t="shared" si="248"/>
        <v>0.22727272727272729</v>
      </c>
      <c r="AQ66" s="79">
        <f t="shared" si="248"/>
        <v>0.375</v>
      </c>
      <c r="AR66" s="79">
        <f t="shared" si="248"/>
        <v>-0.59685863874345557</v>
      </c>
      <c r="AS66" s="79">
        <f t="shared" si="248"/>
        <v>0.35087719298245612</v>
      </c>
      <c r="AT66" s="79">
        <f t="shared" si="248"/>
        <v>-4.9382716049382713E-2</v>
      </c>
      <c r="AU66" s="79">
        <f t="shared" si="248"/>
        <v>-0.125</v>
      </c>
      <c r="AV66" s="79">
        <f t="shared" si="248"/>
        <v>2.948051948051948</v>
      </c>
      <c r="AW66" s="79"/>
      <c r="AX66" s="79"/>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79"/>
      <c r="BW66" s="79"/>
      <c r="BX66" s="79"/>
      <c r="BY66" s="79"/>
      <c r="BZ66" s="79"/>
      <c r="CA66" s="79"/>
      <c r="CB66" s="79"/>
      <c r="CC66" s="79"/>
      <c r="CD66" s="79"/>
      <c r="CE66" s="79"/>
      <c r="CF66" s="79"/>
      <c r="CG66" s="79"/>
      <c r="CH66" s="79"/>
      <c r="CI66" s="79"/>
      <c r="CJ66" s="79"/>
      <c r="CK66" s="79"/>
      <c r="CL66" s="79"/>
      <c r="CM66" s="79"/>
      <c r="CN66" s="79"/>
      <c r="CO66" s="79"/>
      <c r="CP66" s="79"/>
      <c r="CQ66" s="79"/>
      <c r="CR66" s="79"/>
      <c r="CS66" s="79"/>
      <c r="CT66" s="79"/>
      <c r="CU66" s="79"/>
      <c r="CV66" s="79"/>
      <c r="CW66" s="79"/>
      <c r="CX66" s="79"/>
      <c r="CY66" s="79"/>
      <c r="CZ66" s="72"/>
      <c r="DA66" s="79"/>
      <c r="DB66" s="79"/>
      <c r="DC66" s="79"/>
      <c r="DD66" s="79"/>
      <c r="DE66" s="82"/>
      <c r="DF66" s="79">
        <f>DF38/DE38-1</f>
        <v>-0.28808235909963364</v>
      </c>
      <c r="DG66" s="79">
        <f>DG38/DF38-1</f>
        <v>4.9019607843137081E-3</v>
      </c>
      <c r="DH66" s="79">
        <v>0</v>
      </c>
      <c r="DI66" s="79">
        <v>0</v>
      </c>
      <c r="DJ66" s="79">
        <v>0.05</v>
      </c>
      <c r="DK66" s="79">
        <v>0.02</v>
      </c>
      <c r="DL66" s="79">
        <v>0.02</v>
      </c>
      <c r="DM66" s="79">
        <v>0.02</v>
      </c>
      <c r="DN66" s="79">
        <v>0.02</v>
      </c>
      <c r="DO66" s="79">
        <v>0.02</v>
      </c>
      <c r="DP66" s="79"/>
      <c r="DQ66" s="72"/>
      <c r="DR66" s="72"/>
      <c r="DS66" s="72"/>
      <c r="DT66" s="72"/>
      <c r="DU66" s="72"/>
      <c r="DV66" s="72"/>
      <c r="DW66" s="72"/>
      <c r="DX66" s="72"/>
      <c r="DY66" s="72"/>
      <c r="DZ66" s="72"/>
      <c r="EA66" s="72"/>
      <c r="EB66" s="72"/>
      <c r="EC66" s="72"/>
      <c r="ED66" s="92" t="s">
        <v>1113</v>
      </c>
      <c r="EE66" s="72"/>
    </row>
    <row r="67" spans="2:135" s="15" customFormat="1">
      <c r="B67" s="30" t="s">
        <v>1124</v>
      </c>
      <c r="C67" s="82"/>
      <c r="D67" s="82"/>
      <c r="E67" s="82"/>
      <c r="F67" s="82"/>
      <c r="G67" s="82"/>
      <c r="H67" s="82"/>
      <c r="I67" s="82"/>
      <c r="J67" s="82"/>
      <c r="K67" s="82"/>
      <c r="L67" s="82"/>
      <c r="M67" s="79"/>
      <c r="N67" s="79"/>
      <c r="O67" s="79"/>
      <c r="P67" s="79"/>
      <c r="Q67" s="79"/>
      <c r="R67" s="79"/>
      <c r="S67" s="79"/>
      <c r="T67" s="79"/>
      <c r="U67" s="79"/>
      <c r="V67" s="79"/>
      <c r="W67" s="79"/>
      <c r="X67" s="79"/>
      <c r="Y67" s="79"/>
      <c r="Z67" s="79"/>
      <c r="AA67" s="72"/>
      <c r="AB67" s="72"/>
      <c r="AC67" s="72"/>
      <c r="AD67" s="72"/>
      <c r="AE67" s="72"/>
      <c r="AF67" s="72"/>
      <c r="AG67" s="72"/>
      <c r="AH67" s="72"/>
      <c r="AI67" s="72"/>
      <c r="AJ67" s="72"/>
      <c r="AK67" s="72"/>
      <c r="AL67" s="72"/>
      <c r="AM67" s="72"/>
      <c r="AN67" s="72"/>
      <c r="AO67" s="72"/>
      <c r="AP67" s="72"/>
      <c r="AQ67" s="72"/>
      <c r="AR67" s="72"/>
      <c r="AS67" s="86">
        <f>+AS19/AO19-1</f>
        <v>3.9000000000000004</v>
      </c>
      <c r="AT67" s="86">
        <f>+AT19/AP19-1</f>
        <v>1.7000000000000002</v>
      </c>
      <c r="AU67" s="86">
        <f>+AU19/AQ19-1</f>
        <v>1.1851851851851851</v>
      </c>
      <c r="AV67" s="86">
        <f>+AV19/AR19-1</f>
        <v>1.7272727272727271</v>
      </c>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62"/>
      <c r="CG67" s="62">
        <f t="shared" ref="CG67:CI67" si="249">+CG19/CC19-1</f>
        <v>0.14550641940085596</v>
      </c>
      <c r="CH67" s="62">
        <f t="shared" si="249"/>
        <v>0.16555407209612816</v>
      </c>
      <c r="CI67" s="62">
        <f t="shared" si="249"/>
        <v>0.12401055408970985</v>
      </c>
      <c r="CJ67" s="62">
        <f>+CJ19/CF19-1</f>
        <v>0.13267813267813278</v>
      </c>
      <c r="CK67" s="62">
        <f t="shared" ref="CK67:CP67" si="250">+CK19/CG19-1</f>
        <v>7.3474470734744779E-2</v>
      </c>
      <c r="CL67" s="62">
        <f t="shared" si="250"/>
        <v>0.13631156930125998</v>
      </c>
      <c r="CM67" s="62">
        <f t="shared" si="250"/>
        <v>8.8028169014084501E-2</v>
      </c>
      <c r="CN67" s="62">
        <f t="shared" si="250"/>
        <v>0.11496746203904551</v>
      </c>
      <c r="CO67" s="62">
        <f t="shared" si="250"/>
        <v>0.14385150812064973</v>
      </c>
      <c r="CP67" s="62">
        <f t="shared" si="250"/>
        <v>0.11592741935483875</v>
      </c>
      <c r="CQ67" s="62"/>
      <c r="CR67" s="62"/>
      <c r="CS67" s="62"/>
      <c r="CT67" s="62"/>
      <c r="CU67" s="62"/>
      <c r="CV67" s="62"/>
      <c r="CW67" s="62"/>
      <c r="CX67" s="72"/>
      <c r="CY67" s="72"/>
      <c r="CZ67" s="72"/>
      <c r="DA67" s="79"/>
      <c r="DB67" s="79"/>
      <c r="DC67" s="79"/>
      <c r="DD67" s="79"/>
      <c r="DE67" s="82"/>
      <c r="DF67" s="79"/>
      <c r="DG67" s="79"/>
      <c r="DH67" s="79"/>
      <c r="DI67" s="79"/>
      <c r="DJ67" s="79"/>
      <c r="DK67" s="79">
        <v>0.9</v>
      </c>
      <c r="DL67" s="79">
        <v>0.7</v>
      </c>
      <c r="DM67" s="79">
        <v>0.5</v>
      </c>
      <c r="DN67" s="79">
        <v>0.3</v>
      </c>
      <c r="DO67" s="79">
        <v>0.1</v>
      </c>
      <c r="DP67" s="79"/>
      <c r="DQ67" s="72"/>
      <c r="DR67" s="72"/>
      <c r="DS67" s="72"/>
      <c r="DT67" s="72"/>
      <c r="DU67" s="72"/>
      <c r="DV67" s="72"/>
      <c r="DW67" s="72"/>
      <c r="DX67" s="72"/>
      <c r="DY67" s="72"/>
      <c r="DZ67" s="72"/>
      <c r="EA67" s="72"/>
      <c r="EB67" s="72"/>
      <c r="EC67" s="72"/>
      <c r="ED67" s="37" t="s">
        <v>1115</v>
      </c>
      <c r="EE67" s="72"/>
    </row>
    <row r="68" spans="2:135" s="15" customFormat="1">
      <c r="B68" s="30" t="s">
        <v>949</v>
      </c>
      <c r="C68" s="82"/>
      <c r="D68" s="82"/>
      <c r="E68" s="82"/>
      <c r="F68" s="82"/>
      <c r="G68" s="82"/>
      <c r="H68" s="82"/>
      <c r="I68" s="82"/>
      <c r="J68" s="82"/>
      <c r="K68" s="82"/>
      <c r="L68" s="82"/>
      <c r="M68" s="79"/>
      <c r="N68" s="79"/>
      <c r="O68" s="79"/>
      <c r="P68" s="79"/>
      <c r="Q68" s="79"/>
      <c r="R68" s="79"/>
      <c r="S68" s="79"/>
      <c r="T68" s="79"/>
      <c r="U68" s="79"/>
      <c r="V68" s="79"/>
      <c r="W68" s="79"/>
      <c r="X68" s="79"/>
      <c r="Y68" s="79"/>
      <c r="Z68" s="79"/>
      <c r="AA68" s="72"/>
      <c r="AB68" s="72"/>
      <c r="AC68" s="72"/>
      <c r="AD68" s="72"/>
      <c r="AE68" s="72"/>
      <c r="AF68" s="72"/>
      <c r="AG68" s="72"/>
      <c r="AH68" s="72"/>
      <c r="AI68" s="72"/>
      <c r="AJ68" s="72"/>
      <c r="AK68" s="72"/>
      <c r="AL68" s="72"/>
      <c r="AM68" s="72"/>
      <c r="AN68" s="72"/>
      <c r="AO68" s="72"/>
      <c r="AP68" s="72"/>
      <c r="AQ68" s="72"/>
      <c r="AR68" s="72"/>
      <c r="AS68" s="72"/>
      <c r="AT68" s="72"/>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c r="BW68" s="72"/>
      <c r="BX68" s="72"/>
      <c r="BY68" s="72"/>
      <c r="BZ68" s="72"/>
      <c r="CA68" s="72"/>
      <c r="CB68" s="72"/>
      <c r="CC68" s="72"/>
      <c r="CD68" s="72"/>
      <c r="CE68" s="72"/>
      <c r="CF68" s="72"/>
      <c r="CG68" s="72"/>
      <c r="CH68" s="72"/>
      <c r="CI68" s="72"/>
      <c r="CJ68" s="72"/>
      <c r="CK68" s="72"/>
      <c r="CL68" s="72"/>
      <c r="CM68" s="72"/>
      <c r="CN68" s="72"/>
      <c r="CO68" s="72"/>
      <c r="CP68" s="72"/>
      <c r="CQ68" s="72"/>
      <c r="CR68" s="72"/>
      <c r="CS68" s="72"/>
      <c r="CT68" s="72"/>
      <c r="CU68" s="72"/>
      <c r="CV68" s="72"/>
      <c r="CW68" s="72"/>
      <c r="CX68" s="72"/>
      <c r="CY68" s="72"/>
      <c r="CZ68" s="72"/>
      <c r="DA68" s="79"/>
      <c r="DB68" s="79"/>
      <c r="DC68" s="79"/>
      <c r="DD68" s="79"/>
      <c r="DE68" s="82"/>
      <c r="DF68" s="79"/>
      <c r="DG68" s="79"/>
      <c r="DH68" s="86">
        <f>DH18/DG18-1</f>
        <v>3.3589743589743586</v>
      </c>
      <c r="DI68" s="79">
        <v>0.1</v>
      </c>
      <c r="DJ68" s="79">
        <v>0.05</v>
      </c>
      <c r="DK68" s="79">
        <v>0.05</v>
      </c>
      <c r="DL68" s="79">
        <v>0.05</v>
      </c>
      <c r="DM68" s="79">
        <v>0.05</v>
      </c>
      <c r="DN68" s="79"/>
      <c r="DO68" s="79"/>
      <c r="DP68" s="79"/>
      <c r="DQ68" s="72"/>
      <c r="DR68" s="72"/>
      <c r="DS68" s="72"/>
      <c r="DT68" s="72"/>
      <c r="DU68" s="72"/>
      <c r="DV68" s="72"/>
      <c r="DW68" s="72"/>
      <c r="DX68" s="72"/>
      <c r="DY68" s="72"/>
      <c r="DZ68" s="72"/>
      <c r="EA68" s="72"/>
      <c r="EB68" s="72"/>
      <c r="EC68" s="72"/>
      <c r="ED68" s="37" t="s">
        <v>1116</v>
      </c>
      <c r="EE68" s="72"/>
    </row>
    <row r="69" spans="2:135" s="15" customFormat="1">
      <c r="B69" s="30" t="s">
        <v>1132</v>
      </c>
      <c r="C69" s="82"/>
      <c r="D69" s="82"/>
      <c r="E69" s="82"/>
      <c r="F69" s="82"/>
      <c r="G69" s="82"/>
      <c r="H69" s="82"/>
      <c r="I69" s="82"/>
      <c r="J69" s="82"/>
      <c r="K69" s="82"/>
      <c r="L69" s="82"/>
      <c r="M69" s="79"/>
      <c r="N69" s="79"/>
      <c r="O69" s="79"/>
      <c r="P69" s="79"/>
      <c r="Q69" s="79"/>
      <c r="R69" s="79"/>
      <c r="S69" s="79"/>
      <c r="T69" s="79"/>
      <c r="U69" s="79"/>
      <c r="V69" s="79"/>
      <c r="W69" s="79"/>
      <c r="X69" s="79"/>
      <c r="Y69" s="79"/>
      <c r="Z69" s="79"/>
      <c r="AA69" s="72"/>
      <c r="AB69" s="72"/>
      <c r="AC69" s="72"/>
      <c r="AD69" s="72"/>
      <c r="AE69" s="72"/>
      <c r="AF69" s="72"/>
      <c r="AG69" s="72"/>
      <c r="AH69" s="72"/>
      <c r="AI69" s="72"/>
      <c r="AJ69" s="72"/>
      <c r="AK69" s="72"/>
      <c r="AL69" s="72"/>
      <c r="AM69" s="72"/>
      <c r="AN69" s="72"/>
      <c r="AO69" s="72"/>
      <c r="AP69" s="72"/>
      <c r="AQ69" s="72"/>
      <c r="AR69" s="72"/>
      <c r="AS69" s="86"/>
      <c r="AT69" s="86">
        <f>+AT20/AP20-1</f>
        <v>9.375</v>
      </c>
      <c r="AU69" s="86">
        <f>+AU20/AQ20-1</f>
        <v>1.0952380952380953</v>
      </c>
      <c r="AV69" s="86">
        <f>+AV20/AR20-1</f>
        <v>1.452054794520548</v>
      </c>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c r="CD69" s="72"/>
      <c r="CE69" s="72"/>
      <c r="CF69" s="72"/>
      <c r="CG69" s="62">
        <f t="shared" ref="CG69:CI69" si="251">+CG20/CC20-1</f>
        <v>7.4844074844074848E-2</v>
      </c>
      <c r="CH69" s="62">
        <f t="shared" si="251"/>
        <v>8.5657370517928211E-2</v>
      </c>
      <c r="CI69" s="62">
        <f t="shared" si="251"/>
        <v>7.2649572649572614E-2</v>
      </c>
      <c r="CJ69" s="62">
        <f>+CJ20/CF20-1</f>
        <v>9.2213114754098324E-2</v>
      </c>
      <c r="CK69" s="62">
        <f t="shared" ref="CK69:CP69" si="252">+CK20/CG20-1</f>
        <v>-4.2553191489361653E-2</v>
      </c>
      <c r="CL69" s="62">
        <f t="shared" si="252"/>
        <v>-0.11192660550458711</v>
      </c>
      <c r="CM69" s="62">
        <f t="shared" si="252"/>
        <v>6.7729083665338585E-2</v>
      </c>
      <c r="CN69" s="62">
        <f t="shared" si="252"/>
        <v>-5.6285178236398226E-3</v>
      </c>
      <c r="CO69" s="62">
        <f t="shared" si="252"/>
        <v>4.8484848484848575E-2</v>
      </c>
      <c r="CP69" s="62">
        <f t="shared" si="252"/>
        <v>8.8842975206611552E-2</v>
      </c>
      <c r="CQ69" s="62"/>
      <c r="CR69" s="62"/>
      <c r="CS69" s="62"/>
      <c r="CT69" s="62"/>
      <c r="CU69" s="62"/>
      <c r="CV69" s="62"/>
      <c r="CW69" s="62"/>
      <c r="CX69" s="72"/>
      <c r="CY69" s="72"/>
      <c r="CZ69" s="72"/>
      <c r="DA69" s="79"/>
      <c r="DB69" s="79"/>
      <c r="DC69" s="79"/>
      <c r="DD69" s="79"/>
      <c r="DE69" s="82"/>
      <c r="DF69" s="79"/>
      <c r="DG69" s="79"/>
      <c r="DH69" s="79"/>
      <c r="DI69" s="79"/>
      <c r="DJ69" s="79"/>
      <c r="DK69" s="79"/>
      <c r="DL69" s="79"/>
      <c r="DM69" s="79"/>
      <c r="DN69" s="79"/>
      <c r="DO69" s="79"/>
      <c r="DP69" s="79"/>
      <c r="DQ69" s="72"/>
      <c r="DR69" s="72"/>
      <c r="DS69" s="72"/>
      <c r="DT69" s="72"/>
      <c r="DU69" s="72"/>
      <c r="DV69" s="72"/>
      <c r="DW69" s="72"/>
      <c r="DX69" s="72"/>
      <c r="DY69" s="72"/>
      <c r="DZ69" s="72"/>
      <c r="EA69" s="72"/>
      <c r="EB69" s="72"/>
      <c r="EC69" s="72"/>
      <c r="ED69" s="37" t="s">
        <v>1117</v>
      </c>
      <c r="EE69" s="72"/>
    </row>
    <row r="70" spans="2:135" s="15" customFormat="1">
      <c r="B70" s="30" t="s">
        <v>27</v>
      </c>
      <c r="C70" s="82"/>
      <c r="D70" s="82"/>
      <c r="E70" s="82"/>
      <c r="F70" s="82"/>
      <c r="G70" s="82"/>
      <c r="H70" s="82"/>
      <c r="I70" s="82"/>
      <c r="J70" s="82"/>
      <c r="K70" s="82"/>
      <c r="L70" s="82"/>
      <c r="M70" s="79"/>
      <c r="N70" s="79"/>
      <c r="O70" s="79"/>
      <c r="P70" s="79"/>
      <c r="Q70" s="79"/>
      <c r="R70" s="79"/>
      <c r="S70" s="79"/>
      <c r="T70" s="86">
        <f t="shared" ref="T70:AV70" si="253">T16/P16-1</f>
        <v>10.612903225806452</v>
      </c>
      <c r="U70" s="86">
        <f t="shared" si="253"/>
        <v>3.2</v>
      </c>
      <c r="V70" s="86">
        <f t="shared" si="253"/>
        <v>1.6842105263157894</v>
      </c>
      <c r="W70" s="86">
        <f t="shared" si="253"/>
        <v>1.2592592592592591</v>
      </c>
      <c r="X70" s="86">
        <f t="shared" si="253"/>
        <v>1.1944444444444446</v>
      </c>
      <c r="Y70" s="79">
        <f t="shared" si="253"/>
        <v>0.97619047619047628</v>
      </c>
      <c r="Z70" s="79">
        <f t="shared" si="253"/>
        <v>0.92156862745098045</v>
      </c>
      <c r="AA70" s="79">
        <f t="shared" si="253"/>
        <v>0.72131147540983598</v>
      </c>
      <c r="AB70" s="79">
        <f t="shared" si="253"/>
        <v>0.36708860759493667</v>
      </c>
      <c r="AC70" s="79">
        <f t="shared" si="253"/>
        <v>0.46987951807228923</v>
      </c>
      <c r="AD70" s="79">
        <f t="shared" si="253"/>
        <v>0.30612244897959173</v>
      </c>
      <c r="AE70" s="79">
        <f t="shared" si="253"/>
        <v>0.26666666666666661</v>
      </c>
      <c r="AF70" s="79">
        <f t="shared" si="253"/>
        <v>0.38888888888888884</v>
      </c>
      <c r="AG70" s="79">
        <f t="shared" si="253"/>
        <v>0.31967213114754101</v>
      </c>
      <c r="AH70" s="79">
        <f t="shared" si="253"/>
        <v>0.1953125</v>
      </c>
      <c r="AI70" s="79">
        <f t="shared" si="253"/>
        <v>0.11278195488721798</v>
      </c>
      <c r="AJ70" s="79">
        <f t="shared" si="253"/>
        <v>0.11333333333333329</v>
      </c>
      <c r="AK70" s="79">
        <f t="shared" si="253"/>
        <v>2.4844720496894457E-2</v>
      </c>
      <c r="AL70" s="79">
        <f t="shared" si="253"/>
        <v>0.11764705882352944</v>
      </c>
      <c r="AM70" s="79">
        <f t="shared" si="253"/>
        <v>0.20945945945945943</v>
      </c>
      <c r="AN70" s="79">
        <f t="shared" si="253"/>
        <v>2.9940119760478945E-2</v>
      </c>
      <c r="AO70" s="79">
        <f t="shared" si="253"/>
        <v>6.0606060606060552E-2</v>
      </c>
      <c r="AP70" s="79">
        <f t="shared" si="253"/>
        <v>9.9415204678362512E-2</v>
      </c>
      <c r="AQ70" s="79">
        <f t="shared" si="253"/>
        <v>4.4692737430167551E-2</v>
      </c>
      <c r="AR70" s="79">
        <f t="shared" si="253"/>
        <v>0.15697674418604657</v>
      </c>
      <c r="AS70" s="79">
        <f t="shared" si="253"/>
        <v>0.13714285714285723</v>
      </c>
      <c r="AT70" s="79">
        <f t="shared" si="253"/>
        <v>5.8510638297872397E-2</v>
      </c>
      <c r="AU70" s="79">
        <f t="shared" si="253"/>
        <v>6.4171122994652441E-2</v>
      </c>
      <c r="AV70" s="79">
        <f t="shared" si="253"/>
        <v>0.16582914572864316</v>
      </c>
      <c r="AW70" s="79"/>
      <c r="AX70" s="79"/>
      <c r="AY70" s="79"/>
      <c r="AZ70" s="79"/>
      <c r="BA70" s="79"/>
      <c r="BB70" s="79"/>
      <c r="BC70" s="79"/>
      <c r="BD70" s="79"/>
      <c r="BE70" s="79"/>
      <c r="BF70" s="79"/>
      <c r="BG70" s="79"/>
      <c r="BH70" s="79"/>
      <c r="BI70" s="79"/>
      <c r="BJ70" s="79"/>
      <c r="BK70" s="79"/>
      <c r="BL70" s="79"/>
      <c r="BM70" s="79"/>
      <c r="BN70" s="79"/>
      <c r="BO70" s="79"/>
      <c r="BP70" s="79"/>
      <c r="BQ70" s="79"/>
      <c r="BR70" s="79"/>
      <c r="BS70" s="79"/>
      <c r="BT70" s="79"/>
      <c r="BU70" s="79"/>
      <c r="BV70" s="79"/>
      <c r="BW70" s="79"/>
      <c r="BX70" s="79"/>
      <c r="BY70" s="79"/>
      <c r="BZ70" s="79"/>
      <c r="CA70" s="79"/>
      <c r="CB70" s="79"/>
      <c r="CC70" s="79"/>
      <c r="CD70" s="79"/>
      <c r="CE70" s="79"/>
      <c r="CF70" s="79"/>
      <c r="CG70" s="79"/>
      <c r="CH70" s="79"/>
      <c r="CI70" s="79"/>
      <c r="CJ70" s="79"/>
      <c r="CK70" s="79"/>
      <c r="CL70" s="79"/>
      <c r="CM70" s="79"/>
      <c r="CN70" s="79"/>
      <c r="CO70" s="79"/>
      <c r="CP70" s="79"/>
      <c r="CQ70" s="79"/>
      <c r="CR70" s="79"/>
      <c r="CS70" s="79"/>
      <c r="CT70" s="79"/>
      <c r="CU70" s="79"/>
      <c r="CV70" s="79"/>
      <c r="CW70" s="79"/>
      <c r="CX70" s="79"/>
      <c r="CY70" s="79"/>
      <c r="CZ70" s="72"/>
      <c r="DA70" s="79"/>
      <c r="DB70" s="79"/>
      <c r="DC70" s="79"/>
      <c r="DD70" s="79"/>
      <c r="DE70" s="82"/>
      <c r="DF70" s="79"/>
      <c r="DG70" s="79"/>
      <c r="DH70" s="79">
        <f>DH16/DG16-1</f>
        <v>0.44236760124610597</v>
      </c>
      <c r="DI70" s="79">
        <v>0.2</v>
      </c>
      <c r="DJ70" s="79">
        <v>0.15</v>
      </c>
      <c r="DK70" s="79">
        <v>0.1</v>
      </c>
      <c r="DL70" s="79">
        <v>0.08</v>
      </c>
      <c r="DM70" s="79">
        <v>0.02</v>
      </c>
      <c r="DN70" s="79">
        <v>0</v>
      </c>
      <c r="DO70" s="79">
        <v>0</v>
      </c>
      <c r="DP70" s="79"/>
      <c r="DQ70" s="72"/>
      <c r="DR70" s="72"/>
      <c r="DS70" s="72"/>
      <c r="DT70" s="72"/>
      <c r="DU70" s="72"/>
      <c r="DV70" s="72"/>
      <c r="DW70" s="72"/>
      <c r="DX70" s="72"/>
      <c r="DY70" s="72"/>
      <c r="DZ70" s="72"/>
      <c r="EA70" s="72"/>
      <c r="EB70" s="72"/>
      <c r="EC70" s="72"/>
      <c r="ED70" s="37" t="s">
        <v>1118</v>
      </c>
      <c r="EE70" s="72"/>
    </row>
    <row r="71" spans="2:135" s="15" customFormat="1">
      <c r="B71" s="30" t="s">
        <v>285</v>
      </c>
      <c r="C71" s="82"/>
      <c r="D71" s="82"/>
      <c r="E71" s="82"/>
      <c r="F71" s="82"/>
      <c r="G71" s="82"/>
      <c r="H71" s="82"/>
      <c r="I71" s="82"/>
      <c r="J71" s="82"/>
      <c r="K71" s="82"/>
      <c r="L71" s="82"/>
      <c r="M71" s="79"/>
      <c r="N71" s="79"/>
      <c r="O71" s="79">
        <f t="shared" ref="O71:X72" si="254">O42/K42-1</f>
        <v>0.26727166276346592</v>
      </c>
      <c r="P71" s="79">
        <f t="shared" si="254"/>
        <v>0.19708788351534046</v>
      </c>
      <c r="Q71" s="79">
        <f t="shared" si="254"/>
        <v>0.23750000000000004</v>
      </c>
      <c r="R71" s="79">
        <f t="shared" si="254"/>
        <v>0.22877930476960384</v>
      </c>
      <c r="S71" s="79">
        <f t="shared" si="254"/>
        <v>0.20351120351120366</v>
      </c>
      <c r="T71" s="79">
        <f t="shared" si="254"/>
        <v>0.22502172024326672</v>
      </c>
      <c r="U71" s="79">
        <f t="shared" si="254"/>
        <v>0.12929292929292924</v>
      </c>
      <c r="V71" s="79">
        <f t="shared" si="254"/>
        <v>8.2236842105263053E-2</v>
      </c>
      <c r="W71" s="79">
        <f t="shared" si="254"/>
        <v>0.19769673704414581</v>
      </c>
      <c r="X71" s="79">
        <f t="shared" si="254"/>
        <v>0.29255319148936176</v>
      </c>
      <c r="Y71" s="79">
        <f t="shared" ref="Y71:AH72" si="255">Y42/U42-1</f>
        <v>0.49373881932021457</v>
      </c>
      <c r="Z71" s="79">
        <f t="shared" si="255"/>
        <v>0.5243161094224924</v>
      </c>
      <c r="AA71" s="79">
        <f t="shared" si="255"/>
        <v>0.28685897435897445</v>
      </c>
      <c r="AB71" s="79">
        <f t="shared" si="255"/>
        <v>6.5843621399176877E-2</v>
      </c>
      <c r="AC71" s="79">
        <f t="shared" si="255"/>
        <v>-0.16287425149700596</v>
      </c>
      <c r="AD71" s="79">
        <f t="shared" si="255"/>
        <v>-0.21734795613160518</v>
      </c>
      <c r="AE71" s="79">
        <f t="shared" si="255"/>
        <v>-0.17683686176836866</v>
      </c>
      <c r="AF71" s="79">
        <f t="shared" si="255"/>
        <v>2.5740025740026429E-3</v>
      </c>
      <c r="AG71" s="79">
        <f t="shared" si="255"/>
        <v>1.4306151645206988E-3</v>
      </c>
      <c r="AH71" s="79">
        <f t="shared" si="255"/>
        <v>-1.9108280254777066E-2</v>
      </c>
      <c r="AI71" s="79">
        <f t="shared" ref="AI71:AR72" si="256">AI42/AE42-1</f>
        <v>-8.4720121028744377E-2</v>
      </c>
      <c r="AJ71" s="79">
        <f t="shared" si="256"/>
        <v>-0.15661103979460844</v>
      </c>
      <c r="AK71" s="79">
        <f t="shared" si="256"/>
        <v>-0.12428571428571433</v>
      </c>
      <c r="AL71" s="79">
        <f t="shared" si="256"/>
        <v>0.12207792207792201</v>
      </c>
      <c r="AM71" s="79">
        <f t="shared" si="256"/>
        <v>1.983471074380172E-2</v>
      </c>
      <c r="AN71" s="79">
        <f t="shared" si="256"/>
        <v>-2.2831050228310557E-2</v>
      </c>
      <c r="AO71" s="79">
        <f t="shared" si="256"/>
        <v>0.12398042414355626</v>
      </c>
      <c r="AP71" s="79">
        <f t="shared" si="256"/>
        <v>-4.513888888888884E-2</v>
      </c>
      <c r="AQ71" s="79">
        <f t="shared" si="256"/>
        <v>0.13938411669367912</v>
      </c>
      <c r="AR71" s="79">
        <f t="shared" si="256"/>
        <v>0.25856697819314634</v>
      </c>
      <c r="AS71" s="79">
        <f t="shared" ref="AS71:AV72" si="257">AS42/AO42-1</f>
        <v>-1</v>
      </c>
      <c r="AT71" s="79">
        <f t="shared" si="257"/>
        <v>0</v>
      </c>
      <c r="AU71" s="79">
        <f t="shared" si="257"/>
        <v>-1</v>
      </c>
      <c r="AV71" s="79">
        <f t="shared" si="257"/>
        <v>2.2277227722772297E-2</v>
      </c>
      <c r="AW71" s="79"/>
      <c r="AX71" s="79"/>
      <c r="AY71" s="79"/>
      <c r="AZ71" s="79"/>
      <c r="BA71" s="79"/>
      <c r="BB71" s="79"/>
      <c r="BC71" s="79"/>
      <c r="BD71" s="79"/>
      <c r="BE71" s="79"/>
      <c r="BF71" s="79"/>
      <c r="BG71" s="79"/>
      <c r="BH71" s="79"/>
      <c r="BI71" s="79"/>
      <c r="BJ71" s="79"/>
      <c r="BK71" s="79"/>
      <c r="BL71" s="79"/>
      <c r="BM71" s="79"/>
      <c r="BN71" s="79"/>
      <c r="BO71" s="79"/>
      <c r="BP71" s="79"/>
      <c r="BQ71" s="79"/>
      <c r="BR71" s="79"/>
      <c r="BS71" s="79"/>
      <c r="BT71" s="79"/>
      <c r="BU71" s="79"/>
      <c r="BV71" s="79"/>
      <c r="BW71" s="79"/>
      <c r="BX71" s="79"/>
      <c r="BY71" s="79"/>
      <c r="BZ71" s="79"/>
      <c r="CA71" s="79"/>
      <c r="CB71" s="79"/>
      <c r="CC71" s="79"/>
      <c r="CD71" s="79"/>
      <c r="CE71" s="79"/>
      <c r="CF71" s="79"/>
      <c r="CG71" s="79"/>
      <c r="CH71" s="79"/>
      <c r="CI71" s="79"/>
      <c r="CJ71" s="79"/>
      <c r="CK71" s="79"/>
      <c r="CL71" s="79"/>
      <c r="CM71" s="79"/>
      <c r="CN71" s="79"/>
      <c r="CO71" s="79"/>
      <c r="CP71" s="79"/>
      <c r="CQ71" s="79"/>
      <c r="CR71" s="79"/>
      <c r="CS71" s="79"/>
      <c r="CT71" s="79"/>
      <c r="CU71" s="79"/>
      <c r="CV71" s="79"/>
      <c r="CW71" s="79"/>
      <c r="CX71" s="79"/>
      <c r="CY71" s="79"/>
      <c r="CZ71" s="72"/>
      <c r="DA71" s="79"/>
      <c r="DB71" s="79"/>
      <c r="DC71" s="79"/>
      <c r="DD71" s="79"/>
      <c r="DE71" s="82"/>
      <c r="DF71" s="79">
        <f t="shared" ref="DF71:DO71" si="258">DF42/DE42-1</f>
        <v>0.15313329659870756</v>
      </c>
      <c r="DG71" s="79">
        <f t="shared" si="258"/>
        <v>0.38618592528236317</v>
      </c>
      <c r="DH71" s="79">
        <f t="shared" si="258"/>
        <v>-3.9799435913506764E-2</v>
      </c>
      <c r="DI71" s="79">
        <f t="shared" si="258"/>
        <v>-5.0261096605744071E-2</v>
      </c>
      <c r="DJ71" s="79">
        <f t="shared" si="258"/>
        <v>-5.8762886597938158E-2</v>
      </c>
      <c r="DK71" s="79">
        <f t="shared" si="258"/>
        <v>1.241328952172327E-2</v>
      </c>
      <c r="DL71" s="79">
        <f t="shared" si="258"/>
        <v>-0.15759105661738193</v>
      </c>
      <c r="DM71" s="79">
        <f t="shared" si="258"/>
        <v>-1</v>
      </c>
      <c r="DN71" s="79" t="e">
        <f t="shared" si="258"/>
        <v>#DIV/0!</v>
      </c>
      <c r="DO71" s="79" t="e">
        <f t="shared" si="258"/>
        <v>#DIV/0!</v>
      </c>
      <c r="DP71" s="79"/>
      <c r="DQ71" s="72"/>
      <c r="DR71" s="72"/>
      <c r="DS71" s="72"/>
      <c r="DT71" s="72"/>
      <c r="DU71" s="72"/>
      <c r="DV71" s="72"/>
      <c r="DW71" s="72"/>
      <c r="DX71" s="72"/>
      <c r="DY71" s="72"/>
      <c r="DZ71" s="72"/>
      <c r="EA71" s="72"/>
      <c r="EB71" s="72"/>
      <c r="EC71" s="72"/>
      <c r="ED71" s="72"/>
      <c r="EE71" s="72"/>
    </row>
    <row r="72" spans="2:135" s="30" customFormat="1">
      <c r="B72" s="30" t="s">
        <v>724</v>
      </c>
      <c r="C72" s="82"/>
      <c r="D72" s="82"/>
      <c r="E72" s="82"/>
      <c r="F72" s="82"/>
      <c r="G72" s="82"/>
      <c r="H72" s="82"/>
      <c r="I72" s="82"/>
      <c r="J72" s="82"/>
      <c r="K72" s="82"/>
      <c r="L72" s="82"/>
      <c r="M72" s="82"/>
      <c r="N72" s="82"/>
      <c r="O72" s="79">
        <f t="shared" si="254"/>
        <v>0.36545115783870119</v>
      </c>
      <c r="P72" s="79">
        <f t="shared" si="254"/>
        <v>0.34102857142857146</v>
      </c>
      <c r="Q72" s="79">
        <f t="shared" si="254"/>
        <v>0.35567890691716464</v>
      </c>
      <c r="R72" s="79">
        <f t="shared" si="254"/>
        <v>0.32886564236678661</v>
      </c>
      <c r="S72" s="79">
        <f t="shared" si="254"/>
        <v>0.12475633528265107</v>
      </c>
      <c r="T72" s="79">
        <f t="shared" si="254"/>
        <v>0.10107380262485077</v>
      </c>
      <c r="U72" s="79">
        <f t="shared" si="254"/>
        <v>3.3070866141732269E-2</v>
      </c>
      <c r="V72" s="79">
        <f t="shared" si="254"/>
        <v>0.12300123001230023</v>
      </c>
      <c r="W72" s="79">
        <f t="shared" si="254"/>
        <v>0.12998266897746968</v>
      </c>
      <c r="X72" s="79">
        <f t="shared" si="254"/>
        <v>0.23684210526315796</v>
      </c>
      <c r="Y72" s="79">
        <f t="shared" si="255"/>
        <v>0.19207317073170738</v>
      </c>
      <c r="Z72" s="79">
        <f t="shared" si="255"/>
        <v>9.6385542168674787E-2</v>
      </c>
      <c r="AA72" s="79">
        <f t="shared" si="255"/>
        <v>0.14723926380368102</v>
      </c>
      <c r="AB72" s="79">
        <f t="shared" si="255"/>
        <v>5.1314142678347885E-2</v>
      </c>
      <c r="AC72" s="79">
        <f t="shared" si="255"/>
        <v>2.8132992327365658E-2</v>
      </c>
      <c r="AD72" s="79">
        <f t="shared" si="255"/>
        <v>-1.098901098901095E-2</v>
      </c>
      <c r="AE72" s="79">
        <f t="shared" si="255"/>
        <v>0.15240641711229941</v>
      </c>
      <c r="AF72" s="79">
        <f t="shared" si="255"/>
        <v>6.4285714285714279E-2</v>
      </c>
      <c r="AG72" s="79">
        <f t="shared" si="255"/>
        <v>0.10696517412935314</v>
      </c>
      <c r="AH72" s="79">
        <f t="shared" si="255"/>
        <v>7.2727272727272751E-2</v>
      </c>
      <c r="AI72" s="79">
        <f t="shared" si="256"/>
        <v>-0.10208816705336432</v>
      </c>
      <c r="AJ72" s="79">
        <f t="shared" si="256"/>
        <v>-3.3557046979866278E-3</v>
      </c>
      <c r="AK72" s="79">
        <f t="shared" si="256"/>
        <v>2.5842696629213568E-2</v>
      </c>
      <c r="AL72" s="79">
        <f t="shared" si="256"/>
        <v>9.1337099811676037E-2</v>
      </c>
      <c r="AM72" s="79">
        <f t="shared" si="256"/>
        <v>0.12790697674418605</v>
      </c>
      <c r="AN72" s="79">
        <f t="shared" si="256"/>
        <v>8.6419753086419693E-2</v>
      </c>
      <c r="AO72" s="79">
        <f t="shared" si="256"/>
        <v>3.1763417305586072E-2</v>
      </c>
      <c r="AP72" s="79">
        <f t="shared" si="256"/>
        <v>-1.4667817083692802E-2</v>
      </c>
      <c r="AQ72" s="79">
        <f t="shared" si="256"/>
        <v>0.15807560137457055</v>
      </c>
      <c r="AR72" s="79">
        <f t="shared" si="256"/>
        <v>0.14772727272727271</v>
      </c>
      <c r="AS72" s="79">
        <f t="shared" si="257"/>
        <v>0</v>
      </c>
      <c r="AT72" s="79">
        <f t="shared" si="257"/>
        <v>0</v>
      </c>
      <c r="AU72" s="79">
        <f t="shared" si="257"/>
        <v>-1</v>
      </c>
      <c r="AV72" s="79">
        <f t="shared" si="257"/>
        <v>0.10531053105310528</v>
      </c>
      <c r="AW72" s="79"/>
      <c r="AX72" s="79"/>
      <c r="AY72" s="79"/>
      <c r="AZ72" s="79"/>
      <c r="BA72" s="79"/>
      <c r="BB72" s="79"/>
      <c r="BC72" s="79"/>
      <c r="BD72" s="79"/>
      <c r="BE72" s="79"/>
      <c r="BF72" s="79"/>
      <c r="BG72" s="79"/>
      <c r="BH72" s="79"/>
      <c r="BI72" s="79"/>
      <c r="BJ72" s="79"/>
      <c r="BK72" s="79"/>
      <c r="BL72" s="79"/>
      <c r="BM72" s="79"/>
      <c r="BN72" s="79"/>
      <c r="BO72" s="79"/>
      <c r="BP72" s="79"/>
      <c r="BQ72" s="79"/>
      <c r="BR72" s="79"/>
      <c r="BS72" s="79"/>
      <c r="BT72" s="79"/>
      <c r="BU72" s="79"/>
      <c r="BV72" s="79"/>
      <c r="BW72" s="79"/>
      <c r="BX72" s="79"/>
      <c r="BY72" s="79"/>
      <c r="BZ72" s="79"/>
      <c r="CA72" s="79"/>
      <c r="CB72" s="79"/>
      <c r="CC72" s="79"/>
      <c r="CD72" s="79"/>
      <c r="CE72" s="79"/>
      <c r="CF72" s="79"/>
      <c r="CG72" s="79"/>
      <c r="CH72" s="79"/>
      <c r="CI72" s="79"/>
      <c r="CJ72" s="79"/>
      <c r="CK72" s="79"/>
      <c r="CL72" s="79"/>
      <c r="CM72" s="79"/>
      <c r="CN72" s="79"/>
      <c r="CO72" s="79"/>
      <c r="CP72" s="79"/>
      <c r="CQ72" s="79"/>
      <c r="CR72" s="79"/>
      <c r="CS72" s="79"/>
      <c r="CT72" s="79"/>
      <c r="CU72" s="79"/>
      <c r="CV72" s="79"/>
      <c r="CW72" s="79"/>
      <c r="CX72" s="79"/>
      <c r="CY72" s="79"/>
      <c r="CZ72" s="82"/>
      <c r="DA72" s="79"/>
      <c r="DB72" s="79"/>
      <c r="DC72" s="79"/>
      <c r="DD72" s="79"/>
      <c r="DE72" s="79"/>
      <c r="DF72" s="79">
        <f t="shared" ref="DF72:DO72" si="259">DF43/DE43-1</f>
        <v>9.5890410958904271E-2</v>
      </c>
      <c r="DG72" s="79">
        <f t="shared" si="259"/>
        <v>0.15830945558739251</v>
      </c>
      <c r="DH72" s="79">
        <f t="shared" si="259"/>
        <v>4.5763760049474245E-2</v>
      </c>
      <c r="DI72" s="79">
        <f t="shared" si="259"/>
        <v>9.6392667060910764E-2</v>
      </c>
      <c r="DJ72" s="79">
        <f t="shared" si="259"/>
        <v>7.8209277238403541E-3</v>
      </c>
      <c r="DK72" s="79">
        <f t="shared" si="259"/>
        <v>5.030773347605022E-2</v>
      </c>
      <c r="DL72" s="79">
        <f t="shared" si="259"/>
        <v>7.1592356687897984E-2</v>
      </c>
      <c r="DM72" s="79">
        <f t="shared" si="259"/>
        <v>-0.31042113647170722</v>
      </c>
      <c r="DN72" s="79">
        <f t="shared" si="259"/>
        <v>9.0923406048341482E-2</v>
      </c>
      <c r="DO72" s="79">
        <f t="shared" si="259"/>
        <v>-1.0999276550868742E-2</v>
      </c>
      <c r="DP72" s="79"/>
      <c r="DQ72" s="82"/>
      <c r="DR72" s="82"/>
      <c r="DS72" s="82"/>
      <c r="DT72" s="82"/>
      <c r="DU72" s="82"/>
      <c r="DV72" s="82"/>
      <c r="DW72" s="82"/>
      <c r="DX72" s="82"/>
      <c r="DY72" s="82"/>
      <c r="DZ72" s="82"/>
      <c r="EA72" s="82"/>
      <c r="EB72" s="82"/>
      <c r="EC72" s="82"/>
      <c r="ED72" s="82"/>
      <c r="EE72" s="82"/>
    </row>
    <row r="73" spans="2:135" s="31" customFormat="1">
      <c r="B73" s="35" t="s">
        <v>315</v>
      </c>
      <c r="C73" s="83"/>
      <c r="D73" s="83"/>
      <c r="E73" s="83"/>
      <c r="F73" s="83"/>
      <c r="G73" s="83"/>
      <c r="H73" s="83"/>
      <c r="I73" s="83"/>
      <c r="J73" s="83"/>
      <c r="K73" s="83"/>
      <c r="L73" s="83"/>
      <c r="M73" s="83"/>
      <c r="N73" s="83"/>
      <c r="O73" s="84">
        <f t="shared" ref="O73:AV73" si="260">O50/K50-1</f>
        <v>0.36147677969895819</v>
      </c>
      <c r="P73" s="84">
        <f t="shared" si="260"/>
        <v>0.26366592863905236</v>
      </c>
      <c r="Q73" s="84">
        <f t="shared" si="260"/>
        <v>0.19920583406513725</v>
      </c>
      <c r="R73" s="84">
        <f t="shared" si="260"/>
        <v>0.25649748940883166</v>
      </c>
      <c r="S73" s="84">
        <f t="shared" si="260"/>
        <v>0.26098805716094198</v>
      </c>
      <c r="T73" s="84">
        <f t="shared" si="260"/>
        <v>0.42989635090305955</v>
      </c>
      <c r="U73" s="84">
        <f t="shared" si="260"/>
        <v>0.34436590760448138</v>
      </c>
      <c r="V73" s="84">
        <f t="shared" si="260"/>
        <v>0.29504888391944051</v>
      </c>
      <c r="W73" s="84">
        <f t="shared" si="260"/>
        <v>0.26615353345172132</v>
      </c>
      <c r="X73" s="84">
        <f t="shared" si="260"/>
        <v>0.18401716796132006</v>
      </c>
      <c r="Y73" s="84">
        <f t="shared" si="260"/>
        <v>0.22042568681954688</v>
      </c>
      <c r="Z73" s="84">
        <f t="shared" si="260"/>
        <v>0.20834556126192205</v>
      </c>
      <c r="AA73" s="84">
        <f t="shared" si="260"/>
        <v>0.19483373786783953</v>
      </c>
      <c r="AB73" s="84">
        <f t="shared" si="260"/>
        <v>6.8629204160169266E-2</v>
      </c>
      <c r="AC73" s="84">
        <f t="shared" si="260"/>
        <v>4.0180473781186832E-2</v>
      </c>
      <c r="AD73" s="84">
        <f t="shared" si="260"/>
        <v>0.10544247098905291</v>
      </c>
      <c r="AE73" s="84">
        <f t="shared" si="260"/>
        <v>3.025902697084959E-2</v>
      </c>
      <c r="AF73" s="84">
        <f t="shared" si="260"/>
        <v>2.3290879812619014E-2</v>
      </c>
      <c r="AG73" s="84">
        <f t="shared" si="260"/>
        <v>0.13462529562220249</v>
      </c>
      <c r="AH73" s="84">
        <f t="shared" si="260"/>
        <v>6.229902422797573E-2</v>
      </c>
      <c r="AI73" s="84">
        <f t="shared" si="260"/>
        <v>-3.2576286591516235E-2</v>
      </c>
      <c r="AJ73" s="84">
        <f t="shared" si="260"/>
        <v>0.12840702604482113</v>
      </c>
      <c r="AK73" s="84">
        <f t="shared" si="260"/>
        <v>0.20829102606726635</v>
      </c>
      <c r="AL73" s="84">
        <f t="shared" si="260"/>
        <v>-6.6136961444867026E-3</v>
      </c>
      <c r="AM73" s="84">
        <f t="shared" si="260"/>
        <v>0.20141158183921348</v>
      </c>
      <c r="AN73" s="84">
        <f t="shared" si="260"/>
        <v>6.6000740621172227E-2</v>
      </c>
      <c r="AO73" s="84">
        <f t="shared" si="260"/>
        <v>-8.1998005911049332E-2</v>
      </c>
      <c r="AP73" s="84">
        <f t="shared" si="260"/>
        <v>0.10793754776722353</v>
      </c>
      <c r="AQ73" s="84">
        <f t="shared" si="260"/>
        <v>3.138712782553843E-2</v>
      </c>
      <c r="AR73" s="84">
        <f t="shared" si="260"/>
        <v>-2.9067795789046169E-3</v>
      </c>
      <c r="AS73" s="84">
        <f t="shared" si="260"/>
        <v>0.46849687281361962</v>
      </c>
      <c r="AT73" s="84">
        <f t="shared" si="260"/>
        <v>-5.6697867020254367E-2</v>
      </c>
      <c r="AU73" s="84">
        <f t="shared" si="260"/>
        <v>-1</v>
      </c>
      <c r="AV73" s="84">
        <f t="shared" si="260"/>
        <v>0.24368004693785217</v>
      </c>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4"/>
      <c r="BY73" s="84"/>
      <c r="BZ73" s="84"/>
      <c r="CA73" s="84"/>
      <c r="CB73" s="84"/>
      <c r="CC73" s="84"/>
      <c r="CD73" s="84"/>
      <c r="CE73" s="84"/>
      <c r="CF73" s="84"/>
      <c r="CG73" s="84"/>
      <c r="CH73" s="84"/>
      <c r="CI73" s="84"/>
      <c r="CJ73" s="84"/>
      <c r="CK73" s="84"/>
      <c r="CL73" s="84"/>
      <c r="CM73" s="84"/>
      <c r="CN73" s="84"/>
      <c r="CO73" s="84"/>
      <c r="CP73" s="84"/>
      <c r="CQ73" s="84"/>
      <c r="CR73" s="84"/>
      <c r="CS73" s="84"/>
      <c r="CT73" s="84"/>
      <c r="CU73" s="84"/>
      <c r="CV73" s="84"/>
      <c r="CW73" s="84"/>
      <c r="CX73" s="84"/>
      <c r="CY73" s="84"/>
      <c r="CZ73" s="85"/>
      <c r="DA73" s="84"/>
      <c r="DB73" s="84"/>
      <c r="DC73" s="84"/>
      <c r="DD73" s="84"/>
      <c r="DE73" s="84">
        <f t="shared" ref="DE73:DO73" si="261">DE50/DD50-1</f>
        <v>0.26227331912878804</v>
      </c>
      <c r="DF73" s="84">
        <f t="shared" si="261"/>
        <v>0.33203283397740702</v>
      </c>
      <c r="DG73" s="84">
        <f t="shared" si="261"/>
        <v>0.21813114811207313</v>
      </c>
      <c r="DH73" s="84">
        <f t="shared" si="261"/>
        <v>0.11102054056558952</v>
      </c>
      <c r="DI73" s="84">
        <f t="shared" si="261"/>
        <v>5.1191925834915386E-2</v>
      </c>
      <c r="DJ73" s="84">
        <f t="shared" si="261"/>
        <v>-2.884494008493832E-2</v>
      </c>
      <c r="DK73" s="84">
        <f t="shared" si="261"/>
        <v>0.17834468950199178</v>
      </c>
      <c r="DL73" s="84">
        <f t="shared" si="261"/>
        <v>9.8012030761164937E-2</v>
      </c>
      <c r="DM73" s="84">
        <f t="shared" si="261"/>
        <v>0.38470214727242302</v>
      </c>
      <c r="DN73" s="84">
        <f t="shared" si="261"/>
        <v>7.5308909389051104E-2</v>
      </c>
      <c r="DO73" s="84">
        <f t="shared" si="261"/>
        <v>-5.0852734997906324E-2</v>
      </c>
      <c r="DP73" s="84"/>
      <c r="DQ73" s="85"/>
      <c r="DR73" s="85"/>
      <c r="DS73" s="85"/>
      <c r="DT73" s="85"/>
      <c r="DU73" s="85"/>
      <c r="DV73" s="85"/>
      <c r="DW73" s="85"/>
      <c r="DX73" s="85"/>
      <c r="DY73" s="85"/>
      <c r="DZ73" s="85"/>
      <c r="EA73" s="85"/>
      <c r="EB73" s="85"/>
      <c r="EC73" s="85"/>
      <c r="ED73" s="85"/>
      <c r="EE73" s="85"/>
    </row>
    <row r="75" spans="2:135">
      <c r="B75" s="4" t="s">
        <v>458</v>
      </c>
      <c r="X75" s="67">
        <v>965</v>
      </c>
    </row>
    <row r="76" spans="2:135">
      <c r="B76" s="4" t="s">
        <v>459</v>
      </c>
      <c r="X76" s="67">
        <v>634</v>
      </c>
    </row>
    <row r="77" spans="2:135">
      <c r="B77" s="4" t="s">
        <v>460</v>
      </c>
      <c r="X77" s="67">
        <v>668</v>
      </c>
    </row>
    <row r="78" spans="2:135">
      <c r="B78" s="4" t="s">
        <v>461</v>
      </c>
      <c r="X78" s="67">
        <v>302</v>
      </c>
    </row>
    <row r="79" spans="2:135">
      <c r="B79" s="4" t="s">
        <v>771</v>
      </c>
      <c r="X79" s="67">
        <v>694</v>
      </c>
    </row>
    <row r="80" spans="2:135">
      <c r="B80" s="4" t="s">
        <v>472</v>
      </c>
      <c r="X80" s="71">
        <v>3470</v>
      </c>
      <c r="AN80" s="67">
        <v>3740.5</v>
      </c>
    </row>
    <row r="81" spans="2:140">
      <c r="B81" s="4" t="s">
        <v>473</v>
      </c>
      <c r="X81" s="62">
        <v>0.84</v>
      </c>
    </row>
    <row r="82" spans="2:140">
      <c r="B82" s="4" t="s">
        <v>606</v>
      </c>
      <c r="X82" s="71">
        <v>721</v>
      </c>
    </row>
    <row r="83" spans="2:140">
      <c r="B83" s="4" t="s">
        <v>607</v>
      </c>
      <c r="X83" s="71">
        <v>708</v>
      </c>
    </row>
    <row r="84" spans="2:140">
      <c r="B84" s="4" t="s">
        <v>608</v>
      </c>
      <c r="X84" s="62">
        <v>0.24</v>
      </c>
    </row>
    <row r="85" spans="2:140">
      <c r="B85" s="4" t="s">
        <v>1046</v>
      </c>
      <c r="X85" s="71">
        <v>0.91</v>
      </c>
    </row>
    <row r="86" spans="2:140">
      <c r="B86" s="4" t="s">
        <v>1047</v>
      </c>
      <c r="X86" s="71">
        <v>0.94</v>
      </c>
    </row>
    <row r="88" spans="2:140">
      <c r="B88" s="4" t="s">
        <v>380</v>
      </c>
      <c r="F88" s="67">
        <f>F89+F90-F103-F106-F107</f>
        <v>2339.2999999999997</v>
      </c>
      <c r="I88" s="67">
        <f t="shared" ref="I88:AB88" si="262">I89+I90-I103-I106-I107</f>
        <v>879.5</v>
      </c>
      <c r="J88" s="67">
        <f t="shared" si="262"/>
        <v>1616.1999999999998</v>
      </c>
      <c r="K88" s="67">
        <f t="shared" si="262"/>
        <v>1701.3000000000002</v>
      </c>
      <c r="L88" s="67">
        <f t="shared" si="262"/>
        <v>1493.3000000000002</v>
      </c>
      <c r="M88" s="67">
        <f t="shared" si="262"/>
        <v>1953.1999999999998</v>
      </c>
      <c r="N88" s="67">
        <f t="shared" si="262"/>
        <v>2043</v>
      </c>
      <c r="O88" s="67">
        <f t="shared" si="262"/>
        <v>1421.5000000000005</v>
      </c>
      <c r="P88" s="67">
        <f t="shared" si="262"/>
        <v>1166.1000000000004</v>
      </c>
      <c r="Q88" s="67">
        <f t="shared" si="262"/>
        <v>734</v>
      </c>
      <c r="R88" s="67">
        <f t="shared" si="262"/>
        <v>698</v>
      </c>
      <c r="S88" s="67">
        <f t="shared" si="262"/>
        <v>93</v>
      </c>
      <c r="T88" s="67">
        <f t="shared" si="262"/>
        <v>493</v>
      </c>
      <c r="U88" s="67">
        <f t="shared" si="262"/>
        <v>1599</v>
      </c>
      <c r="V88" s="67">
        <f t="shared" si="262"/>
        <v>1298</v>
      </c>
      <c r="W88" s="67">
        <f t="shared" si="262"/>
        <v>-1814</v>
      </c>
      <c r="X88" s="67">
        <f t="shared" si="262"/>
        <v>-4030</v>
      </c>
      <c r="Y88" s="67">
        <f t="shared" si="262"/>
        <v>-3225</v>
      </c>
      <c r="Z88" s="67">
        <f t="shared" si="262"/>
        <v>-2735</v>
      </c>
      <c r="AA88" s="67">
        <f t="shared" si="262"/>
        <v>-2477</v>
      </c>
      <c r="AB88" s="67">
        <f t="shared" si="262"/>
        <v>-5906</v>
      </c>
      <c r="AG88" s="67">
        <v>-1419</v>
      </c>
      <c r="AH88" s="67">
        <f>AG88+AH49</f>
        <v>-295</v>
      </c>
      <c r="AI88" s="67"/>
      <c r="AJ88" s="67"/>
      <c r="AK88" s="67"/>
      <c r="AL88" s="67"/>
      <c r="AM88" s="67"/>
      <c r="AN88" s="67"/>
      <c r="AO88" s="67"/>
      <c r="AP88" s="67"/>
      <c r="AQ88" s="67"/>
      <c r="AR88" s="67"/>
      <c r="AS88" s="67"/>
      <c r="AT88" s="67"/>
      <c r="AU88" s="67"/>
      <c r="AV88" s="67"/>
      <c r="AW88" s="67"/>
      <c r="AX88" s="67"/>
      <c r="AY88" s="67"/>
      <c r="AZ88" s="67"/>
      <c r="BA88" s="67"/>
      <c r="BB88" s="67"/>
      <c r="BC88" s="67"/>
      <c r="BD88" s="67"/>
      <c r="BE88" s="67"/>
      <c r="BF88" s="67"/>
      <c r="BG88" s="67"/>
      <c r="BH88" s="67"/>
      <c r="BI88" s="67"/>
      <c r="BJ88" s="67"/>
      <c r="BK88" s="67"/>
      <c r="BL88" s="67"/>
      <c r="BM88" s="67"/>
      <c r="BN88" s="67"/>
      <c r="BO88" s="67"/>
      <c r="BP88" s="67"/>
      <c r="BQ88" s="67"/>
      <c r="BR88" s="67"/>
      <c r="BS88" s="67"/>
      <c r="BT88" s="67"/>
      <c r="BU88" s="67"/>
      <c r="BV88" s="67"/>
      <c r="BW88" s="67"/>
      <c r="BX88" s="67"/>
      <c r="BY88" s="67"/>
      <c r="BZ88" s="67"/>
      <c r="CA88" s="67"/>
      <c r="CB88" s="67"/>
      <c r="CC88" s="67"/>
      <c r="CD88" s="67"/>
      <c r="CE88" s="67"/>
      <c r="CF88" s="67"/>
      <c r="CG88" s="67"/>
      <c r="CH88" s="67"/>
      <c r="CI88" s="67"/>
      <c r="CJ88" s="67"/>
      <c r="CK88" s="67"/>
      <c r="CL88" s="67"/>
      <c r="CM88" s="67"/>
      <c r="CN88" s="67"/>
      <c r="CO88" s="67"/>
      <c r="CP88" s="67"/>
      <c r="CQ88" s="67"/>
      <c r="CR88" s="67"/>
      <c r="CS88" s="67"/>
      <c r="CT88" s="67"/>
      <c r="CU88" s="67"/>
      <c r="CV88" s="67"/>
      <c r="CW88" s="67"/>
      <c r="CX88" s="67"/>
      <c r="CY88" s="67"/>
      <c r="DI88" s="67">
        <f>AH88</f>
        <v>-295</v>
      </c>
      <c r="DJ88" s="67">
        <f t="shared" ref="DJ88:DT88" si="263">DI88+DJ49</f>
        <v>4404.91</v>
      </c>
      <c r="DK88" s="67">
        <f t="shared" si="263"/>
        <v>9428.91</v>
      </c>
      <c r="DL88" s="67">
        <f t="shared" si="263"/>
        <v>14776.685999999998</v>
      </c>
      <c r="DM88" s="67">
        <f t="shared" si="263"/>
        <v>22102.606556399995</v>
      </c>
      <c r="DN88" s="67">
        <f t="shared" si="263"/>
        <v>29895.116667555551</v>
      </c>
      <c r="DO88" s="67">
        <f t="shared" si="263"/>
        <v>37210.56725377214</v>
      </c>
      <c r="DP88" s="67">
        <f t="shared" si="263"/>
        <v>44029.498636254291</v>
      </c>
      <c r="DQ88" s="67">
        <f t="shared" si="263"/>
        <v>50751.377990752146</v>
      </c>
      <c r="DR88" s="67">
        <f t="shared" si="263"/>
        <v>49220.044566822922</v>
      </c>
      <c r="DS88" s="67">
        <f t="shared" si="263"/>
        <v>49220.044566822922</v>
      </c>
      <c r="DT88" s="67">
        <f t="shared" si="263"/>
        <v>49220.044566822922</v>
      </c>
      <c r="DZ88" s="71">
        <v>0</v>
      </c>
      <c r="EA88" s="67">
        <f>+DZ88+EA49</f>
        <v>18645.194273919995</v>
      </c>
      <c r="EB88" s="67">
        <f>+EA88+EB49</f>
        <v>37874.00432473376</v>
      </c>
      <c r="EC88" s="67">
        <f t="shared" ref="EC88:EJ88" si="264">+EB88+EC49</f>
        <v>57119.870581970827</v>
      </c>
      <c r="ED88" s="67">
        <f t="shared" si="264"/>
        <v>76008.230964853341</v>
      </c>
      <c r="EE88" s="67">
        <f t="shared" si="264"/>
        <v>91774.80393338576</v>
      </c>
      <c r="EF88" s="67">
        <f t="shared" si="264"/>
        <v>106179.54339281024</v>
      </c>
      <c r="EG88" s="67">
        <f t="shared" si="264"/>
        <v>119991.73316914582</v>
      </c>
      <c r="EH88" s="67">
        <f t="shared" si="264"/>
        <v>133643.13272906575</v>
      </c>
      <c r="EI88" s="67">
        <f t="shared" si="264"/>
        <v>147364.24547655269</v>
      </c>
      <c r="EJ88" s="67">
        <f t="shared" si="264"/>
        <v>156775.58808512727</v>
      </c>
    </row>
    <row r="89" spans="2:140">
      <c r="B89" s="4" t="s">
        <v>62</v>
      </c>
      <c r="F89" s="67">
        <v>689.1</v>
      </c>
      <c r="I89" s="67">
        <v>1158.7</v>
      </c>
      <c r="J89" s="67">
        <v>4663.8999999999996</v>
      </c>
      <c r="K89" s="67">
        <v>4757</v>
      </c>
      <c r="L89" s="67">
        <v>1851.7</v>
      </c>
      <c r="M89" s="67">
        <v>5025</v>
      </c>
      <c r="N89" s="67">
        <v>5123</v>
      </c>
      <c r="O89" s="67">
        <v>4509.1000000000004</v>
      </c>
      <c r="P89" s="67">
        <f>4261.8</f>
        <v>4261.8</v>
      </c>
      <c r="Q89" s="67">
        <v>986</v>
      </c>
      <c r="R89" s="67">
        <v>1526</v>
      </c>
      <c r="S89" s="67">
        <v>1183</v>
      </c>
      <c r="T89" s="67">
        <v>1621</v>
      </c>
      <c r="U89" s="67">
        <v>2151</v>
      </c>
      <c r="V89" s="67">
        <v>1840</v>
      </c>
      <c r="W89" s="67">
        <f>1747+2100</f>
        <v>3847</v>
      </c>
      <c r="X89" s="67">
        <v>1947</v>
      </c>
      <c r="Y89" s="67">
        <v>1291</v>
      </c>
      <c r="Z89" s="67">
        <v>1283</v>
      </c>
      <c r="AA89" s="67">
        <v>1067</v>
      </c>
      <c r="AB89" s="67">
        <v>5306</v>
      </c>
      <c r="AM89" s="67">
        <v>2266</v>
      </c>
    </row>
    <row r="90" spans="2:140">
      <c r="B90" s="4" t="s">
        <v>63</v>
      </c>
      <c r="F90" s="67">
        <v>1973.1</v>
      </c>
      <c r="I90" s="67">
        <v>2883.5</v>
      </c>
      <c r="J90" s="67"/>
      <c r="K90" s="67"/>
      <c r="L90" s="67">
        <v>2812.2</v>
      </c>
      <c r="M90" s="67"/>
      <c r="N90" s="67"/>
      <c r="O90" s="67"/>
      <c r="P90" s="67"/>
      <c r="Q90" s="67">
        <v>2852</v>
      </c>
      <c r="R90" s="67">
        <v>4282</v>
      </c>
      <c r="S90" s="67">
        <v>2852</v>
      </c>
      <c r="T90" s="67">
        <v>2819</v>
      </c>
      <c r="U90" s="67">
        <v>3400</v>
      </c>
      <c r="V90" s="67">
        <v>3415</v>
      </c>
      <c r="W90" s="67">
        <v>3300</v>
      </c>
      <c r="X90" s="67">
        <v>3023</v>
      </c>
      <c r="Y90" s="67">
        <v>4490</v>
      </c>
      <c r="Z90" s="67">
        <v>4994</v>
      </c>
      <c r="AA90" s="67">
        <v>3770</v>
      </c>
      <c r="AM90" s="67">
        <v>11851</v>
      </c>
    </row>
    <row r="91" spans="2:140">
      <c r="B91" s="4" t="s">
        <v>64</v>
      </c>
      <c r="F91" s="67">
        <v>497.2</v>
      </c>
      <c r="I91" s="67">
        <v>622.20000000000005</v>
      </c>
      <c r="J91" s="67">
        <v>752.4</v>
      </c>
      <c r="K91" s="67">
        <v>845.2</v>
      </c>
      <c r="L91" s="67">
        <v>752.4</v>
      </c>
      <c r="M91" s="67">
        <v>1001.4</v>
      </c>
      <c r="N91" s="67">
        <v>1008</v>
      </c>
      <c r="O91" s="67">
        <v>1195.2</v>
      </c>
      <c r="P91" s="67">
        <v>1281.2</v>
      </c>
      <c r="Q91" s="67">
        <v>1413</v>
      </c>
      <c r="R91" s="67">
        <v>1461</v>
      </c>
      <c r="S91" s="67">
        <v>1584</v>
      </c>
      <c r="T91" s="67">
        <v>1707</v>
      </c>
      <c r="U91" s="67">
        <v>1664</v>
      </c>
      <c r="V91" s="67">
        <v>1769</v>
      </c>
      <c r="W91" s="67">
        <v>1794</v>
      </c>
      <c r="X91" s="67">
        <v>2018</v>
      </c>
      <c r="Y91" s="67">
        <v>2124</v>
      </c>
      <c r="Z91" s="67">
        <v>2124</v>
      </c>
      <c r="AA91" s="67">
        <v>2157</v>
      </c>
      <c r="AM91" s="67">
        <v>2271</v>
      </c>
    </row>
    <row r="92" spans="2:140" s="14" customFormat="1">
      <c r="B92" s="14" t="s">
        <v>371</v>
      </c>
      <c r="C92" s="89"/>
      <c r="D92" s="89"/>
      <c r="E92" s="89"/>
      <c r="F92" s="75">
        <f>(F91/F39)*91.25</f>
        <v>47.161642411642411</v>
      </c>
      <c r="G92" s="89"/>
      <c r="H92" s="89"/>
      <c r="I92" s="75">
        <f t="shared" ref="I92:AA92" si="265">(I91/I39)*91.25</f>
        <v>37.868171813512973</v>
      </c>
      <c r="J92" s="75">
        <f t="shared" si="265"/>
        <v>38.874639035162218</v>
      </c>
      <c r="K92" s="75">
        <f t="shared" si="265"/>
        <v>43.788394935558969</v>
      </c>
      <c r="L92" s="75">
        <f t="shared" si="265"/>
        <v>33.637009455685664</v>
      </c>
      <c r="M92" s="75">
        <f t="shared" si="265"/>
        <v>41.381102255230509</v>
      </c>
      <c r="N92" s="75">
        <f t="shared" si="265"/>
        <v>39.197136282280752</v>
      </c>
      <c r="O92" s="75">
        <f t="shared" si="265"/>
        <v>46.550002134107309</v>
      </c>
      <c r="P92" s="75">
        <f t="shared" si="265"/>
        <v>45.233111506616112</v>
      </c>
      <c r="Q92" s="75">
        <f t="shared" si="265"/>
        <v>47.525340950976783</v>
      </c>
      <c r="R92" s="75">
        <f t="shared" si="265"/>
        <v>45.828893090409075</v>
      </c>
      <c r="S92" s="75">
        <f t="shared" si="265"/>
        <v>51.020120014119314</v>
      </c>
      <c r="T92" s="75">
        <f t="shared" si="265"/>
        <v>49.105848045397231</v>
      </c>
      <c r="U92" s="75">
        <f t="shared" si="265"/>
        <v>48.142041851616987</v>
      </c>
      <c r="V92" s="75">
        <f t="shared" si="265"/>
        <v>49.34920513604402</v>
      </c>
      <c r="W92" s="75">
        <f t="shared" si="265"/>
        <v>50.886695679204223</v>
      </c>
      <c r="X92" s="75">
        <f t="shared" si="265"/>
        <v>51.093923418423977</v>
      </c>
      <c r="Y92" s="75">
        <f t="shared" si="265"/>
        <v>53.658637873754152</v>
      </c>
      <c r="Z92" s="75">
        <f t="shared" si="265"/>
        <v>50.53846153846154</v>
      </c>
      <c r="AA92" s="75">
        <f t="shared" si="265"/>
        <v>53.383848657445078</v>
      </c>
      <c r="AB92" s="89"/>
      <c r="AC92" s="89"/>
      <c r="AD92" s="89"/>
      <c r="AE92" s="89"/>
      <c r="AF92" s="89"/>
      <c r="AG92" s="89"/>
      <c r="AH92" s="89"/>
      <c r="AI92" s="89"/>
      <c r="AJ92" s="89"/>
      <c r="AK92" s="89"/>
      <c r="AL92" s="89"/>
      <c r="AM92" s="75">
        <f>(AM91/AM39)*91.25</f>
        <v>57.691745545657014</v>
      </c>
      <c r="AN92" s="89"/>
      <c r="AO92" s="89"/>
      <c r="AP92" s="89"/>
      <c r="AQ92" s="89"/>
      <c r="AR92" s="89"/>
      <c r="AS92" s="89"/>
      <c r="AT92" s="89"/>
      <c r="AU92" s="89"/>
      <c r="AV92" s="89"/>
      <c r="AW92" s="89"/>
      <c r="AX92" s="89"/>
      <c r="AY92" s="89"/>
      <c r="AZ92" s="89"/>
      <c r="BA92" s="89"/>
      <c r="BB92" s="89"/>
      <c r="BC92" s="89"/>
      <c r="BD92" s="89"/>
      <c r="BE92" s="89"/>
      <c r="BF92" s="89"/>
      <c r="BG92" s="89"/>
      <c r="BH92" s="89"/>
      <c r="BI92" s="89"/>
      <c r="BJ92" s="89"/>
      <c r="BK92" s="89"/>
      <c r="BL92" s="89"/>
      <c r="BM92" s="89"/>
      <c r="BN92" s="89"/>
      <c r="BO92" s="89"/>
      <c r="BP92" s="89"/>
      <c r="BQ92" s="89"/>
      <c r="BR92" s="89"/>
      <c r="BS92" s="89"/>
      <c r="BT92" s="89"/>
      <c r="BU92" s="89"/>
      <c r="BV92" s="89"/>
      <c r="BW92" s="89"/>
      <c r="BX92" s="89"/>
      <c r="BY92" s="89"/>
      <c r="BZ92" s="89"/>
      <c r="CA92" s="89"/>
      <c r="CB92" s="89"/>
      <c r="CC92" s="89"/>
      <c r="CD92" s="89"/>
      <c r="CE92" s="89"/>
      <c r="CF92" s="89"/>
      <c r="CG92" s="89"/>
      <c r="CH92" s="89"/>
      <c r="CI92" s="89"/>
      <c r="CJ92" s="89"/>
      <c r="CK92" s="89"/>
      <c r="CL92" s="89"/>
      <c r="CM92" s="89"/>
      <c r="CN92" s="89"/>
      <c r="CO92" s="89"/>
      <c r="CP92" s="89"/>
      <c r="CQ92" s="89"/>
      <c r="CR92" s="89"/>
      <c r="CS92" s="89"/>
      <c r="CT92" s="89"/>
      <c r="CU92" s="89"/>
      <c r="CV92" s="89"/>
      <c r="CW92" s="89"/>
      <c r="CX92" s="89"/>
      <c r="CY92" s="89"/>
      <c r="CZ92" s="89"/>
      <c r="DA92" s="89"/>
      <c r="DB92" s="89"/>
      <c r="DC92" s="89"/>
      <c r="DD92" s="89"/>
      <c r="DE92" s="89"/>
      <c r="DF92" s="89"/>
      <c r="DG92" s="89"/>
      <c r="DH92" s="89"/>
      <c r="DI92" s="89"/>
      <c r="DJ92" s="89"/>
      <c r="DK92" s="89"/>
      <c r="DL92" s="89"/>
      <c r="DM92" s="89"/>
      <c r="DN92" s="89"/>
      <c r="DO92" s="89"/>
      <c r="DP92" s="89"/>
      <c r="DQ92" s="89"/>
      <c r="DR92" s="89"/>
      <c r="DS92" s="89"/>
      <c r="DT92" s="89"/>
      <c r="DU92" s="89"/>
      <c r="DV92" s="89"/>
      <c r="DW92" s="89"/>
      <c r="DX92" s="89"/>
      <c r="DY92" s="89"/>
      <c r="DZ92" s="89"/>
      <c r="EA92" s="89"/>
      <c r="EB92" s="89"/>
      <c r="EC92" s="89"/>
      <c r="ED92" s="89"/>
      <c r="EE92" s="89"/>
    </row>
    <row r="93" spans="2:140">
      <c r="B93" s="4" t="s">
        <v>364</v>
      </c>
      <c r="F93" s="67">
        <v>355.6</v>
      </c>
      <c r="I93" s="67">
        <v>526.5</v>
      </c>
      <c r="J93" s="67">
        <v>544.9</v>
      </c>
      <c r="K93" s="67">
        <v>582.70000000000005</v>
      </c>
      <c r="L93" s="67">
        <v>544.9</v>
      </c>
      <c r="M93" s="67">
        <v>684.8</v>
      </c>
      <c r="N93" s="67">
        <v>713</v>
      </c>
      <c r="O93" s="67">
        <v>736.7</v>
      </c>
      <c r="P93" s="67">
        <v>725.1</v>
      </c>
      <c r="Q93" s="67">
        <v>716</v>
      </c>
      <c r="R93" s="67">
        <v>888</v>
      </c>
      <c r="S93" s="67">
        <v>932</v>
      </c>
      <c r="T93" s="67">
        <v>984</v>
      </c>
      <c r="U93" s="67">
        <v>1059</v>
      </c>
      <c r="V93" s="67">
        <v>1258</v>
      </c>
      <c r="W93" s="67">
        <v>1273</v>
      </c>
      <c r="X93" s="67">
        <v>1520</v>
      </c>
      <c r="Y93" s="67">
        <v>1711</v>
      </c>
      <c r="Z93" s="67">
        <v>1903</v>
      </c>
      <c r="AA93" s="67">
        <v>2115</v>
      </c>
      <c r="AM93" s="74">
        <v>2202</v>
      </c>
    </row>
    <row r="94" spans="2:140">
      <c r="B94" s="4" t="s">
        <v>365</v>
      </c>
      <c r="F94" s="67">
        <v>343.6</v>
      </c>
      <c r="I94" s="67">
        <v>633.5</v>
      </c>
      <c r="J94" s="67">
        <v>442.3</v>
      </c>
      <c r="K94" s="67">
        <v>471</v>
      </c>
      <c r="L94" s="67">
        <v>442.3</v>
      </c>
      <c r="M94" s="67">
        <v>582.79999999999995</v>
      </c>
      <c r="N94" s="67">
        <v>558</v>
      </c>
      <c r="O94" s="67">
        <v>494.4</v>
      </c>
      <c r="P94" s="67">
        <v>568</v>
      </c>
      <c r="Q94" s="67">
        <v>808</v>
      </c>
      <c r="R94" s="67">
        <v>1013</v>
      </c>
      <c r="S94" s="67">
        <v>873</v>
      </c>
      <c r="T94" s="67">
        <v>894</v>
      </c>
      <c r="U94" s="67">
        <v>919</v>
      </c>
      <c r="V94" s="67">
        <v>953</v>
      </c>
      <c r="W94" s="67">
        <v>943</v>
      </c>
      <c r="X94" s="67">
        <v>995</v>
      </c>
      <c r="Y94" s="67">
        <v>1040</v>
      </c>
      <c r="Z94" s="67">
        <v>1408</v>
      </c>
      <c r="AA94" s="67">
        <v>1418</v>
      </c>
      <c r="AM94" s="67">
        <v>1219</v>
      </c>
    </row>
    <row r="95" spans="2:140">
      <c r="B95" s="4" t="s">
        <v>366</v>
      </c>
      <c r="F95" s="67">
        <f>F89+F90+F91+F93+F94</f>
        <v>3858.5999999999995</v>
      </c>
      <c r="I95" s="67">
        <f t="shared" ref="I95:AA95" si="266">I89+I90+I91+I93+I94</f>
        <v>5824.4</v>
      </c>
      <c r="J95" s="67">
        <f t="shared" si="266"/>
        <v>6403.4999999999991</v>
      </c>
      <c r="K95" s="67">
        <f t="shared" si="266"/>
        <v>6655.9</v>
      </c>
      <c r="L95" s="67">
        <f t="shared" si="266"/>
        <v>6403.4999999999991</v>
      </c>
      <c r="M95" s="67">
        <f t="shared" si="266"/>
        <v>7294</v>
      </c>
      <c r="N95" s="67">
        <f t="shared" si="266"/>
        <v>7402</v>
      </c>
      <c r="O95" s="67">
        <f t="shared" si="266"/>
        <v>6935.4</v>
      </c>
      <c r="P95" s="67">
        <f t="shared" si="266"/>
        <v>6836.1</v>
      </c>
      <c r="Q95" s="67">
        <f t="shared" si="266"/>
        <v>6775</v>
      </c>
      <c r="R95" s="67">
        <f t="shared" si="266"/>
        <v>9170</v>
      </c>
      <c r="S95" s="67">
        <f t="shared" si="266"/>
        <v>7424</v>
      </c>
      <c r="T95" s="67">
        <f t="shared" si="266"/>
        <v>8025</v>
      </c>
      <c r="U95" s="67">
        <f t="shared" si="266"/>
        <v>9193</v>
      </c>
      <c r="V95" s="67">
        <f t="shared" si="266"/>
        <v>9235</v>
      </c>
      <c r="W95" s="67">
        <f t="shared" si="266"/>
        <v>11157</v>
      </c>
      <c r="X95" s="67">
        <f t="shared" si="266"/>
        <v>9503</v>
      </c>
      <c r="Y95" s="67">
        <f t="shared" si="266"/>
        <v>10656</v>
      </c>
      <c r="Z95" s="67">
        <f t="shared" si="266"/>
        <v>11712</v>
      </c>
      <c r="AA95" s="67">
        <f t="shared" si="266"/>
        <v>10527</v>
      </c>
      <c r="AM95" s="67">
        <f>AM89+AM90+AM91+AM93+AM94</f>
        <v>19809</v>
      </c>
    </row>
    <row r="96" spans="2:140">
      <c r="B96" s="4" t="s">
        <v>367</v>
      </c>
      <c r="F96" s="67">
        <v>1946.1</v>
      </c>
      <c r="I96" s="67">
        <v>2666.2</v>
      </c>
      <c r="J96" s="67">
        <v>2813.5</v>
      </c>
      <c r="K96" s="67">
        <v>2954.2</v>
      </c>
      <c r="L96" s="67">
        <v>2813.5</v>
      </c>
      <c r="M96" s="67">
        <v>3456.7</v>
      </c>
      <c r="N96" s="67">
        <v>3799</v>
      </c>
      <c r="O96" s="67">
        <v>4086.3</v>
      </c>
      <c r="P96" s="67">
        <v>4351.2</v>
      </c>
      <c r="Q96" s="67">
        <v>4549</v>
      </c>
      <c r="R96" s="67">
        <v>4712</v>
      </c>
      <c r="S96" s="67">
        <v>4790</v>
      </c>
      <c r="T96" s="67">
        <v>4863</v>
      </c>
      <c r="U96" s="67">
        <v>4894</v>
      </c>
      <c r="V96" s="67">
        <v>5038</v>
      </c>
      <c r="W96" s="67">
        <v>5122</v>
      </c>
      <c r="X96" s="67">
        <v>5438</v>
      </c>
      <c r="Y96" s="67">
        <v>5673</v>
      </c>
      <c r="Z96" s="67">
        <v>5921</v>
      </c>
      <c r="AA96" s="67">
        <v>6027</v>
      </c>
      <c r="AM96" s="67">
        <v>5619</v>
      </c>
    </row>
    <row r="97" spans="2:39">
      <c r="B97" s="4" t="s">
        <v>368</v>
      </c>
      <c r="F97" s="67">
        <f>34.1+97.2</f>
        <v>131.30000000000001</v>
      </c>
      <c r="I97" s="67">
        <f>4904.6+9817.2</f>
        <v>14721.800000000001</v>
      </c>
      <c r="J97" s="67">
        <f>4801.9+9871.1</f>
        <v>14673</v>
      </c>
      <c r="K97" s="67">
        <f>4715.5+9873.5</f>
        <v>14589</v>
      </c>
      <c r="L97" s="67">
        <f>4801.9+9871.1</f>
        <v>14673</v>
      </c>
      <c r="M97" s="67">
        <f>4542.1+9870.7</f>
        <v>14412.800000000001</v>
      </c>
      <c r="N97" s="67">
        <f>4288+9820</f>
        <v>14108</v>
      </c>
      <c r="O97" s="67">
        <f>4408+9707</f>
        <v>14115</v>
      </c>
      <c r="P97" s="67">
        <f>4338.8+9700.4</f>
        <v>14039.2</v>
      </c>
      <c r="Q97" s="67">
        <f>4278+10437</f>
        <v>14715</v>
      </c>
      <c r="R97" s="67">
        <f>4033+10525</f>
        <v>14558</v>
      </c>
      <c r="S97" s="67">
        <f>3965+10519</f>
        <v>14484</v>
      </c>
      <c r="T97" s="67">
        <f>3872+10519</f>
        <v>14391</v>
      </c>
      <c r="U97" s="67">
        <f>3779+10496</f>
        <v>14275</v>
      </c>
      <c r="V97" s="67">
        <f>3742+10495</f>
        <v>14237</v>
      </c>
      <c r="W97" s="67">
        <f>3646+10492</f>
        <v>14138</v>
      </c>
      <c r="X97" s="67">
        <f>3965+11210</f>
        <v>15175</v>
      </c>
      <c r="Y97" s="67">
        <f>3819+11206</f>
        <v>15025</v>
      </c>
      <c r="Z97" s="67">
        <f>3747+11302</f>
        <v>15049</v>
      </c>
      <c r="AA97" s="67">
        <f>3643+11269</f>
        <v>14912</v>
      </c>
      <c r="AM97" s="67">
        <f>2462+11335</f>
        <v>13797</v>
      </c>
    </row>
    <row r="98" spans="2:39">
      <c r="B98" s="4" t="s">
        <v>369</v>
      </c>
      <c r="F98" s="67">
        <v>507.1</v>
      </c>
      <c r="I98" s="67">
        <v>528.70000000000005</v>
      </c>
      <c r="J98" s="67">
        <v>566.29999999999995</v>
      </c>
      <c r="K98" s="67">
        <v>530.4</v>
      </c>
      <c r="L98" s="67">
        <v>566.29999999999995</v>
      </c>
      <c r="M98" s="67">
        <v>705.3</v>
      </c>
      <c r="N98" s="67">
        <v>804</v>
      </c>
      <c r="O98" s="67">
        <v>842.7</v>
      </c>
      <c r="P98" s="67">
        <v>833.5</v>
      </c>
      <c r="Q98" s="67">
        <v>772</v>
      </c>
      <c r="R98" s="67">
        <v>781</v>
      </c>
      <c r="S98" s="67">
        <v>722</v>
      </c>
      <c r="T98" s="67">
        <v>759</v>
      </c>
      <c r="U98" s="67">
        <v>770</v>
      </c>
      <c r="V98" s="67">
        <v>787</v>
      </c>
      <c r="W98" s="67">
        <v>898</v>
      </c>
      <c r="X98" s="67">
        <v>1172</v>
      </c>
      <c r="Y98" s="67">
        <v>1232</v>
      </c>
      <c r="Z98" s="67">
        <v>1106</v>
      </c>
      <c r="AA98" s="67">
        <v>1104</v>
      </c>
      <c r="AM98" s="67">
        <v>1141</v>
      </c>
    </row>
    <row r="99" spans="2:39">
      <c r="B99" s="4" t="s">
        <v>370</v>
      </c>
      <c r="F99" s="67">
        <f>SUM(F95:F98)</f>
        <v>6443.0999999999995</v>
      </c>
      <c r="I99" s="67">
        <f t="shared" ref="I99:AA99" si="267">SUM(I95:I98)</f>
        <v>23741.100000000002</v>
      </c>
      <c r="J99" s="67">
        <f t="shared" si="267"/>
        <v>24456.3</v>
      </c>
      <c r="K99" s="67">
        <f t="shared" si="267"/>
        <v>24729.5</v>
      </c>
      <c r="L99" s="67">
        <f t="shared" si="267"/>
        <v>24456.3</v>
      </c>
      <c r="M99" s="67">
        <f t="shared" si="267"/>
        <v>25868.799999999999</v>
      </c>
      <c r="N99" s="67">
        <f t="shared" si="267"/>
        <v>26113</v>
      </c>
      <c r="O99" s="67">
        <f t="shared" si="267"/>
        <v>25979.4</v>
      </c>
      <c r="P99" s="67">
        <f t="shared" si="267"/>
        <v>26060</v>
      </c>
      <c r="Q99" s="67">
        <f t="shared" si="267"/>
        <v>26811</v>
      </c>
      <c r="R99" s="67">
        <f t="shared" si="267"/>
        <v>29221</v>
      </c>
      <c r="S99" s="67">
        <f t="shared" si="267"/>
        <v>27420</v>
      </c>
      <c r="T99" s="67">
        <f t="shared" si="267"/>
        <v>28038</v>
      </c>
      <c r="U99" s="67">
        <f t="shared" si="267"/>
        <v>29132</v>
      </c>
      <c r="V99" s="67">
        <f t="shared" si="267"/>
        <v>29297</v>
      </c>
      <c r="W99" s="67">
        <f t="shared" si="267"/>
        <v>31315</v>
      </c>
      <c r="X99" s="67">
        <f t="shared" si="267"/>
        <v>31288</v>
      </c>
      <c r="Y99" s="67">
        <f t="shared" si="267"/>
        <v>32586</v>
      </c>
      <c r="Z99" s="67">
        <f t="shared" si="267"/>
        <v>33788</v>
      </c>
      <c r="AA99" s="67">
        <f t="shared" si="267"/>
        <v>32570</v>
      </c>
      <c r="AM99" s="67">
        <f>SUM(AM95:AM98)</f>
        <v>40366</v>
      </c>
    </row>
    <row r="100" spans="2:39">
      <c r="AM100" s="67"/>
    </row>
    <row r="101" spans="2:39">
      <c r="B101" s="4" t="s">
        <v>372</v>
      </c>
      <c r="F101" s="67">
        <v>136.69999999999999</v>
      </c>
      <c r="I101" s="67">
        <v>197.7</v>
      </c>
      <c r="J101" s="67">
        <v>1529</v>
      </c>
      <c r="K101" s="67">
        <v>1584.8</v>
      </c>
      <c r="L101" s="67">
        <v>254.6</v>
      </c>
      <c r="M101" s="67"/>
      <c r="N101" s="67"/>
      <c r="O101" s="67"/>
      <c r="P101" s="67"/>
      <c r="Q101" s="67">
        <v>337</v>
      </c>
      <c r="R101" s="67">
        <v>507</v>
      </c>
      <c r="S101" s="67">
        <v>549</v>
      </c>
      <c r="T101" s="67">
        <v>503</v>
      </c>
      <c r="U101" s="67">
        <v>497</v>
      </c>
      <c r="V101" s="67">
        <v>596</v>
      </c>
      <c r="W101" s="67">
        <v>442</v>
      </c>
      <c r="X101" s="67">
        <v>668</v>
      </c>
      <c r="Y101" s="67">
        <v>569</v>
      </c>
      <c r="Z101" s="67">
        <v>555</v>
      </c>
      <c r="AA101" s="67">
        <v>601</v>
      </c>
      <c r="AM101" s="67">
        <v>882</v>
      </c>
    </row>
    <row r="102" spans="2:39">
      <c r="B102" s="4" t="s">
        <v>373</v>
      </c>
      <c r="F102" s="67">
        <v>766.3</v>
      </c>
      <c r="I102" s="67">
        <v>1150.3</v>
      </c>
      <c r="J102" s="67">
        <v>1593.4</v>
      </c>
      <c r="K102" s="67">
        <v>1585.6</v>
      </c>
      <c r="L102" s="67">
        <v>1151.7</v>
      </c>
      <c r="M102" s="67">
        <v>1548.3</v>
      </c>
      <c r="N102" s="67">
        <v>2456</v>
      </c>
      <c r="O102" s="67">
        <v>1888.5</v>
      </c>
      <c r="P102" s="67">
        <v>2098.6999999999998</v>
      </c>
      <c r="Q102" s="67">
        <v>1950</v>
      </c>
      <c r="R102" s="67">
        <v>2477</v>
      </c>
      <c r="S102" s="67">
        <v>2485</v>
      </c>
      <c r="T102" s="67">
        <v>2675</v>
      </c>
      <c r="U102" s="67">
        <v>2855</v>
      </c>
      <c r="V102" s="67">
        <v>2999</v>
      </c>
      <c r="W102" s="67">
        <v>3178</v>
      </c>
      <c r="X102" s="67">
        <v>3477</v>
      </c>
      <c r="Y102" s="67">
        <v>3946</v>
      </c>
      <c r="Z102" s="67">
        <v>4589</v>
      </c>
      <c r="AA102" s="67">
        <v>3906</v>
      </c>
      <c r="AM102" s="67">
        <v>3302</v>
      </c>
    </row>
    <row r="103" spans="2:39">
      <c r="B103" s="4" t="s">
        <v>374</v>
      </c>
      <c r="F103" s="67">
        <v>99.9</v>
      </c>
      <c r="I103" s="67">
        <f>100+23</f>
        <v>123</v>
      </c>
      <c r="J103" s="67"/>
      <c r="K103" s="67"/>
      <c r="L103" s="67">
        <v>122.9</v>
      </c>
      <c r="M103" s="67">
        <v>0</v>
      </c>
      <c r="N103" s="67">
        <v>0</v>
      </c>
      <c r="O103" s="67">
        <v>2887.6</v>
      </c>
      <c r="P103" s="67">
        <v>2895.7</v>
      </c>
      <c r="Q103" s="67">
        <v>2904</v>
      </c>
      <c r="R103" s="67">
        <v>1173</v>
      </c>
      <c r="S103" s="67">
        <v>1744</v>
      </c>
      <c r="T103" s="67">
        <v>1749</v>
      </c>
      <c r="U103" s="67">
        <v>1754</v>
      </c>
      <c r="V103" s="67">
        <v>0</v>
      </c>
      <c r="W103" s="67">
        <v>1763</v>
      </c>
      <c r="X103" s="67">
        <v>1768</v>
      </c>
      <c r="Y103" s="67">
        <v>1773</v>
      </c>
      <c r="Z103" s="67">
        <f>1698+100</f>
        <v>1798</v>
      </c>
      <c r="AA103" s="67">
        <v>100</v>
      </c>
      <c r="AM103" s="67">
        <v>2378</v>
      </c>
    </row>
    <row r="104" spans="2:39">
      <c r="B104" s="4" t="s">
        <v>375</v>
      </c>
      <c r="F104" s="67">
        <f>SUM(F101:F103)</f>
        <v>1002.9</v>
      </c>
      <c r="I104" s="67">
        <f t="shared" ref="I104:AA104" si="268">SUM(I101:I103)</f>
        <v>1471</v>
      </c>
      <c r="J104" s="67">
        <f t="shared" si="268"/>
        <v>3122.4</v>
      </c>
      <c r="K104" s="67">
        <f t="shared" si="268"/>
        <v>3170.3999999999996</v>
      </c>
      <c r="L104" s="67">
        <f t="shared" si="268"/>
        <v>1529.2</v>
      </c>
      <c r="M104" s="67">
        <f t="shared" si="268"/>
        <v>1548.3</v>
      </c>
      <c r="N104" s="67">
        <f t="shared" si="268"/>
        <v>2456</v>
      </c>
      <c r="O104" s="67">
        <f t="shared" si="268"/>
        <v>4776.1000000000004</v>
      </c>
      <c r="P104" s="67">
        <f t="shared" si="268"/>
        <v>4994.3999999999996</v>
      </c>
      <c r="Q104" s="67">
        <f t="shared" si="268"/>
        <v>5191</v>
      </c>
      <c r="R104" s="67">
        <f t="shared" si="268"/>
        <v>4157</v>
      </c>
      <c r="S104" s="67">
        <f t="shared" si="268"/>
        <v>4778</v>
      </c>
      <c r="T104" s="67">
        <f t="shared" si="268"/>
        <v>4927</v>
      </c>
      <c r="U104" s="67">
        <f t="shared" si="268"/>
        <v>5106</v>
      </c>
      <c r="V104" s="67">
        <f t="shared" si="268"/>
        <v>3595</v>
      </c>
      <c r="W104" s="67">
        <f t="shared" si="268"/>
        <v>5383</v>
      </c>
      <c r="X104" s="67">
        <f t="shared" si="268"/>
        <v>5913</v>
      </c>
      <c r="Y104" s="67">
        <f t="shared" si="268"/>
        <v>6288</v>
      </c>
      <c r="Z104" s="67">
        <f t="shared" si="268"/>
        <v>6942</v>
      </c>
      <c r="AA104" s="67">
        <f t="shared" si="268"/>
        <v>4607</v>
      </c>
      <c r="AM104" s="67">
        <f>SUM(AM101:AM103)</f>
        <v>6562</v>
      </c>
    </row>
    <row r="105" spans="2:39">
      <c r="B105" s="4" t="s">
        <v>376</v>
      </c>
      <c r="F105" s="67"/>
      <c r="I105" s="67">
        <v>1565.6</v>
      </c>
      <c r="J105" s="67"/>
      <c r="K105" s="67"/>
      <c r="L105" s="67">
        <v>1593.4</v>
      </c>
      <c r="M105" s="67">
        <v>1791.4</v>
      </c>
      <c r="N105" s="67">
        <v>1146</v>
      </c>
      <c r="O105" s="67">
        <v>1432</v>
      </c>
      <c r="P105" s="67">
        <v>1454.8</v>
      </c>
      <c r="Q105" s="67">
        <v>1484</v>
      </c>
      <c r="R105" s="67">
        <v>1294</v>
      </c>
      <c r="S105" s="67">
        <v>1280</v>
      </c>
      <c r="T105" s="67">
        <v>1209</v>
      </c>
      <c r="U105" s="67">
        <v>1180</v>
      </c>
      <c r="V105" s="67">
        <v>1163</v>
      </c>
      <c r="W105" s="67">
        <v>1160</v>
      </c>
      <c r="X105" s="67">
        <v>1064</v>
      </c>
      <c r="Y105" s="67">
        <v>1079</v>
      </c>
      <c r="Z105" s="67">
        <v>367</v>
      </c>
      <c r="AA105" s="67">
        <v>466</v>
      </c>
      <c r="AM105" s="67">
        <v>0</v>
      </c>
    </row>
    <row r="106" spans="2:39">
      <c r="B106" s="4" t="s">
        <v>374</v>
      </c>
      <c r="F106" s="67"/>
      <c r="I106" s="67"/>
      <c r="J106" s="67"/>
      <c r="K106" s="67"/>
      <c r="L106" s="67"/>
      <c r="M106" s="67"/>
      <c r="N106" s="67"/>
      <c r="O106" s="67">
        <v>200</v>
      </c>
      <c r="P106" s="67">
        <v>200</v>
      </c>
      <c r="Q106" s="67"/>
      <c r="R106" s="67">
        <v>1739</v>
      </c>
      <c r="S106" s="67">
        <v>0</v>
      </c>
      <c r="T106" s="67">
        <v>0</v>
      </c>
      <c r="U106" s="67">
        <v>0</v>
      </c>
      <c r="V106" s="67">
        <v>1759</v>
      </c>
      <c r="W106" s="67">
        <v>5000</v>
      </c>
      <c r="X106" s="67">
        <v>5000</v>
      </c>
      <c r="Y106" s="67">
        <v>5000</v>
      </c>
      <c r="Z106" s="67">
        <v>5080</v>
      </c>
      <c r="AA106" s="67">
        <v>5080</v>
      </c>
      <c r="AB106" s="67">
        <v>5080</v>
      </c>
      <c r="AM106" s="67">
        <v>2201</v>
      </c>
    </row>
    <row r="107" spans="2:39">
      <c r="B107" s="4" t="s">
        <v>377</v>
      </c>
      <c r="F107" s="67">
        <v>223</v>
      </c>
      <c r="I107" s="67">
        <v>3039.7</v>
      </c>
      <c r="J107" s="67">
        <v>3047.7</v>
      </c>
      <c r="K107" s="67">
        <v>3055.7</v>
      </c>
      <c r="L107" s="67">
        <v>3047.7</v>
      </c>
      <c r="M107" s="67">
        <v>3071.8</v>
      </c>
      <c r="N107" s="67">
        <v>3080</v>
      </c>
      <c r="O107" s="67"/>
      <c r="P107" s="67"/>
      <c r="Q107" s="67">
        <v>200</v>
      </c>
      <c r="R107" s="67">
        <v>2198</v>
      </c>
      <c r="S107" s="67">
        <v>2198</v>
      </c>
      <c r="T107" s="67">
        <v>2198</v>
      </c>
      <c r="U107" s="67">
        <v>2198</v>
      </c>
      <c r="V107" s="67">
        <v>2198</v>
      </c>
      <c r="W107" s="67">
        <v>2198</v>
      </c>
      <c r="X107" s="67">
        <v>2232</v>
      </c>
      <c r="Y107" s="67">
        <v>2233</v>
      </c>
      <c r="Z107" s="67">
        <v>2134</v>
      </c>
      <c r="AA107" s="67">
        <v>2134</v>
      </c>
      <c r="AB107" s="67">
        <v>6132</v>
      </c>
      <c r="AM107" s="67">
        <v>7085</v>
      </c>
    </row>
    <row r="108" spans="2:39">
      <c r="B108" s="4" t="s">
        <v>378</v>
      </c>
      <c r="F108" s="67"/>
      <c r="I108" s="67"/>
      <c r="J108" s="67"/>
      <c r="K108" s="67"/>
      <c r="L108" s="67"/>
      <c r="M108" s="67"/>
      <c r="N108" s="67">
        <v>42</v>
      </c>
      <c r="O108" s="67"/>
      <c r="P108" s="67"/>
      <c r="Q108" s="67">
        <v>128</v>
      </c>
      <c r="R108" s="67">
        <v>128</v>
      </c>
      <c r="S108" s="67">
        <v>124</v>
      </c>
      <c r="T108" s="67">
        <v>123</v>
      </c>
      <c r="U108" s="67">
        <v>118</v>
      </c>
      <c r="V108" s="67">
        <v>131</v>
      </c>
      <c r="W108" s="67">
        <v>183</v>
      </c>
      <c r="X108" s="67">
        <v>240</v>
      </c>
      <c r="Y108" s="67">
        <v>265</v>
      </c>
      <c r="Z108" s="67">
        <v>301</v>
      </c>
      <c r="AA108" s="67">
        <v>568</v>
      </c>
      <c r="AM108" s="67">
        <v>2179</v>
      </c>
    </row>
    <row r="109" spans="2:39">
      <c r="B109" s="4" t="s">
        <v>379</v>
      </c>
      <c r="F109" s="67">
        <f>SUM(F104:F108)</f>
        <v>1225.9000000000001</v>
      </c>
      <c r="I109" s="67">
        <f t="shared" ref="I109:AA109" si="269">SUM(I104:I108)</f>
        <v>6076.2999999999993</v>
      </c>
      <c r="J109" s="67">
        <f t="shared" si="269"/>
        <v>6170.1</v>
      </c>
      <c r="K109" s="67">
        <f t="shared" si="269"/>
        <v>6226.0999999999995</v>
      </c>
      <c r="L109" s="67">
        <f t="shared" si="269"/>
        <v>6170.3</v>
      </c>
      <c r="M109" s="67">
        <f t="shared" si="269"/>
        <v>6411.5</v>
      </c>
      <c r="N109" s="67">
        <f t="shared" si="269"/>
        <v>6724</v>
      </c>
      <c r="O109" s="67">
        <f t="shared" si="269"/>
        <v>6408.1</v>
      </c>
      <c r="P109" s="67">
        <f t="shared" si="269"/>
        <v>6649.2</v>
      </c>
      <c r="Q109" s="67">
        <f t="shared" si="269"/>
        <v>7003</v>
      </c>
      <c r="R109" s="67">
        <f t="shared" si="269"/>
        <v>9516</v>
      </c>
      <c r="S109" s="67">
        <f t="shared" si="269"/>
        <v>8380</v>
      </c>
      <c r="T109" s="67">
        <f t="shared" si="269"/>
        <v>8457</v>
      </c>
      <c r="U109" s="67">
        <f t="shared" si="269"/>
        <v>8602</v>
      </c>
      <c r="V109" s="67">
        <f t="shared" si="269"/>
        <v>8846</v>
      </c>
      <c r="W109" s="67">
        <f t="shared" si="269"/>
        <v>13924</v>
      </c>
      <c r="X109" s="67">
        <f t="shared" si="269"/>
        <v>14449</v>
      </c>
      <c r="Y109" s="67">
        <f t="shared" si="269"/>
        <v>14865</v>
      </c>
      <c r="Z109" s="67">
        <f>SUM(Z104:Z108)</f>
        <v>14824</v>
      </c>
      <c r="AA109" s="67">
        <f t="shared" si="269"/>
        <v>12855</v>
      </c>
      <c r="AM109" s="67">
        <f>SUM(AM104:AM108)</f>
        <v>18027</v>
      </c>
    </row>
    <row r="110" spans="2:39">
      <c r="B110" s="4" t="s">
        <v>381</v>
      </c>
      <c r="F110" s="67">
        <v>5217.2</v>
      </c>
      <c r="I110" s="67">
        <v>17664.8</v>
      </c>
      <c r="J110" s="67">
        <v>18286</v>
      </c>
      <c r="K110" s="67">
        <v>18503.400000000001</v>
      </c>
      <c r="L110" s="67">
        <v>18286</v>
      </c>
      <c r="M110" s="67">
        <v>19457.3</v>
      </c>
      <c r="N110" s="67">
        <v>19389</v>
      </c>
      <c r="O110" s="67">
        <v>19571.3</v>
      </c>
      <c r="P110" s="67">
        <v>19410.8</v>
      </c>
      <c r="Q110" s="67">
        <v>19808</v>
      </c>
      <c r="R110" s="67">
        <v>19705</v>
      </c>
      <c r="S110" s="67">
        <v>19040</v>
      </c>
      <c r="T110" s="67">
        <v>19581</v>
      </c>
      <c r="U110" s="67">
        <v>20530</v>
      </c>
      <c r="V110" s="67">
        <v>20451</v>
      </c>
      <c r="W110" s="67">
        <v>17391</v>
      </c>
      <c r="X110" s="67">
        <v>16839</v>
      </c>
      <c r="Y110" s="67">
        <v>17721</v>
      </c>
      <c r="Z110" s="67">
        <v>18964</v>
      </c>
      <c r="AA110" s="67">
        <v>19715</v>
      </c>
      <c r="AM110" s="67">
        <v>22339</v>
      </c>
    </row>
    <row r="111" spans="2:39">
      <c r="B111" s="16" t="s">
        <v>1097</v>
      </c>
      <c r="F111" s="67">
        <f>F110+F109</f>
        <v>6443.1</v>
      </c>
      <c r="I111" s="67">
        <f t="shared" ref="I111:AA111" si="270">I110+I109</f>
        <v>23741.1</v>
      </c>
      <c r="J111" s="67">
        <f t="shared" si="270"/>
        <v>24456.1</v>
      </c>
      <c r="K111" s="67">
        <f t="shared" si="270"/>
        <v>24729.5</v>
      </c>
      <c r="L111" s="67">
        <f t="shared" si="270"/>
        <v>24456.3</v>
      </c>
      <c r="M111" s="67">
        <f t="shared" si="270"/>
        <v>25868.799999999999</v>
      </c>
      <c r="N111" s="67">
        <f t="shared" si="270"/>
        <v>26113</v>
      </c>
      <c r="O111" s="67">
        <f t="shared" si="270"/>
        <v>25979.4</v>
      </c>
      <c r="P111" s="67">
        <f t="shared" si="270"/>
        <v>26060</v>
      </c>
      <c r="Q111" s="67">
        <f t="shared" si="270"/>
        <v>26811</v>
      </c>
      <c r="R111" s="67">
        <f t="shared" si="270"/>
        <v>29221</v>
      </c>
      <c r="S111" s="67">
        <f t="shared" si="270"/>
        <v>27420</v>
      </c>
      <c r="T111" s="67">
        <f t="shared" si="270"/>
        <v>28038</v>
      </c>
      <c r="U111" s="67">
        <f t="shared" si="270"/>
        <v>29132</v>
      </c>
      <c r="V111" s="67">
        <f t="shared" si="270"/>
        <v>29297</v>
      </c>
      <c r="W111" s="67">
        <f t="shared" si="270"/>
        <v>31315</v>
      </c>
      <c r="X111" s="67">
        <f t="shared" si="270"/>
        <v>31288</v>
      </c>
      <c r="Y111" s="67">
        <f t="shared" si="270"/>
        <v>32586</v>
      </c>
      <c r="Z111" s="67">
        <f t="shared" si="270"/>
        <v>33788</v>
      </c>
      <c r="AA111" s="67">
        <f t="shared" si="270"/>
        <v>32570</v>
      </c>
      <c r="AM111" s="67">
        <f>AM110+AM109</f>
        <v>40366</v>
      </c>
    </row>
    <row r="112" spans="2:39">
      <c r="X112" s="67"/>
      <c r="Y112" s="67"/>
    </row>
    <row r="113" spans="2:110">
      <c r="B113" s="4" t="s">
        <v>382</v>
      </c>
      <c r="E113" s="67">
        <f>954.7-D113-C113</f>
        <v>954.7</v>
      </c>
      <c r="F113" s="67">
        <f>1480.2-E113-D113-C113</f>
        <v>525.5</v>
      </c>
      <c r="G113" s="67">
        <v>486.9</v>
      </c>
      <c r="H113" s="67">
        <f>1124.6-G113</f>
        <v>637.69999999999993</v>
      </c>
      <c r="I113" s="67">
        <f>1428.7-H113-G113</f>
        <v>304.10000000000014</v>
      </c>
      <c r="J113" s="67">
        <f>2248.8-I113-H113-G113</f>
        <v>820.1</v>
      </c>
      <c r="K113" s="67">
        <v>780.8</v>
      </c>
      <c r="L113" s="67">
        <f>1720.5-K113</f>
        <v>939.7</v>
      </c>
      <c r="M113" s="67">
        <f>2369-L113-K113</f>
        <v>648.5</v>
      </c>
      <c r="N113" s="67">
        <f>3566.6-M113-L113-K113</f>
        <v>1197.5999999999999</v>
      </c>
      <c r="O113" s="67">
        <v>399</v>
      </c>
      <c r="P113" s="67">
        <f>1514-O113</f>
        <v>1115</v>
      </c>
      <c r="Q113" s="67">
        <f>2587-P113-O113</f>
        <v>1073</v>
      </c>
      <c r="R113" s="67">
        <f>3697-Q113-P113-O113</f>
        <v>1110</v>
      </c>
      <c r="S113" s="67">
        <v>1123</v>
      </c>
      <c r="T113" s="67">
        <f>2340-S113</f>
        <v>1217</v>
      </c>
      <c r="U113" s="67">
        <f>3782-T113-S113</f>
        <v>1442</v>
      </c>
      <c r="V113" s="67">
        <f>4911-U113-T113-S113</f>
        <v>1129</v>
      </c>
      <c r="W113" s="67">
        <v>1183</v>
      </c>
      <c r="X113" s="67">
        <f>2574-W113</f>
        <v>1391</v>
      </c>
      <c r="Y113" s="67">
        <f>4147-X113-W113</f>
        <v>1573</v>
      </c>
      <c r="Z113" s="67"/>
      <c r="AA113" s="67">
        <v>893</v>
      </c>
      <c r="AM113" s="71">
        <v>913</v>
      </c>
    </row>
    <row r="114" spans="2:110">
      <c r="B114" s="4" t="s">
        <v>383</v>
      </c>
      <c r="E114" s="67">
        <f t="shared" ref="E114:AA114" si="271">E49</f>
        <v>140.80000000000001</v>
      </c>
      <c r="F114" s="67">
        <f t="shared" si="271"/>
        <v>0</v>
      </c>
      <c r="G114" s="67">
        <f t="shared" si="271"/>
        <v>342.60000000000008</v>
      </c>
      <c r="H114" s="67">
        <f t="shared" si="271"/>
        <v>417.49999999999994</v>
      </c>
      <c r="I114" s="67">
        <f t="shared" si="271"/>
        <v>436.7999999999999</v>
      </c>
      <c r="J114" s="67">
        <f t="shared" si="271"/>
        <v>471.70000000000027</v>
      </c>
      <c r="K114" s="67">
        <f t="shared" si="271"/>
        <v>563.20000000000016</v>
      </c>
      <c r="L114" s="67">
        <f t="shared" si="271"/>
        <v>658.39999999999986</v>
      </c>
      <c r="M114" s="67">
        <f t="shared" si="271"/>
        <v>714.29999999999973</v>
      </c>
      <c r="N114" s="67">
        <f t="shared" si="271"/>
        <v>614.79999999999995</v>
      </c>
      <c r="O114" s="67">
        <f t="shared" si="271"/>
        <v>756.89999999999941</v>
      </c>
      <c r="P114" s="67">
        <f t="shared" si="271"/>
        <v>813.89999999999986</v>
      </c>
      <c r="Q114" s="67">
        <f t="shared" si="271"/>
        <v>838.8</v>
      </c>
      <c r="R114" s="67">
        <f t="shared" si="271"/>
        <v>755.2</v>
      </c>
      <c r="S114" s="67">
        <f t="shared" si="271"/>
        <v>924</v>
      </c>
      <c r="T114" s="67">
        <f t="shared" si="271"/>
        <v>1104</v>
      </c>
      <c r="U114" s="67">
        <f t="shared" si="271"/>
        <v>1067</v>
      </c>
      <c r="V114" s="67">
        <f t="shared" si="271"/>
        <v>928</v>
      </c>
      <c r="W114" s="67">
        <f t="shared" si="271"/>
        <v>1101</v>
      </c>
      <c r="X114" s="67">
        <f t="shared" si="271"/>
        <v>1235</v>
      </c>
      <c r="Y114" s="67">
        <f t="shared" si="271"/>
        <v>1224</v>
      </c>
      <c r="Z114" s="67">
        <f t="shared" si="271"/>
        <v>1060</v>
      </c>
      <c r="AA114" s="67">
        <f t="shared" si="271"/>
        <v>1270</v>
      </c>
      <c r="AM114" s="67">
        <f>AM49</f>
        <v>1282</v>
      </c>
    </row>
    <row r="115" spans="2:110">
      <c r="B115" s="16" t="s">
        <v>1098</v>
      </c>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AM115" s="67">
        <v>252</v>
      </c>
    </row>
    <row r="116" spans="2:110">
      <c r="AM116" s="71">
        <v>-94</v>
      </c>
    </row>
    <row r="117" spans="2:110">
      <c r="B117" s="4" t="s">
        <v>384</v>
      </c>
      <c r="W117" s="71">
        <f>29+37</f>
        <v>66</v>
      </c>
      <c r="X117" s="71">
        <f>1+28+24</f>
        <v>53</v>
      </c>
      <c r="Y117" s="71">
        <f>4+21+25</f>
        <v>50</v>
      </c>
    </row>
    <row r="119" spans="2:110">
      <c r="B119" s="4" t="s">
        <v>385</v>
      </c>
      <c r="DC119" s="67">
        <v>2084</v>
      </c>
      <c r="DD119" s="67">
        <v>2686</v>
      </c>
      <c r="DE119" s="67">
        <v>3406</v>
      </c>
      <c r="DF119" s="67">
        <v>4760</v>
      </c>
    </row>
    <row r="120" spans="2:110">
      <c r="B120" s="4" t="s">
        <v>386</v>
      </c>
      <c r="DC120" s="67">
        <v>989</v>
      </c>
      <c r="DD120" s="67">
        <v>1596</v>
      </c>
      <c r="DE120" s="67">
        <v>1683</v>
      </c>
      <c r="DF120" s="67">
        <v>2370</v>
      </c>
    </row>
    <row r="121" spans="2:110">
      <c r="B121" s="4" t="s">
        <v>387</v>
      </c>
      <c r="DC121" s="67">
        <v>844</v>
      </c>
      <c r="DD121" s="67">
        <v>1340</v>
      </c>
      <c r="DE121" s="67">
        <v>1809</v>
      </c>
      <c r="DF121" s="67">
        <v>2140</v>
      </c>
    </row>
    <row r="122" spans="2:110">
      <c r="B122" s="4" t="s">
        <v>389</v>
      </c>
      <c r="DC122" s="67"/>
      <c r="DD122" s="67">
        <v>1359</v>
      </c>
      <c r="DE122" s="67">
        <v>2592</v>
      </c>
      <c r="DF122" s="67">
        <v>3794</v>
      </c>
    </row>
    <row r="123" spans="2:110">
      <c r="DD123" s="67"/>
      <c r="DE123" s="67"/>
      <c r="DF123" s="67"/>
    </row>
    <row r="125" spans="2:110">
      <c r="B125" s="4" t="s">
        <v>388</v>
      </c>
      <c r="DC125" s="67">
        <v>10100</v>
      </c>
      <c r="DD125" s="67">
        <v>12900</v>
      </c>
      <c r="DE125" s="67">
        <v>14400</v>
      </c>
      <c r="DF125" s="67">
        <v>16500</v>
      </c>
    </row>
    <row r="126" spans="2:110">
      <c r="B126" s="4" t="s">
        <v>446</v>
      </c>
      <c r="DC126" s="67">
        <v>3400</v>
      </c>
      <c r="DD126" s="67">
        <v>4700</v>
      </c>
      <c r="DE126" s="67">
        <v>5600</v>
      </c>
      <c r="DF126" s="67">
        <v>6500</v>
      </c>
    </row>
    <row r="127" spans="2:110">
      <c r="B127" s="4" t="s">
        <v>447</v>
      </c>
      <c r="DC127" s="67">
        <v>2200</v>
      </c>
      <c r="DD127" s="67">
        <v>2600</v>
      </c>
      <c r="DE127" s="67">
        <v>2700</v>
      </c>
      <c r="DF127" s="67">
        <v>3000</v>
      </c>
    </row>
    <row r="129" spans="2:27">
      <c r="B129" s="4" t="s">
        <v>525</v>
      </c>
      <c r="K129" s="80">
        <f t="shared" ref="K129:AA129" si="272">K53</f>
        <v>0.84193493442343725</v>
      </c>
      <c r="L129" s="80">
        <f t="shared" si="272"/>
        <v>0.8411640781931311</v>
      </c>
      <c r="M129" s="80">
        <f t="shared" si="272"/>
        <v>0.84783986957703106</v>
      </c>
      <c r="N129" s="80">
        <f t="shared" si="272"/>
        <v>0.8365720617062985</v>
      </c>
      <c r="O129" s="80">
        <f t="shared" si="272"/>
        <v>0.84143582739340128</v>
      </c>
      <c r="P129" s="80">
        <f t="shared" si="272"/>
        <v>0.83169542675849262</v>
      </c>
      <c r="Q129" s="80">
        <f t="shared" si="272"/>
        <v>0.83523774419461849</v>
      </c>
      <c r="R129" s="80">
        <f t="shared" si="272"/>
        <v>0.83636988655895494</v>
      </c>
      <c r="S129" s="80">
        <f t="shared" si="272"/>
        <v>0.82739145781856693</v>
      </c>
      <c r="T129" s="80">
        <f t="shared" si="272"/>
        <v>0.83291298865069352</v>
      </c>
      <c r="U129" s="80">
        <f t="shared" si="272"/>
        <v>0.83988585922637915</v>
      </c>
      <c r="V129" s="80">
        <f t="shared" si="272"/>
        <v>0.84377866095995113</v>
      </c>
      <c r="W129" s="80">
        <f t="shared" si="272"/>
        <v>0.82841156356854218</v>
      </c>
      <c r="X129" s="80">
        <f t="shared" si="272"/>
        <v>0.86348501664816868</v>
      </c>
      <c r="Y129" s="80">
        <f t="shared" si="272"/>
        <v>0.86572535991140642</v>
      </c>
      <c r="Z129" s="80">
        <f t="shared" si="272"/>
        <v>0.85632333767926994</v>
      </c>
      <c r="AA129" s="80">
        <f t="shared" si="272"/>
        <v>0.84838622186059132</v>
      </c>
    </row>
    <row r="130" spans="2:27">
      <c r="B130" s="14" t="s">
        <v>1011</v>
      </c>
      <c r="K130" s="87">
        <f>K133+K136+K139+K142+K145</f>
        <v>0.82697041957644934</v>
      </c>
      <c r="L130" s="87">
        <f>L133+L136+L139+L142+L145</f>
        <v>0.83118465533290853</v>
      </c>
      <c r="M130" s="87">
        <f>M133+M136+M139+M142+M145</f>
        <v>0.83268906801920117</v>
      </c>
      <c r="N130" s="87">
        <f>N133+N136+N139+N142+N145</f>
        <v>0.83712477627205317</v>
      </c>
      <c r="O130" s="87">
        <f t="shared" ref="O130:AA130" si="273">O133+O136+O139+O142+O145</f>
        <v>0.83289726407443776</v>
      </c>
      <c r="P130" s="87">
        <f t="shared" si="273"/>
        <v>0.83182117155459245</v>
      </c>
      <c r="Q130" s="87">
        <f t="shared" si="273"/>
        <v>0.8328179137486178</v>
      </c>
      <c r="R130" s="87">
        <f t="shared" si="273"/>
        <v>0.83671983499484348</v>
      </c>
      <c r="S130" s="87">
        <f t="shared" si="273"/>
        <v>0.83914719378750435</v>
      </c>
      <c r="T130" s="87">
        <f t="shared" si="273"/>
        <v>0.84101576292559899</v>
      </c>
      <c r="U130" s="87">
        <f t="shared" si="273"/>
        <v>0.83964013950538996</v>
      </c>
      <c r="V130" s="87">
        <f t="shared" si="273"/>
        <v>0.84082788138184039</v>
      </c>
      <c r="W130" s="87">
        <f t="shared" si="273"/>
        <v>0.84216195212931289</v>
      </c>
      <c r="X130" s="87">
        <f t="shared" si="273"/>
        <v>0.8605649278579357</v>
      </c>
      <c r="Y130" s="87">
        <f t="shared" si="273"/>
        <v>0.86576550387596896</v>
      </c>
      <c r="Z130" s="87">
        <f t="shared" si="273"/>
        <v>0.86224250325945251</v>
      </c>
      <c r="AA130" s="87">
        <f t="shared" si="273"/>
        <v>0.85791971792785471</v>
      </c>
    </row>
    <row r="131" spans="2:27">
      <c r="B131" s="4" t="s">
        <v>1012</v>
      </c>
      <c r="K131" s="62">
        <f t="shared" ref="K131:AA131" si="274">K5/K39</f>
        <v>0.45528870720490555</v>
      </c>
      <c r="L131" s="62">
        <f t="shared" si="274"/>
        <v>0.46974670520797607</v>
      </c>
      <c r="M131" s="62">
        <f t="shared" si="274"/>
        <v>0.4819309845122724</v>
      </c>
      <c r="N131" s="62">
        <f t="shared" si="274"/>
        <v>0.49160487513849821</v>
      </c>
      <c r="O131" s="62">
        <f t="shared" si="274"/>
        <v>0.48358871484058225</v>
      </c>
      <c r="P131" s="62">
        <f t="shared" si="274"/>
        <v>0.48347906832778764</v>
      </c>
      <c r="Q131" s="62">
        <f t="shared" si="274"/>
        <v>0.47511979358643569</v>
      </c>
      <c r="R131" s="62">
        <f t="shared" si="274"/>
        <v>0.48195256101753181</v>
      </c>
      <c r="S131" s="62">
        <f t="shared" si="274"/>
        <v>0.46099541122484999</v>
      </c>
      <c r="T131" s="62">
        <f t="shared" si="274"/>
        <v>0.46784363177805799</v>
      </c>
      <c r="U131" s="62">
        <f t="shared" si="274"/>
        <v>0.45624603677869374</v>
      </c>
      <c r="V131" s="62">
        <f t="shared" si="274"/>
        <v>0.4582696423112198</v>
      </c>
      <c r="W131" s="62">
        <f t="shared" si="274"/>
        <v>0.46534037923531241</v>
      </c>
      <c r="X131" s="62">
        <f t="shared" si="274"/>
        <v>0.462819089900111</v>
      </c>
      <c r="Y131" s="62">
        <f t="shared" si="274"/>
        <v>0.47065337763012183</v>
      </c>
      <c r="Z131" s="62">
        <f t="shared" si="274"/>
        <v>0.46075619295958281</v>
      </c>
      <c r="AA131" s="62">
        <f t="shared" si="274"/>
        <v>0.44616219148359099</v>
      </c>
    </row>
    <row r="132" spans="2:27">
      <c r="B132" s="4" t="s">
        <v>1013</v>
      </c>
      <c r="K132" s="79">
        <v>0.87</v>
      </c>
      <c r="L132" s="79">
        <v>0.87</v>
      </c>
      <c r="M132" s="79">
        <v>0.87</v>
      </c>
      <c r="N132" s="79">
        <v>0.87</v>
      </c>
      <c r="O132" s="79">
        <v>0.87</v>
      </c>
      <c r="P132" s="79">
        <v>0.87</v>
      </c>
      <c r="Q132" s="79">
        <f>P132+0.001</f>
        <v>0.871</v>
      </c>
      <c r="R132" s="79">
        <f t="shared" ref="R132:X132" si="275">Q132+0.001</f>
        <v>0.872</v>
      </c>
      <c r="S132" s="79">
        <f t="shared" si="275"/>
        <v>0.873</v>
      </c>
      <c r="T132" s="79">
        <f t="shared" si="275"/>
        <v>0.874</v>
      </c>
      <c r="U132" s="79">
        <f t="shared" si="275"/>
        <v>0.875</v>
      </c>
      <c r="V132" s="79">
        <f t="shared" si="275"/>
        <v>0.876</v>
      </c>
      <c r="W132" s="79">
        <f t="shared" si="275"/>
        <v>0.877</v>
      </c>
      <c r="X132" s="79">
        <f t="shared" si="275"/>
        <v>0.878</v>
      </c>
      <c r="Y132" s="79">
        <v>0.9</v>
      </c>
      <c r="Z132" s="79">
        <v>0.9</v>
      </c>
      <c r="AA132" s="79">
        <v>0.9</v>
      </c>
    </row>
    <row r="133" spans="2:27">
      <c r="B133" s="4" t="s">
        <v>182</v>
      </c>
      <c r="K133" s="88">
        <f>K132*K131</f>
        <v>0.39610117526826782</v>
      </c>
      <c r="L133" s="88">
        <f>L132*L131</f>
        <v>0.40867963353093917</v>
      </c>
      <c r="M133" s="88">
        <f>M132*M131</f>
        <v>0.41927995652567701</v>
      </c>
      <c r="N133" s="88">
        <f>N132*N131</f>
        <v>0.42769624137049345</v>
      </c>
      <c r="O133" s="88">
        <f t="shared" ref="O133:X133" si="276">O132*O131</f>
        <v>0.42072218191130656</v>
      </c>
      <c r="P133" s="88">
        <f t="shared" si="276"/>
        <v>0.42062678944517523</v>
      </c>
      <c r="Q133" s="88">
        <f t="shared" si="276"/>
        <v>0.41382934021378548</v>
      </c>
      <c r="R133" s="88">
        <f t="shared" si="276"/>
        <v>0.42026263320728774</v>
      </c>
      <c r="S133" s="88">
        <f t="shared" si="276"/>
        <v>0.40244899399929407</v>
      </c>
      <c r="T133" s="88">
        <f t="shared" si="276"/>
        <v>0.40889533417402268</v>
      </c>
      <c r="U133" s="88">
        <f t="shared" si="276"/>
        <v>0.39921528218135705</v>
      </c>
      <c r="V133" s="88">
        <f t="shared" si="276"/>
        <v>0.40144420666462854</v>
      </c>
      <c r="W133" s="88">
        <f t="shared" si="276"/>
        <v>0.408103512589369</v>
      </c>
      <c r="X133" s="88">
        <f t="shared" si="276"/>
        <v>0.40635516093229745</v>
      </c>
      <c r="Y133" s="88">
        <f>Y132*Y131</f>
        <v>0.42358803986710963</v>
      </c>
      <c r="Z133" s="88">
        <f>Z132*Z131</f>
        <v>0.41468057366362454</v>
      </c>
      <c r="AA133" s="88">
        <f>AA132*AA131</f>
        <v>0.40154597233523187</v>
      </c>
    </row>
    <row r="134" spans="2:27">
      <c r="B134" s="4" t="s">
        <v>180</v>
      </c>
      <c r="K134" s="62">
        <f t="shared" ref="K134:AA134" si="277">(K6+K7)/K39</f>
        <v>0.30772724691988873</v>
      </c>
      <c r="L134" s="62">
        <f t="shared" si="277"/>
        <v>0.31076380383126745</v>
      </c>
      <c r="M134" s="62">
        <f t="shared" si="277"/>
        <v>0.29752739788062676</v>
      </c>
      <c r="N134" s="62">
        <f t="shared" si="277"/>
        <v>0.29357368107048498</v>
      </c>
      <c r="O134" s="62">
        <f t="shared" si="277"/>
        <v>0.28328140338896246</v>
      </c>
      <c r="P134" s="62">
        <f t="shared" si="277"/>
        <v>0.27899868451597926</v>
      </c>
      <c r="Q134" s="62">
        <f t="shared" si="277"/>
        <v>0.27718392922963508</v>
      </c>
      <c r="R134" s="62">
        <f t="shared" si="277"/>
        <v>0.26744585768305257</v>
      </c>
      <c r="S134" s="62">
        <f t="shared" si="277"/>
        <v>0.2806212495587716</v>
      </c>
      <c r="T134" s="62">
        <f t="shared" si="277"/>
        <v>0.28341740226986128</v>
      </c>
      <c r="U134" s="62">
        <f t="shared" si="277"/>
        <v>0.27964489537095749</v>
      </c>
      <c r="V134" s="62">
        <f t="shared" si="277"/>
        <v>0.28370528890247632</v>
      </c>
      <c r="W134" s="62">
        <f t="shared" si="277"/>
        <v>0.27852036058439539</v>
      </c>
      <c r="X134" s="62">
        <f t="shared" si="277"/>
        <v>0.27885682574916759</v>
      </c>
      <c r="Y134" s="62">
        <f t="shared" si="277"/>
        <v>0.27630121816168329</v>
      </c>
      <c r="Z134" s="62">
        <f t="shared" si="277"/>
        <v>0.26701434159061277</v>
      </c>
      <c r="AA134" s="62">
        <f t="shared" si="277"/>
        <v>0.27610523460808245</v>
      </c>
    </row>
    <row r="135" spans="2:27">
      <c r="B135" s="4" t="s">
        <v>181</v>
      </c>
      <c r="K135" s="62">
        <v>0.85</v>
      </c>
      <c r="L135" s="62">
        <v>0.85</v>
      </c>
      <c r="M135" s="62">
        <v>0.85</v>
      </c>
      <c r="N135" s="62">
        <v>0.85</v>
      </c>
      <c r="O135" s="62">
        <v>0.85</v>
      </c>
      <c r="P135" s="62">
        <v>0.85</v>
      </c>
      <c r="Q135" s="62">
        <v>0.85</v>
      </c>
      <c r="R135" s="62">
        <v>0.85</v>
      </c>
      <c r="S135" s="62">
        <v>0.85</v>
      </c>
      <c r="T135" s="62">
        <v>0.85</v>
      </c>
      <c r="U135" s="62">
        <v>0.85</v>
      </c>
      <c r="V135" s="62">
        <v>0.85</v>
      </c>
      <c r="W135" s="62">
        <v>0.85</v>
      </c>
      <c r="X135" s="62">
        <v>0.92</v>
      </c>
      <c r="Y135" s="62">
        <v>0.9</v>
      </c>
      <c r="Z135" s="62">
        <v>0.9</v>
      </c>
      <c r="AA135" s="62">
        <v>0.9</v>
      </c>
    </row>
    <row r="136" spans="2:27">
      <c r="B136" s="4" t="s">
        <v>183</v>
      </c>
      <c r="K136" s="88">
        <f>K135*K134</f>
        <v>0.2615681598819054</v>
      </c>
      <c r="L136" s="88">
        <f>L135*L134</f>
        <v>0.2641492332565773</v>
      </c>
      <c r="M136" s="88">
        <f>M135*M134</f>
        <v>0.25289828819853272</v>
      </c>
      <c r="N136" s="88">
        <f>N135*N134</f>
        <v>0.24953762890991224</v>
      </c>
      <c r="O136" s="88">
        <f>O135*O134</f>
        <v>0.24078919288061809</v>
      </c>
      <c r="P136" s="88">
        <f t="shared" ref="P136:X136" si="278">P135*P134</f>
        <v>0.23714888183858235</v>
      </c>
      <c r="Q136" s="88">
        <f t="shared" si="278"/>
        <v>0.2356063398451898</v>
      </c>
      <c r="R136" s="88">
        <f t="shared" si="278"/>
        <v>0.22732897903059468</v>
      </c>
      <c r="S136" s="88">
        <f t="shared" si="278"/>
        <v>0.23852806212495586</v>
      </c>
      <c r="T136" s="88">
        <f t="shared" si="278"/>
        <v>0.24090479192938208</v>
      </c>
      <c r="U136" s="88">
        <f t="shared" si="278"/>
        <v>0.23769816106531386</v>
      </c>
      <c r="V136" s="88">
        <f t="shared" si="278"/>
        <v>0.24114949556710485</v>
      </c>
      <c r="W136" s="88">
        <f t="shared" si="278"/>
        <v>0.23674230649673608</v>
      </c>
      <c r="X136" s="88">
        <f t="shared" si="278"/>
        <v>0.25654827968923422</v>
      </c>
      <c r="Y136" s="88">
        <f>Y135*Y134</f>
        <v>0.24867109634551496</v>
      </c>
      <c r="Z136" s="88">
        <f>Z135*Z134</f>
        <v>0.24031290743155151</v>
      </c>
      <c r="AA136" s="88">
        <f>AA135*AA134</f>
        <v>0.2484947111472742</v>
      </c>
    </row>
    <row r="137" spans="2:27">
      <c r="B137" s="4" t="s">
        <v>646</v>
      </c>
      <c r="K137" s="62">
        <f t="shared" ref="K137:AA137" si="279">K8/K39</f>
        <v>0.1555669108045194</v>
      </c>
      <c r="L137" s="62">
        <f t="shared" si="279"/>
        <v>0.14893929743765616</v>
      </c>
      <c r="M137" s="62">
        <f t="shared" si="279"/>
        <v>0.1548772756090934</v>
      </c>
      <c r="N137" s="62">
        <f t="shared" si="279"/>
        <v>0.16193641864825706</v>
      </c>
      <c r="O137" s="62">
        <f t="shared" si="279"/>
        <v>0.16944811985146616</v>
      </c>
      <c r="P137" s="62">
        <f t="shared" si="279"/>
        <v>0.17039387139209161</v>
      </c>
      <c r="Q137" s="62">
        <f t="shared" si="279"/>
        <v>0.18282344268337633</v>
      </c>
      <c r="R137" s="62">
        <f t="shared" si="279"/>
        <v>0.19491234101065658</v>
      </c>
      <c r="S137" s="62">
        <f t="shared" si="279"/>
        <v>0.20896576067772679</v>
      </c>
      <c r="T137" s="62">
        <f t="shared" si="279"/>
        <v>0.20145018915510718</v>
      </c>
      <c r="U137" s="62">
        <f t="shared" si="279"/>
        <v>0.21179454660748256</v>
      </c>
      <c r="V137" s="62">
        <f t="shared" si="279"/>
        <v>0.20605319474166922</v>
      </c>
      <c r="W137" s="62">
        <f t="shared" si="279"/>
        <v>0.20453838980416536</v>
      </c>
      <c r="X137" s="62">
        <f t="shared" si="279"/>
        <v>0.20088790233074361</v>
      </c>
      <c r="Y137" s="62">
        <f t="shared" si="279"/>
        <v>0.1951827242524917</v>
      </c>
      <c r="Z137" s="62">
        <f t="shared" si="279"/>
        <v>0.20651890482398957</v>
      </c>
      <c r="AA137" s="62">
        <f t="shared" si="279"/>
        <v>0.19799294819636562</v>
      </c>
    </row>
    <row r="138" spans="2:27">
      <c r="B138" s="4" t="s">
        <v>647</v>
      </c>
      <c r="K138" s="79">
        <v>0.82</v>
      </c>
      <c r="L138" s="79">
        <v>0.82</v>
      </c>
      <c r="M138" s="79">
        <v>0.82</v>
      </c>
      <c r="N138" s="79">
        <v>0.82</v>
      </c>
      <c r="O138" s="79">
        <v>0.82</v>
      </c>
      <c r="P138" s="79">
        <v>0.82</v>
      </c>
      <c r="Q138" s="79">
        <f>P138+0.001</f>
        <v>0.82099999999999995</v>
      </c>
      <c r="R138" s="79">
        <f t="shared" ref="R138:Y138" si="280">Q138+0.001</f>
        <v>0.82199999999999995</v>
      </c>
      <c r="S138" s="79">
        <f t="shared" si="280"/>
        <v>0.82299999999999995</v>
      </c>
      <c r="T138" s="79">
        <f t="shared" si="280"/>
        <v>0.82399999999999995</v>
      </c>
      <c r="U138" s="79">
        <f t="shared" si="280"/>
        <v>0.82499999999999996</v>
      </c>
      <c r="V138" s="79">
        <f t="shared" si="280"/>
        <v>0.82599999999999996</v>
      </c>
      <c r="W138" s="79">
        <f t="shared" si="280"/>
        <v>0.82699999999999996</v>
      </c>
      <c r="X138" s="79">
        <f t="shared" si="280"/>
        <v>0.82799999999999996</v>
      </c>
      <c r="Y138" s="79">
        <f t="shared" si="280"/>
        <v>0.82899999999999996</v>
      </c>
      <c r="Z138" s="79">
        <v>0.82499999999999996</v>
      </c>
      <c r="AA138" s="79">
        <v>0.82499999999999996</v>
      </c>
    </row>
    <row r="139" spans="2:27">
      <c r="B139" s="4" t="s">
        <v>648</v>
      </c>
      <c r="K139" s="88">
        <f>K138*K137</f>
        <v>0.12756486685970589</v>
      </c>
      <c r="L139" s="88">
        <f>L138*L137</f>
        <v>0.12213022389887804</v>
      </c>
      <c r="M139" s="88">
        <f>M138*M137</f>
        <v>0.12699936599945658</v>
      </c>
      <c r="N139" s="88">
        <f>N138*N137</f>
        <v>0.13278786329157077</v>
      </c>
      <c r="O139" s="88">
        <f>O138*O137</f>
        <v>0.13894745827820223</v>
      </c>
      <c r="P139" s="88">
        <f t="shared" ref="P139:X139" si="281">P138*P137</f>
        <v>0.13972297454151511</v>
      </c>
      <c r="Q139" s="88">
        <f t="shared" si="281"/>
        <v>0.15009804644305197</v>
      </c>
      <c r="R139" s="88">
        <f t="shared" si="281"/>
        <v>0.1602179443107597</v>
      </c>
      <c r="S139" s="88">
        <f t="shared" si="281"/>
        <v>0.17197882103776915</v>
      </c>
      <c r="T139" s="88">
        <f t="shared" si="281"/>
        <v>0.1659949558638083</v>
      </c>
      <c r="U139" s="88">
        <f t="shared" si="281"/>
        <v>0.1747305009511731</v>
      </c>
      <c r="V139" s="88">
        <f t="shared" si="281"/>
        <v>0.17019993885661877</v>
      </c>
      <c r="W139" s="88">
        <f t="shared" si="281"/>
        <v>0.16915324836804474</v>
      </c>
      <c r="X139" s="88">
        <f t="shared" si="281"/>
        <v>0.16633518312985571</v>
      </c>
      <c r="Y139" s="88">
        <f>Y138*Y137</f>
        <v>0.16180647840531562</v>
      </c>
      <c r="Z139" s="88">
        <f>Z138*Z137</f>
        <v>0.17037809647979138</v>
      </c>
      <c r="AA139" s="88">
        <f>AA138*AA137</f>
        <v>0.16334418226200162</v>
      </c>
    </row>
    <row r="140" spans="2:27">
      <c r="B140" s="4" t="s">
        <v>652</v>
      </c>
      <c r="K140" s="62">
        <f t="shared" ref="K140:AA140" si="282">(K15+K16+K18)/K39</f>
        <v>1.0276500312269348E-2</v>
      </c>
      <c r="L140" s="62">
        <f t="shared" si="282"/>
        <v>9.5046788496398991E-3</v>
      </c>
      <c r="M140" s="62">
        <f t="shared" si="282"/>
        <v>6.7928629653111134E-3</v>
      </c>
      <c r="N140" s="62">
        <f t="shared" si="282"/>
        <v>6.6053012869683797E-3</v>
      </c>
      <c r="O140" s="62">
        <f t="shared" si="282"/>
        <v>5.9755004481625348E-3</v>
      </c>
      <c r="P140" s="62">
        <f t="shared" si="282"/>
        <v>7.5833784724909084E-3</v>
      </c>
      <c r="Q140" s="62">
        <f t="shared" si="282"/>
        <v>8.4776999631404355E-3</v>
      </c>
      <c r="R140" s="62">
        <f t="shared" si="282"/>
        <v>1.0656583018219319E-2</v>
      </c>
      <c r="S140" s="62">
        <f t="shared" si="282"/>
        <v>1.4825273561595482E-2</v>
      </c>
      <c r="T140" s="62">
        <f t="shared" si="282"/>
        <v>1.5762925598991173E-2</v>
      </c>
      <c r="U140" s="62">
        <f t="shared" si="282"/>
        <v>1.8389346861128725E-2</v>
      </c>
      <c r="V140" s="62">
        <f t="shared" si="282"/>
        <v>2.0483032711708957E-2</v>
      </c>
      <c r="W140" s="62">
        <f t="shared" si="282"/>
        <v>2.3624494870997825E-2</v>
      </c>
      <c r="X140" s="62">
        <f t="shared" si="282"/>
        <v>2.6082130965593784E-2</v>
      </c>
      <c r="Y140" s="62">
        <f t="shared" si="282"/>
        <v>2.768549280177187E-2</v>
      </c>
      <c r="Z140" s="62">
        <f t="shared" si="282"/>
        <v>4.0156453715775753E-2</v>
      </c>
      <c r="AA140" s="62">
        <f t="shared" si="282"/>
        <v>4.6650393273664228E-2</v>
      </c>
    </row>
    <row r="141" spans="2:27">
      <c r="B141" s="4" t="s">
        <v>653</v>
      </c>
      <c r="K141" s="86">
        <v>0.6</v>
      </c>
      <c r="L141" s="86">
        <v>0.6</v>
      </c>
      <c r="M141" s="86">
        <v>0.6</v>
      </c>
      <c r="N141" s="86">
        <v>0.6</v>
      </c>
      <c r="O141" s="86">
        <v>0.6</v>
      </c>
      <c r="P141" s="86">
        <v>0.6</v>
      </c>
      <c r="Q141" s="86">
        <v>0.6</v>
      </c>
      <c r="R141" s="86">
        <v>0.6</v>
      </c>
      <c r="S141" s="86">
        <v>0.6</v>
      </c>
      <c r="T141" s="86">
        <v>0.6</v>
      </c>
      <c r="U141" s="86">
        <v>0.6</v>
      </c>
      <c r="V141" s="86">
        <v>0.6</v>
      </c>
      <c r="W141" s="86">
        <v>0.6</v>
      </c>
      <c r="X141" s="86">
        <v>0.6</v>
      </c>
      <c r="Y141" s="86">
        <v>0.6</v>
      </c>
      <c r="Z141" s="86">
        <v>0.6</v>
      </c>
      <c r="AA141" s="86">
        <v>0.6</v>
      </c>
    </row>
    <row r="142" spans="2:27">
      <c r="B142" s="4" t="s">
        <v>654</v>
      </c>
      <c r="K142" s="88">
        <f>K141*K140</f>
        <v>6.1659001873616091E-3</v>
      </c>
      <c r="L142" s="88">
        <f>L141*L140</f>
        <v>5.7028073097839397E-3</v>
      </c>
      <c r="M142" s="88">
        <f>M141*M140</f>
        <v>4.0757177791866678E-3</v>
      </c>
      <c r="N142" s="88">
        <f>N141*N140</f>
        <v>3.9631807721810276E-3</v>
      </c>
      <c r="O142" s="88">
        <f>O141*O140</f>
        <v>3.5853002688975206E-3</v>
      </c>
      <c r="P142" s="88">
        <f t="shared" ref="P142:X142" si="283">P141*P140</f>
        <v>4.5500270834945445E-3</v>
      </c>
      <c r="Q142" s="88">
        <f t="shared" si="283"/>
        <v>5.0866199778842611E-3</v>
      </c>
      <c r="R142" s="88">
        <f t="shared" si="283"/>
        <v>6.3939498109315913E-3</v>
      </c>
      <c r="S142" s="88">
        <f t="shared" si="283"/>
        <v>8.8951641369572881E-3</v>
      </c>
      <c r="T142" s="88">
        <f t="shared" si="283"/>
        <v>9.4577553593947032E-3</v>
      </c>
      <c r="U142" s="88">
        <f t="shared" si="283"/>
        <v>1.1033608116677234E-2</v>
      </c>
      <c r="V142" s="88">
        <f t="shared" si="283"/>
        <v>1.2289819627025375E-2</v>
      </c>
      <c r="W142" s="88">
        <f t="shared" si="283"/>
        <v>1.4174696922598694E-2</v>
      </c>
      <c r="X142" s="88">
        <f t="shared" si="283"/>
        <v>1.564927857935627E-2</v>
      </c>
      <c r="Y142" s="88">
        <f>Y141*Y140</f>
        <v>1.6611295681063121E-2</v>
      </c>
      <c r="Z142" s="88">
        <f>Z141*Z140</f>
        <v>2.4093872229465452E-2</v>
      </c>
      <c r="AA142" s="88">
        <f>AA141*AA140</f>
        <v>2.7990235964198536E-2</v>
      </c>
    </row>
    <row r="143" spans="2:27">
      <c r="B143" s="4" t="s">
        <v>651</v>
      </c>
      <c r="K143" s="62">
        <f t="shared" ref="K143:AA143" si="284">K38/K39</f>
        <v>7.1140634758417073E-2</v>
      </c>
      <c r="L143" s="62">
        <f t="shared" si="284"/>
        <v>6.1045514673460387E-2</v>
      </c>
      <c r="M143" s="62">
        <f t="shared" si="284"/>
        <v>5.8871479032696315E-2</v>
      </c>
      <c r="N143" s="62">
        <f t="shared" si="284"/>
        <v>4.6279723855791356E-2</v>
      </c>
      <c r="O143" s="62">
        <f t="shared" si="284"/>
        <v>5.7706261470826754E-2</v>
      </c>
      <c r="P143" s="62">
        <f t="shared" si="284"/>
        <v>5.9544997291650553E-2</v>
      </c>
      <c r="Q143" s="62">
        <f t="shared" si="284"/>
        <v>5.6395134537412461E-2</v>
      </c>
      <c r="R143" s="62">
        <f t="shared" si="284"/>
        <v>4.5032657270539705E-2</v>
      </c>
      <c r="S143" s="62">
        <f t="shared" si="284"/>
        <v>3.4592304977056121E-2</v>
      </c>
      <c r="T143" s="62">
        <f t="shared" si="284"/>
        <v>3.1525851197982346E-2</v>
      </c>
      <c r="U143" s="62">
        <f t="shared" si="284"/>
        <v>3.3925174381737477E-2</v>
      </c>
      <c r="V143" s="62">
        <f t="shared" si="284"/>
        <v>3.1488841332925711E-2</v>
      </c>
      <c r="W143" s="62">
        <f t="shared" si="284"/>
        <v>2.7976375505129002E-2</v>
      </c>
      <c r="X143" s="62">
        <f t="shared" si="284"/>
        <v>3.1354051054384019E-2</v>
      </c>
      <c r="Y143" s="62">
        <f t="shared" si="284"/>
        <v>3.0177187153931341E-2</v>
      </c>
      <c r="Z143" s="62">
        <f t="shared" si="284"/>
        <v>2.5554106910039114E-2</v>
      </c>
      <c r="AA143" s="62">
        <f t="shared" si="284"/>
        <v>3.3089232438296722E-2</v>
      </c>
    </row>
    <row r="144" spans="2:27">
      <c r="B144" s="4" t="s">
        <v>747</v>
      </c>
      <c r="K144" s="86">
        <v>0.5</v>
      </c>
      <c r="L144" s="86">
        <v>0.5</v>
      </c>
      <c r="M144" s="86">
        <v>0.5</v>
      </c>
      <c r="N144" s="86">
        <v>0.5</v>
      </c>
      <c r="O144" s="86">
        <v>0.5</v>
      </c>
      <c r="P144" s="86">
        <v>0.5</v>
      </c>
      <c r="Q144" s="86">
        <v>0.5</v>
      </c>
      <c r="R144" s="86">
        <v>0.5</v>
      </c>
      <c r="S144" s="86">
        <v>0.5</v>
      </c>
      <c r="T144" s="86">
        <v>0.5</v>
      </c>
      <c r="U144" s="86">
        <v>0.5</v>
      </c>
      <c r="V144" s="86">
        <v>0.5</v>
      </c>
      <c r="W144" s="86">
        <v>0.5</v>
      </c>
      <c r="X144" s="86">
        <v>0.5</v>
      </c>
      <c r="Y144" s="86">
        <v>0.5</v>
      </c>
      <c r="Z144" s="86">
        <v>0.5</v>
      </c>
      <c r="AA144" s="86">
        <v>0.5</v>
      </c>
    </row>
    <row r="145" spans="2:27">
      <c r="B145" s="4" t="s">
        <v>649</v>
      </c>
      <c r="K145" s="62">
        <f>K144*K143</f>
        <v>3.5570317379208537E-2</v>
      </c>
      <c r="L145" s="62">
        <f>L144*L143</f>
        <v>3.0522757336730193E-2</v>
      </c>
      <c r="M145" s="62">
        <f>M144*M143</f>
        <v>2.9435739516348158E-2</v>
      </c>
      <c r="N145" s="62">
        <f>N144*N143</f>
        <v>2.3139861927895678E-2</v>
      </c>
      <c r="O145" s="62">
        <f>O144*O143</f>
        <v>2.8853130735413377E-2</v>
      </c>
      <c r="P145" s="62">
        <f t="shared" ref="P145:Z145" si="285">P144*P143</f>
        <v>2.9772498645825277E-2</v>
      </c>
      <c r="Q145" s="62">
        <f t="shared" si="285"/>
        <v>2.8197567268706231E-2</v>
      </c>
      <c r="R145" s="62">
        <f t="shared" si="285"/>
        <v>2.2516328635269853E-2</v>
      </c>
      <c r="S145" s="62">
        <f t="shared" si="285"/>
        <v>1.729615248852806E-2</v>
      </c>
      <c r="T145" s="62">
        <f t="shared" si="285"/>
        <v>1.5762925598991173E-2</v>
      </c>
      <c r="U145" s="62">
        <f t="shared" si="285"/>
        <v>1.6962587190868739E-2</v>
      </c>
      <c r="V145" s="62">
        <f t="shared" si="285"/>
        <v>1.5744420666462856E-2</v>
      </c>
      <c r="W145" s="62">
        <f t="shared" si="285"/>
        <v>1.3988187752564501E-2</v>
      </c>
      <c r="X145" s="62">
        <f t="shared" si="285"/>
        <v>1.5677025527192009E-2</v>
      </c>
      <c r="Y145" s="62">
        <f t="shared" si="285"/>
        <v>1.5088593576965671E-2</v>
      </c>
      <c r="Z145" s="62">
        <f t="shared" si="285"/>
        <v>1.2777053455019557E-2</v>
      </c>
      <c r="AA145" s="62">
        <f>AA144*AA143</f>
        <v>1.6544616219148361E-2</v>
      </c>
    </row>
    <row r="158" spans="2:27">
      <c r="D158" s="90">
        <f>EM55/Main!J3</f>
        <v>275.08655315736871</v>
      </c>
    </row>
  </sheetData>
  <phoneticPr fontId="3" type="noConversion"/>
  <hyperlinks>
    <hyperlink ref="A1" location="Main!A1" display="Main" xr:uid="{00000000-0004-0000-0100-000000000000}"/>
  </hyperlinks>
  <pageMargins left="0.17" right="0.05" top="1" bottom="1" header="0.5" footer="0.5"/>
  <pageSetup fitToHeight="3" orientation="landscape" verticalDpi="1200" r:id="rId1"/>
  <headerFooter alignWithMargins="0"/>
  <ignoredErrors>
    <ignoredError sqref="W5 Y5:Z5 S39:Z39" formula="1"/>
  </ignoredErrors>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15"/>
  <sheetViews>
    <sheetView workbookViewId="0"/>
  </sheetViews>
  <sheetFormatPr defaultRowHeight="12.75"/>
  <sheetData>
    <row r="1" spans="1:10">
      <c r="A1" s="11" t="s">
        <v>5</v>
      </c>
    </row>
    <row r="3" spans="1:10">
      <c r="B3" t="s">
        <v>557</v>
      </c>
    </row>
    <row r="4" spans="1:10">
      <c r="B4" t="s">
        <v>558</v>
      </c>
    </row>
    <row r="5" spans="1:10">
      <c r="B5" t="s">
        <v>559</v>
      </c>
    </row>
    <row r="7" spans="1:10" s="4" customFormat="1">
      <c r="C7" s="5" t="s">
        <v>220</v>
      </c>
      <c r="D7" s="4" t="s">
        <v>230</v>
      </c>
      <c r="E7" s="4" t="s">
        <v>812</v>
      </c>
      <c r="F7" s="6">
        <v>2</v>
      </c>
      <c r="G7" s="6" t="s">
        <v>221</v>
      </c>
      <c r="H7" s="6"/>
      <c r="I7" s="24"/>
      <c r="J7" s="4" t="s">
        <v>869</v>
      </c>
    </row>
    <row r="8" spans="1:10" s="4" customFormat="1">
      <c r="C8" s="5" t="s">
        <v>220</v>
      </c>
      <c r="D8" s="4" t="s">
        <v>231</v>
      </c>
      <c r="E8" s="4" t="s">
        <v>812</v>
      </c>
      <c r="F8" s="6">
        <v>2</v>
      </c>
      <c r="G8" s="6"/>
      <c r="H8" s="6"/>
      <c r="I8" s="24"/>
    </row>
    <row r="10" spans="1:10">
      <c r="B10" t="s">
        <v>65</v>
      </c>
      <c r="C10" t="s">
        <v>255</v>
      </c>
      <c r="D10" t="s">
        <v>179</v>
      </c>
    </row>
    <row r="11" spans="1:10">
      <c r="B11" t="s">
        <v>69</v>
      </c>
    </row>
    <row r="12" spans="1:10">
      <c r="B12" t="s">
        <v>68</v>
      </c>
    </row>
    <row r="13" spans="1:10">
      <c r="B13" t="s">
        <v>754</v>
      </c>
    </row>
    <row r="14" spans="1:10">
      <c r="B14" t="s">
        <v>1042</v>
      </c>
    </row>
    <row r="15" spans="1:10">
      <c r="B15" t="s">
        <v>1043</v>
      </c>
    </row>
  </sheetData>
  <phoneticPr fontId="3" type="noConversion"/>
  <hyperlinks>
    <hyperlink ref="A1" location="Main!A1" display="Main" xr:uid="{00000000-0004-0000-31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23"/>
  <sheetViews>
    <sheetView workbookViewId="0"/>
  </sheetViews>
  <sheetFormatPr defaultRowHeight="12.75"/>
  <cols>
    <col min="1" max="1" width="5" style="4" bestFit="1" customWidth="1"/>
    <col min="2" max="2" width="12.85546875" style="4" customWidth="1"/>
    <col min="3" max="16384" width="9.140625" style="4"/>
  </cols>
  <sheetData>
    <row r="1" spans="1:3">
      <c r="A1" s="10" t="s">
        <v>5</v>
      </c>
    </row>
    <row r="2" spans="1:3">
      <c r="A2" s="10"/>
      <c r="B2" s="4" t="s">
        <v>292</v>
      </c>
    </row>
    <row r="3" spans="1:3">
      <c r="B3" s="4" t="s">
        <v>287</v>
      </c>
      <c r="C3" s="4" t="s">
        <v>477</v>
      </c>
    </row>
    <row r="4" spans="1:3">
      <c r="B4" s="4" t="s">
        <v>288</v>
      </c>
      <c r="C4" s="4" t="s">
        <v>56</v>
      </c>
    </row>
    <row r="5" spans="1:3">
      <c r="B5" s="4" t="s">
        <v>3</v>
      </c>
      <c r="C5" s="4" t="s">
        <v>886</v>
      </c>
    </row>
    <row r="6" spans="1:3">
      <c r="C6" s="4" t="s">
        <v>887</v>
      </c>
    </row>
    <row r="7" spans="1:3">
      <c r="B7" s="4" t="s">
        <v>811</v>
      </c>
      <c r="C7" s="4" t="s">
        <v>488</v>
      </c>
    </row>
    <row r="8" spans="1:3">
      <c r="B8" s="4" t="s">
        <v>444</v>
      </c>
      <c r="C8" s="4" t="s">
        <v>236</v>
      </c>
    </row>
    <row r="9" spans="1:3">
      <c r="C9" s="4" t="s">
        <v>237</v>
      </c>
    </row>
    <row r="10" spans="1:3">
      <c r="C10" s="4" t="s">
        <v>913</v>
      </c>
    </row>
    <row r="11" spans="1:3">
      <c r="B11" s="4" t="s">
        <v>456</v>
      </c>
      <c r="C11" s="4" t="s">
        <v>914</v>
      </c>
    </row>
    <row r="12" spans="1:3">
      <c r="C12" s="4" t="s">
        <v>915</v>
      </c>
    </row>
    <row r="13" spans="1:3">
      <c r="B13" s="4" t="s">
        <v>323</v>
      </c>
    </row>
    <row r="14" spans="1:3">
      <c r="C14" s="4" t="s">
        <v>916</v>
      </c>
    </row>
    <row r="16" spans="1:3">
      <c r="C16" s="4" t="s">
        <v>57</v>
      </c>
    </row>
    <row r="18" spans="2:2">
      <c r="B18" s="4" t="s">
        <v>331</v>
      </c>
    </row>
    <row r="19" spans="2:2">
      <c r="B19" s="4" t="s">
        <v>332</v>
      </c>
    </row>
    <row r="23" spans="2:2">
      <c r="B23" s="4" t="s">
        <v>417</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zoomScale="190" zoomScaleNormal="190" workbookViewId="0"/>
  </sheetViews>
  <sheetFormatPr defaultRowHeight="12.75"/>
  <cols>
    <col min="1" max="1" width="5" bestFit="1" customWidth="1"/>
    <col min="2" max="2" width="13.28515625" customWidth="1"/>
  </cols>
  <sheetData>
    <row r="1" spans="1:11">
      <c r="A1" s="100" t="s">
        <v>5</v>
      </c>
    </row>
    <row r="2" spans="1:11">
      <c r="B2" t="s">
        <v>287</v>
      </c>
      <c r="C2" t="s">
        <v>355</v>
      </c>
    </row>
    <row r="3" spans="1:11">
      <c r="B3" t="s">
        <v>288</v>
      </c>
      <c r="C3" t="s">
        <v>512</v>
      </c>
    </row>
    <row r="4" spans="1:11">
      <c r="B4" t="s">
        <v>811</v>
      </c>
      <c r="C4" t="s">
        <v>28</v>
      </c>
    </row>
    <row r="5" spans="1:11">
      <c r="B5" t="s">
        <v>323</v>
      </c>
      <c r="J5" s="101"/>
      <c r="K5" s="101"/>
    </row>
    <row r="6" spans="1:11">
      <c r="C6" s="48" t="s">
        <v>513</v>
      </c>
    </row>
    <row r="7" spans="1:11">
      <c r="C7" t="s">
        <v>515</v>
      </c>
    </row>
    <row r="9" spans="1:11">
      <c r="C9" s="48" t="s">
        <v>514</v>
      </c>
    </row>
    <row r="10" spans="1:11">
      <c r="C10" s="53" t="s">
        <v>516</v>
      </c>
    </row>
    <row r="11" spans="1:11">
      <c r="C11" s="53"/>
    </row>
    <row r="12" spans="1:11">
      <c r="C12" t="s">
        <v>295</v>
      </c>
    </row>
    <row r="15" spans="1:11">
      <c r="B15" t="s">
        <v>497</v>
      </c>
    </row>
    <row r="16" spans="1:11">
      <c r="B16" t="s">
        <v>498</v>
      </c>
    </row>
  </sheetData>
  <phoneticPr fontId="3" type="noConversion"/>
  <hyperlinks>
    <hyperlink ref="A1" location="Main!A1" display="Main" xr:uid="{00000000-0004-0000-0900-000000000000}"/>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E164-F33B-4264-ACEA-E1BD83BDBB04}">
  <dimension ref="A1:C19"/>
  <sheetViews>
    <sheetView zoomScale="145" zoomScaleNormal="145" workbookViewId="0"/>
  </sheetViews>
  <sheetFormatPr defaultRowHeight="12.75"/>
  <cols>
    <col min="1" max="1" width="5" bestFit="1" customWidth="1"/>
    <col min="2" max="2" width="12" bestFit="1" customWidth="1"/>
  </cols>
  <sheetData>
    <row r="1" spans="1:3">
      <c r="A1" s="11" t="s">
        <v>5</v>
      </c>
    </row>
    <row r="2" spans="1:3">
      <c r="B2" t="s">
        <v>1210</v>
      </c>
      <c r="C2" t="s">
        <v>1222</v>
      </c>
    </row>
    <row r="3" spans="1:3">
      <c r="B3" t="s">
        <v>1219</v>
      </c>
      <c r="C3" t="s">
        <v>1220</v>
      </c>
    </row>
    <row r="4" spans="1:3">
      <c r="B4" t="s">
        <v>3</v>
      </c>
      <c r="C4" t="s">
        <v>1221</v>
      </c>
    </row>
    <row r="5" spans="1:3">
      <c r="B5" t="s">
        <v>323</v>
      </c>
    </row>
    <row r="6" spans="1:3">
      <c r="B6" s="102"/>
      <c r="C6" s="48" t="s">
        <v>1228</v>
      </c>
    </row>
    <row r="8" spans="1:3">
      <c r="C8" s="48" t="s">
        <v>1226</v>
      </c>
    </row>
    <row r="9" spans="1:3">
      <c r="C9" s="102" t="s">
        <v>1225</v>
      </c>
    </row>
    <row r="12" spans="1:3">
      <c r="C12" s="48" t="s">
        <v>1224</v>
      </c>
    </row>
    <row r="14" spans="1:3">
      <c r="C14" s="48" t="s">
        <v>1227</v>
      </c>
    </row>
    <row r="16" spans="1:3">
      <c r="C16" s="48" t="s">
        <v>1229</v>
      </c>
    </row>
    <row r="17" spans="3:3">
      <c r="C17" s="102" t="s">
        <v>1230</v>
      </c>
    </row>
    <row r="18" spans="3:3">
      <c r="C18" s="102" t="s">
        <v>1231</v>
      </c>
    </row>
    <row r="19" spans="3:3">
      <c r="C19" s="102" t="s">
        <v>1232</v>
      </c>
    </row>
  </sheetData>
  <hyperlinks>
    <hyperlink ref="A1" location="Main!A1" display="Main" xr:uid="{A828B1D1-EDFC-4090-A920-F401D6A19AE9}"/>
  </hyperlink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6"/>
  <sheetViews>
    <sheetView zoomScale="145" workbookViewId="0"/>
  </sheetViews>
  <sheetFormatPr defaultRowHeight="12.75"/>
  <cols>
    <col min="1" max="1" width="5" style="4" bestFit="1" customWidth="1"/>
    <col min="2" max="2" width="12.85546875" style="4" bestFit="1" customWidth="1"/>
    <col min="3" max="16384" width="9.140625" style="4"/>
  </cols>
  <sheetData>
    <row r="1" spans="1:3">
      <c r="A1" s="10" t="s">
        <v>5</v>
      </c>
    </row>
    <row r="2" spans="1:3">
      <c r="B2" s="4" t="s">
        <v>287</v>
      </c>
      <c r="C2" s="4" t="s">
        <v>354</v>
      </c>
    </row>
    <row r="3" spans="1:3">
      <c r="B3" s="4" t="s">
        <v>288</v>
      </c>
    </row>
    <row r="4" spans="1:3">
      <c r="B4" s="4" t="s">
        <v>1003</v>
      </c>
      <c r="C4" s="4" t="s">
        <v>1004</v>
      </c>
    </row>
    <row r="5" spans="1:3">
      <c r="B5" s="4" t="s">
        <v>3</v>
      </c>
      <c r="C5" s="4" t="s">
        <v>113</v>
      </c>
    </row>
    <row r="6" spans="1:3">
      <c r="B6" s="4" t="s">
        <v>112</v>
      </c>
      <c r="C6" s="4" t="s">
        <v>114</v>
      </c>
    </row>
    <row r="7" spans="1:3">
      <c r="B7" s="4" t="s">
        <v>323</v>
      </c>
    </row>
    <row r="8" spans="1:3">
      <c r="B8" s="22"/>
      <c r="C8" s="4" t="s">
        <v>58</v>
      </c>
    </row>
    <row r="9" spans="1:3">
      <c r="C9" s="4" t="s">
        <v>59</v>
      </c>
    </row>
    <row r="12" spans="1:3">
      <c r="C12" s="22" t="s">
        <v>1032</v>
      </c>
    </row>
    <row r="13" spans="1:3">
      <c r="C13" s="4" t="s">
        <v>1033</v>
      </c>
    </row>
    <row r="15" spans="1:3">
      <c r="C15" s="22" t="s">
        <v>522</v>
      </c>
    </row>
    <row r="16" spans="1:3">
      <c r="C16" s="4" t="s">
        <v>948</v>
      </c>
    </row>
  </sheetData>
  <phoneticPr fontId="3" type="noConversion"/>
  <hyperlinks>
    <hyperlink ref="A1" location="Main!A1" display="Main" xr:uid="{00000000-0004-0000-0D00-000000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09"/>
  <sheetViews>
    <sheetView workbookViewId="0"/>
  </sheetViews>
  <sheetFormatPr defaultRowHeight="12.75"/>
  <cols>
    <col min="1" max="1" width="5" style="4" bestFit="1" customWidth="1"/>
    <col min="2" max="2" width="12.85546875" style="4" bestFit="1" customWidth="1"/>
    <col min="3" max="16384" width="9.140625" style="4"/>
  </cols>
  <sheetData>
    <row r="1" spans="1:3">
      <c r="A1" s="10" t="s">
        <v>5</v>
      </c>
    </row>
    <row r="2" spans="1:3">
      <c r="B2" s="4" t="s">
        <v>287</v>
      </c>
      <c r="C2" s="4" t="s">
        <v>603</v>
      </c>
    </row>
    <row r="3" spans="1:3">
      <c r="B3" s="4" t="s">
        <v>288</v>
      </c>
      <c r="C3" s="4" t="s">
        <v>1031</v>
      </c>
    </row>
    <row r="4" spans="1:3">
      <c r="B4" s="4" t="s">
        <v>3</v>
      </c>
      <c r="C4" s="4" t="s">
        <v>1029</v>
      </c>
    </row>
    <row r="5" spans="1:3">
      <c r="B5" s="4" t="s">
        <v>811</v>
      </c>
      <c r="C5" s="4" t="s">
        <v>1030</v>
      </c>
    </row>
    <row r="6" spans="1:3">
      <c r="B6" s="4" t="s">
        <v>7</v>
      </c>
      <c r="C6" s="4" t="s">
        <v>677</v>
      </c>
    </row>
    <row r="7" spans="1:3">
      <c r="B7" s="4" t="s">
        <v>323</v>
      </c>
    </row>
    <row r="9" spans="1:3">
      <c r="B9" s="4" t="s">
        <v>309</v>
      </c>
    </row>
    <row r="11" spans="1:3">
      <c r="C11" s="22" t="s">
        <v>1027</v>
      </c>
    </row>
    <row r="12" spans="1:3">
      <c r="C12" s="4" t="s">
        <v>1028</v>
      </c>
    </row>
    <row r="13" spans="1:3">
      <c r="C13" s="4" t="s">
        <v>784</v>
      </c>
    </row>
    <row r="14" spans="1:3">
      <c r="C14" s="4" t="s">
        <v>785</v>
      </c>
    </row>
    <row r="16" spans="1:3">
      <c r="C16" s="22" t="s">
        <v>162</v>
      </c>
    </row>
    <row r="17" spans="3:4">
      <c r="C17" s="4" t="s">
        <v>163</v>
      </c>
    </row>
    <row r="19" spans="3:4">
      <c r="D19" s="22" t="s">
        <v>307</v>
      </c>
    </row>
    <row r="20" spans="3:4">
      <c r="D20" s="4" t="s">
        <v>308</v>
      </c>
    </row>
    <row r="22" spans="3:4">
      <c r="D22" s="22" t="s">
        <v>311</v>
      </c>
    </row>
    <row r="23" spans="3:4">
      <c r="D23" s="4" t="s">
        <v>860</v>
      </c>
    </row>
    <row r="25" spans="3:4">
      <c r="D25" s="22" t="s">
        <v>858</v>
      </c>
    </row>
    <row r="26" spans="3:4">
      <c r="D26" s="4" t="s">
        <v>859</v>
      </c>
    </row>
    <row r="28" spans="3:4">
      <c r="C28" s="22" t="s">
        <v>861</v>
      </c>
    </row>
    <row r="29" spans="3:4">
      <c r="C29" s="4" t="s">
        <v>862</v>
      </c>
    </row>
    <row r="31" spans="3:4">
      <c r="C31" s="22" t="s">
        <v>863</v>
      </c>
    </row>
    <row r="32" spans="3:4">
      <c r="C32" s="16" t="s">
        <v>864</v>
      </c>
    </row>
    <row r="33" spans="3:4">
      <c r="D33" s="16"/>
    </row>
    <row r="34" spans="3:4">
      <c r="D34" s="22" t="s">
        <v>185</v>
      </c>
    </row>
    <row r="35" spans="3:4">
      <c r="D35" s="4" t="s">
        <v>737</v>
      </c>
    </row>
    <row r="37" spans="3:4">
      <c r="D37" s="22" t="s">
        <v>738</v>
      </c>
    </row>
    <row r="38" spans="3:4">
      <c r="D38" s="16" t="s">
        <v>739</v>
      </c>
    </row>
    <row r="39" spans="3:4">
      <c r="D39" s="16"/>
    </row>
    <row r="40" spans="3:4">
      <c r="D40" s="22" t="s">
        <v>740</v>
      </c>
    </row>
    <row r="41" spans="3:4">
      <c r="D41" s="16" t="s">
        <v>852</v>
      </c>
    </row>
    <row r="42" spans="3:4">
      <c r="D42" s="22"/>
    </row>
    <row r="43" spans="3:4">
      <c r="C43" s="22" t="s">
        <v>196</v>
      </c>
    </row>
    <row r="44" spans="3:4">
      <c r="C44" s="16" t="s">
        <v>197</v>
      </c>
    </row>
    <row r="45" spans="3:4">
      <c r="D45" s="16"/>
    </row>
    <row r="46" spans="3:4">
      <c r="C46" s="22" t="s">
        <v>198</v>
      </c>
    </row>
    <row r="47" spans="3:4">
      <c r="C47" s="16" t="s">
        <v>199</v>
      </c>
    </row>
    <row r="48" spans="3:4">
      <c r="D48" s="22"/>
    </row>
    <row r="49" spans="3:4">
      <c r="D49" s="22" t="s">
        <v>200</v>
      </c>
    </row>
    <row r="50" spans="3:4">
      <c r="D50" s="16" t="s">
        <v>201</v>
      </c>
    </row>
    <row r="51" spans="3:4">
      <c r="D51" s="16"/>
    </row>
    <row r="52" spans="3:4">
      <c r="D52" s="22" t="s">
        <v>202</v>
      </c>
    </row>
    <row r="53" spans="3:4">
      <c r="D53" s="16" t="s">
        <v>203</v>
      </c>
    </row>
    <row r="54" spans="3:4">
      <c r="D54" s="22"/>
    </row>
    <row r="55" spans="3:4">
      <c r="D55" s="22" t="s">
        <v>204</v>
      </c>
    </row>
    <row r="56" spans="3:4">
      <c r="D56" s="16" t="s">
        <v>205</v>
      </c>
    </row>
    <row r="57" spans="3:4">
      <c r="D57" s="16"/>
    </row>
    <row r="58" spans="3:4">
      <c r="C58" s="22" t="s">
        <v>206</v>
      </c>
    </row>
    <row r="59" spans="3:4">
      <c r="C59" s="16" t="s">
        <v>207</v>
      </c>
    </row>
    <row r="60" spans="3:4">
      <c r="D60" s="16"/>
    </row>
    <row r="61" spans="3:4">
      <c r="C61" s="22" t="s">
        <v>920</v>
      </c>
    </row>
    <row r="62" spans="3:4">
      <c r="C62" s="16" t="s">
        <v>921</v>
      </c>
    </row>
    <row r="63" spans="3:4">
      <c r="D63" s="16"/>
    </row>
    <row r="64" spans="3:4">
      <c r="C64" s="22" t="s">
        <v>922</v>
      </c>
    </row>
    <row r="65" spans="2:4">
      <c r="C65" s="16" t="s">
        <v>251</v>
      </c>
    </row>
    <row r="66" spans="2:4">
      <c r="C66" s="16"/>
    </row>
    <row r="67" spans="2:4">
      <c r="C67" s="22" t="s">
        <v>778</v>
      </c>
    </row>
    <row r="68" spans="2:4">
      <c r="C68" s="16" t="s">
        <v>779</v>
      </c>
    </row>
    <row r="69" spans="2:4">
      <c r="B69" s="4" t="s">
        <v>310</v>
      </c>
      <c r="D69" s="22"/>
    </row>
    <row r="71" spans="2:4">
      <c r="C71" s="22" t="s">
        <v>159</v>
      </c>
    </row>
    <row r="72" spans="2:4">
      <c r="C72" s="22" t="s">
        <v>160</v>
      </c>
    </row>
    <row r="73" spans="2:4">
      <c r="C73" s="16" t="s">
        <v>161</v>
      </c>
    </row>
    <row r="75" spans="2:4">
      <c r="C75" s="22" t="s">
        <v>157</v>
      </c>
    </row>
    <row r="76" spans="2:4">
      <c r="C76" s="16" t="s">
        <v>158</v>
      </c>
    </row>
    <row r="78" spans="2:4">
      <c r="C78" s="22" t="s">
        <v>520</v>
      </c>
    </row>
    <row r="79" spans="2:4">
      <c r="C79" s="4" t="s">
        <v>521</v>
      </c>
    </row>
    <row r="81" spans="3:3">
      <c r="C81" s="22" t="s">
        <v>391</v>
      </c>
    </row>
    <row r="82" spans="3:3">
      <c r="C82" s="4" t="s">
        <v>392</v>
      </c>
    </row>
    <row r="84" spans="3:3">
      <c r="C84" s="22" t="s">
        <v>393</v>
      </c>
    </row>
    <row r="85" spans="3:3">
      <c r="C85" s="4" t="s">
        <v>394</v>
      </c>
    </row>
    <row r="87" spans="3:3">
      <c r="C87" s="22" t="s">
        <v>155</v>
      </c>
    </row>
    <row r="88" spans="3:3">
      <c r="C88" s="4" t="s">
        <v>156</v>
      </c>
    </row>
    <row r="90" spans="3:3">
      <c r="C90" s="22" t="s">
        <v>252</v>
      </c>
    </row>
    <row r="91" spans="3:3">
      <c r="C91" s="4" t="s">
        <v>253</v>
      </c>
    </row>
    <row r="93" spans="3:3">
      <c r="C93" s="22" t="s">
        <v>360</v>
      </c>
    </row>
    <row r="94" spans="3:3">
      <c r="C94" s="4" t="s">
        <v>361</v>
      </c>
    </row>
    <row r="96" spans="3:3">
      <c r="C96" s="22" t="s">
        <v>362</v>
      </c>
    </row>
    <row r="97" spans="3:3">
      <c r="C97" s="4" t="s">
        <v>478</v>
      </c>
    </row>
    <row r="99" spans="3:3">
      <c r="C99" s="22" t="s">
        <v>0</v>
      </c>
    </row>
    <row r="100" spans="3:3">
      <c r="C100" s="4" t="s">
        <v>1</v>
      </c>
    </row>
    <row r="102" spans="3:3">
      <c r="C102" s="22" t="s">
        <v>776</v>
      </c>
    </row>
    <row r="103" spans="3:3">
      <c r="C103" s="4" t="s">
        <v>777</v>
      </c>
    </row>
    <row r="105" spans="3:3">
      <c r="C105" s="22" t="s">
        <v>780</v>
      </c>
    </row>
    <row r="106" spans="3:3">
      <c r="C106" s="4" t="s">
        <v>781</v>
      </c>
    </row>
    <row r="108" spans="3:3">
      <c r="C108" s="22" t="s">
        <v>782</v>
      </c>
    </row>
    <row r="109" spans="3:3">
      <c r="C109" s="4" t="s">
        <v>783</v>
      </c>
    </row>
  </sheetData>
  <phoneticPr fontId="3" type="noConversion"/>
  <hyperlinks>
    <hyperlink ref="A1" location="Main!A1" display="Main" xr:uid="{00000000-0004-0000-0E00-000000000000}"/>
  </hyperlinks>
  <pageMargins left="0.75" right="0.75" top="1" bottom="1" header="0.5" footer="0.5"/>
  <pageSetup orientation="portrait" horizontalDpi="4294967292" verticalDpi="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24"/>
  <sheetViews>
    <sheetView workbookViewId="0"/>
  </sheetViews>
  <sheetFormatPr defaultRowHeight="12.75"/>
  <cols>
    <col min="1" max="1" width="5" style="4" bestFit="1" customWidth="1"/>
    <col min="2" max="2" width="14.140625" style="4" bestFit="1" customWidth="1"/>
    <col min="3" max="16384" width="9.140625" style="4"/>
  </cols>
  <sheetData>
    <row r="1" spans="1:3">
      <c r="A1" s="10" t="s">
        <v>5</v>
      </c>
    </row>
    <row r="2" spans="1:3">
      <c r="B2" s="4" t="s">
        <v>287</v>
      </c>
      <c r="C2" s="4" t="s">
        <v>602</v>
      </c>
    </row>
    <row r="3" spans="1:3">
      <c r="B3" s="4" t="s">
        <v>288</v>
      </c>
      <c r="C3" s="4" t="s">
        <v>25</v>
      </c>
    </row>
    <row r="4" spans="1:3">
      <c r="B4" s="4" t="s">
        <v>986</v>
      </c>
      <c r="C4" s="4" t="s">
        <v>584</v>
      </c>
    </row>
    <row r="5" spans="1:3">
      <c r="B5" s="4" t="s">
        <v>358</v>
      </c>
      <c r="C5" s="4" t="s">
        <v>585</v>
      </c>
    </row>
    <row r="6" spans="1:3">
      <c r="B6" s="4" t="s">
        <v>3</v>
      </c>
      <c r="C6" s="4" t="s">
        <v>17</v>
      </c>
    </row>
    <row r="7" spans="1:3">
      <c r="B7" s="4" t="s">
        <v>112</v>
      </c>
      <c r="C7" s="4" t="s">
        <v>19</v>
      </c>
    </row>
    <row r="8" spans="1:3">
      <c r="B8" s="4" t="s">
        <v>18</v>
      </c>
      <c r="C8" s="4" t="s">
        <v>475</v>
      </c>
    </row>
    <row r="9" spans="1:3">
      <c r="B9" s="4" t="s">
        <v>732</v>
      </c>
      <c r="C9" s="4" t="s">
        <v>499</v>
      </c>
    </row>
    <row r="10" spans="1:3">
      <c r="B10" s="4" t="s">
        <v>444</v>
      </c>
      <c r="C10" s="4" t="s">
        <v>618</v>
      </c>
    </row>
    <row r="11" spans="1:3">
      <c r="C11" s="4" t="s">
        <v>586</v>
      </c>
    </row>
    <row r="12" spans="1:3">
      <c r="B12" s="4" t="s">
        <v>10</v>
      </c>
      <c r="C12" s="4" t="s">
        <v>24</v>
      </c>
    </row>
    <row r="13" spans="1:3">
      <c r="C13" s="4" t="s">
        <v>26</v>
      </c>
    </row>
    <row r="14" spans="1:3">
      <c r="C14" s="4" t="s">
        <v>415</v>
      </c>
    </row>
    <row r="15" spans="1:3">
      <c r="C15" s="4" t="s">
        <v>474</v>
      </c>
    </row>
    <row r="16" spans="1:3">
      <c r="C16" s="4" t="s">
        <v>476</v>
      </c>
    </row>
    <row r="17" spans="2:6">
      <c r="D17" s="4" t="s">
        <v>1019</v>
      </c>
    </row>
    <row r="18" spans="2:6">
      <c r="B18" s="4" t="s">
        <v>1007</v>
      </c>
      <c r="C18" s="4" t="s">
        <v>293</v>
      </c>
    </row>
    <row r="19" spans="2:6">
      <c r="C19" s="4" t="s">
        <v>22</v>
      </c>
    </row>
    <row r="20" spans="2:6">
      <c r="C20" s="4" t="s">
        <v>768</v>
      </c>
    </row>
    <row r="21" spans="2:6">
      <c r="C21" s="4" t="s">
        <v>23</v>
      </c>
    </row>
    <row r="23" spans="2:6">
      <c r="C23" s="6" t="s">
        <v>769</v>
      </c>
      <c r="D23" s="6" t="s">
        <v>314</v>
      </c>
      <c r="E23" s="6" t="s">
        <v>319</v>
      </c>
      <c r="F23" s="6" t="s">
        <v>770</v>
      </c>
    </row>
    <row r="24" spans="2:6">
      <c r="C24" s="6">
        <v>9.57</v>
      </c>
      <c r="D24" s="6">
        <v>9.33</v>
      </c>
      <c r="E24" s="6">
        <v>9.48</v>
      </c>
      <c r="F24" s="6">
        <v>9.4499999999999993</v>
      </c>
    </row>
  </sheetData>
  <phoneticPr fontId="3" type="noConversion"/>
  <hyperlinks>
    <hyperlink ref="A1" location="Main!A1" display="Main" xr:uid="{00000000-0004-0000-1A00-000000000000}"/>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97"/>
  <sheetViews>
    <sheetView workbookViewId="0"/>
  </sheetViews>
  <sheetFormatPr defaultRowHeight="12.75"/>
  <cols>
    <col min="1" max="1" width="7.85546875" style="4" bestFit="1" customWidth="1"/>
    <col min="2" max="16384" width="9.140625" style="4"/>
  </cols>
  <sheetData>
    <row r="1" spans="1:3">
      <c r="A1" s="10" t="s">
        <v>5</v>
      </c>
    </row>
    <row r="2" spans="1:3">
      <c r="A2" s="10" t="s">
        <v>601</v>
      </c>
    </row>
    <row r="3" spans="1:3">
      <c r="A3" s="10"/>
    </row>
    <row r="4" spans="1:3">
      <c r="C4" s="14" t="s">
        <v>153</v>
      </c>
    </row>
    <row r="5" spans="1:3">
      <c r="C5" s="14" t="s">
        <v>297</v>
      </c>
    </row>
    <row r="6" spans="1:3">
      <c r="C6" s="16" t="s">
        <v>969</v>
      </c>
    </row>
    <row r="7" spans="1:3">
      <c r="C7" s="14" t="s">
        <v>320</v>
      </c>
    </row>
    <row r="8" spans="1:3">
      <c r="C8" s="14" t="s">
        <v>968</v>
      </c>
    </row>
    <row r="9" spans="1:3">
      <c r="C9" s="14" t="s">
        <v>619</v>
      </c>
    </row>
    <row r="10" spans="1:3">
      <c r="C10" s="16" t="s">
        <v>829</v>
      </c>
    </row>
    <row r="11" spans="1:3">
      <c r="C11" s="16" t="s">
        <v>700</v>
      </c>
    </row>
    <row r="12" spans="1:3">
      <c r="C12" s="14" t="s">
        <v>37</v>
      </c>
    </row>
    <row r="13" spans="1:3">
      <c r="C13" s="16" t="s">
        <v>953</v>
      </c>
    </row>
    <row r="14" spans="1:3">
      <c r="C14" s="10" t="s">
        <v>678</v>
      </c>
    </row>
    <row r="15" spans="1:3">
      <c r="C15" s="16" t="s">
        <v>316</v>
      </c>
    </row>
    <row r="16" spans="1:3">
      <c r="C16" s="16" t="s">
        <v>21</v>
      </c>
    </row>
    <row r="17" spans="1:3">
      <c r="C17" s="16" t="s">
        <v>298</v>
      </c>
    </row>
    <row r="18" spans="1:3">
      <c r="C18" s="16" t="s">
        <v>803</v>
      </c>
    </row>
    <row r="19" spans="1:3">
      <c r="C19" s="16" t="s">
        <v>503</v>
      </c>
    </row>
    <row r="20" spans="1:3">
      <c r="A20" s="10"/>
      <c r="C20" s="4" t="s">
        <v>263</v>
      </c>
    </row>
    <row r="21" spans="1:3">
      <c r="A21" s="10"/>
      <c r="C21" s="4" t="s">
        <v>264</v>
      </c>
    </row>
    <row r="22" spans="1:3">
      <c r="A22" s="10"/>
      <c r="C22" s="4" t="s">
        <v>265</v>
      </c>
    </row>
    <row r="23" spans="1:3">
      <c r="A23" s="10"/>
      <c r="C23" s="4" t="s">
        <v>266</v>
      </c>
    </row>
    <row r="24" spans="1:3">
      <c r="A24" s="10"/>
      <c r="C24" s="4" t="s">
        <v>267</v>
      </c>
    </row>
    <row r="25" spans="1:3">
      <c r="A25" s="10"/>
      <c r="C25" s="4" t="s">
        <v>268</v>
      </c>
    </row>
    <row r="26" spans="1:3">
      <c r="A26" s="10"/>
      <c r="C26" s="4" t="s">
        <v>269</v>
      </c>
    </row>
    <row r="27" spans="1:3">
      <c r="A27" s="10"/>
      <c r="C27" s="4" t="s">
        <v>270</v>
      </c>
    </row>
    <row r="28" spans="1:3">
      <c r="A28" s="10"/>
      <c r="C28" s="4" t="s">
        <v>271</v>
      </c>
    </row>
    <row r="29" spans="1:3">
      <c r="A29" s="10"/>
      <c r="C29" s="4" t="s">
        <v>272</v>
      </c>
    </row>
    <row r="30" spans="1:3">
      <c r="A30" s="10"/>
      <c r="C30" s="4" t="s">
        <v>492</v>
      </c>
    </row>
    <row r="31" spans="1:3">
      <c r="A31" s="10"/>
      <c r="C31" s="4" t="s">
        <v>493</v>
      </c>
    </row>
    <row r="32" spans="1:3">
      <c r="A32" s="10"/>
    </row>
    <row r="33" spans="2:2">
      <c r="B33" s="50">
        <v>39220</v>
      </c>
    </row>
    <row r="34" spans="2:2">
      <c r="B34" s="55" t="s">
        <v>250</v>
      </c>
    </row>
    <row r="35" spans="2:2">
      <c r="B35" s="55"/>
    </row>
    <row r="36" spans="2:2" ht="13.5">
      <c r="B36" s="56" t="s">
        <v>257</v>
      </c>
    </row>
    <row r="37" spans="2:2" ht="13.5">
      <c r="B37" s="56"/>
    </row>
    <row r="38" spans="2:2" ht="13.5">
      <c r="B38" s="56" t="s">
        <v>258</v>
      </c>
    </row>
    <row r="39" spans="2:2" ht="13.5">
      <c r="B39" s="56" t="s">
        <v>259</v>
      </c>
    </row>
    <row r="40" spans="2:2" ht="13.5">
      <c r="B40" s="56" t="s">
        <v>260</v>
      </c>
    </row>
    <row r="41" spans="2:2" ht="13.5">
      <c r="B41" s="56"/>
    </row>
    <row r="42" spans="2:2" ht="13.5">
      <c r="B42" s="56" t="s">
        <v>261</v>
      </c>
    </row>
    <row r="43" spans="2:2" ht="13.5">
      <c r="B43" s="56" t="s">
        <v>262</v>
      </c>
    </row>
    <row r="44" spans="2:2" ht="13.5">
      <c r="B44" s="56" t="s">
        <v>804</v>
      </c>
    </row>
    <row r="45" spans="2:2" ht="13.5">
      <c r="B45" s="56" t="s">
        <v>805</v>
      </c>
    </row>
    <row r="46" spans="2:2" ht="13.5">
      <c r="B46" s="56" t="s">
        <v>806</v>
      </c>
    </row>
    <row r="47" spans="2:2" ht="13.5">
      <c r="B47" s="56" t="s">
        <v>807</v>
      </c>
    </row>
    <row r="48" spans="2:2" ht="13.5">
      <c r="B48" s="56" t="s">
        <v>246</v>
      </c>
    </row>
    <row r="49" spans="2:2" ht="13.5">
      <c r="B49" s="56" t="s">
        <v>247</v>
      </c>
    </row>
    <row r="50" spans="2:2" ht="13.5">
      <c r="B50" s="56"/>
    </row>
    <row r="51" spans="2:2" ht="13.5">
      <c r="B51" s="56" t="s">
        <v>248</v>
      </c>
    </row>
    <row r="52" spans="2:2" ht="13.5">
      <c r="B52" s="56" t="s">
        <v>249</v>
      </c>
    </row>
    <row r="53" spans="2:2" ht="13.5">
      <c r="B53" s="56" t="s">
        <v>683</v>
      </c>
    </row>
    <row r="54" spans="2:2" ht="13.5">
      <c r="B54" s="56" t="s">
        <v>684</v>
      </c>
    </row>
    <row r="55" spans="2:2" ht="13.5">
      <c r="B55" s="56" t="s">
        <v>685</v>
      </c>
    </row>
    <row r="56" spans="2:2" ht="13.5">
      <c r="B56" s="56" t="s">
        <v>686</v>
      </c>
    </row>
    <row r="57" spans="2:2" ht="13.5">
      <c r="B57" s="56" t="s">
        <v>687</v>
      </c>
    </row>
    <row r="58" spans="2:2" ht="13.5">
      <c r="B58" s="56" t="s">
        <v>688</v>
      </c>
    </row>
    <row r="59" spans="2:2" ht="13.5">
      <c r="B59" s="56"/>
    </row>
    <row r="60" spans="2:2" ht="13.5">
      <c r="B60" s="56" t="s">
        <v>954</v>
      </c>
    </row>
    <row r="61" spans="2:2" ht="13.5">
      <c r="B61" s="56" t="s">
        <v>955</v>
      </c>
    </row>
    <row r="62" spans="2:2" ht="13.5">
      <c r="B62" s="56"/>
    </row>
    <row r="63" spans="2:2" ht="13.5">
      <c r="B63" s="56" t="s">
        <v>956</v>
      </c>
    </row>
    <row r="64" spans="2:2" ht="13.5">
      <c r="B64" s="56" t="s">
        <v>957</v>
      </c>
    </row>
    <row r="65" spans="2:2" ht="13.5">
      <c r="B65" s="56" t="s">
        <v>958</v>
      </c>
    </row>
    <row r="66" spans="2:2" ht="13.5">
      <c r="B66" s="56" t="s">
        <v>959</v>
      </c>
    </row>
    <row r="67" spans="2:2" ht="13.5">
      <c r="B67" s="56" t="s">
        <v>960</v>
      </c>
    </row>
    <row r="68" spans="2:2" ht="13.5">
      <c r="B68" s="56" t="s">
        <v>961</v>
      </c>
    </row>
    <row r="69" spans="2:2" ht="13.5">
      <c r="B69" s="56" t="s">
        <v>962</v>
      </c>
    </row>
    <row r="70" spans="2:2" ht="13.5">
      <c r="B70" s="56" t="s">
        <v>963</v>
      </c>
    </row>
    <row r="71" spans="2:2" ht="13.5">
      <c r="B71" s="56" t="s">
        <v>964</v>
      </c>
    </row>
    <row r="72" spans="2:2" ht="13.5">
      <c r="B72" s="56" t="s">
        <v>146</v>
      </c>
    </row>
    <row r="73" spans="2:2" ht="13.5">
      <c r="B73" s="56" t="s">
        <v>147</v>
      </c>
    </row>
    <row r="74" spans="2:2" ht="13.5">
      <c r="B74" s="56" t="s">
        <v>148</v>
      </c>
    </row>
    <row r="75" spans="2:2" ht="13.5">
      <c r="B75" s="56" t="s">
        <v>149</v>
      </c>
    </row>
    <row r="76" spans="2:2" ht="13.5">
      <c r="B76" s="56" t="s">
        <v>150</v>
      </c>
    </row>
    <row r="77" spans="2:2" ht="13.5">
      <c r="B77" s="56" t="s">
        <v>151</v>
      </c>
    </row>
    <row r="78" spans="2:2" ht="13.5">
      <c r="B78" s="56" t="s">
        <v>152</v>
      </c>
    </row>
    <row r="79" spans="2:2" ht="13.5">
      <c r="B79" s="56" t="s">
        <v>816</v>
      </c>
    </row>
    <row r="80" spans="2:2" ht="13.5">
      <c r="B80" s="56" t="s">
        <v>817</v>
      </c>
    </row>
    <row r="81" spans="2:2" ht="13.5">
      <c r="B81" s="56"/>
    </row>
    <row r="82" spans="2:2" ht="13.5">
      <c r="B82" s="56" t="s">
        <v>818</v>
      </c>
    </row>
    <row r="83" spans="2:2" ht="13.5">
      <c r="B83" s="56" t="s">
        <v>819</v>
      </c>
    </row>
    <row r="84" spans="2:2" ht="13.5">
      <c r="B84" s="56" t="s">
        <v>820</v>
      </c>
    </row>
    <row r="85" spans="2:2" ht="13.5">
      <c r="B85" s="56" t="s">
        <v>821</v>
      </c>
    </row>
    <row r="86" spans="2:2" ht="13.5">
      <c r="B86" s="56" t="s">
        <v>822</v>
      </c>
    </row>
    <row r="87" spans="2:2" ht="13.5">
      <c r="B87" s="56" t="s">
        <v>704</v>
      </c>
    </row>
    <row r="88" spans="2:2" ht="13.5">
      <c r="B88" s="56" t="s">
        <v>705</v>
      </c>
    </row>
    <row r="89" spans="2:2" ht="13.5">
      <c r="B89" s="56"/>
    </row>
    <row r="90" spans="2:2" ht="13.5">
      <c r="B90" s="56" t="s">
        <v>707</v>
      </c>
    </row>
    <row r="91" spans="2:2" ht="13.5">
      <c r="B91" s="56" t="s">
        <v>708</v>
      </c>
    </row>
    <row r="93" spans="2:2">
      <c r="B93" s="57" t="s">
        <v>709</v>
      </c>
    </row>
    <row r="94" spans="2:2">
      <c r="B94" s="57" t="s">
        <v>710</v>
      </c>
    </row>
    <row r="95" spans="2:2">
      <c r="B95" s="57" t="s">
        <v>711</v>
      </c>
    </row>
    <row r="96" spans="2:2">
      <c r="B96" s="57" t="s">
        <v>712</v>
      </c>
    </row>
    <row r="97" spans="2:2">
      <c r="B97" s="57" t="s">
        <v>709</v>
      </c>
    </row>
  </sheetData>
  <phoneticPr fontId="3" type="noConversion"/>
  <hyperlinks>
    <hyperlink ref="A1" location="Main!A1" display="Main" xr:uid="{00000000-0004-0000-1B00-000000000000}"/>
    <hyperlink ref="A2" location="Aranesp!A1" display="Aranesp" xr:uid="{00000000-0004-0000-1B00-000001000000}"/>
    <hyperlink ref="C14" r:id="rId1" xr:uid="{00000000-0004-0000-1B00-000002000000}"/>
  </hyperlink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01B0B15-93E0-46F0-9CE9-49605130D0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B841A15-2A50-4D71-BDCC-63244230A1CA}">
  <ds:schemaRefs>
    <ds:schemaRef ds:uri="http://schemas.microsoft.com/sharepoint/v3/contenttype/forms"/>
  </ds:schemaRefs>
</ds:datastoreItem>
</file>

<file path=customXml/itemProps3.xml><?xml version="1.0" encoding="utf-8"?>
<ds:datastoreItem xmlns:ds="http://schemas.openxmlformats.org/officeDocument/2006/customXml" ds:itemID="{D24D0A80-C9F7-4996-BF99-EBD1796965B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vt:i4>
      </vt:variant>
    </vt:vector>
  </HeadingPairs>
  <TitlesOfParts>
    <vt:vector size="32" baseType="lpstr">
      <vt:lpstr>Master</vt:lpstr>
      <vt:lpstr>Main</vt:lpstr>
      <vt:lpstr>Model</vt:lpstr>
      <vt:lpstr>Enbrel</vt:lpstr>
      <vt:lpstr>Lumakras</vt:lpstr>
      <vt:lpstr>Neulasta</vt:lpstr>
      <vt:lpstr>Neupogen</vt:lpstr>
      <vt:lpstr>Epogen</vt:lpstr>
      <vt:lpstr>EPO safety</vt:lpstr>
      <vt:lpstr>Aranesp</vt:lpstr>
      <vt:lpstr>G-CSF</vt:lpstr>
      <vt:lpstr>Sensipar</vt:lpstr>
      <vt:lpstr>Vectibix</vt:lpstr>
      <vt:lpstr>Denosumab</vt:lpstr>
      <vt:lpstr>Denosumab trials</vt:lpstr>
      <vt:lpstr>Kineret</vt:lpstr>
      <vt:lpstr>706</vt:lpstr>
      <vt:lpstr>531</vt:lpstr>
      <vt:lpstr>108</vt:lpstr>
      <vt:lpstr>114</vt:lpstr>
      <vt:lpstr>223</vt:lpstr>
      <vt:lpstr>386</vt:lpstr>
      <vt:lpstr>479</vt:lpstr>
      <vt:lpstr>102</vt:lpstr>
      <vt:lpstr>655</vt:lpstr>
      <vt:lpstr>785</vt:lpstr>
      <vt:lpstr>811</vt:lpstr>
      <vt:lpstr>208</vt:lpstr>
      <vt:lpstr>714</vt:lpstr>
      <vt:lpstr>Failures</vt:lpstr>
      <vt:lpstr>Kepivance</vt:lpstr>
      <vt:lpstr>Model!Print_Area</vt:lpstr>
    </vt:vector>
  </TitlesOfParts>
  <Company>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dc:creator>
  <cp:lastModifiedBy>Martin Shkreli</cp:lastModifiedBy>
  <cp:lastPrinted>2010-06-25T16:55:44Z</cp:lastPrinted>
  <dcterms:created xsi:type="dcterms:W3CDTF">2004-11-23T03:02:33Z</dcterms:created>
  <dcterms:modified xsi:type="dcterms:W3CDTF">2024-08-20T04:52:38Z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1073804243</vt:i4>
  </property>
  <property fmtid="{D5CDD505-2E9C-101B-9397-08002B2CF9AE}" pid="3" name="_EmailSubject">
    <vt:lpwstr/>
  </property>
  <property fmtid="{D5CDD505-2E9C-101B-9397-08002B2CF9AE}" pid="4" name="_AuthorEmail">
    <vt:lpwstr>mshkreli@intrepidcap.com</vt:lpwstr>
  </property>
  <property fmtid="{D5CDD505-2E9C-101B-9397-08002B2CF9AE}" pid="5" name="_AuthorEmailDisplayName">
    <vt:lpwstr>Martin Shkreli</vt:lpwstr>
  </property>
  <property fmtid="{D5CDD505-2E9C-101B-9397-08002B2CF9AE}" pid="6" name="_ReviewingToolsShownOnce">
    <vt:lpwstr/>
  </property>
</Properties>
</file>