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A9659DA-12B1-4912-A5E5-5EC1F6CDA677}" xr6:coauthVersionLast="47" xr6:coauthVersionMax="47" xr10:uidLastSave="{00000000-0000-0000-0000-000000000000}"/>
  <bookViews>
    <workbookView xWindow="-50625" yWindow="300" windowWidth="25080" windowHeight="19755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30" i="1" l="1"/>
  <c r="DP30" i="1"/>
  <c r="CM28" i="1" l="1"/>
  <c r="CN28" i="1" s="1"/>
  <c r="CO28" i="1" s="1"/>
  <c r="CP28" i="1" s="1"/>
  <c r="CL28" i="1"/>
  <c r="DG15" i="1" l="1"/>
  <c r="CO58" i="1"/>
  <c r="CN58" i="1"/>
  <c r="CM58" i="1"/>
  <c r="CO57" i="1"/>
  <c r="CO59" i="1" s="1"/>
  <c r="CN57" i="1"/>
  <c r="CN59" i="1" s="1"/>
  <c r="CM57" i="1"/>
  <c r="CM59" i="1" s="1"/>
  <c r="CO24" i="1"/>
  <c r="CN24" i="1"/>
  <c r="CM24" i="1"/>
  <c r="CO23" i="1"/>
  <c r="CN23" i="1"/>
  <c r="CM23" i="1"/>
  <c r="CO29" i="1"/>
  <c r="CN29" i="1"/>
  <c r="CM29" i="1"/>
  <c r="CO26" i="1"/>
  <c r="CN26" i="1"/>
  <c r="CM26" i="1"/>
  <c r="CO21" i="1"/>
  <c r="CN21" i="1"/>
  <c r="CM21" i="1"/>
  <c r="CO20" i="1"/>
  <c r="CN20" i="1"/>
  <c r="CM20" i="1"/>
  <c r="CO18" i="1"/>
  <c r="CN18" i="1"/>
  <c r="CM18" i="1"/>
  <c r="CO17" i="1"/>
  <c r="CN17" i="1"/>
  <c r="CM17" i="1"/>
  <c r="CO16" i="1"/>
  <c r="CN16" i="1"/>
  <c r="CM16" i="1"/>
  <c r="CO11" i="1"/>
  <c r="CN11" i="1"/>
  <c r="CM11" i="1"/>
  <c r="CO15" i="1"/>
  <c r="CN15" i="1"/>
  <c r="CM15" i="1"/>
  <c r="CL15" i="1"/>
  <c r="CP15" i="1" s="1"/>
  <c r="CP14" i="1"/>
  <c r="CO14" i="1"/>
  <c r="CN14" i="1"/>
  <c r="DG14" i="1" s="1"/>
  <c r="CM14" i="1"/>
  <c r="CL14" i="1"/>
  <c r="CO13" i="1"/>
  <c r="CO77" i="1" s="1"/>
  <c r="CN13" i="1"/>
  <c r="CN77" i="1" s="1"/>
  <c r="CM13" i="1"/>
  <c r="CM77" i="1" s="1"/>
  <c r="CL13" i="1"/>
  <c r="CP13" i="1" s="1"/>
  <c r="CP77" i="1" s="1"/>
  <c r="BX77" i="1"/>
  <c r="CD77" i="1"/>
  <c r="CC77" i="1"/>
  <c r="CB77" i="1"/>
  <c r="CA77" i="1"/>
  <c r="BZ77" i="1"/>
  <c r="BY77" i="1"/>
  <c r="CL77" i="1"/>
  <c r="CJ77" i="1"/>
  <c r="CI77" i="1"/>
  <c r="CH77" i="1"/>
  <c r="CG77" i="1"/>
  <c r="CF77" i="1"/>
  <c r="CE77" i="1"/>
  <c r="CK77" i="1"/>
  <c r="CO12" i="1"/>
  <c r="CO76" i="1" s="1"/>
  <c r="CN12" i="1"/>
  <c r="CN76" i="1" s="1"/>
  <c r="CM12" i="1"/>
  <c r="DG12" i="1" s="1"/>
  <c r="CL12" i="1"/>
  <c r="CP12" i="1" s="1"/>
  <c r="CO8" i="1"/>
  <c r="CO72" i="1" s="1"/>
  <c r="CN8" i="1"/>
  <c r="CM8" i="1"/>
  <c r="CM3" i="1" s="1"/>
  <c r="CL8" i="1"/>
  <c r="CP8" i="1" s="1"/>
  <c r="CP72" i="1" s="1"/>
  <c r="CK103" i="1"/>
  <c r="CK101" i="1"/>
  <c r="CO10" i="1"/>
  <c r="CO75" i="1" s="1"/>
  <c r="CN10" i="1"/>
  <c r="CN75" i="1" s="1"/>
  <c r="CM10" i="1"/>
  <c r="CM75" i="1" s="1"/>
  <c r="CO9" i="1"/>
  <c r="CO74" i="1" s="1"/>
  <c r="CN9" i="1"/>
  <c r="CN74" i="1" s="1"/>
  <c r="CM9" i="1"/>
  <c r="CM74" i="1" s="1"/>
  <c r="CO7" i="1"/>
  <c r="CO71" i="1" s="1"/>
  <c r="CN7" i="1"/>
  <c r="CN71" i="1" s="1"/>
  <c r="CM7" i="1"/>
  <c r="CM71" i="1" s="1"/>
  <c r="CO5" i="1"/>
  <c r="CN5" i="1"/>
  <c r="CM5" i="1"/>
  <c r="CM76" i="1"/>
  <c r="CN72" i="1"/>
  <c r="CM72" i="1"/>
  <c r="CO70" i="1"/>
  <c r="CN70" i="1"/>
  <c r="CM70" i="1"/>
  <c r="CJ124" i="1"/>
  <c r="CJ122" i="1"/>
  <c r="CK122" i="1" s="1"/>
  <c r="CJ120" i="1"/>
  <c r="CK120" i="1" s="1"/>
  <c r="CJ119" i="1"/>
  <c r="CK119" i="1" s="1"/>
  <c r="CJ118" i="1"/>
  <c r="CK118" i="1" s="1"/>
  <c r="CJ114" i="1"/>
  <c r="CK114" i="1" s="1"/>
  <c r="CJ113" i="1"/>
  <c r="CK113" i="1" s="1"/>
  <c r="CJ108" i="1"/>
  <c r="CK108" i="1" s="1"/>
  <c r="CJ107" i="1"/>
  <c r="CK107" i="1" s="1"/>
  <c r="CJ106" i="1"/>
  <c r="CK106" i="1" s="1"/>
  <c r="CJ104" i="1"/>
  <c r="CK104" i="1" s="1"/>
  <c r="CJ103" i="1"/>
  <c r="CJ102" i="1"/>
  <c r="CK102" i="1" s="1"/>
  <c r="CJ101" i="1"/>
  <c r="CI117" i="1"/>
  <c r="CJ117" i="1" s="1"/>
  <c r="CI112" i="1"/>
  <c r="CI115" i="1" s="1"/>
  <c r="CI109" i="1"/>
  <c r="CJ109" i="1" s="1"/>
  <c r="CK109" i="1" s="1"/>
  <c r="CI105" i="1"/>
  <c r="CJ105" i="1" s="1"/>
  <c r="CK105" i="1" s="1"/>
  <c r="CO53" i="1"/>
  <c r="CM53" i="1"/>
  <c r="CK54" i="1"/>
  <c r="DG8" i="1" l="1"/>
  <c r="DG13" i="1"/>
  <c r="DG28" i="1"/>
  <c r="CK110" i="1"/>
  <c r="CJ123" i="1"/>
  <c r="CK117" i="1"/>
  <c r="CK123" i="1" s="1"/>
  <c r="CJ110" i="1"/>
  <c r="CJ112" i="1"/>
  <c r="CI123" i="1"/>
  <c r="CK124" i="1"/>
  <c r="CP76" i="1"/>
  <c r="CN3" i="1"/>
  <c r="CO3" i="1"/>
  <c r="CI110" i="1"/>
  <c r="CK61" i="1"/>
  <c r="CK93" i="1"/>
  <c r="CK98" i="1" s="1"/>
  <c r="CK89" i="1"/>
  <c r="CK84" i="1"/>
  <c r="CK83" i="1" s="1"/>
  <c r="H5" i="1"/>
  <c r="H52" i="1" s="1"/>
  <c r="H54" i="1" s="1"/>
  <c r="F52" i="1"/>
  <c r="F54" i="1" s="1"/>
  <c r="E52" i="1"/>
  <c r="E54" i="1" s="1"/>
  <c r="D52" i="1"/>
  <c r="D54" i="1" s="1"/>
  <c r="C52" i="1"/>
  <c r="C54" i="1" s="1"/>
  <c r="J52" i="1"/>
  <c r="J54" i="1" s="1"/>
  <c r="G52" i="1"/>
  <c r="G54" i="1" s="1"/>
  <c r="I52" i="1"/>
  <c r="I54" i="1" s="1"/>
  <c r="M36" i="1"/>
  <c r="M35" i="1"/>
  <c r="M34" i="1"/>
  <c r="M33" i="1"/>
  <c r="M43" i="1"/>
  <c r="M37" i="1"/>
  <c r="M40" i="1"/>
  <c r="M49" i="1"/>
  <c r="M45" i="1"/>
  <c r="M44" i="1"/>
  <c r="M46" i="1"/>
  <c r="M42" i="1"/>
  <c r="M5" i="1"/>
  <c r="N52" i="1"/>
  <c r="N54" i="1" s="1"/>
  <c r="K52" i="1"/>
  <c r="K54" i="1" s="1"/>
  <c r="L52" i="1"/>
  <c r="L54" i="1" s="1"/>
  <c r="Q49" i="1"/>
  <c r="Q46" i="1"/>
  <c r="Q45" i="1"/>
  <c r="Q44" i="1"/>
  <c r="Q43" i="1"/>
  <c r="Q40" i="1"/>
  <c r="Q37" i="1"/>
  <c r="Q36" i="1"/>
  <c r="Q35" i="1"/>
  <c r="Q34" i="1"/>
  <c r="Q33" i="1"/>
  <c r="P5" i="1"/>
  <c r="R52" i="1"/>
  <c r="R54" i="1" s="1"/>
  <c r="P52" i="1"/>
  <c r="P54" i="1" s="1"/>
  <c r="O52" i="1"/>
  <c r="O54" i="1" s="1"/>
  <c r="V52" i="1"/>
  <c r="V54" i="1" s="1"/>
  <c r="U52" i="1"/>
  <c r="U54" i="1" s="1"/>
  <c r="T52" i="1"/>
  <c r="T54" i="1" s="1"/>
  <c r="S52" i="1"/>
  <c r="S54" i="1" s="1"/>
  <c r="W36" i="1"/>
  <c r="W52" i="1" s="1"/>
  <c r="W54" i="1" s="1"/>
  <c r="Z52" i="1"/>
  <c r="Z54" i="1" s="1"/>
  <c r="Y52" i="1"/>
  <c r="Y54" i="1" s="1"/>
  <c r="X52" i="1"/>
  <c r="X54" i="1" s="1"/>
  <c r="AA49" i="1"/>
  <c r="AA47" i="1"/>
  <c r="AA46" i="1"/>
  <c r="AA45" i="1"/>
  <c r="AA37" i="1"/>
  <c r="AA36" i="1"/>
  <c r="AA5" i="1"/>
  <c r="AD52" i="1"/>
  <c r="AD54" i="1" s="1"/>
  <c r="AC52" i="1"/>
  <c r="AC54" i="1" s="1"/>
  <c r="AB52" i="1"/>
  <c r="AB54" i="1" s="1"/>
  <c r="AH52" i="1"/>
  <c r="AH54" i="1" s="1"/>
  <c r="AF52" i="1"/>
  <c r="AF54" i="1" s="1"/>
  <c r="AE52" i="1"/>
  <c r="AE54" i="1" s="1"/>
  <c r="AG52" i="1"/>
  <c r="AG54" i="1" s="1"/>
  <c r="AK49" i="1"/>
  <c r="AK47" i="1"/>
  <c r="AK45" i="1"/>
  <c r="AK37" i="1"/>
  <c r="AK36" i="1"/>
  <c r="AK5" i="1"/>
  <c r="AL52" i="1"/>
  <c r="AL54" i="1" s="1"/>
  <c r="AJ52" i="1"/>
  <c r="AJ54" i="1" s="1"/>
  <c r="AI52" i="1"/>
  <c r="AI54" i="1" s="1"/>
  <c r="AN52" i="1"/>
  <c r="AN54" i="1" s="1"/>
  <c r="AM52" i="1"/>
  <c r="AM54" i="1" s="1"/>
  <c r="AP52" i="1"/>
  <c r="AP54" i="1" s="1"/>
  <c r="BF52" i="1"/>
  <c r="BF54" i="1" s="1"/>
  <c r="BE52" i="1"/>
  <c r="BE54" i="1" s="1"/>
  <c r="BD52" i="1"/>
  <c r="BD54" i="1" s="1"/>
  <c r="BC52" i="1"/>
  <c r="BC54" i="1" s="1"/>
  <c r="BG68" i="1" s="1"/>
  <c r="BB61" i="1"/>
  <c r="BB59" i="1"/>
  <c r="BB52" i="1"/>
  <c r="BB54" i="1" s="1"/>
  <c r="BB56" i="1" s="1"/>
  <c r="BA61" i="1"/>
  <c r="BA59" i="1"/>
  <c r="BA52" i="1"/>
  <c r="BA54" i="1" s="1"/>
  <c r="BA56" i="1" s="1"/>
  <c r="AZ61" i="1"/>
  <c r="AZ59" i="1"/>
  <c r="AZ52" i="1"/>
  <c r="AZ54" i="1" s="1"/>
  <c r="AZ56" i="1" s="1"/>
  <c r="AY61" i="1"/>
  <c r="AY59" i="1"/>
  <c r="AY52" i="1"/>
  <c r="AY54" i="1" s="1"/>
  <c r="AY56" i="1" s="1"/>
  <c r="AX61" i="1"/>
  <c r="AX59" i="1"/>
  <c r="AX52" i="1"/>
  <c r="AX54" i="1" s="1"/>
  <c r="AX56" i="1" s="1"/>
  <c r="AW61" i="1"/>
  <c r="AW59" i="1"/>
  <c r="AW52" i="1"/>
  <c r="AW54" i="1" s="1"/>
  <c r="AW56" i="1" s="1"/>
  <c r="AU61" i="1"/>
  <c r="AU59" i="1"/>
  <c r="AU52" i="1"/>
  <c r="AU54" i="1" s="1"/>
  <c r="AU56" i="1" s="1"/>
  <c r="AT61" i="1"/>
  <c r="AT59" i="1"/>
  <c r="AT52" i="1"/>
  <c r="AT54" i="1" s="1"/>
  <c r="AT56" i="1" s="1"/>
  <c r="AR61" i="1"/>
  <c r="AR59" i="1"/>
  <c r="AQ50" i="1"/>
  <c r="AR52" i="1"/>
  <c r="AR54" i="1" s="1"/>
  <c r="AR56" i="1" s="1"/>
  <c r="BN71" i="1"/>
  <c r="BM71" i="1"/>
  <c r="BL71" i="1"/>
  <c r="BK71" i="1"/>
  <c r="BN70" i="1"/>
  <c r="BM70" i="1"/>
  <c r="BL70" i="1"/>
  <c r="BK70" i="1"/>
  <c r="DH28" i="1" l="1"/>
  <c r="DI28" i="1" s="1"/>
  <c r="DJ28" i="1" s="1"/>
  <c r="DK28" i="1" s="1"/>
  <c r="DL28" i="1" s="1"/>
  <c r="DM28" i="1" s="1"/>
  <c r="DN28" i="1" s="1"/>
  <c r="DO28" i="1" s="1"/>
  <c r="DP28" i="1" s="1"/>
  <c r="DQ28" i="1" s="1"/>
  <c r="CI125" i="1"/>
  <c r="CJ115" i="1"/>
  <c r="CJ125" i="1" s="1"/>
  <c r="CK112" i="1"/>
  <c r="CK115" i="1" s="1"/>
  <c r="CK125" i="1"/>
  <c r="CK91" i="1"/>
  <c r="AW60" i="1"/>
  <c r="AW62" i="1" s="1"/>
  <c r="AW64" i="1" s="1"/>
  <c r="AW65" i="1" s="1"/>
  <c r="M52" i="1"/>
  <c r="M54" i="1" s="1"/>
  <c r="AZ60" i="1"/>
  <c r="AZ62" i="1" s="1"/>
  <c r="AZ64" i="1" s="1"/>
  <c r="AZ65" i="1" s="1"/>
  <c r="AA52" i="1"/>
  <c r="AA54" i="1" s="1"/>
  <c r="AY60" i="1"/>
  <c r="AY62" i="1" s="1"/>
  <c r="AY64" i="1" s="1"/>
  <c r="AY65" i="1" s="1"/>
  <c r="Q52" i="1"/>
  <c r="Q54" i="1" s="1"/>
  <c r="BA60" i="1"/>
  <c r="BA62" i="1" s="1"/>
  <c r="BA64" i="1" s="1"/>
  <c r="BA65" i="1" s="1"/>
  <c r="AX60" i="1"/>
  <c r="AX62" i="1" s="1"/>
  <c r="AX64" i="1" s="1"/>
  <c r="AX65" i="1" s="1"/>
  <c r="AR60" i="1"/>
  <c r="AR62" i="1" s="1"/>
  <c r="AR64" i="1" s="1"/>
  <c r="AR65" i="1" s="1"/>
  <c r="AT60" i="1"/>
  <c r="AT62" i="1" s="1"/>
  <c r="AT64" i="1" s="1"/>
  <c r="AT65" i="1" s="1"/>
  <c r="AU60" i="1"/>
  <c r="AU62" i="1" s="1"/>
  <c r="AU64" i="1" s="1"/>
  <c r="AU65" i="1" s="1"/>
  <c r="AK52" i="1"/>
  <c r="AK54" i="1" s="1"/>
  <c r="BB60" i="1"/>
  <c r="BB62" i="1" s="1"/>
  <c r="BB64" i="1" s="1"/>
  <c r="BB65" i="1" s="1"/>
  <c r="BC59" i="1"/>
  <c r="BC56" i="1"/>
  <c r="BG53" i="1"/>
  <c r="BD61" i="1"/>
  <c r="BH68" i="1"/>
  <c r="BH53" i="1"/>
  <c r="BD3" i="1"/>
  <c r="BE3" i="1"/>
  <c r="BF3" i="1"/>
  <c r="BD59" i="1"/>
  <c r="BD56" i="1"/>
  <c r="BI68" i="1"/>
  <c r="BE61" i="1"/>
  <c r="BE59" i="1"/>
  <c r="BE56" i="1"/>
  <c r="BI61" i="1"/>
  <c r="BI53" i="1"/>
  <c r="BF61" i="1"/>
  <c r="BF59" i="1"/>
  <c r="BF56" i="1"/>
  <c r="BJ61" i="1"/>
  <c r="BJ3" i="1"/>
  <c r="BI3" i="1"/>
  <c r="BH3" i="1"/>
  <c r="BG3" i="1"/>
  <c r="BJ53" i="1"/>
  <c r="BJ54" i="1" s="1"/>
  <c r="BJ56" i="1" s="1"/>
  <c r="CJ93" i="1"/>
  <c r="CJ98" i="1" s="1"/>
  <c r="CJ89" i="1"/>
  <c r="CJ84" i="1"/>
  <c r="CJ83" i="1" s="1"/>
  <c r="CJ61" i="1"/>
  <c r="CL61" i="1" s="1"/>
  <c r="CM61" i="1" s="1"/>
  <c r="CN61" i="1" s="1"/>
  <c r="CO61" i="1" s="1"/>
  <c r="CP61" i="1" s="1"/>
  <c r="CJ53" i="1"/>
  <c r="CN53" i="1" s="1"/>
  <c r="DE29" i="1"/>
  <c r="DE28" i="1"/>
  <c r="DE5" i="1"/>
  <c r="DE7" i="1"/>
  <c r="DE8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55" i="1"/>
  <c r="DE57" i="1"/>
  <c r="DE58" i="1"/>
  <c r="DE66" i="1"/>
  <c r="CL58" i="1"/>
  <c r="CL57" i="1"/>
  <c r="CI61" i="1"/>
  <c r="CJ59" i="1"/>
  <c r="CJ66" i="1"/>
  <c r="CJ76" i="1"/>
  <c r="CJ75" i="1"/>
  <c r="CJ74" i="1"/>
  <c r="CJ72" i="1"/>
  <c r="CJ71" i="1"/>
  <c r="CJ70" i="1"/>
  <c r="CL5" i="1"/>
  <c r="DF5" i="1" s="1"/>
  <c r="CK70" i="1"/>
  <c r="CL29" i="1"/>
  <c r="CP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CL27" i="1"/>
  <c r="CL26" i="1"/>
  <c r="CP26" i="1" s="1"/>
  <c r="DG26" i="1" s="1"/>
  <c r="DF26" i="1"/>
  <c r="CL25" i="1"/>
  <c r="CL24" i="1"/>
  <c r="CP24" i="1" s="1"/>
  <c r="DG24" i="1" s="1"/>
  <c r="CL23" i="1"/>
  <c r="CP23" i="1" s="1"/>
  <c r="DG23" i="1" s="1"/>
  <c r="CL22" i="1"/>
  <c r="CL21" i="1"/>
  <c r="CP21" i="1" s="1"/>
  <c r="DG21" i="1" s="1"/>
  <c r="CL20" i="1"/>
  <c r="CP20" i="1" s="1"/>
  <c r="DG20" i="1" s="1"/>
  <c r="CL17" i="1"/>
  <c r="CL18" i="1"/>
  <c r="CP18" i="1" s="1"/>
  <c r="DG18" i="1" s="1"/>
  <c r="CL16" i="1"/>
  <c r="CP16" i="1" s="1"/>
  <c r="DG16" i="1" s="1"/>
  <c r="DF14" i="1"/>
  <c r="CK76" i="1"/>
  <c r="CL11" i="1"/>
  <c r="CP11" i="1" s="1"/>
  <c r="DG11" i="1" s="1"/>
  <c r="CK74" i="1"/>
  <c r="CL72" i="1"/>
  <c r="CL7" i="1"/>
  <c r="CK71" i="1"/>
  <c r="CH93" i="1"/>
  <c r="CH98" i="1" s="1"/>
  <c r="CH89" i="1"/>
  <c r="CH84" i="1"/>
  <c r="CH53" i="1"/>
  <c r="CL53" i="1" s="1"/>
  <c r="CP53" i="1" s="1"/>
  <c r="CH10" i="1"/>
  <c r="CL10" i="1" s="1"/>
  <c r="CH9" i="1"/>
  <c r="DE9" i="1" s="1"/>
  <c r="CH63" i="1"/>
  <c r="CH61" i="1"/>
  <c r="CG61" i="1"/>
  <c r="CC18" i="1"/>
  <c r="CG93" i="1"/>
  <c r="CG98" i="1" s="1"/>
  <c r="CG89" i="1"/>
  <c r="CG84" i="1"/>
  <c r="CF124" i="1"/>
  <c r="CG124" i="1" s="1"/>
  <c r="CH124" i="1" s="1"/>
  <c r="CF122" i="1"/>
  <c r="CG122" i="1" s="1"/>
  <c r="CH122" i="1" s="1"/>
  <c r="CF121" i="1"/>
  <c r="CG121" i="1" s="1"/>
  <c r="CH121" i="1" s="1"/>
  <c r="CF120" i="1"/>
  <c r="CG120" i="1" s="1"/>
  <c r="CH120" i="1" s="1"/>
  <c r="CF119" i="1"/>
  <c r="CG119" i="1" s="1"/>
  <c r="CH119" i="1" s="1"/>
  <c r="CF118" i="1"/>
  <c r="CG118" i="1" s="1"/>
  <c r="CH118" i="1" s="1"/>
  <c r="CF117" i="1"/>
  <c r="CG117" i="1" s="1"/>
  <c r="CH117" i="1" s="1"/>
  <c r="CF114" i="1"/>
  <c r="CF108" i="1"/>
  <c r="CG108" i="1" s="1"/>
  <c r="CH108" i="1" s="1"/>
  <c r="CF106" i="1"/>
  <c r="CG106" i="1" s="1"/>
  <c r="CH106" i="1" s="1"/>
  <c r="CF105" i="1"/>
  <c r="CG105" i="1" s="1"/>
  <c r="CH105" i="1" s="1"/>
  <c r="CF104" i="1"/>
  <c r="CG104" i="1" s="1"/>
  <c r="CH104" i="1" s="1"/>
  <c r="CF103" i="1"/>
  <c r="CG103" i="1" s="1"/>
  <c r="CH103" i="1" s="1"/>
  <c r="CF102" i="1"/>
  <c r="CG102" i="1" s="1"/>
  <c r="CH102" i="1" s="1"/>
  <c r="CF101" i="1"/>
  <c r="CG101" i="1" s="1"/>
  <c r="CF93" i="1"/>
  <c r="CF98" i="1" s="1"/>
  <c r="CF84" i="1"/>
  <c r="CF89" i="1"/>
  <c r="CF63" i="1"/>
  <c r="CF61" i="1"/>
  <c r="CE123" i="1"/>
  <c r="CE112" i="1"/>
  <c r="CE115" i="1" s="1"/>
  <c r="CE107" i="1"/>
  <c r="CF107" i="1" s="1"/>
  <c r="CG107" i="1" s="1"/>
  <c r="CH107" i="1" s="1"/>
  <c r="CE109" i="1"/>
  <c r="CF109" i="1" s="1"/>
  <c r="CG109" i="1" s="1"/>
  <c r="CH109" i="1" s="1"/>
  <c r="CE93" i="1"/>
  <c r="CE98" i="1" s="1"/>
  <c r="CE89" i="1"/>
  <c r="CE84" i="1"/>
  <c r="CI59" i="1"/>
  <c r="CI76" i="1"/>
  <c r="CI75" i="1"/>
  <c r="CI74" i="1"/>
  <c r="CI72" i="1"/>
  <c r="CI71" i="1"/>
  <c r="CI70" i="1"/>
  <c r="CI54" i="1"/>
  <c r="CI3" i="1"/>
  <c r="CM73" i="1" s="1"/>
  <c r="CI93" i="1"/>
  <c r="CI98" i="1" s="1"/>
  <c r="CI84" i="1"/>
  <c r="CI83" i="1" s="1"/>
  <c r="CI89" i="1"/>
  <c r="CE3" i="1"/>
  <c r="CE63" i="1"/>
  <c r="CD83" i="1"/>
  <c r="CZ66" i="1"/>
  <c r="CZ63" i="1"/>
  <c r="CZ58" i="1"/>
  <c r="CZ57" i="1"/>
  <c r="CZ59" i="1" s="1"/>
  <c r="CZ55" i="1"/>
  <c r="CZ52" i="1"/>
  <c r="CZ51" i="1"/>
  <c r="CZ50" i="1"/>
  <c r="CZ49" i="1"/>
  <c r="CZ48" i="1"/>
  <c r="CZ47" i="1"/>
  <c r="CZ45" i="1"/>
  <c r="CZ41" i="1"/>
  <c r="CZ39" i="1"/>
  <c r="CZ38" i="1"/>
  <c r="CZ37" i="1"/>
  <c r="CZ36" i="1"/>
  <c r="CZ32" i="1"/>
  <c r="CZ31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BO71" i="1"/>
  <c r="BO70" i="1"/>
  <c r="BG61" i="1"/>
  <c r="BG59" i="1"/>
  <c r="BG56" i="1"/>
  <c r="BK53" i="1"/>
  <c r="BK3" i="1"/>
  <c r="BK68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1" i="1"/>
  <c r="BQ71" i="1"/>
  <c r="BR71" i="1"/>
  <c r="BP70" i="1"/>
  <c r="BQ70" i="1"/>
  <c r="BR70" i="1"/>
  <c r="BH59" i="1"/>
  <c r="BH56" i="1"/>
  <c r="BL54" i="1"/>
  <c r="BL68" i="1" s="1"/>
  <c r="BI59" i="1"/>
  <c r="BI56" i="1"/>
  <c r="BM54" i="1"/>
  <c r="BM68" i="1" s="1"/>
  <c r="BK61" i="1"/>
  <c r="BN61" i="1"/>
  <c r="BJ59" i="1"/>
  <c r="BN53" i="1"/>
  <c r="DA66" i="1"/>
  <c r="DB66" i="1"/>
  <c r="DB63" i="1"/>
  <c r="DA63" i="1"/>
  <c r="DB58" i="1"/>
  <c r="DA58" i="1"/>
  <c r="DB57" i="1"/>
  <c r="DA57" i="1"/>
  <c r="DB55" i="1"/>
  <c r="DA55" i="1"/>
  <c r="DA52" i="1"/>
  <c r="DA51" i="1"/>
  <c r="DA50" i="1"/>
  <c r="DA49" i="1"/>
  <c r="DA48" i="1"/>
  <c r="DA47" i="1"/>
  <c r="DA45" i="1"/>
  <c r="DA41" i="1"/>
  <c r="DA39" i="1"/>
  <c r="DA38" i="1"/>
  <c r="DA37" i="1"/>
  <c r="DA36" i="1"/>
  <c r="DA32" i="1"/>
  <c r="DA31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BO61" i="1"/>
  <c r="BS71" i="1"/>
  <c r="BS70" i="1"/>
  <c r="BK59" i="1"/>
  <c r="BK56" i="1"/>
  <c r="BK80" i="1" s="1"/>
  <c r="BO53" i="1"/>
  <c r="BL61" i="1"/>
  <c r="BT72" i="1"/>
  <c r="BT71" i="1"/>
  <c r="BT70" i="1"/>
  <c r="BL59" i="1"/>
  <c r="BP54" i="1"/>
  <c r="CD70" i="1"/>
  <c r="CA117" i="1"/>
  <c r="CA123" i="1" s="1"/>
  <c r="CA112" i="1"/>
  <c r="CA115" i="1" s="1"/>
  <c r="CA109" i="1"/>
  <c r="CA110" i="1" s="1"/>
  <c r="CC76" i="1"/>
  <c r="CC75" i="1"/>
  <c r="CC74" i="1"/>
  <c r="CC72" i="1"/>
  <c r="CC71" i="1"/>
  <c r="CC70" i="1"/>
  <c r="CC93" i="1"/>
  <c r="CC98" i="1" s="1"/>
  <c r="CC89" i="1"/>
  <c r="CC84" i="1"/>
  <c r="DF57" i="1" l="1"/>
  <c r="CP57" i="1"/>
  <c r="DF17" i="1"/>
  <c r="CP17" i="1"/>
  <c r="DG17" i="1" s="1"/>
  <c r="DF58" i="1"/>
  <c r="CP58" i="1"/>
  <c r="CP59" i="1" s="1"/>
  <c r="DF27" i="1"/>
  <c r="CM27" i="1"/>
  <c r="DF22" i="1"/>
  <c r="CM22" i="1"/>
  <c r="DB59" i="1"/>
  <c r="DF25" i="1"/>
  <c r="CM25" i="1"/>
  <c r="CL70" i="1"/>
  <c r="CP5" i="1"/>
  <c r="DG5" i="1" s="1"/>
  <c r="CL75" i="1"/>
  <c r="CP10" i="1"/>
  <c r="CL71" i="1"/>
  <c r="CP7" i="1"/>
  <c r="CI56" i="1"/>
  <c r="CI80" i="1" s="1"/>
  <c r="CH91" i="1"/>
  <c r="CH83" i="1"/>
  <c r="CL76" i="1"/>
  <c r="DF12" i="1"/>
  <c r="DF76" i="1" s="1"/>
  <c r="DF61" i="1"/>
  <c r="CG83" i="1"/>
  <c r="DF16" i="1"/>
  <c r="DF24" i="1"/>
  <c r="DF23" i="1"/>
  <c r="DE59" i="1"/>
  <c r="DE53" i="1"/>
  <c r="DF18" i="1"/>
  <c r="DE61" i="1"/>
  <c r="DF20" i="1"/>
  <c r="CF91" i="1"/>
  <c r="DF29" i="1"/>
  <c r="CF83" i="1"/>
  <c r="DF15" i="1"/>
  <c r="BS73" i="1"/>
  <c r="CF112" i="1"/>
  <c r="CG112" i="1" s="1"/>
  <c r="CH112" i="1" s="1"/>
  <c r="DF21" i="1"/>
  <c r="CK59" i="1"/>
  <c r="DF13" i="1"/>
  <c r="CI73" i="1"/>
  <c r="DF11" i="1"/>
  <c r="BO73" i="1"/>
  <c r="DF8" i="1"/>
  <c r="CG91" i="1"/>
  <c r="CE110" i="1"/>
  <c r="CE125" i="1" s="1"/>
  <c r="DE63" i="1"/>
  <c r="CL9" i="1"/>
  <c r="DF10" i="1"/>
  <c r="DE10" i="1"/>
  <c r="CG114" i="1"/>
  <c r="CH114" i="1" s="1"/>
  <c r="BP68" i="1"/>
  <c r="CL59" i="1"/>
  <c r="BJ68" i="1"/>
  <c r="CH101" i="1"/>
  <c r="CH110" i="1" s="1"/>
  <c r="CG110" i="1"/>
  <c r="CL66" i="1"/>
  <c r="CK72" i="1"/>
  <c r="DF53" i="1"/>
  <c r="CF123" i="1"/>
  <c r="CK75" i="1"/>
  <c r="DF7" i="1"/>
  <c r="CL3" i="1"/>
  <c r="CJ91" i="1"/>
  <c r="CE91" i="1"/>
  <c r="CJ54" i="1"/>
  <c r="CJ56" i="1" s="1"/>
  <c r="CF110" i="1"/>
  <c r="CK3" i="1"/>
  <c r="CO73" i="1" s="1"/>
  <c r="BC60" i="1"/>
  <c r="BC62" i="1" s="1"/>
  <c r="BC64" i="1" s="1"/>
  <c r="BC65" i="1" s="1"/>
  <c r="BH60" i="1"/>
  <c r="BH62" i="1" s="1"/>
  <c r="BH64" i="1" s="1"/>
  <c r="BH65" i="1" s="1"/>
  <c r="BD60" i="1"/>
  <c r="BD62" i="1" s="1"/>
  <c r="BD64" i="1" s="1"/>
  <c r="BD65" i="1" s="1"/>
  <c r="BE60" i="1"/>
  <c r="BE62" i="1" s="1"/>
  <c r="BE64" i="1" s="1"/>
  <c r="BE65" i="1" s="1"/>
  <c r="BF60" i="1"/>
  <c r="BF62" i="1" s="1"/>
  <c r="BF64" i="1" s="1"/>
  <c r="BF65" i="1" s="1"/>
  <c r="CL19" i="1"/>
  <c r="DF28" i="1"/>
  <c r="CI60" i="1"/>
  <c r="CI62" i="1" s="1"/>
  <c r="CI64" i="1" s="1"/>
  <c r="CI100" i="1" s="1"/>
  <c r="CK56" i="1"/>
  <c r="CJ3" i="1"/>
  <c r="CN73" i="1" s="1"/>
  <c r="CH123" i="1"/>
  <c r="CG123" i="1"/>
  <c r="CE83" i="1"/>
  <c r="CC91" i="1"/>
  <c r="CI91" i="1"/>
  <c r="BJ60" i="1"/>
  <c r="BJ62" i="1" s="1"/>
  <c r="CD73" i="1"/>
  <c r="CA73" i="1"/>
  <c r="CZ53" i="1"/>
  <c r="CZ54" i="1" s="1"/>
  <c r="CZ56" i="1" s="1"/>
  <c r="CZ80" i="1" s="1"/>
  <c r="DA3" i="1"/>
  <c r="BV73" i="1"/>
  <c r="BU73" i="1"/>
  <c r="DA59" i="1"/>
  <c r="CB73" i="1"/>
  <c r="BY73" i="1"/>
  <c r="CC73" i="1"/>
  <c r="BX73" i="1"/>
  <c r="BT73" i="1"/>
  <c r="CE73" i="1"/>
  <c r="DA71" i="1"/>
  <c r="BZ73" i="1"/>
  <c r="BW73" i="1"/>
  <c r="BN54" i="1"/>
  <c r="BN68" i="1" s="1"/>
  <c r="BI60" i="1"/>
  <c r="BI62" i="1" s="1"/>
  <c r="BI64" i="1" s="1"/>
  <c r="BI65" i="1" s="1"/>
  <c r="DA70" i="1"/>
  <c r="BQ73" i="1"/>
  <c r="BR73" i="1"/>
  <c r="CZ3" i="1"/>
  <c r="BG60" i="1"/>
  <c r="BG62" i="1" s="1"/>
  <c r="BG64" i="1" s="1"/>
  <c r="BG65" i="1" s="1"/>
  <c r="BP73" i="1"/>
  <c r="BI80" i="1"/>
  <c r="BJ80" i="1"/>
  <c r="CA125" i="1"/>
  <c r="CC83" i="1"/>
  <c r="BO54" i="1"/>
  <c r="BO68" i="1" s="1"/>
  <c r="BL56" i="1"/>
  <c r="BL80" i="1" s="1"/>
  <c r="BK60" i="1"/>
  <c r="BK62" i="1" s="1"/>
  <c r="CE59" i="1"/>
  <c r="CF59" i="1"/>
  <c r="CG59" i="1"/>
  <c r="CH76" i="1"/>
  <c r="CG76" i="1"/>
  <c r="CF76" i="1"/>
  <c r="CH75" i="1"/>
  <c r="CG75" i="1"/>
  <c r="CF75" i="1"/>
  <c r="CH74" i="1"/>
  <c r="CG74" i="1"/>
  <c r="CF74" i="1"/>
  <c r="CH72" i="1"/>
  <c r="CG72" i="1"/>
  <c r="CF72" i="1"/>
  <c r="CH71" i="1"/>
  <c r="CG71" i="1"/>
  <c r="CF71" i="1"/>
  <c r="CE71" i="1"/>
  <c r="CC61" i="1"/>
  <c r="CE76" i="1"/>
  <c r="CE75" i="1"/>
  <c r="CE74" i="1"/>
  <c r="CE72" i="1"/>
  <c r="CC54" i="1"/>
  <c r="CC56" i="1" s="1"/>
  <c r="CC80" i="1" s="1"/>
  <c r="CB61" i="1"/>
  <c r="BU76" i="1"/>
  <c r="BV76" i="1"/>
  <c r="BW76" i="1"/>
  <c r="BX76" i="1"/>
  <c r="BY76" i="1"/>
  <c r="BZ76" i="1"/>
  <c r="CA76" i="1"/>
  <c r="CB76" i="1"/>
  <c r="DB9" i="1"/>
  <c r="DB52" i="1"/>
  <c r="DB51" i="1"/>
  <c r="DB50" i="1"/>
  <c r="DB49" i="1"/>
  <c r="DB48" i="1"/>
  <c r="DB47" i="1"/>
  <c r="DB45" i="1"/>
  <c r="DB41" i="1"/>
  <c r="DB39" i="1"/>
  <c r="DB38" i="1"/>
  <c r="DB37" i="1"/>
  <c r="DB36" i="1"/>
  <c r="DB32" i="1"/>
  <c r="DB31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8" i="1"/>
  <c r="DB72" i="1" s="1"/>
  <c r="DB7" i="1"/>
  <c r="DB71" i="1" s="1"/>
  <c r="DB5" i="1"/>
  <c r="DB70" i="1" s="1"/>
  <c r="BM61" i="1"/>
  <c r="CZ61" i="1" s="1"/>
  <c r="BQ61" i="1"/>
  <c r="BU72" i="1"/>
  <c r="BU71" i="1"/>
  <c r="BU70" i="1"/>
  <c r="BM59" i="1"/>
  <c r="BM56" i="1"/>
  <c r="BM80" i="1" s="1"/>
  <c r="BQ53" i="1"/>
  <c r="BQ54" i="1" s="1"/>
  <c r="BQ59" i="1"/>
  <c r="BR61" i="1"/>
  <c r="BN59" i="1"/>
  <c r="BV72" i="1"/>
  <c r="BV71" i="1"/>
  <c r="BV70" i="1"/>
  <c r="BR59" i="1"/>
  <c r="BR53" i="1"/>
  <c r="BR54" i="1" s="1"/>
  <c r="BR56" i="1" s="1"/>
  <c r="BR80" i="1" s="1"/>
  <c r="BO59" i="1"/>
  <c r="BS61" i="1"/>
  <c r="BW72" i="1"/>
  <c r="BW71" i="1"/>
  <c r="BW70" i="1"/>
  <c r="BS59" i="1"/>
  <c r="BS53" i="1"/>
  <c r="BP61" i="1"/>
  <c r="BP59" i="1"/>
  <c r="BP56" i="1"/>
  <c r="BP80" i="1" s="1"/>
  <c r="BT61" i="1"/>
  <c r="BX75" i="1"/>
  <c r="BX74" i="1"/>
  <c r="BX72" i="1"/>
  <c r="BX71" i="1"/>
  <c r="BX70" i="1"/>
  <c r="BT59" i="1"/>
  <c r="BT53" i="1"/>
  <c r="BT54" i="1" s="1"/>
  <c r="BT56" i="1" s="1"/>
  <c r="BT80" i="1" s="1"/>
  <c r="CB93" i="1"/>
  <c r="CB98" i="1" s="1"/>
  <c r="CB89" i="1"/>
  <c r="CB84" i="1"/>
  <c r="DC66" i="1"/>
  <c r="DC61" i="1"/>
  <c r="DC58" i="1"/>
  <c r="DC57" i="1"/>
  <c r="DC55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5" i="1"/>
  <c r="DD26" i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D22" i="1"/>
  <c r="DD20" i="1"/>
  <c r="DD19" i="1"/>
  <c r="DD18" i="1"/>
  <c r="DD17" i="1"/>
  <c r="DD13" i="1"/>
  <c r="CD76" i="1"/>
  <c r="CD58" i="1"/>
  <c r="DD58" i="1" s="1"/>
  <c r="CD57" i="1"/>
  <c r="CH59" i="1" s="1"/>
  <c r="CD66" i="1"/>
  <c r="CA75" i="1"/>
  <c r="BZ75" i="1"/>
  <c r="BY75" i="1"/>
  <c r="CA74" i="1"/>
  <c r="BZ74" i="1"/>
  <c r="BY74" i="1"/>
  <c r="CB75" i="1"/>
  <c r="CB74" i="1"/>
  <c r="CD75" i="1"/>
  <c r="CD74" i="1"/>
  <c r="CD72" i="1"/>
  <c r="CD71" i="1"/>
  <c r="CB72" i="1"/>
  <c r="CB71" i="1"/>
  <c r="CB70" i="1"/>
  <c r="CB59" i="1"/>
  <c r="CB53" i="1"/>
  <c r="CB54" i="1" s="1"/>
  <c r="CB56" i="1" s="1"/>
  <c r="CB80" i="1" s="1"/>
  <c r="BY72" i="1"/>
  <c r="BY71" i="1"/>
  <c r="BY70" i="1"/>
  <c r="BU59" i="1"/>
  <c r="BU53" i="1"/>
  <c r="BU54" i="1" s="1"/>
  <c r="BZ72" i="1"/>
  <c r="BZ71" i="1"/>
  <c r="CA71" i="1"/>
  <c r="CA72" i="1"/>
  <c r="BZ70" i="1"/>
  <c r="BV59" i="1"/>
  <c r="BV53" i="1"/>
  <c r="BV54" i="1" s="1"/>
  <c r="BV56" i="1" s="1"/>
  <c r="BW53" i="1"/>
  <c r="CA70" i="1"/>
  <c r="BX63" i="1"/>
  <c r="BX59" i="1"/>
  <c r="BX53" i="1"/>
  <c r="BX54" i="1" s="1"/>
  <c r="DF19" i="1" l="1"/>
  <c r="CM19" i="1"/>
  <c r="CN25" i="1"/>
  <c r="CO25" i="1" s="1"/>
  <c r="CP25" i="1" s="1"/>
  <c r="DG25" i="1"/>
  <c r="CN27" i="1"/>
  <c r="CO27" i="1" s="1"/>
  <c r="CP27" i="1" s="1"/>
  <c r="DG27" i="1"/>
  <c r="DH27" i="1"/>
  <c r="DI27" i="1" s="1"/>
  <c r="DJ27" i="1" s="1"/>
  <c r="DK27" i="1" s="1"/>
  <c r="DL27" i="1" s="1"/>
  <c r="DM27" i="1" s="1"/>
  <c r="DN27" i="1" s="1"/>
  <c r="DO27" i="1" s="1"/>
  <c r="DP27" i="1" s="1"/>
  <c r="DQ27" i="1" s="1"/>
  <c r="CP71" i="1"/>
  <c r="DG7" i="1"/>
  <c r="CN22" i="1"/>
  <c r="CO22" i="1" s="1"/>
  <c r="CP22" i="1" s="1"/>
  <c r="DG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H17" i="1"/>
  <c r="DI17" i="1" s="1"/>
  <c r="DJ17" i="1" s="1"/>
  <c r="DK17" i="1" s="1"/>
  <c r="DL17" i="1" s="1"/>
  <c r="DM17" i="1" s="1"/>
  <c r="DN17" i="1" s="1"/>
  <c r="DO17" i="1" s="1"/>
  <c r="DP17" i="1" s="1"/>
  <c r="DQ17" i="1" s="1"/>
  <c r="CP75" i="1"/>
  <c r="DG10" i="1"/>
  <c r="CL74" i="1"/>
  <c r="CP9" i="1"/>
  <c r="CP70" i="1"/>
  <c r="CP3" i="1"/>
  <c r="CP73" i="1" s="1"/>
  <c r="CH115" i="1"/>
  <c r="CH125" i="1" s="1"/>
  <c r="DF66" i="1"/>
  <c r="CM66" i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DC75" i="1"/>
  <c r="DC76" i="1"/>
  <c r="DF75" i="1"/>
  <c r="DC74" i="1"/>
  <c r="DH20" i="1"/>
  <c r="DI20" i="1" s="1"/>
  <c r="DJ20" i="1" s="1"/>
  <c r="DK20" i="1" s="1"/>
  <c r="DL20" i="1" s="1"/>
  <c r="DM20" i="1" s="1"/>
  <c r="DN20" i="1" s="1"/>
  <c r="DO20" i="1" s="1"/>
  <c r="DP20" i="1" s="1"/>
  <c r="DQ20" i="1" s="1"/>
  <c r="DH13" i="1"/>
  <c r="DI13" i="1" s="1"/>
  <c r="DJ13" i="1" s="1"/>
  <c r="DK13" i="1" s="1"/>
  <c r="DL13" i="1" s="1"/>
  <c r="DM13" i="1" s="1"/>
  <c r="DN13" i="1" s="1"/>
  <c r="DO13" i="1" s="1"/>
  <c r="DP13" i="1" s="1"/>
  <c r="DQ13" i="1" s="1"/>
  <c r="CI81" i="1"/>
  <c r="CG115" i="1"/>
  <c r="CG125" i="1" s="1"/>
  <c r="CF115" i="1"/>
  <c r="CF125" i="1" s="1"/>
  <c r="CL54" i="1"/>
  <c r="DF9" i="1"/>
  <c r="DF74" i="1" s="1"/>
  <c r="BJ81" i="1"/>
  <c r="BJ64" i="1"/>
  <c r="BJ65" i="1" s="1"/>
  <c r="CI65" i="1"/>
  <c r="DC71" i="1"/>
  <c r="DC72" i="1"/>
  <c r="BI81" i="1"/>
  <c r="DA73" i="1"/>
  <c r="DC70" i="1"/>
  <c r="DA61" i="1"/>
  <c r="CF3" i="1"/>
  <c r="CF73" i="1" s="1"/>
  <c r="CG3" i="1"/>
  <c r="CG73" i="1" s="1"/>
  <c r="CD61" i="1"/>
  <c r="CH70" i="1"/>
  <c r="CH3" i="1"/>
  <c r="CH73" i="1" s="1"/>
  <c r="CF70" i="1"/>
  <c r="BO56" i="1"/>
  <c r="BO80" i="1" s="1"/>
  <c r="CZ60" i="1"/>
  <c r="CZ62" i="1" s="1"/>
  <c r="CG70" i="1"/>
  <c r="BN56" i="1"/>
  <c r="BN80" i="1" s="1"/>
  <c r="BL60" i="1"/>
  <c r="BL62" i="1" s="1"/>
  <c r="BL81" i="1" s="1"/>
  <c r="BS54" i="1"/>
  <c r="BS56" i="1" s="1"/>
  <c r="BS80" i="1" s="1"/>
  <c r="DB53" i="1"/>
  <c r="DB54" i="1" s="1"/>
  <c r="CF54" i="1"/>
  <c r="CJ68" i="1" s="1"/>
  <c r="DC3" i="1"/>
  <c r="DB3" i="1"/>
  <c r="DB73" i="1" s="1"/>
  <c r="DA53" i="1"/>
  <c r="DA54" i="1" s="1"/>
  <c r="DB61" i="1"/>
  <c r="BK64" i="1"/>
  <c r="BK65" i="1" s="1"/>
  <c r="BK81" i="1"/>
  <c r="CG54" i="1"/>
  <c r="CH54" i="1"/>
  <c r="CH56" i="1" s="1"/>
  <c r="CE70" i="1"/>
  <c r="BP60" i="1"/>
  <c r="BP62" i="1" s="1"/>
  <c r="BV68" i="1"/>
  <c r="BT68" i="1"/>
  <c r="BR68" i="1"/>
  <c r="BQ56" i="1"/>
  <c r="BQ80" i="1" s="1"/>
  <c r="BQ68" i="1"/>
  <c r="BU68" i="1"/>
  <c r="DD57" i="1"/>
  <c r="DD59" i="1" s="1"/>
  <c r="DD21" i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BM60" i="1"/>
  <c r="BM62" i="1" s="1"/>
  <c r="BR60" i="1"/>
  <c r="BR62" i="1" s="1"/>
  <c r="BN60" i="1"/>
  <c r="BN62" i="1" s="1"/>
  <c r="BX56" i="1"/>
  <c r="BX80" i="1" s="1"/>
  <c r="BX68" i="1"/>
  <c r="CB83" i="1"/>
  <c r="DD11" i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BT60" i="1"/>
  <c r="BT62" i="1" s="1"/>
  <c r="DD12" i="1"/>
  <c r="DD14" i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C59" i="1"/>
  <c r="CD59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66" i="1"/>
  <c r="DD7" i="1"/>
  <c r="CC59" i="1"/>
  <c r="BV60" i="1"/>
  <c r="BV62" i="1" s="1"/>
  <c r="BV80" i="1"/>
  <c r="DD8" i="1"/>
  <c r="DD10" i="1"/>
  <c r="DD75" i="1" s="1"/>
  <c r="DD9" i="1"/>
  <c r="DD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CB91" i="1"/>
  <c r="DD5" i="1"/>
  <c r="DD70" i="1" s="1"/>
  <c r="CB68" i="1"/>
  <c r="CB60" i="1"/>
  <c r="CB62" i="1" s="1"/>
  <c r="BU56" i="1"/>
  <c r="BY63" i="1"/>
  <c r="BY59" i="1"/>
  <c r="BY53" i="1"/>
  <c r="BZ63" i="1"/>
  <c r="BZ59" i="1"/>
  <c r="BW59" i="1"/>
  <c r="BZ53" i="1"/>
  <c r="BZ54" i="1" s="1"/>
  <c r="CA93" i="1"/>
  <c r="CA98" i="1" s="1"/>
  <c r="CA89" i="1"/>
  <c r="CA84" i="1"/>
  <c r="BW54" i="1"/>
  <c r="CA61" i="1"/>
  <c r="CA59" i="1"/>
  <c r="CA53" i="1"/>
  <c r="AV57" i="1"/>
  <c r="AV55" i="1"/>
  <c r="AV58" i="1"/>
  <c r="AV61" i="1"/>
  <c r="AV52" i="1"/>
  <c r="AV53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CP74" i="1" l="1"/>
  <c r="DG9" i="1"/>
  <c r="CN19" i="1"/>
  <c r="CM54" i="1"/>
  <c r="DG66" i="1"/>
  <c r="DH66" i="1" s="1"/>
  <c r="CL56" i="1"/>
  <c r="CL60" i="1" s="1"/>
  <c r="CL62" i="1" s="1"/>
  <c r="CN66" i="1"/>
  <c r="DE75" i="1"/>
  <c r="DH12" i="1"/>
  <c r="DD76" i="1"/>
  <c r="DE76" i="1"/>
  <c r="DD74" i="1"/>
  <c r="DE74" i="1"/>
  <c r="DD61" i="1"/>
  <c r="DG61" i="1" s="1"/>
  <c r="DH61" i="1" s="1"/>
  <c r="DI61" i="1" s="1"/>
  <c r="DJ61" i="1" s="1"/>
  <c r="DK61" i="1" s="1"/>
  <c r="DL61" i="1" s="1"/>
  <c r="BX60" i="1"/>
  <c r="BX62" i="1" s="1"/>
  <c r="BO60" i="1"/>
  <c r="BO62" i="1" s="1"/>
  <c r="BO64" i="1" s="1"/>
  <c r="BO65" i="1" s="1"/>
  <c r="CG68" i="1"/>
  <c r="CG56" i="1"/>
  <c r="CG60" i="1" s="1"/>
  <c r="CG62" i="1" s="1"/>
  <c r="CL68" i="1"/>
  <c r="CK68" i="1"/>
  <c r="CL73" i="1"/>
  <c r="CJ73" i="1"/>
  <c r="CK73" i="1"/>
  <c r="CK80" i="1"/>
  <c r="CK60" i="1"/>
  <c r="CK62" i="1" s="1"/>
  <c r="CJ80" i="1"/>
  <c r="CJ60" i="1"/>
  <c r="CJ62" i="1" s="1"/>
  <c r="CF68" i="1"/>
  <c r="CF56" i="1"/>
  <c r="CF60" i="1" s="1"/>
  <c r="CF62" i="1" s="1"/>
  <c r="CF81" i="1" s="1"/>
  <c r="DA56" i="1"/>
  <c r="DA60" i="1" s="1"/>
  <c r="DA62" i="1" s="1"/>
  <c r="DA68" i="1"/>
  <c r="BL64" i="1"/>
  <c r="BL65" i="1" s="1"/>
  <c r="BS68" i="1"/>
  <c r="CZ64" i="1"/>
  <c r="CZ65" i="1" s="1"/>
  <c r="CZ81" i="1"/>
  <c r="DC73" i="1"/>
  <c r="DD72" i="1"/>
  <c r="DD71" i="1"/>
  <c r="BP64" i="1"/>
  <c r="BP65" i="1" s="1"/>
  <c r="BP81" i="1"/>
  <c r="BN64" i="1"/>
  <c r="BN65" i="1" s="1"/>
  <c r="BN81" i="1"/>
  <c r="BQ60" i="1"/>
  <c r="BQ62" i="1" s="1"/>
  <c r="DB56" i="1"/>
  <c r="DB68" i="1"/>
  <c r="CA54" i="1"/>
  <c r="CA68" i="1" s="1"/>
  <c r="CE54" i="1"/>
  <c r="CI68" i="1" s="1"/>
  <c r="BM64" i="1"/>
  <c r="BM65" i="1" s="1"/>
  <c r="BM81" i="1"/>
  <c r="CH60" i="1"/>
  <c r="CH62" i="1" s="1"/>
  <c r="DE70" i="1"/>
  <c r="DD3" i="1"/>
  <c r="DD73" i="1" s="1"/>
  <c r="BS60" i="1"/>
  <c r="BS62" i="1" s="1"/>
  <c r="BS64" i="1" s="1"/>
  <c r="BS65" i="1" s="1"/>
  <c r="DI66" i="1"/>
  <c r="DG75" i="1"/>
  <c r="BW56" i="1"/>
  <c r="BW80" i="1" s="1"/>
  <c r="BW68" i="1"/>
  <c r="BR64" i="1"/>
  <c r="BR65" i="1" s="1"/>
  <c r="BR81" i="1"/>
  <c r="BT64" i="1"/>
  <c r="BT65" i="1" s="1"/>
  <c r="BT81" i="1"/>
  <c r="BY54" i="1"/>
  <c r="CB64" i="1"/>
  <c r="CB65" i="1" s="1"/>
  <c r="CB81" i="1"/>
  <c r="BX64" i="1"/>
  <c r="BX65" i="1" s="1"/>
  <c r="BX81" i="1"/>
  <c r="DC63" i="1"/>
  <c r="DC53" i="1"/>
  <c r="DC54" i="1" s="1"/>
  <c r="BV64" i="1"/>
  <c r="BV65" i="1" s="1"/>
  <c r="BV81" i="1"/>
  <c r="DD53" i="1"/>
  <c r="CD54" i="1"/>
  <c r="BU60" i="1"/>
  <c r="BU62" i="1" s="1"/>
  <c r="BU80" i="1"/>
  <c r="CA91" i="1"/>
  <c r="BZ56" i="1"/>
  <c r="BZ80" i="1" s="1"/>
  <c r="BZ68" i="1"/>
  <c r="CA83" i="1"/>
  <c r="AV59" i="1"/>
  <c r="AV54" i="1"/>
  <c r="AV56" i="1" s="1"/>
  <c r="CO19" i="1" l="1"/>
  <c r="CN54" i="1"/>
  <c r="CM56" i="1"/>
  <c r="CM55" i="1"/>
  <c r="CM68" i="1"/>
  <c r="CL80" i="1"/>
  <c r="CL55" i="1"/>
  <c r="DF55" i="1" s="1"/>
  <c r="DG76" i="1"/>
  <c r="CO66" i="1"/>
  <c r="DH9" i="1"/>
  <c r="DG74" i="1"/>
  <c r="DI12" i="1"/>
  <c r="DH76" i="1"/>
  <c r="BO81" i="1"/>
  <c r="BS81" i="1"/>
  <c r="CJ81" i="1"/>
  <c r="CL63" i="1"/>
  <c r="CK81" i="1"/>
  <c r="DA80" i="1"/>
  <c r="BW60" i="1"/>
  <c r="BW62" i="1" s="1"/>
  <c r="BW81" i="1" s="1"/>
  <c r="CE68" i="1"/>
  <c r="CE56" i="1"/>
  <c r="CF64" i="1"/>
  <c r="DE71" i="1"/>
  <c r="DE72" i="1"/>
  <c r="CA56" i="1"/>
  <c r="CA80" i="1" s="1"/>
  <c r="DC56" i="1"/>
  <c r="DC60" i="1" s="1"/>
  <c r="DC62" i="1" s="1"/>
  <c r="DC68" i="1"/>
  <c r="DA64" i="1"/>
  <c r="DA65" i="1" s="1"/>
  <c r="DA81" i="1"/>
  <c r="BY56" i="1"/>
  <c r="BY80" i="1" s="1"/>
  <c r="CC68" i="1"/>
  <c r="DB80" i="1"/>
  <c r="DB60" i="1"/>
  <c r="DB62" i="1" s="1"/>
  <c r="BQ64" i="1"/>
  <c r="BQ65" i="1" s="1"/>
  <c r="BQ81" i="1"/>
  <c r="CF80" i="1"/>
  <c r="CG80" i="1"/>
  <c r="CG81" i="1"/>
  <c r="CH81" i="1"/>
  <c r="CH80" i="1"/>
  <c r="CD56" i="1"/>
  <c r="CD55" i="1" s="1"/>
  <c r="DD55" i="1" s="1"/>
  <c r="CH68" i="1"/>
  <c r="DF70" i="1"/>
  <c r="DE3" i="1"/>
  <c r="DE73" i="1" s="1"/>
  <c r="DD54" i="1"/>
  <c r="DD68" i="1" s="1"/>
  <c r="DJ66" i="1"/>
  <c r="DH10" i="1"/>
  <c r="DH75" i="1" s="1"/>
  <c r="BY68" i="1"/>
  <c r="BZ60" i="1"/>
  <c r="BZ62" i="1" s="1"/>
  <c r="CD68" i="1"/>
  <c r="BU64" i="1"/>
  <c r="BU65" i="1" s="1"/>
  <c r="BU81" i="1"/>
  <c r="CC60" i="1"/>
  <c r="CC62" i="1" s="1"/>
  <c r="CC81" i="1" s="1"/>
  <c r="AV60" i="1"/>
  <c r="AV62" i="1" s="1"/>
  <c r="AV64" i="1" s="1"/>
  <c r="AV65" i="1" s="1"/>
  <c r="AS61" i="1"/>
  <c r="AS59" i="1"/>
  <c r="AO52" i="1"/>
  <c r="AO54" i="1" s="1"/>
  <c r="AS52" i="1"/>
  <c r="AS54" i="1" s="1"/>
  <c r="AS56" i="1" s="1"/>
  <c r="BW64" i="1" l="1"/>
  <c r="BW65" i="1" s="1"/>
  <c r="CM60" i="1"/>
  <c r="CM62" i="1" s="1"/>
  <c r="CM80" i="1"/>
  <c r="CN56" i="1"/>
  <c r="CN68" i="1"/>
  <c r="CN55" i="1"/>
  <c r="CP19" i="1"/>
  <c r="CP54" i="1" s="1"/>
  <c r="CO54" i="1"/>
  <c r="DG19" i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CP66" i="1"/>
  <c r="DI9" i="1"/>
  <c r="DH74" i="1"/>
  <c r="CL81" i="1"/>
  <c r="DF63" i="1"/>
  <c r="DJ12" i="1"/>
  <c r="DI76" i="1"/>
  <c r="CA60" i="1"/>
  <c r="CA62" i="1" s="1"/>
  <c r="CA64" i="1" s="1"/>
  <c r="CK64" i="1"/>
  <c r="CJ64" i="1"/>
  <c r="CL64" i="1"/>
  <c r="CL65" i="1" s="1"/>
  <c r="CF65" i="1"/>
  <c r="CF100" i="1"/>
  <c r="DC64" i="1"/>
  <c r="DC65" i="1" s="1"/>
  <c r="DC81" i="1"/>
  <c r="DF71" i="1"/>
  <c r="BY60" i="1"/>
  <c r="BY62" i="1" s="1"/>
  <c r="DF72" i="1"/>
  <c r="DC80" i="1"/>
  <c r="CE60" i="1"/>
  <c r="CE62" i="1" s="1"/>
  <c r="CE81" i="1" s="1"/>
  <c r="CE80" i="1"/>
  <c r="DB64" i="1"/>
  <c r="DB65" i="1" s="1"/>
  <c r="DB81" i="1"/>
  <c r="CG64" i="1"/>
  <c r="CH64" i="1"/>
  <c r="CD60" i="1"/>
  <c r="CD62" i="1" s="1"/>
  <c r="CD63" i="1" s="1"/>
  <c r="CD81" i="1" s="1"/>
  <c r="CD80" i="1"/>
  <c r="DG70" i="1"/>
  <c r="DF3" i="1"/>
  <c r="DF73" i="1" s="1"/>
  <c r="DD56" i="1"/>
  <c r="DD60" i="1" s="1"/>
  <c r="DD62" i="1" s="1"/>
  <c r="DE54" i="1"/>
  <c r="DE56" i="1" s="1"/>
  <c r="DK66" i="1"/>
  <c r="DI10" i="1"/>
  <c r="DI75" i="1" s="1"/>
  <c r="BZ64" i="1"/>
  <c r="BZ65" i="1" s="1"/>
  <c r="BZ81" i="1"/>
  <c r="AS60" i="1"/>
  <c r="AS62" i="1" s="1"/>
  <c r="AS64" i="1" s="1"/>
  <c r="AS65" i="1" s="1"/>
  <c r="K4" i="2"/>
  <c r="K7" i="2" s="1"/>
  <c r="CP68" i="1" l="1"/>
  <c r="CP56" i="1"/>
  <c r="CP55" i="1"/>
  <c r="CO56" i="1"/>
  <c r="CO55" i="1"/>
  <c r="CO68" i="1"/>
  <c r="CN60" i="1"/>
  <c r="CN62" i="1" s="1"/>
  <c r="CN80" i="1"/>
  <c r="CM63" i="1"/>
  <c r="CM81" i="1" s="1"/>
  <c r="CM64" i="1"/>
  <c r="CM65" i="1" s="1"/>
  <c r="CJ65" i="1"/>
  <c r="CJ100" i="1"/>
  <c r="DJ9" i="1"/>
  <c r="DI74" i="1"/>
  <c r="DK12" i="1"/>
  <c r="DJ76" i="1"/>
  <c r="CK65" i="1"/>
  <c r="CK100" i="1"/>
  <c r="CA81" i="1"/>
  <c r="CH65" i="1"/>
  <c r="CH100" i="1"/>
  <c r="CL83" i="1"/>
  <c r="CG65" i="1"/>
  <c r="CG100" i="1"/>
  <c r="DH7" i="1"/>
  <c r="DG71" i="1"/>
  <c r="BY64" i="1"/>
  <c r="BY65" i="1" s="1"/>
  <c r="BY81" i="1"/>
  <c r="DH8" i="1"/>
  <c r="DG72" i="1"/>
  <c r="CE64" i="1"/>
  <c r="CA65" i="1"/>
  <c r="CA100" i="1"/>
  <c r="DH5" i="1"/>
  <c r="DH70" i="1" s="1"/>
  <c r="DG3" i="1"/>
  <c r="DG73" i="1" s="1"/>
  <c r="DD80" i="1"/>
  <c r="DG53" i="1"/>
  <c r="DF54" i="1"/>
  <c r="DF56" i="1" s="1"/>
  <c r="DE80" i="1"/>
  <c r="DE68" i="1"/>
  <c r="DL66" i="1"/>
  <c r="DJ10" i="1"/>
  <c r="DJ75" i="1" s="1"/>
  <c r="DD63" i="1"/>
  <c r="CD64" i="1"/>
  <c r="CD65" i="1" s="1"/>
  <c r="CC64" i="1"/>
  <c r="CC65" i="1" s="1"/>
  <c r="AQ61" i="1"/>
  <c r="AQ59" i="1"/>
  <c r="AQ56" i="1"/>
  <c r="AQ52" i="1"/>
  <c r="AQ53" i="1" s="1"/>
  <c r="CP60" i="1" l="1"/>
  <c r="CP62" i="1" s="1"/>
  <c r="CP80" i="1"/>
  <c r="CN63" i="1"/>
  <c r="CN81" i="1" s="1"/>
  <c r="CN64" i="1"/>
  <c r="CN65" i="1" s="1"/>
  <c r="CO60" i="1"/>
  <c r="CO62" i="1" s="1"/>
  <c r="CO80" i="1"/>
  <c r="DK9" i="1"/>
  <c r="DJ74" i="1"/>
  <c r="DL12" i="1"/>
  <c r="DK76" i="1"/>
  <c r="CE65" i="1"/>
  <c r="CE100" i="1"/>
  <c r="DI8" i="1"/>
  <c r="DH72" i="1"/>
  <c r="DI7" i="1"/>
  <c r="DH71" i="1"/>
  <c r="DD64" i="1"/>
  <c r="DD65" i="1" s="1"/>
  <c r="DD81" i="1"/>
  <c r="DI5" i="1"/>
  <c r="DI70" i="1" s="1"/>
  <c r="DH3" i="1"/>
  <c r="DH73" i="1" s="1"/>
  <c r="DH53" i="1"/>
  <c r="DG54" i="1"/>
  <c r="DE60" i="1"/>
  <c r="DE62" i="1" s="1"/>
  <c r="DF59" i="1"/>
  <c r="DF68" i="1"/>
  <c r="DF80" i="1"/>
  <c r="DK10" i="1"/>
  <c r="DK75" i="1" s="1"/>
  <c r="AQ60" i="1"/>
  <c r="AQ62" i="1" s="1"/>
  <c r="AQ64" i="1" s="1"/>
  <c r="AQ65" i="1" s="1"/>
  <c r="DL76" i="1" l="1"/>
  <c r="DM12" i="1"/>
  <c r="DN12" i="1" s="1"/>
  <c r="DO12" i="1" s="1"/>
  <c r="DP12" i="1" s="1"/>
  <c r="DQ12" i="1" s="1"/>
  <c r="CO63" i="1"/>
  <c r="CO81" i="1" s="1"/>
  <c r="CO64" i="1"/>
  <c r="CO65" i="1" s="1"/>
  <c r="CP63" i="1"/>
  <c r="CP81" i="1" s="1"/>
  <c r="DL9" i="1"/>
  <c r="DK74" i="1"/>
  <c r="DJ7" i="1"/>
  <c r="DI71" i="1"/>
  <c r="DJ8" i="1"/>
  <c r="DI72" i="1"/>
  <c r="DE64" i="1"/>
  <c r="DE65" i="1" s="1"/>
  <c r="DE81" i="1"/>
  <c r="DJ5" i="1"/>
  <c r="DJ70" i="1" s="1"/>
  <c r="DI3" i="1"/>
  <c r="DI73" i="1" s="1"/>
  <c r="DF60" i="1"/>
  <c r="DF62" i="1" s="1"/>
  <c r="DG68" i="1"/>
  <c r="DG57" i="1"/>
  <c r="DG59" i="1" s="1"/>
  <c r="DG56" i="1"/>
  <c r="DG80" i="1" s="1"/>
  <c r="DI53" i="1"/>
  <c r="DH54" i="1"/>
  <c r="DL10" i="1"/>
  <c r="DL74" i="1" l="1"/>
  <c r="DM9" i="1"/>
  <c r="DN9" i="1" s="1"/>
  <c r="DO9" i="1" s="1"/>
  <c r="DP9" i="1" s="1"/>
  <c r="DQ9" i="1" s="1"/>
  <c r="DL75" i="1"/>
  <c r="DM10" i="1"/>
  <c r="DN10" i="1" s="1"/>
  <c r="DO10" i="1" s="1"/>
  <c r="DP10" i="1" s="1"/>
  <c r="DQ10" i="1" s="1"/>
  <c r="CP64" i="1"/>
  <c r="CP65" i="1" s="1"/>
  <c r="DK8" i="1"/>
  <c r="DJ72" i="1"/>
  <c r="DK7" i="1"/>
  <c r="DJ71" i="1"/>
  <c r="DF64" i="1"/>
  <c r="DF65" i="1" s="1"/>
  <c r="DF81" i="1"/>
  <c r="DK5" i="1"/>
  <c r="DK70" i="1" s="1"/>
  <c r="DJ3" i="1"/>
  <c r="DJ73" i="1" s="1"/>
  <c r="DH68" i="1"/>
  <c r="DH56" i="1"/>
  <c r="DH80" i="1" s="1"/>
  <c r="DH57" i="1"/>
  <c r="DH59" i="1" s="1"/>
  <c r="DJ53" i="1"/>
  <c r="DI54" i="1"/>
  <c r="DG55" i="1"/>
  <c r="DG60" i="1"/>
  <c r="DG62" i="1" s="1"/>
  <c r="DG63" i="1" s="1"/>
  <c r="DL7" i="1" l="1"/>
  <c r="DK71" i="1"/>
  <c r="DL8" i="1"/>
  <c r="DK72" i="1"/>
  <c r="DG64" i="1"/>
  <c r="DG65" i="1" s="1"/>
  <c r="DG81" i="1"/>
  <c r="DL5" i="1"/>
  <c r="DM5" i="1" s="1"/>
  <c r="DK3" i="1"/>
  <c r="DK73" i="1" s="1"/>
  <c r="DI57" i="1"/>
  <c r="DI59" i="1" s="1"/>
  <c r="DI56" i="1"/>
  <c r="DI80" i="1" s="1"/>
  <c r="DI68" i="1"/>
  <c r="DK53" i="1"/>
  <c r="DJ54" i="1"/>
  <c r="DH55" i="1"/>
  <c r="DH60" i="1"/>
  <c r="DH62" i="1" s="1"/>
  <c r="DH63" i="1" s="1"/>
  <c r="DN5" i="1" l="1"/>
  <c r="DL72" i="1"/>
  <c r="DM8" i="1"/>
  <c r="DN8" i="1" s="1"/>
  <c r="DO8" i="1" s="1"/>
  <c r="DP8" i="1" s="1"/>
  <c r="DQ8" i="1" s="1"/>
  <c r="DL71" i="1"/>
  <c r="DM7" i="1"/>
  <c r="DN7" i="1" s="1"/>
  <c r="DO7" i="1" s="1"/>
  <c r="DP7" i="1" s="1"/>
  <c r="DQ7" i="1" s="1"/>
  <c r="DL3" i="1"/>
  <c r="DL73" i="1" s="1"/>
  <c r="DL70" i="1"/>
  <c r="DH64" i="1"/>
  <c r="DH65" i="1" s="1"/>
  <c r="DH81" i="1"/>
  <c r="DL53" i="1"/>
  <c r="DK54" i="1"/>
  <c r="DJ68" i="1"/>
  <c r="DJ57" i="1"/>
  <c r="DJ59" i="1" s="1"/>
  <c r="DJ56" i="1"/>
  <c r="DJ80" i="1" s="1"/>
  <c r="DI55" i="1"/>
  <c r="DI60" i="1"/>
  <c r="DI62" i="1" s="1"/>
  <c r="DI63" i="1" s="1"/>
  <c r="DL54" i="1" l="1"/>
  <c r="DL57" i="1" s="1"/>
  <c r="DL59" i="1" s="1"/>
  <c r="DM53" i="1"/>
  <c r="DN53" i="1" s="1"/>
  <c r="DO53" i="1" s="1"/>
  <c r="DP53" i="1" s="1"/>
  <c r="DQ53" i="1" s="1"/>
  <c r="DM54" i="1"/>
  <c r="DO5" i="1"/>
  <c r="DN54" i="1"/>
  <c r="DI64" i="1"/>
  <c r="DI65" i="1" s="1"/>
  <c r="DI81" i="1"/>
  <c r="DJ55" i="1"/>
  <c r="DJ60" i="1"/>
  <c r="DK57" i="1"/>
  <c r="DK59" i="1" s="1"/>
  <c r="DK56" i="1"/>
  <c r="DK80" i="1" s="1"/>
  <c r="DK68" i="1"/>
  <c r="DL56" i="1"/>
  <c r="DL80" i="1" s="1"/>
  <c r="DN68" i="1" l="1"/>
  <c r="DL68" i="1"/>
  <c r="DP5" i="1"/>
  <c r="DO54" i="1"/>
  <c r="DO68" i="1" s="1"/>
  <c r="DM68" i="1"/>
  <c r="DJ62" i="1"/>
  <c r="DJ63" i="1" s="1"/>
  <c r="DL55" i="1"/>
  <c r="DL60" i="1"/>
  <c r="DL62" i="1" s="1"/>
  <c r="DL63" i="1" s="1"/>
  <c r="DK55" i="1"/>
  <c r="DK60" i="1"/>
  <c r="DK62" i="1" s="1"/>
  <c r="DK63" i="1" s="1"/>
  <c r="DQ5" i="1" l="1"/>
  <c r="DQ54" i="1" s="1"/>
  <c r="DP54" i="1"/>
  <c r="DP68" i="1" s="1"/>
  <c r="DJ64" i="1"/>
  <c r="DJ65" i="1" s="1"/>
  <c r="DJ81" i="1"/>
  <c r="DK64" i="1"/>
  <c r="DK65" i="1" s="1"/>
  <c r="DK81" i="1"/>
  <c r="DL64" i="1"/>
  <c r="DL65" i="1" s="1"/>
  <c r="DL81" i="1"/>
  <c r="DM64" i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HO64" i="1" s="1"/>
  <c r="HP64" i="1" s="1"/>
  <c r="HQ64" i="1" s="1"/>
  <c r="HR64" i="1" s="1"/>
  <c r="HS64" i="1" s="1"/>
  <c r="HT64" i="1" s="1"/>
  <c r="HU64" i="1" s="1"/>
  <c r="HV64" i="1" s="1"/>
  <c r="HW64" i="1" s="1"/>
  <c r="HX64" i="1" s="1"/>
  <c r="HY64" i="1" s="1"/>
  <c r="HZ64" i="1" s="1"/>
  <c r="IA64" i="1" s="1"/>
  <c r="IB64" i="1" s="1"/>
  <c r="IC64" i="1" s="1"/>
  <c r="ID64" i="1" s="1"/>
  <c r="IE64" i="1" s="1"/>
  <c r="IF64" i="1" s="1"/>
  <c r="IG64" i="1" s="1"/>
  <c r="IH64" i="1" s="1"/>
  <c r="II64" i="1" s="1"/>
  <c r="DQ68" i="1" l="1"/>
  <c r="DT74" i="1"/>
  <c r="DT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tc={00BB85D3-10C6-41A5-89A6-7AC02D1AEDC7}</author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O30" authorId="1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4" authorId="2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C65" authorId="3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DD65" authorId="4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5" authorId="5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5" authorId="6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CI113" authorId="7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<sst xmlns="http://schemas.openxmlformats.org/spreadsheetml/2006/main" count="904" uniqueCount="626">
  <si>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</si>
  <si>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</si>
  <si>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</si>
  <si>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</si>
  <si>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</si>
  <si>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</si>
  <si>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</si>
  <si>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</si>
  <si>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</si>
  <si>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</si>
  <si>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</si>
  <si>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</si>
  <si>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</si>
  <si>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</si>
  <si>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</si>
  <si>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</si>
  <si>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</si>
  <si>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</si>
  <si>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</si>
  <si>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</si>
  <si>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</si>
  <si>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</si>
  <si>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</si>
  <si>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</si>
  <si>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</si>
  <si>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</si>
  <si>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</si>
  <si>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</si>
  <si>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</si>
  <si>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</si>
  <si>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</si>
  <si>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</si>
  <si>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</si>
  <si>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</si>
  <si>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</si>
  <si>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</si>
  <si>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</si>
  <si>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</si>
  <si>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</si>
  <si>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</si>
  <si>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</si>
  <si>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</si>
  <si>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</si>
  <si>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</si>
  <si>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</si>
  <si>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</si>
  <si>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</si>
  <si>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</si>
  <si>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</si>
  <si>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</si>
  <si>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</si>
  <si>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</si>
  <si>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</si>
  <si>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</si>
  <si>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</si>
  <si>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</si>
  <si>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</si>
  <si>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</si>
  <si>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</si>
  <si>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</si>
  <si>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</si>
  <si>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</si>
  <si>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</si>
  <si>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</si>
  <si>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</si>
  <si>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</si>
  <si>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</si>
  <si>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</si>
  <si>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</si>
  <si>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</si>
  <si>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</si>
  <si>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</si>
  <si>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</si>
  <si>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</si>
  <si>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</si>
  <si>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</si>
  <si>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</si>
  <si>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</si>
  <si>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</si>
  <si>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</si>
  <si>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</si>
  <si>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</si>
  <si>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</si>
  <si>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</si>
  <si>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</si>
  <si>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</si>
  <si>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</si>
  <si>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</si>
  <si>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</si>
  <si>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</si>
  <si>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</si>
  <si>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</si>
  <si>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</si>
  <si>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</si>
  <si>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</si>
  <si>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</si>
  <si>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</si>
  <si>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</si>
  <si>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</si>
  <si>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</si>
  <si>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</si>
  <si>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</si>
  <si>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</si>
  <si>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</si>
  <si>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</si>
  <si>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</si>
  <si>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</si>
  <si>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</si>
  <si>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</si>
  <si>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</si>
  <si>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</si>
  <si>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</si>
  <si>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</si>
  <si>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</si>
  <si>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</si>
  <si>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</si>
  <si>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</si>
  <si>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</si>
  <si>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</si>
  <si>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</si>
  <si>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</si>
  <si>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</si>
  <si>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</si>
  <si>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</si>
  <si>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</si>
  <si>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</si>
  <si>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</si>
  <si>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</si>
  <si>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</si>
  <si>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</si>
  <si>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</si>
  <si>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</si>
  <si>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</si>
  <si>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</si>
  <si>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</si>
  <si>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</si>
  <si>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</si>
  <si>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</si>
  <si>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</si>
  <si>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</si>
  <si>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</si>
  <si>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</si>
  <si>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</si>
  <si>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</si>
  <si>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</si>
  <si>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</si>
  <si>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</si>
  <si>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</si>
  <si>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</si>
  <si>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</si>
  <si>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</si>
  <si>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</si>
  <si>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</si>
  <si>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</si>
  <si>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</si>
  <si>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</si>
  <si>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</si>
  <si>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</si>
  <si>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</si>
  <si>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</si>
  <si>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</si>
  <si>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</si>
  <si>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</si>
  <si>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</si>
  <si>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</si>
  <si>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</si>
  <si>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</si>
  <si>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</si>
  <si>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</si>
  <si>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</si>
  <si>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</si>
  <si>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</si>
  <si>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</si>
  <si>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</si>
  <si>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</si>
  <si>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</si>
  <si>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</si>
  <si>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</si>
  <si>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</si>
  <si>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</si>
  <si>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</si>
  <si>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</si>
  <si>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</si>
  <si>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</si>
  <si>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</si>
  <si>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</si>
  <si>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</si>
  <si>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</si>
  <si>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</si>
  <si>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</si>
  <si>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</si>
  <si>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</si>
  <si>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</si>
  <si>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</si>
  <si>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</si>
  <si>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</si>
  <si>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</si>
  <si>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</si>
  <si>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</si>
  <si>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</si>
  <si>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</si>
  <si>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</si>
  <si>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</si>
  <si>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</si>
  <si>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</si>
  <si>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</si>
  <si>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</si>
  <si>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</si>
  <si>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</si>
  <si>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</si>
  <si>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</si>
  <si>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</si>
  <si>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</si>
  <si>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</si>
  <si>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</si>
  <si>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</si>
  <si>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</si>
  <si>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</si>
  <si>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</si>
  <si>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</si>
  <si>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</si>
  <si>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</si>
  <si>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</si>
  <si>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</si>
  <si>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</si>
  <si>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</si>
  <si>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</si>
  <si>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</si>
  <si>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</si>
  <si>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</si>
  <si>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</si>
  <si>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</si>
  <si>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</si>
  <si>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</si>
  <si>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</si>
  <si>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</si>
  <si>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</si>
  <si>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</si>
  <si>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</si>
  <si>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</si>
  <si>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</si>
  <si>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</si>
  <si>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</si>
  <si>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</si>
  <si>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</si>
  <si>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</si>
  <si>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</si>
  <si>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</si>
  <si>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</si>
  <si>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</si>
  <si>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</si>
  <si>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</si>
  <si>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</si>
  <si>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</si>
  <si>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</si>
  <si>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</si>
  <si>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</si>
  <si>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</si>
  <si>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</si>
  <si>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</si>
  <si>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</si>
  <si>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</si>
  <si>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</si>
  <si>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</si>
  <si>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</si>
  <si>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</si>
  <si>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</si>
  <si>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</si>
  <si>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</si>
  <si>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</si>
  <si>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</si>
  <si>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</si>
  <si>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</si>
  <si>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</si>
  <si>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</si>
  <si>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</si>
  <si>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</si>
  <si>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</si>
  <si>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</si>
  <si>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</si>
  <si>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</si>
  <si>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</si>
  <si>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</si>
  <si>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</si>
  <si>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</si>
  <si>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</si>
  <si>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</si>
  <si>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</si>
  <si>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</si>
  <si>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</si>
  <si>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</si>
  <si>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</si>
  <si>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</si>
  <si>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</si>
  <si>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</si>
  <si>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</si>
  <si>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</si>
  <si>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</si>
  <si>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</si>
  <si>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</si>
  <si>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</si>
  <si>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</si>
  <si>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</si>
  <si>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</si>
  <si>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</si>
  <si>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</si>
  <si>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</si>
  <si>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</si>
  <si>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</si>
  <si>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</si>
  <si>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</si>
  <si>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</si>
  <si>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</si>
  <si>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</si>
  <si>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</si>
  <si>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</si>
  <si>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</si>
  <si>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</si>
  <si>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</si>
  <si>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</si>
  <si>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</si>
  <si>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</si>
  <si>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</si>
  <si>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</si>
  <si>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</si>
  <si>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</si>
  <si>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</si>
  <si>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</si>
  <si>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</si>
  <si>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</si>
  <si>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</si>
  <si>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</si>
  <si>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</si>
  <si>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</si>
  <si>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</si>
  <si>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</si>
  <si>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</si>
  <si>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</si>
  <si>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</si>
  <si>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</si>
  <si>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</si>
  <si>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</si>
  <si>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</si>
  <si>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</si>
  <si>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</si>
  <si>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</si>
  <si>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</si>
  <si>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</si>
  <si>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</si>
  <si>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</si>
  <si>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</si>
  <si>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</si>
  <si>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</si>
  <si>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</si>
  <si>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</si>
  <si>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</si>
  <si>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</si>
  <si>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</si>
  <si>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</si>
  <si>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</si>
  <si>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</si>
  <si>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</si>
  <si>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</si>
  <si>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</si>
  <si>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</si>
  <si>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</si>
  <si>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</si>
  <si>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</si>
  <si>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</si>
  <si>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</si>
  <si>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</si>
  <si>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</si>
  <si>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</si>
  <si>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</si>
  <si>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</si>
  <si>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</si>
  <si>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</si>
  <si>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</si>
  <si>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</si>
  <si>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</si>
  <si>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</si>
  <si>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</si>
  <si>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</si>
  <si>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</si>
  <si>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</si>
  <si>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</si>
  <si>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</si>
  <si>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</si>
  <si>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</si>
  <si>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</si>
  <si>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</si>
  <si>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</si>
  <si>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</si>
  <si>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</si>
  <si>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</si>
  <si>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</si>
  <si>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</si>
  <si>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</si>
  <si>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</si>
  <si>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</si>
  <si>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</si>
  <si>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</si>
  <si>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</si>
  <si>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</si>
  <si>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</si>
  <si>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</si>
  <si>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</si>
  <si>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</si>
  <si>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</si>
  <si>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</si>
  <si>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</si>
  <si>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</si>
  <si>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</si>
  <si>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</si>
  <si>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</si>
  <si>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</si>
  <si>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</si>
  <si>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</si>
  <si>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</si>
  <si>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</si>
  <si>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</si>
  <si>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</si>
  <si>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</si>
  <si>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</si>
  <si>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</si>
  <si>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</si>
  <si>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</si>
  <si>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</si>
  <si>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</si>
  <si>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</si>
  <si>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</si>
  <si>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</si>
  <si>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</si>
  <si>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</si>
  <si>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</si>
  <si>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</si>
  <si>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</si>
  <si>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</si>
  <si>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</si>
  <si>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</si>
  <si>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</si>
  <si>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</si>
  <si>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</si>
  <si>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</si>
  <si>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</si>
  <si>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</si>
  <si>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</si>
  <si>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</si>
  <si>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</si>
  <si>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</si>
  <si>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</si>
  <si>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</si>
  <si>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</si>
  <si>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</si>
  <si>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</si>
  <si>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</si>
  <si>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</si>
  <si>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</si>
  <si>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</si>
  <si>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</si>
  <si>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</si>
  <si>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</si>
  <si>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</si>
  <si>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</si>
  <si>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</si>
  <si>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</si>
  <si>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</si>
  <si>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</si>
  <si>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</si>
  <si>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</si>
  <si>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</si>
  <si>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</si>
  <si>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</si>
  <si>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</si>
  <si>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</si>
  <si>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</si>
  <si>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</si>
  <si>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</si>
  <si>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</si>
  <si>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</si>
  <si>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</si>
  <si>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</si>
  <si>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</si>
  <si>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</si>
  <si>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</si>
  <si>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</si>
  <si>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</si>
  <si>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</si>
  <si>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</si>
  <si>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</si>
  <si>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</si>
  <si>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</si>
  <si>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</si>
  <si>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</si>
  <si>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</si>
  <si>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</si>
  <si>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Forehead lines, frown lines, crow's feet, platysma bands (jawline/neck)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</si>
  <si>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</si>
  <si>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</si>
  <si>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</si>
  <si>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</si>
  <si>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</si>
  <si>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</si>
  <si>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</si>
  <si>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</si>
  <si>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</si>
  <si>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</si>
  <si>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</si>
  <si>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</si>
  <si>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</si>
  <si>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</si>
  <si>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</si>
  <si>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</si>
  <si>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</si>
  <si>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</si>
  <si>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</si>
  <si>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</si>
  <si>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</si>
  <si>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</si>
  <si>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</si>
  <si>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</si>
  <si>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</si>
  <si>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</si>
  <si>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</si>
  <si>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</si>
  <si>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</si>
  <si>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</si>
  <si>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</si>
  <si>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</si>
  <si>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</si>
  <si>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</si>
  <si>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</si>
  <si>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TEMPO-3 - NCT04542499</t>
  </si>
  <si>
    <t>TEMPO-4 - NCT04760769</t>
  </si>
  <si>
    <t>Phase III "TEMPO-2" by YE24 - NCT04223193</t>
  </si>
  <si>
    <t>Phase III "TEMPO-1" - NCT04201093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</si>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</sst>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right"/>
    </xf>
    <xf numFmtId="0" fontId="23" fillId="0" borderId="1" xfId="0" applyFont="1" applyBorder="1"/>
    <xf numFmtId="0" fontId="23" fillId="0" borderId="3" xfId="0" applyFont="1" applyBorder="1"/>
    <xf numFmtId="0" fontId="23" fillId="0" borderId="6" xfId="0" applyFont="1" applyBorder="1"/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9" fontId="23" fillId="0" borderId="0" xfId="0" applyNumberFormat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4" fontId="23" fillId="0" borderId="0" xfId="0" applyNumberFormat="1" applyFont="1"/>
    <xf numFmtId="3" fontId="23" fillId="0" borderId="0" xfId="0" applyNumberFormat="1" applyFont="1"/>
    <xf numFmtId="3" fontId="23" fillId="0" borderId="0" xfId="0" applyNumberFormat="1" applyFont="1" applyAlignment="1">
      <alignment horizontal="right"/>
    </xf>
    <xf numFmtId="3" fontId="24" fillId="0" borderId="0" xfId="0" applyNumberFormat="1" applyFont="1"/>
    <xf numFmtId="3" fontId="24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center"/>
    </xf>
    <xf numFmtId="0" fontId="26" fillId="0" borderId="0" xfId="1" applyFont="1"/>
    <xf numFmtId="0" fontId="26" fillId="0" borderId="1" xfId="1" applyFont="1" applyBorder="1"/>
    <xf numFmtId="0" fontId="22" fillId="0" borderId="0" xfId="0" applyFont="1" applyAlignment="1">
      <alignment horizontal="right"/>
    </xf>
    <xf numFmtId="3" fontId="22" fillId="0" borderId="0" xfId="0" applyNumberFormat="1" applyFont="1"/>
    <xf numFmtId="3" fontId="22" fillId="0" borderId="0" xfId="0" quotePrefix="1" applyNumberFormat="1" applyFont="1" applyAlignment="1">
      <alignment horizontal="right"/>
    </xf>
    <xf numFmtId="0" fontId="22" fillId="0" borderId="0" xfId="0" applyFont="1"/>
    <xf numFmtId="0" fontId="21" fillId="0" borderId="0" xfId="0" applyFont="1"/>
    <xf numFmtId="0" fontId="20" fillId="0" borderId="0" xfId="0" applyFont="1"/>
    <xf numFmtId="3" fontId="20" fillId="0" borderId="0" xfId="0" quotePrefix="1" applyNumberFormat="1" applyFont="1" applyAlignment="1">
      <alignment horizontal="right"/>
    </xf>
    <xf numFmtId="9" fontId="23" fillId="0" borderId="0" xfId="0" applyNumberFormat="1" applyFont="1"/>
    <xf numFmtId="9" fontId="23" fillId="0" borderId="0" xfId="0" applyNumberFormat="1" applyFont="1" applyAlignment="1">
      <alignment horizontal="right"/>
    </xf>
    <xf numFmtId="9" fontId="20" fillId="0" borderId="0" xfId="0" applyNumberFormat="1" applyFont="1"/>
    <xf numFmtId="9" fontId="24" fillId="0" borderId="0" xfId="0" applyNumberFormat="1" applyFont="1"/>
    <xf numFmtId="9" fontId="24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 applyAlignment="1">
      <alignment horizontal="center"/>
    </xf>
    <xf numFmtId="0" fontId="17" fillId="0" borderId="0" xfId="0" applyFont="1"/>
    <xf numFmtId="3" fontId="17" fillId="0" borderId="0" xfId="0" quotePrefix="1" applyNumberFormat="1" applyFont="1" applyAlignment="1">
      <alignment horizontal="right"/>
    </xf>
    <xf numFmtId="9" fontId="17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3" fontId="16" fillId="0" borderId="0" xfId="0" quotePrefix="1" applyNumberFormat="1" applyFont="1" applyAlignment="1">
      <alignment horizontal="right"/>
    </xf>
    <xf numFmtId="3" fontId="16" fillId="0" borderId="0" xfId="0" applyNumberFormat="1" applyFont="1"/>
    <xf numFmtId="3" fontId="23" fillId="2" borderId="0" xfId="0" applyNumberFormat="1" applyFont="1" applyFill="1" applyAlignment="1">
      <alignment horizontal="right"/>
    </xf>
    <xf numFmtId="9" fontId="16" fillId="0" borderId="0" xfId="0" applyNumberFormat="1" applyFont="1" applyAlignment="1">
      <alignment horizontal="right"/>
    </xf>
    <xf numFmtId="9" fontId="16" fillId="0" borderId="0" xfId="0" applyNumberFormat="1" applyFont="1"/>
    <xf numFmtId="3" fontId="15" fillId="0" borderId="0" xfId="0" quotePrefix="1" applyNumberFormat="1" applyFont="1" applyAlignment="1">
      <alignment horizontal="right"/>
    </xf>
    <xf numFmtId="9" fontId="15" fillId="0" borderId="0" xfId="0" applyNumberFormat="1" applyFont="1"/>
    <xf numFmtId="9" fontId="15" fillId="0" borderId="0" xfId="0" applyNumberFormat="1" applyFont="1" applyAlignment="1">
      <alignment horizontal="right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9" fontId="13" fillId="0" borderId="0" xfId="0" applyNumberFormat="1" applyFont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0" fontId="13" fillId="0" borderId="1" xfId="0" applyFont="1" applyBorder="1"/>
    <xf numFmtId="0" fontId="12" fillId="0" borderId="0" xfId="0" applyFont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3" fontId="12" fillId="0" borderId="0" xfId="0" applyNumberFormat="1" applyFont="1"/>
    <xf numFmtId="0" fontId="12" fillId="0" borderId="1" xfId="0" applyFont="1" applyBorder="1"/>
    <xf numFmtId="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1" fillId="0" borderId="0" xfId="0" applyNumberFormat="1" applyFont="1" applyAlignment="1">
      <alignment horizontal="right"/>
    </xf>
    <xf numFmtId="9" fontId="11" fillId="0" borderId="0" xfId="0" applyNumberFormat="1" applyFont="1"/>
    <xf numFmtId="3" fontId="2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0" fillId="0" borderId="0" xfId="0" quotePrefix="1" applyNumberFormat="1" applyFont="1" applyAlignment="1">
      <alignment horizontal="right"/>
    </xf>
    <xf numFmtId="3" fontId="10" fillId="0" borderId="0" xfId="0" applyNumberFormat="1" applyFont="1"/>
    <xf numFmtId="0" fontId="10" fillId="0" borderId="1" xfId="0" applyFont="1" applyBorder="1"/>
    <xf numFmtId="3" fontId="9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right"/>
    </xf>
    <xf numFmtId="3" fontId="8" fillId="0" borderId="0" xfId="0" applyNumberFormat="1" applyFont="1"/>
    <xf numFmtId="3" fontId="8" fillId="0" borderId="0" xfId="0" quotePrefix="1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27" fillId="0" borderId="0" xfId="0" applyFont="1"/>
    <xf numFmtId="9" fontId="7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3" fontId="5" fillId="0" borderId="0" xfId="0" quotePrefix="1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4" fillId="0" borderId="0" xfId="0" applyNumberFormat="1" applyFont="1" applyAlignment="1">
      <alignment horizontal="right"/>
    </xf>
    <xf numFmtId="3" fontId="23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3" borderId="0" xfId="0" applyNumberFormat="1" applyFont="1" applyFill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1" xfId="0" applyFont="1" applyBorder="1"/>
    <xf numFmtId="3" fontId="1" fillId="0" borderId="0" xfId="0" applyNumberFormat="1" applyFont="1"/>
    <xf numFmtId="9" fontId="1" fillId="0" borderId="0" xfId="0" applyNumberFormat="1" applyFont="1"/>
    <xf numFmtId="0" fontId="1" fillId="0" borderId="0" xfId="0" applyFont="1"/>
    <xf numFmtId="0" fontId="29" fillId="0" borderId="0" xfId="0" applyFont="1"/>
    <xf numFmtId="14" fontId="1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4" fillId="0" borderId="0" xfId="0" applyFont="1"/>
    <xf numFmtId="0" fontId="1" fillId="0" borderId="1" xfId="0" applyFont="1" applyBorder="1"/>
    <xf numFmtId="0" fontId="29" fillId="0" borderId="0" xfId="0" applyFont="1" applyAlignment="1">
      <alignment horizontal="center"/>
    </xf>
    <xf numFmtId="9" fontId="29" fillId="0" borderId="0" xfId="0" applyNumberFormat="1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1" xfId="1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157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53299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129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O30" dT="2025-01-13T20:01:08.76" personId="{FC08182D-8126-43D2-AFE1-095FC8F8A0A3}" id="{00BB85D3-10C6-41A5-89A6-7AC02D1AEDC7}">
    <text>Q324: expect &gt;1B revenue</text>
  </threadedComment>
  <threadedComment ref="BW54" dT="2023-02-08T20:32:20.25" personId="{FC08182D-8126-43D2-AFE1-095FC8F8A0A3}" id="{1495FD4C-6EA2-462D-A285-0CE1207F95E3}">
    <text>13010 10-Q</text>
  </threadedComment>
  <threadedComment ref="CC65" dT="2023-01-03T05:48:05.07" personId="{FC08182D-8126-43D2-AFE1-095FC8F8A0A3}" id="{4684B382-7B1E-4F51-8AE6-3C2F21BB4B83}">
    <text>ADJ EPS 3.66</text>
  </threadedComment>
  <threadedComment ref="DD65" dT="2022-07-29T13:57:20.53" personId="{FC08182D-8126-43D2-AFE1-095FC8F8A0A3}" id="{664741F6-5634-463A-B649-C44AD48AAA09}">
    <text>Q222 guidance: 13.78-13.98 reaffirmed
Q322 guidance: 13.84-13.88</text>
  </threadedComment>
  <threadedComment ref="DE65" dT="2023-02-14T04:07:40.83" personId="{FC08182D-8126-43D2-AFE1-095FC8F8A0A3}" id="{A4B38560-E0C3-4F72-B4F8-127C423939FF}">
    <text>Q422: 2023 guidance of 10.70-11.10</text>
  </threadedComment>
  <threadedComment ref="DF65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CI113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147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148</v>
      </c>
    </row>
    <row r="10" spans="1:6" x14ac:dyDescent="0.2">
      <c r="B10" s="37" t="s">
        <v>166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188</v>
      </c>
    </row>
    <row r="13" spans="1:6" x14ac:dyDescent="0.2">
      <c r="B13" s="41" t="s">
        <v>190</v>
      </c>
      <c r="C13" s="41" t="s">
        <v>191</v>
      </c>
    </row>
    <row r="18" spans="2:6" x14ac:dyDescent="0.2">
      <c r="C18" s="27" t="s">
        <v>28</v>
      </c>
      <c r="D18" s="27" t="s">
        <v>149</v>
      </c>
      <c r="E18" s="37" t="s">
        <v>171</v>
      </c>
    </row>
    <row r="19" spans="2:6" x14ac:dyDescent="0.2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195</v>
      </c>
      <c r="F21" s="41" t="s">
        <v>196</v>
      </c>
    </row>
    <row r="22" spans="2:6" x14ac:dyDescent="0.2">
      <c r="B22" s="41" t="s">
        <v>67</v>
      </c>
      <c r="E22" s="41" t="s">
        <v>220</v>
      </c>
      <c r="F22" s="41" t="s">
        <v>219</v>
      </c>
    </row>
    <row r="25" spans="2:6" x14ac:dyDescent="0.2">
      <c r="B25" s="83" t="s">
        <v>358</v>
      </c>
      <c r="C25" s="84" t="s">
        <v>46</v>
      </c>
      <c r="D25" s="105" t="s">
        <v>480</v>
      </c>
      <c r="E25" s="84" t="s">
        <v>359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RowHeight="12.75" x14ac:dyDescent="0.2"/>
  <cols>
    <col min="1" max="1" width="5.42578125" style="111" bestFit="1" customWidth="1"/>
    <col min="2" max="2" width="12.5703125" style="111" bestFit="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</row>
    <row r="3" spans="1:4" x14ac:dyDescent="0.2">
      <c r="B3" s="111" t="s">
        <v>189</v>
      </c>
      <c r="C3" s="111" t="s">
        <v>344</v>
      </c>
    </row>
    <row r="4" spans="1:4" x14ac:dyDescent="0.2">
      <c r="B4" s="111" t="s">
        <v>27</v>
      </c>
      <c r="C4" s="111" t="s">
        <v>345</v>
      </c>
    </row>
    <row r="5" spans="1:4" x14ac:dyDescent="0.2">
      <c r="B5" s="111" t="s">
        <v>36</v>
      </c>
      <c r="C5" s="111" t="s">
        <v>578</v>
      </c>
    </row>
    <row r="6" spans="1:4" x14ac:dyDescent="0.2">
      <c r="B6" s="111" t="s">
        <v>33</v>
      </c>
      <c r="C6" s="111" t="s">
        <v>577</v>
      </c>
    </row>
    <row r="7" spans="1:4" x14ac:dyDescent="0.2">
      <c r="B7" s="111" t="s">
        <v>227</v>
      </c>
    </row>
    <row r="8" spans="1:4" x14ac:dyDescent="0.2">
      <c r="C8" s="86" t="s">
        <v>572</v>
      </c>
    </row>
    <row r="9" spans="1:4" x14ac:dyDescent="0.2">
      <c r="C9" s="111" t="s">
        <v>573</v>
      </c>
      <c r="D9" s="111">
        <v>-13.5</v>
      </c>
    </row>
    <row r="10" spans="1:4" x14ac:dyDescent="0.2">
      <c r="C10" s="111" t="s">
        <v>574</v>
      </c>
      <c r="D10" s="111">
        <v>-14.7</v>
      </c>
    </row>
    <row r="11" spans="1:4" x14ac:dyDescent="0.2">
      <c r="C11" s="111" t="s">
        <v>575</v>
      </c>
      <c r="D11" s="111">
        <v>-16.5</v>
      </c>
    </row>
    <row r="13" spans="1:4" x14ac:dyDescent="0.2">
      <c r="C13" s="86" t="s">
        <v>576</v>
      </c>
    </row>
    <row r="14" spans="1:4" x14ac:dyDescent="0.2">
      <c r="C14" s="111" t="s">
        <v>573</v>
      </c>
      <c r="D14" s="111">
        <v>-16.100000000000001</v>
      </c>
    </row>
    <row r="15" spans="1:4" x14ac:dyDescent="0.2">
      <c r="C15" s="111" t="s">
        <v>574</v>
      </c>
      <c r="D15" s="111">
        <v>-18.5</v>
      </c>
    </row>
    <row r="16" spans="1:4" x14ac:dyDescent="0.2">
      <c r="C16" s="111" t="s">
        <v>575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3.42578125" style="11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  <c r="C2" s="111" t="s">
        <v>407</v>
      </c>
    </row>
    <row r="3" spans="1:4" x14ac:dyDescent="0.2">
      <c r="B3" s="111" t="s">
        <v>189</v>
      </c>
      <c r="C3" s="111" t="s">
        <v>408</v>
      </c>
    </row>
    <row r="4" spans="1:4" x14ac:dyDescent="0.2">
      <c r="B4" s="111" t="s">
        <v>27</v>
      </c>
      <c r="C4" s="111" t="s">
        <v>409</v>
      </c>
    </row>
    <row r="5" spans="1:4" x14ac:dyDescent="0.2">
      <c r="B5" s="111" t="s">
        <v>290</v>
      </c>
      <c r="C5" s="111" t="s">
        <v>476</v>
      </c>
    </row>
    <row r="6" spans="1:4" x14ac:dyDescent="0.2">
      <c r="B6" s="111" t="s">
        <v>185</v>
      </c>
      <c r="C6" s="111" t="s">
        <v>477</v>
      </c>
    </row>
    <row r="7" spans="1:4" x14ac:dyDescent="0.2">
      <c r="B7" s="111" t="s">
        <v>478</v>
      </c>
      <c r="C7" s="111" t="s">
        <v>479</v>
      </c>
    </row>
    <row r="8" spans="1:4" x14ac:dyDescent="0.2">
      <c r="B8" s="111" t="s">
        <v>36</v>
      </c>
      <c r="C8" s="111" t="s">
        <v>312</v>
      </c>
    </row>
    <row r="9" spans="1:4" x14ac:dyDescent="0.2">
      <c r="B9" s="111" t="s">
        <v>227</v>
      </c>
    </row>
    <row r="10" spans="1:4" x14ac:dyDescent="0.2">
      <c r="C10" s="86" t="s">
        <v>526</v>
      </c>
    </row>
    <row r="11" spans="1:4" x14ac:dyDescent="0.2">
      <c r="C11" s="111" t="s">
        <v>523</v>
      </c>
    </row>
    <row r="12" spans="1:4" x14ac:dyDescent="0.2">
      <c r="C12" s="111" t="s">
        <v>520</v>
      </c>
    </row>
    <row r="13" spans="1:4" x14ac:dyDescent="0.2">
      <c r="C13" s="115" t="s">
        <v>521</v>
      </c>
    </row>
    <row r="14" spans="1:4" x14ac:dyDescent="0.2">
      <c r="C14" s="115"/>
      <c r="D14" s="111" t="s">
        <v>525</v>
      </c>
    </row>
    <row r="16" spans="1:4" x14ac:dyDescent="0.2">
      <c r="C16" s="86" t="s">
        <v>527</v>
      </c>
    </row>
    <row r="17" spans="3:4" x14ac:dyDescent="0.2">
      <c r="C17" s="111" t="s">
        <v>522</v>
      </c>
    </row>
    <row r="19" spans="3:4" x14ac:dyDescent="0.2">
      <c r="D19" s="86" t="s">
        <v>541</v>
      </c>
    </row>
    <row r="20" spans="3:4" x14ac:dyDescent="0.2">
      <c r="D20" s="111" t="s">
        <v>540</v>
      </c>
    </row>
    <row r="22" spans="3:4" x14ac:dyDescent="0.2">
      <c r="C22" s="86" t="s">
        <v>543</v>
      </c>
    </row>
    <row r="23" spans="3:4" x14ac:dyDescent="0.2">
      <c r="C23" s="111" t="s">
        <v>542</v>
      </c>
    </row>
    <row r="25" spans="3:4" x14ac:dyDescent="0.2">
      <c r="C25" s="111" t="s">
        <v>544</v>
      </c>
    </row>
    <row r="26" spans="3:4" x14ac:dyDescent="0.2">
      <c r="C26" s="111" t="s">
        <v>545</v>
      </c>
    </row>
    <row r="27" spans="3:4" x14ac:dyDescent="0.2">
      <c r="C27" s="111" t="s">
        <v>546</v>
      </c>
    </row>
    <row r="28" spans="3:4" x14ac:dyDescent="0.2">
      <c r="C28" s="111" t="s">
        <v>547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5"/>
  <sheetViews>
    <sheetView zoomScale="160" zoomScaleNormal="160" workbookViewId="0"/>
  </sheetViews>
  <sheetFormatPr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488</v>
      </c>
    </row>
    <row r="3" spans="1:3" x14ac:dyDescent="0.2">
      <c r="B3" s="104" t="s">
        <v>189</v>
      </c>
      <c r="C3" s="104" t="s">
        <v>484</v>
      </c>
    </row>
    <row r="4" spans="1:3" x14ac:dyDescent="0.2">
      <c r="B4" s="104" t="s">
        <v>185</v>
      </c>
      <c r="C4" s="104" t="s">
        <v>485</v>
      </c>
    </row>
    <row r="5" spans="1:3" x14ac:dyDescent="0.2">
      <c r="B5" s="104" t="s">
        <v>27</v>
      </c>
      <c r="C5" s="104" t="s">
        <v>486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117</v>
      </c>
    </row>
    <row r="3" spans="1:3" x14ac:dyDescent="0.2">
      <c r="B3" s="104" t="s">
        <v>189</v>
      </c>
      <c r="C3" s="104" t="s">
        <v>498</v>
      </c>
    </row>
    <row r="4" spans="1:3" x14ac:dyDescent="0.2">
      <c r="B4" s="104" t="s">
        <v>27</v>
      </c>
      <c r="C4" s="104" t="s">
        <v>504</v>
      </c>
    </row>
    <row r="5" spans="1:3" x14ac:dyDescent="0.2">
      <c r="B5" s="104" t="s">
        <v>33</v>
      </c>
      <c r="C5" s="104" t="s">
        <v>499</v>
      </c>
    </row>
    <row r="6" spans="1:3" x14ac:dyDescent="0.2">
      <c r="B6" s="104" t="s">
        <v>36</v>
      </c>
      <c r="C6" s="104" t="s">
        <v>165</v>
      </c>
    </row>
    <row r="7" spans="1:3" x14ac:dyDescent="0.2">
      <c r="B7" s="104" t="s">
        <v>185</v>
      </c>
      <c r="C7" s="104" t="s">
        <v>500</v>
      </c>
    </row>
    <row r="8" spans="1:3" x14ac:dyDescent="0.2">
      <c r="B8" s="104" t="s">
        <v>471</v>
      </c>
      <c r="C8" s="104" t="s">
        <v>503</v>
      </c>
    </row>
    <row r="9" spans="1:3" x14ac:dyDescent="0.2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19"/>
  <sheetViews>
    <sheetView zoomScale="190" zoomScaleNormal="190" workbookViewId="0">
      <selection activeCell="A7" sqref="A7"/>
    </sheetView>
  </sheetViews>
  <sheetFormatPr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</row>
    <row r="3" spans="1:3" x14ac:dyDescent="0.2">
      <c r="B3" s="102" t="s">
        <v>189</v>
      </c>
      <c r="C3" s="102" t="s">
        <v>467</v>
      </c>
    </row>
    <row r="4" spans="1:3" x14ac:dyDescent="0.2">
      <c r="B4" s="102" t="s">
        <v>27</v>
      </c>
      <c r="C4" s="102" t="s">
        <v>473</v>
      </c>
    </row>
    <row r="5" spans="1:3" x14ac:dyDescent="0.2">
      <c r="B5" s="111" t="s">
        <v>478</v>
      </c>
      <c r="C5" s="111" t="s">
        <v>530</v>
      </c>
    </row>
    <row r="6" spans="1:3" x14ac:dyDescent="0.2">
      <c r="B6" s="111" t="s">
        <v>471</v>
      </c>
      <c r="C6" s="111" t="s">
        <v>536</v>
      </c>
    </row>
    <row r="7" spans="1:3" x14ac:dyDescent="0.2">
      <c r="B7" s="111" t="s">
        <v>292</v>
      </c>
      <c r="C7" s="111" t="s">
        <v>531</v>
      </c>
    </row>
    <row r="8" spans="1:3" x14ac:dyDescent="0.2">
      <c r="B8" s="102" t="s">
        <v>227</v>
      </c>
    </row>
    <row r="9" spans="1:3" x14ac:dyDescent="0.2">
      <c r="C9" s="86" t="s">
        <v>535</v>
      </c>
    </row>
    <row r="10" spans="1:3" x14ac:dyDescent="0.2">
      <c r="C10" s="102" t="s">
        <v>474</v>
      </c>
    </row>
    <row r="13" spans="1:3" x14ac:dyDescent="0.2">
      <c r="C13" s="86" t="s">
        <v>534</v>
      </c>
    </row>
    <row r="14" spans="1:3" x14ac:dyDescent="0.2">
      <c r="C14" s="111" t="s">
        <v>528</v>
      </c>
    </row>
    <row r="15" spans="1:3" x14ac:dyDescent="0.2">
      <c r="C15" s="111" t="s">
        <v>529</v>
      </c>
    </row>
    <row r="18" spans="3:3" x14ac:dyDescent="0.2">
      <c r="C18" s="111" t="s">
        <v>532</v>
      </c>
    </row>
    <row r="19" spans="3:3" x14ac:dyDescent="0.2">
      <c r="C19" s="111" t="s">
        <v>533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7"/>
  <sheetViews>
    <sheetView zoomScale="175" zoomScaleNormal="175" workbookViewId="0"/>
  </sheetViews>
  <sheetFormatPr defaultRowHeight="12.75" x14ac:dyDescent="0.2"/>
  <cols>
    <col min="1" max="1" width="5.42578125" style="104" bestFit="1" customWidth="1"/>
    <col min="2" max="2" width="12.570312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</row>
    <row r="3" spans="1:3" x14ac:dyDescent="0.2">
      <c r="B3" s="104" t="s">
        <v>189</v>
      </c>
      <c r="C3" s="104" t="s">
        <v>314</v>
      </c>
    </row>
    <row r="4" spans="1:3" x14ac:dyDescent="0.2">
      <c r="B4" s="104" t="s">
        <v>27</v>
      </c>
      <c r="C4" s="104" t="s">
        <v>507</v>
      </c>
    </row>
    <row r="5" spans="1:3" x14ac:dyDescent="0.2">
      <c r="B5" s="104" t="s">
        <v>471</v>
      </c>
      <c r="C5" s="104" t="s">
        <v>508</v>
      </c>
    </row>
    <row r="6" spans="1:3" x14ac:dyDescent="0.2">
      <c r="B6" s="104" t="s">
        <v>227</v>
      </c>
    </row>
    <row r="7" spans="1:3" x14ac:dyDescent="0.2">
      <c r="C7" s="104" t="s">
        <v>506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7"/>
  <sheetViews>
    <sheetView tabSelected="1" topLeftCell="A44" zoomScale="130" zoomScaleNormal="130" workbookViewId="0">
      <selection activeCell="A69" sqref="A69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2:12" x14ac:dyDescent="0.2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01" t="s">
        <v>327</v>
      </c>
    </row>
    <row r="4" spans="2:12" x14ac:dyDescent="0.2">
      <c r="B4" s="21" t="s">
        <v>208</v>
      </c>
      <c r="C4" s="57" t="s">
        <v>267</v>
      </c>
      <c r="D4" s="64">
        <v>33581</v>
      </c>
      <c r="E4" s="57" t="s">
        <v>268</v>
      </c>
      <c r="F4" s="10">
        <v>1</v>
      </c>
      <c r="G4" s="57" t="s">
        <v>186</v>
      </c>
      <c r="H4" s="58" t="s">
        <v>269</v>
      </c>
      <c r="J4" s="1" t="s">
        <v>49</v>
      </c>
      <c r="K4" s="15">
        <f>+K3*K2</f>
        <v>310100</v>
      </c>
      <c r="L4" s="2"/>
    </row>
    <row r="5" spans="2:12" x14ac:dyDescent="0.2">
      <c r="B5" s="21" t="s">
        <v>159</v>
      </c>
      <c r="C5" s="57" t="s">
        <v>264</v>
      </c>
      <c r="D5" s="19">
        <v>41591</v>
      </c>
      <c r="E5" s="57" t="s">
        <v>265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7552</v>
      </c>
      <c r="L5" s="101" t="s">
        <v>327</v>
      </c>
    </row>
    <row r="6" spans="2:12" x14ac:dyDescent="0.2">
      <c r="B6" s="21" t="s">
        <v>162</v>
      </c>
      <c r="C6" s="57" t="s">
        <v>258</v>
      </c>
      <c r="D6" s="19">
        <v>43578</v>
      </c>
      <c r="E6" s="38" t="s">
        <v>222</v>
      </c>
      <c r="F6" s="59" t="s">
        <v>259</v>
      </c>
      <c r="G6" s="57" t="s">
        <v>186</v>
      </c>
      <c r="H6" s="58" t="s">
        <v>72</v>
      </c>
      <c r="J6" s="1" t="s">
        <v>51</v>
      </c>
      <c r="K6" s="15">
        <v>71079</v>
      </c>
      <c r="L6" s="101" t="s">
        <v>327</v>
      </c>
    </row>
    <row r="7" spans="2:12" x14ac:dyDescent="0.2">
      <c r="B7" s="21" t="s">
        <v>163</v>
      </c>
      <c r="C7" s="36" t="s">
        <v>164</v>
      </c>
      <c r="D7" s="19">
        <v>42471</v>
      </c>
      <c r="E7" s="36" t="s">
        <v>31</v>
      </c>
      <c r="F7" s="36" t="s">
        <v>165</v>
      </c>
      <c r="G7" s="38" t="s">
        <v>187</v>
      </c>
      <c r="H7" s="58" t="s">
        <v>270</v>
      </c>
      <c r="J7" s="1" t="s">
        <v>52</v>
      </c>
      <c r="K7" s="15">
        <f>+K4-K5+K6</f>
        <v>373627</v>
      </c>
    </row>
    <row r="8" spans="2:12" x14ac:dyDescent="0.2">
      <c r="B8" s="61" t="s">
        <v>271</v>
      </c>
      <c r="C8" s="57" t="s">
        <v>272</v>
      </c>
      <c r="D8" s="19">
        <v>32534</v>
      </c>
      <c r="E8" s="9"/>
      <c r="F8" s="57" t="s">
        <v>273</v>
      </c>
      <c r="G8" s="57" t="s">
        <v>274</v>
      </c>
      <c r="H8" s="11"/>
    </row>
    <row r="9" spans="2:12" x14ac:dyDescent="0.2">
      <c r="B9" s="21" t="s">
        <v>178</v>
      </c>
      <c r="C9" s="57" t="s">
        <v>252</v>
      </c>
      <c r="D9" s="19">
        <v>44636</v>
      </c>
      <c r="E9" s="38" t="s">
        <v>177</v>
      </c>
      <c r="F9" s="10">
        <v>1</v>
      </c>
      <c r="G9" s="38" t="s">
        <v>187</v>
      </c>
      <c r="H9" s="58" t="s">
        <v>253</v>
      </c>
    </row>
    <row r="10" spans="2:12" x14ac:dyDescent="0.2">
      <c r="B10" s="61" t="s">
        <v>275</v>
      </c>
      <c r="C10" s="57" t="s">
        <v>277</v>
      </c>
      <c r="D10" s="19">
        <v>37461</v>
      </c>
      <c r="E10" s="9"/>
      <c r="F10" s="84" t="s">
        <v>336</v>
      </c>
      <c r="G10" s="38" t="s">
        <v>187</v>
      </c>
      <c r="H10" s="11"/>
    </row>
    <row r="11" spans="2:12" x14ac:dyDescent="0.2">
      <c r="B11" s="77" t="s">
        <v>6</v>
      </c>
      <c r="C11" s="57" t="s">
        <v>276</v>
      </c>
      <c r="D11" s="9"/>
      <c r="E11" s="9"/>
      <c r="F11" s="84" t="s">
        <v>336</v>
      </c>
      <c r="G11" s="38" t="s">
        <v>187</v>
      </c>
      <c r="H11" s="11"/>
    </row>
    <row r="12" spans="2:12" x14ac:dyDescent="0.2">
      <c r="B12" s="61" t="s">
        <v>279</v>
      </c>
      <c r="C12" s="57" t="s">
        <v>280</v>
      </c>
      <c r="D12" s="9"/>
      <c r="E12" s="9"/>
      <c r="F12" s="9"/>
      <c r="G12" s="57" t="s">
        <v>282</v>
      </c>
      <c r="H12" s="11"/>
    </row>
    <row r="13" spans="2:12" x14ac:dyDescent="0.2">
      <c r="B13" s="61" t="s">
        <v>278</v>
      </c>
      <c r="C13" s="57" t="s">
        <v>205</v>
      </c>
      <c r="D13" s="9"/>
      <c r="E13" s="9"/>
      <c r="F13" s="9"/>
      <c r="G13" s="9"/>
      <c r="H13" s="11"/>
      <c r="J13" s="89" t="s">
        <v>390</v>
      </c>
    </row>
    <row r="14" spans="2:12" x14ac:dyDescent="0.2">
      <c r="B14" s="61" t="s">
        <v>266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318</v>
      </c>
    </row>
    <row r="15" spans="2:12" x14ac:dyDescent="0.2">
      <c r="B15" s="39" t="s">
        <v>206</v>
      </c>
      <c r="C15" s="38" t="s">
        <v>207</v>
      </c>
      <c r="D15" s="9"/>
      <c r="E15" s="57" t="s">
        <v>281</v>
      </c>
      <c r="F15" s="10">
        <v>1</v>
      </c>
      <c r="G15" s="57" t="s">
        <v>187</v>
      </c>
      <c r="H15" s="11"/>
      <c r="J15" s="111" t="s">
        <v>517</v>
      </c>
    </row>
    <row r="16" spans="2:12" x14ac:dyDescent="0.2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524</v>
      </c>
    </row>
    <row r="17" spans="2:10" x14ac:dyDescent="0.2">
      <c r="B17" s="21" t="s">
        <v>333</v>
      </c>
      <c r="C17" s="84" t="s">
        <v>65</v>
      </c>
      <c r="D17" s="9"/>
      <c r="E17" s="103" t="s">
        <v>465</v>
      </c>
      <c r="F17" s="10"/>
      <c r="G17" s="103" t="s">
        <v>466</v>
      </c>
      <c r="H17" s="11"/>
      <c r="J17" s="111" t="s">
        <v>555</v>
      </c>
    </row>
    <row r="18" spans="2:10" x14ac:dyDescent="0.2">
      <c r="B18" s="39" t="s">
        <v>210</v>
      </c>
      <c r="C18" s="38" t="s">
        <v>211</v>
      </c>
      <c r="D18" s="9"/>
      <c r="E18" s="9"/>
      <c r="F18" s="10"/>
      <c r="G18" s="57" t="s">
        <v>282</v>
      </c>
      <c r="H18" s="11"/>
      <c r="J18" s="111" t="s">
        <v>580</v>
      </c>
    </row>
    <row r="19" spans="2:10" x14ac:dyDescent="0.2">
      <c r="B19" s="21" t="s">
        <v>334</v>
      </c>
      <c r="C19" s="84" t="s">
        <v>335</v>
      </c>
      <c r="D19" s="113">
        <v>45065</v>
      </c>
      <c r="E19" s="68" t="s">
        <v>313</v>
      </c>
      <c r="F19" s="67" t="s">
        <v>312</v>
      </c>
      <c r="G19" s="114" t="s">
        <v>466</v>
      </c>
      <c r="H19" s="11"/>
    </row>
    <row r="20" spans="2:10" x14ac:dyDescent="0.2">
      <c r="B20" s="61" t="s">
        <v>286</v>
      </c>
      <c r="C20" s="57" t="s">
        <v>287</v>
      </c>
      <c r="D20" s="9"/>
      <c r="E20" s="57" t="s">
        <v>288</v>
      </c>
      <c r="F20" s="10"/>
      <c r="G20" s="57"/>
      <c r="H20" s="11"/>
    </row>
    <row r="21" spans="2:10" x14ac:dyDescent="0.2">
      <c r="B21" s="39" t="s">
        <v>212</v>
      </c>
      <c r="C21" s="38" t="s">
        <v>213</v>
      </c>
      <c r="D21" s="9"/>
      <c r="E21" s="9"/>
      <c r="F21" s="10"/>
      <c r="G21" s="57" t="s">
        <v>282</v>
      </c>
      <c r="H21" s="11"/>
      <c r="J21" s="88"/>
    </row>
    <row r="22" spans="2:10" x14ac:dyDescent="0.2">
      <c r="B22" s="21" t="s">
        <v>487</v>
      </c>
      <c r="C22" s="38" t="s">
        <v>205</v>
      </c>
      <c r="D22" s="84" t="s">
        <v>347</v>
      </c>
      <c r="E22" s="84" t="s">
        <v>348</v>
      </c>
      <c r="F22" s="10">
        <v>1</v>
      </c>
      <c r="G22" s="9"/>
      <c r="H22" s="11"/>
    </row>
    <row r="23" spans="2:10" x14ac:dyDescent="0.2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21" t="s">
        <v>314</v>
      </c>
      <c r="C25" s="68" t="s">
        <v>315</v>
      </c>
      <c r="D25" s="105" t="s">
        <v>509</v>
      </c>
      <c r="E25" s="84" t="s">
        <v>387</v>
      </c>
      <c r="F25" s="67"/>
      <c r="G25" s="105" t="s">
        <v>466</v>
      </c>
      <c r="H25" s="11"/>
    </row>
    <row r="26" spans="2:10" x14ac:dyDescent="0.2">
      <c r="B26" s="108" t="s">
        <v>510</v>
      </c>
      <c r="C26" s="105" t="s">
        <v>511</v>
      </c>
      <c r="D26" s="114" t="s">
        <v>64</v>
      </c>
      <c r="E26" s="114" t="s">
        <v>620</v>
      </c>
      <c r="F26" s="9"/>
      <c r="G26" s="9"/>
      <c r="H26" s="11"/>
    </row>
    <row r="27" spans="2:10" x14ac:dyDescent="0.2">
      <c r="B27" s="21" t="s">
        <v>467</v>
      </c>
      <c r="C27" s="103" t="s">
        <v>205</v>
      </c>
      <c r="D27" s="114" t="s">
        <v>537</v>
      </c>
      <c r="E27" s="103" t="s">
        <v>468</v>
      </c>
      <c r="F27" s="9"/>
      <c r="G27" s="114" t="s">
        <v>187</v>
      </c>
      <c r="H27" s="11"/>
    </row>
    <row r="28" spans="2:10" s="111" customFormat="1" x14ac:dyDescent="0.2">
      <c r="B28" s="120" t="s">
        <v>344</v>
      </c>
      <c r="C28" s="117" t="s">
        <v>345</v>
      </c>
      <c r="D28" s="117" t="s">
        <v>64</v>
      </c>
      <c r="E28" s="117" t="s">
        <v>346</v>
      </c>
      <c r="F28" s="118"/>
      <c r="G28" s="117" t="s">
        <v>187</v>
      </c>
      <c r="H28" s="119"/>
    </row>
    <row r="29" spans="2:10" x14ac:dyDescent="0.2">
      <c r="B29" s="66" t="s">
        <v>316</v>
      </c>
      <c r="C29" s="68" t="s">
        <v>317</v>
      </c>
      <c r="D29" s="84" t="s">
        <v>386</v>
      </c>
      <c r="E29" s="68"/>
      <c r="F29" s="67"/>
      <c r="G29" s="9"/>
      <c r="H29" s="11"/>
    </row>
    <row r="30" spans="2:10" x14ac:dyDescent="0.2">
      <c r="B30" s="116" t="s">
        <v>617</v>
      </c>
      <c r="C30" s="84" t="s">
        <v>384</v>
      </c>
      <c r="D30" s="92" t="s">
        <v>386</v>
      </c>
      <c r="E30" s="84" t="s">
        <v>385</v>
      </c>
      <c r="F30" s="9"/>
      <c r="G30" s="9"/>
      <c r="H30" s="11"/>
    </row>
    <row r="31" spans="2:10" x14ac:dyDescent="0.2">
      <c r="B31" s="116" t="s">
        <v>556</v>
      </c>
      <c r="C31" s="114" t="s">
        <v>558</v>
      </c>
      <c r="D31" s="114" t="s">
        <v>386</v>
      </c>
      <c r="E31" s="114" t="s">
        <v>560</v>
      </c>
      <c r="F31" s="114" t="s">
        <v>557</v>
      </c>
      <c r="G31" s="114" t="s">
        <v>561</v>
      </c>
      <c r="H31" s="11"/>
    </row>
    <row r="32" spans="2:10" x14ac:dyDescent="0.2">
      <c r="B32" s="83" t="s">
        <v>388</v>
      </c>
      <c r="C32" s="114" t="s">
        <v>593</v>
      </c>
      <c r="D32" s="114" t="s">
        <v>386</v>
      </c>
      <c r="E32" s="38" t="s">
        <v>197</v>
      </c>
      <c r="F32" s="10">
        <v>1</v>
      </c>
      <c r="G32" s="9"/>
      <c r="H32" s="11"/>
    </row>
    <row r="33" spans="2:8" x14ac:dyDescent="0.2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">
      <c r="B35" s="75" t="s">
        <v>323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">
      <c r="B36" s="83" t="s">
        <v>374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">
      <c r="B37" s="116" t="s">
        <v>585</v>
      </c>
      <c r="C37" s="38"/>
      <c r="D37" s="114" t="s">
        <v>64</v>
      </c>
      <c r="E37" s="114" t="s">
        <v>586</v>
      </c>
      <c r="F37" s="10">
        <v>1</v>
      </c>
      <c r="G37" s="9"/>
      <c r="H37" s="11"/>
    </row>
    <row r="38" spans="2:8" x14ac:dyDescent="0.2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">
      <c r="B41" s="116" t="s">
        <v>595</v>
      </c>
      <c r="C41" s="38" t="s">
        <v>205</v>
      </c>
      <c r="D41" s="114" t="s">
        <v>182</v>
      </c>
      <c r="E41" s="114" t="s">
        <v>596</v>
      </c>
      <c r="F41" s="10">
        <v>1</v>
      </c>
      <c r="G41" s="9"/>
      <c r="H41" s="11"/>
    </row>
    <row r="42" spans="2:8" x14ac:dyDescent="0.2">
      <c r="B42" s="116" t="s">
        <v>588</v>
      </c>
      <c r="C42" s="114" t="s">
        <v>401</v>
      </c>
      <c r="D42" s="114" t="s">
        <v>182</v>
      </c>
      <c r="E42" s="114" t="s">
        <v>405</v>
      </c>
      <c r="F42" s="10">
        <v>1</v>
      </c>
      <c r="G42" s="9"/>
      <c r="H42" s="11"/>
    </row>
    <row r="43" spans="2:8" x14ac:dyDescent="0.2">
      <c r="B43" s="83" t="s">
        <v>375</v>
      </c>
      <c r="C43" s="84" t="s">
        <v>195</v>
      </c>
      <c r="D43" s="114" t="s">
        <v>64</v>
      </c>
      <c r="E43" s="84" t="s">
        <v>376</v>
      </c>
      <c r="F43" s="10">
        <v>1</v>
      </c>
      <c r="G43" s="9"/>
      <c r="H43" s="11"/>
    </row>
    <row r="44" spans="2:8" x14ac:dyDescent="0.2">
      <c r="B44" s="83" t="s">
        <v>377</v>
      </c>
      <c r="C44" s="84" t="s">
        <v>195</v>
      </c>
      <c r="D44" s="84" t="s">
        <v>64</v>
      </c>
      <c r="E44" s="114" t="s">
        <v>378</v>
      </c>
      <c r="F44" s="10"/>
      <c r="G44" s="9"/>
      <c r="H44" s="11"/>
    </row>
    <row r="45" spans="2:8" x14ac:dyDescent="0.2">
      <c r="B45" s="91" t="s">
        <v>397</v>
      </c>
      <c r="C45" s="92" t="s">
        <v>398</v>
      </c>
      <c r="D45" s="84"/>
      <c r="E45" s="114" t="s">
        <v>587</v>
      </c>
      <c r="F45" s="93" t="s">
        <v>399</v>
      </c>
      <c r="G45" s="9"/>
      <c r="H45" s="11"/>
    </row>
    <row r="46" spans="2:8" x14ac:dyDescent="0.2">
      <c r="B46" s="91" t="s">
        <v>400</v>
      </c>
      <c r="C46" s="92" t="s">
        <v>401</v>
      </c>
      <c r="D46" s="84"/>
      <c r="E46" s="92" t="s">
        <v>402</v>
      </c>
      <c r="F46" s="93" t="s">
        <v>403</v>
      </c>
      <c r="G46" s="9"/>
      <c r="H46" s="11"/>
    </row>
    <row r="47" spans="2:8" x14ac:dyDescent="0.2">
      <c r="B47" s="91" t="s">
        <v>404</v>
      </c>
      <c r="C47" s="92"/>
      <c r="D47" s="92" t="s">
        <v>182</v>
      </c>
      <c r="E47" s="92" t="s">
        <v>405</v>
      </c>
      <c r="F47" s="93" t="s">
        <v>406</v>
      </c>
      <c r="G47" s="9"/>
      <c r="H47" s="11"/>
    </row>
    <row r="48" spans="2:8" x14ac:dyDescent="0.2">
      <c r="B48" s="116" t="s">
        <v>618</v>
      </c>
      <c r="C48" s="114" t="s">
        <v>611</v>
      </c>
      <c r="D48" s="114" t="s">
        <v>64</v>
      </c>
      <c r="E48" s="114" t="s">
        <v>619</v>
      </c>
      <c r="F48" s="93"/>
      <c r="G48" s="9"/>
      <c r="H48" s="11"/>
    </row>
    <row r="49" spans="2:8" x14ac:dyDescent="0.2">
      <c r="B49" s="83" t="s">
        <v>356</v>
      </c>
      <c r="C49" s="84" t="s">
        <v>46</v>
      </c>
      <c r="D49" s="84" t="s">
        <v>64</v>
      </c>
      <c r="E49" s="84" t="s">
        <v>357</v>
      </c>
      <c r="F49" s="10"/>
      <c r="G49" s="9"/>
      <c r="H49" s="11"/>
    </row>
    <row r="50" spans="2:8" x14ac:dyDescent="0.2">
      <c r="B50" s="108" t="s">
        <v>481</v>
      </c>
      <c r="C50" s="105" t="s">
        <v>46</v>
      </c>
      <c r="D50" s="105" t="s">
        <v>64</v>
      </c>
      <c r="E50" s="104" t="s">
        <v>482</v>
      </c>
      <c r="F50" s="106" t="s">
        <v>483</v>
      </c>
      <c r="G50" s="9"/>
      <c r="H50" s="11"/>
    </row>
    <row r="51" spans="2:8" x14ac:dyDescent="0.2">
      <c r="B51" s="83" t="s">
        <v>360</v>
      </c>
      <c r="C51" s="84" t="s">
        <v>361</v>
      </c>
      <c r="D51" s="84" t="s">
        <v>182</v>
      </c>
      <c r="E51" s="84" t="s">
        <v>362</v>
      </c>
      <c r="F51" s="87" t="s">
        <v>363</v>
      </c>
      <c r="G51" s="9"/>
      <c r="H51" s="11"/>
    </row>
    <row r="52" spans="2:8" x14ac:dyDescent="0.2">
      <c r="B52" s="116" t="s">
        <v>601</v>
      </c>
      <c r="C52" s="114" t="s">
        <v>602</v>
      </c>
      <c r="D52" s="114" t="s">
        <v>64</v>
      </c>
      <c r="E52" s="114" t="s">
        <v>468</v>
      </c>
      <c r="F52" s="87"/>
      <c r="G52" s="9"/>
      <c r="H52" s="11"/>
    </row>
    <row r="53" spans="2:8" x14ac:dyDescent="0.2">
      <c r="B53" s="116" t="s">
        <v>600</v>
      </c>
      <c r="C53" s="103" t="s">
        <v>469</v>
      </c>
      <c r="D53" s="114" t="s">
        <v>182</v>
      </c>
      <c r="E53" s="103" t="s">
        <v>470</v>
      </c>
      <c r="F53" s="9"/>
      <c r="G53" s="9"/>
      <c r="H53" s="11"/>
    </row>
    <row r="54" spans="2:8" x14ac:dyDescent="0.2">
      <c r="B54" s="116" t="s">
        <v>597</v>
      </c>
      <c r="C54" s="114" t="s">
        <v>598</v>
      </c>
      <c r="D54" s="114" t="s">
        <v>64</v>
      </c>
      <c r="E54" s="114" t="s">
        <v>599</v>
      </c>
      <c r="F54" s="87">
        <v>1</v>
      </c>
      <c r="G54" s="9"/>
      <c r="H54" s="11"/>
    </row>
    <row r="55" spans="2:8" x14ac:dyDescent="0.2">
      <c r="B55" s="83" t="s">
        <v>368</v>
      </c>
      <c r="C55" s="84" t="s">
        <v>46</v>
      </c>
      <c r="D55" s="84" t="s">
        <v>64</v>
      </c>
      <c r="E55" s="84" t="s">
        <v>369</v>
      </c>
      <c r="F55" s="87" t="s">
        <v>370</v>
      </c>
      <c r="G55" s="9"/>
      <c r="H55" s="11"/>
    </row>
    <row r="56" spans="2:8" x14ac:dyDescent="0.2">
      <c r="B56" s="83" t="s">
        <v>371</v>
      </c>
      <c r="C56" s="84" t="s">
        <v>372</v>
      </c>
      <c r="D56" s="84" t="s">
        <v>64</v>
      </c>
      <c r="E56" s="84" t="s">
        <v>373</v>
      </c>
      <c r="F56" s="87"/>
      <c r="G56" s="9"/>
      <c r="H56" s="11"/>
    </row>
    <row r="57" spans="2:8" x14ac:dyDescent="0.2">
      <c r="B57" s="83" t="s">
        <v>364</v>
      </c>
      <c r="C57" s="84" t="s">
        <v>365</v>
      </c>
      <c r="D57" s="84" t="s">
        <v>64</v>
      </c>
      <c r="E57" s="84" t="s">
        <v>366</v>
      </c>
      <c r="F57" s="87" t="s">
        <v>367</v>
      </c>
      <c r="G57" s="9"/>
      <c r="H57" s="11"/>
    </row>
    <row r="58" spans="2:8" x14ac:dyDescent="0.2">
      <c r="B58" s="83" t="s">
        <v>352</v>
      </c>
      <c r="C58" s="84" t="s">
        <v>175</v>
      </c>
      <c r="D58" s="114" t="s">
        <v>182</v>
      </c>
      <c r="E58" s="114" t="s">
        <v>592</v>
      </c>
      <c r="F58" s="114" t="s">
        <v>591</v>
      </c>
      <c r="G58" s="9"/>
      <c r="H58" s="11"/>
    </row>
    <row r="59" spans="2:8" x14ac:dyDescent="0.2">
      <c r="B59" s="83" t="s">
        <v>353</v>
      </c>
      <c r="C59" s="114" t="s">
        <v>594</v>
      </c>
      <c r="D59" s="84" t="s">
        <v>64</v>
      </c>
      <c r="E59" s="84" t="s">
        <v>354</v>
      </c>
      <c r="F59" s="84" t="s">
        <v>355</v>
      </c>
      <c r="G59" s="9"/>
      <c r="H59" s="11"/>
    </row>
    <row r="60" spans="2:8" x14ac:dyDescent="0.2">
      <c r="B60" s="83" t="s">
        <v>350</v>
      </c>
      <c r="C60" s="114" t="s">
        <v>589</v>
      </c>
      <c r="D60" s="114" t="s">
        <v>64</v>
      </c>
      <c r="E60" s="114" t="s">
        <v>351</v>
      </c>
      <c r="F60" s="114" t="s">
        <v>590</v>
      </c>
      <c r="G60" s="9"/>
      <c r="H60" s="11"/>
    </row>
    <row r="61" spans="2:8" x14ac:dyDescent="0.2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">
      <c r="B62" s="116" t="s">
        <v>612</v>
      </c>
      <c r="C62" s="114" t="s">
        <v>613</v>
      </c>
      <c r="D62" s="114" t="s">
        <v>182</v>
      </c>
      <c r="E62" s="114" t="s">
        <v>614</v>
      </c>
      <c r="F62" s="9"/>
      <c r="G62" s="9"/>
      <c r="H62" s="11"/>
    </row>
    <row r="63" spans="2:8" x14ac:dyDescent="0.2">
      <c r="B63" s="116" t="s">
        <v>615</v>
      </c>
      <c r="C63" s="114"/>
      <c r="D63" s="114" t="s">
        <v>182</v>
      </c>
      <c r="E63" s="114" t="s">
        <v>616</v>
      </c>
      <c r="F63" s="114" t="s">
        <v>367</v>
      </c>
      <c r="G63" s="9"/>
      <c r="H63" s="11"/>
    </row>
    <row r="64" spans="2:8" x14ac:dyDescent="0.2">
      <c r="B64" s="116" t="s">
        <v>610</v>
      </c>
      <c r="C64" s="114" t="s">
        <v>611</v>
      </c>
      <c r="D64" s="114" t="s">
        <v>182</v>
      </c>
      <c r="E64" s="92"/>
      <c r="F64" s="9"/>
      <c r="G64" s="9"/>
      <c r="H64" s="11"/>
    </row>
    <row r="65" spans="2:8" x14ac:dyDescent="0.2">
      <c r="B65" s="91" t="s">
        <v>411</v>
      </c>
      <c r="C65" s="92" t="s">
        <v>413</v>
      </c>
      <c r="D65" s="92" t="s">
        <v>182</v>
      </c>
      <c r="E65" s="92" t="s">
        <v>412</v>
      </c>
      <c r="F65" s="9"/>
      <c r="G65" s="9"/>
      <c r="H65" s="11"/>
    </row>
    <row r="66" spans="2:8" x14ac:dyDescent="0.2">
      <c r="B66" s="61" t="s">
        <v>283</v>
      </c>
      <c r="C66" s="57" t="s">
        <v>284</v>
      </c>
      <c r="D66" s="57" t="s">
        <v>182</v>
      </c>
      <c r="E66" s="57" t="s">
        <v>285</v>
      </c>
      <c r="F66" s="10">
        <v>1</v>
      </c>
      <c r="G66" s="9"/>
      <c r="H66" s="11"/>
    </row>
    <row r="67" spans="2:8" x14ac:dyDescent="0.2">
      <c r="B67" s="4" t="s">
        <v>42</v>
      </c>
      <c r="C67" s="9" t="s">
        <v>65</v>
      </c>
      <c r="D67" s="9" t="s">
        <v>64</v>
      </c>
      <c r="E67" s="9" t="s">
        <v>43</v>
      </c>
      <c r="F67" s="10">
        <v>1</v>
      </c>
      <c r="G67" s="9"/>
      <c r="H67" s="11"/>
    </row>
    <row r="68" spans="2:8" x14ac:dyDescent="0.2">
      <c r="B68" s="116" t="s">
        <v>623</v>
      </c>
      <c r="C68" s="114" t="s">
        <v>624</v>
      </c>
      <c r="D68" s="114" t="s">
        <v>64</v>
      </c>
      <c r="E68" s="114" t="s">
        <v>625</v>
      </c>
      <c r="F68" s="10">
        <v>1</v>
      </c>
      <c r="G68" s="9"/>
      <c r="H68" s="11"/>
    </row>
    <row r="69" spans="2:8" x14ac:dyDescent="0.2">
      <c r="B69" s="116" t="s">
        <v>606</v>
      </c>
      <c r="C69" s="9"/>
      <c r="D69" s="114" t="s">
        <v>182</v>
      </c>
      <c r="E69" s="114" t="s">
        <v>607</v>
      </c>
      <c r="F69" s="10">
        <v>1</v>
      </c>
      <c r="G69" s="9"/>
      <c r="H69" s="11"/>
    </row>
    <row r="70" spans="2:8" x14ac:dyDescent="0.2">
      <c r="B70" s="116" t="s">
        <v>608</v>
      </c>
      <c r="C70" s="9"/>
      <c r="D70" s="114" t="s">
        <v>182</v>
      </c>
      <c r="E70" s="114" t="s">
        <v>609</v>
      </c>
      <c r="F70" s="10">
        <v>1</v>
      </c>
      <c r="G70" s="9"/>
      <c r="H70" s="11"/>
    </row>
    <row r="71" spans="2:8" x14ac:dyDescent="0.2">
      <c r="B71" s="116" t="s">
        <v>603</v>
      </c>
      <c r="C71" s="114" t="s">
        <v>605</v>
      </c>
      <c r="D71" s="114" t="s">
        <v>182</v>
      </c>
      <c r="E71" s="114" t="s">
        <v>604</v>
      </c>
      <c r="F71" s="10">
        <v>1</v>
      </c>
      <c r="G71" s="9"/>
      <c r="H71" s="11"/>
    </row>
    <row r="72" spans="2:8" x14ac:dyDescent="0.2">
      <c r="B72" s="83" t="s">
        <v>382</v>
      </c>
      <c r="C72" s="84" t="s">
        <v>195</v>
      </c>
      <c r="D72" s="84" t="s">
        <v>182</v>
      </c>
      <c r="E72" s="84" t="s">
        <v>383</v>
      </c>
      <c r="F72" s="10">
        <v>1</v>
      </c>
      <c r="G72" s="9"/>
      <c r="H72" s="11"/>
    </row>
    <row r="73" spans="2:8" x14ac:dyDescent="0.2">
      <c r="B73" s="116" t="s">
        <v>551</v>
      </c>
      <c r="C73" s="114" t="s">
        <v>384</v>
      </c>
      <c r="D73" s="114" t="s">
        <v>182</v>
      </c>
      <c r="E73" s="114" t="s">
        <v>552</v>
      </c>
      <c r="F73" s="114" t="s">
        <v>553</v>
      </c>
      <c r="G73" s="9"/>
      <c r="H73" s="11"/>
    </row>
    <row r="74" spans="2:8" x14ac:dyDescent="0.2">
      <c r="B74" s="116" t="s">
        <v>621</v>
      </c>
      <c r="C74" s="114" t="s">
        <v>622</v>
      </c>
      <c r="D74" s="114" t="s">
        <v>182</v>
      </c>
      <c r="E74" s="114"/>
      <c r="F74" s="114"/>
      <c r="G74" s="9"/>
      <c r="H74" s="11"/>
    </row>
    <row r="75" spans="2:8" x14ac:dyDescent="0.2">
      <c r="B75" s="83" t="s">
        <v>379</v>
      </c>
      <c r="C75" s="84" t="s">
        <v>195</v>
      </c>
      <c r="D75" s="114" t="s">
        <v>182</v>
      </c>
      <c r="E75" s="84" t="s">
        <v>380</v>
      </c>
      <c r="F75" s="84" t="s">
        <v>381</v>
      </c>
      <c r="G75" s="9"/>
      <c r="H75" s="11"/>
    </row>
    <row r="76" spans="2:8" x14ac:dyDescent="0.2">
      <c r="B76" s="4" t="s">
        <v>44</v>
      </c>
      <c r="C76" s="9" t="s">
        <v>45</v>
      </c>
      <c r="D76" s="9"/>
      <c r="E76" s="9"/>
      <c r="F76" s="9"/>
      <c r="G76" s="9"/>
      <c r="H76" s="11"/>
    </row>
    <row r="77" spans="2:8" x14ac:dyDescent="0.2">
      <c r="B77" s="5" t="s">
        <v>47</v>
      </c>
      <c r="C77" s="12"/>
      <c r="D77" s="12"/>
      <c r="E77" s="12"/>
      <c r="F77" s="12"/>
      <c r="G77" s="12"/>
      <c r="H77" s="13"/>
    </row>
    <row r="79" spans="2:8" x14ac:dyDescent="0.2">
      <c r="E79" s="112" t="s">
        <v>554</v>
      </c>
    </row>
    <row r="80" spans="2:8" x14ac:dyDescent="0.2">
      <c r="E80" s="112" t="s">
        <v>559</v>
      </c>
    </row>
    <row r="81" spans="5:5" x14ac:dyDescent="0.2">
      <c r="E81" s="112" t="s">
        <v>514</v>
      </c>
    </row>
    <row r="82" spans="5:5" x14ac:dyDescent="0.2">
      <c r="E82" s="112" t="s">
        <v>515</v>
      </c>
    </row>
    <row r="83" spans="5:5" x14ac:dyDescent="0.2">
      <c r="E83" s="112" t="s">
        <v>516</v>
      </c>
    </row>
    <row r="84" spans="5:5" x14ac:dyDescent="0.2">
      <c r="E84" s="112" t="s">
        <v>518</v>
      </c>
    </row>
    <row r="85" spans="5:5" x14ac:dyDescent="0.2">
      <c r="E85" s="112" t="s">
        <v>519</v>
      </c>
    </row>
    <row r="86" spans="5:5" x14ac:dyDescent="0.2">
      <c r="E86" s="112" t="s">
        <v>549</v>
      </c>
    </row>
    <row r="87" spans="5:5" x14ac:dyDescent="0.2">
      <c r="E87" s="112" t="s">
        <v>538</v>
      </c>
    </row>
    <row r="88" spans="5:5" x14ac:dyDescent="0.2">
      <c r="E88" s="112" t="s">
        <v>539</v>
      </c>
    </row>
    <row r="89" spans="5:5" x14ac:dyDescent="0.2">
      <c r="E89" s="112" t="s">
        <v>548</v>
      </c>
    </row>
    <row r="90" spans="5:5" x14ac:dyDescent="0.2">
      <c r="E90" s="112" t="s">
        <v>550</v>
      </c>
    </row>
    <row r="91" spans="5:5" x14ac:dyDescent="0.2">
      <c r="E91" s="112" t="s">
        <v>562</v>
      </c>
    </row>
    <row r="92" spans="5:5" x14ac:dyDescent="0.2">
      <c r="E92" s="112" t="s">
        <v>564</v>
      </c>
    </row>
    <row r="93" spans="5:5" x14ac:dyDescent="0.2">
      <c r="E93" s="112" t="s">
        <v>563</v>
      </c>
    </row>
    <row r="94" spans="5:5" x14ac:dyDescent="0.2">
      <c r="E94" s="112" t="s">
        <v>571</v>
      </c>
    </row>
    <row r="95" spans="5:5" x14ac:dyDescent="0.2">
      <c r="E95" s="112" t="s">
        <v>579</v>
      </c>
    </row>
    <row r="96" spans="5:5" x14ac:dyDescent="0.2">
      <c r="E96" s="112" t="s">
        <v>581</v>
      </c>
    </row>
    <row r="97" spans="5:5" x14ac:dyDescent="0.2">
      <c r="E97" s="112" t="s">
        <v>463</v>
      </c>
    </row>
    <row r="98" spans="5:5" x14ac:dyDescent="0.2">
      <c r="E98" s="112" t="s">
        <v>583</v>
      </c>
    </row>
    <row r="99" spans="5:5" x14ac:dyDescent="0.2">
      <c r="E99" s="112" t="s">
        <v>584</v>
      </c>
    </row>
    <row r="100" spans="5:5" x14ac:dyDescent="0.2">
      <c r="E100" s="85" t="s">
        <v>340</v>
      </c>
    </row>
    <row r="101" spans="5:5" x14ac:dyDescent="0.2">
      <c r="E101" s="85" t="s">
        <v>342</v>
      </c>
    </row>
    <row r="102" spans="5:5" x14ac:dyDescent="0.2">
      <c r="E102" s="85" t="s">
        <v>343</v>
      </c>
    </row>
    <row r="103" spans="5:5" x14ac:dyDescent="0.2">
      <c r="E103" s="56" t="s">
        <v>251</v>
      </c>
    </row>
    <row r="105" spans="5:5" x14ac:dyDescent="0.2">
      <c r="E105" s="86" t="s">
        <v>70</v>
      </c>
    </row>
    <row r="106" spans="5:5" x14ac:dyDescent="0.2">
      <c r="E106" s="85" t="s">
        <v>349</v>
      </c>
    </row>
    <row r="107" spans="5:5" x14ac:dyDescent="0.2">
      <c r="E107" s="85" t="s">
        <v>389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7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5"/>
  <sheetViews>
    <sheetView zoomScale="145" zoomScaleNormal="145" workbookViewId="0">
      <pane xSplit="2" ySplit="2" topLeftCell="DE6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7" width="9.140625" style="1"/>
    <col min="118" max="121" width="9.5703125" style="1" customWidth="1"/>
    <col min="122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454</v>
      </c>
      <c r="D2" s="97" t="s">
        <v>455</v>
      </c>
      <c r="E2" s="97" t="s">
        <v>456</v>
      </c>
      <c r="F2" s="97" t="s">
        <v>457</v>
      </c>
      <c r="G2" s="97" t="s">
        <v>450</v>
      </c>
      <c r="H2" s="97" t="s">
        <v>451</v>
      </c>
      <c r="I2" s="97" t="s">
        <v>452</v>
      </c>
      <c r="J2" s="97" t="s">
        <v>453</v>
      </c>
      <c r="K2" s="97" t="s">
        <v>445</v>
      </c>
      <c r="L2" s="97" t="s">
        <v>446</v>
      </c>
      <c r="M2" s="97" t="s">
        <v>447</v>
      </c>
      <c r="N2" s="97" t="s">
        <v>448</v>
      </c>
      <c r="O2" s="97" t="s">
        <v>438</v>
      </c>
      <c r="P2" s="97" t="s">
        <v>439</v>
      </c>
      <c r="Q2" s="97" t="s">
        <v>440</v>
      </c>
      <c r="R2" s="97" t="s">
        <v>441</v>
      </c>
      <c r="S2" s="97" t="s">
        <v>433</v>
      </c>
      <c r="T2" s="97" t="s">
        <v>434</v>
      </c>
      <c r="U2" s="97" t="s">
        <v>435</v>
      </c>
      <c r="V2" s="97" t="s">
        <v>436</v>
      </c>
      <c r="W2" s="97" t="s">
        <v>428</v>
      </c>
      <c r="X2" s="97" t="s">
        <v>429</v>
      </c>
      <c r="Y2" s="97" t="s">
        <v>430</v>
      </c>
      <c r="Z2" s="97" t="s">
        <v>431</v>
      </c>
      <c r="AA2" s="97" t="s">
        <v>422</v>
      </c>
      <c r="AB2" s="97" t="s">
        <v>423</v>
      </c>
      <c r="AC2" s="97" t="s">
        <v>424</v>
      </c>
      <c r="AD2" s="97" t="s">
        <v>425</v>
      </c>
      <c r="AE2" s="97" t="s">
        <v>418</v>
      </c>
      <c r="AF2" s="97" t="s">
        <v>419</v>
      </c>
      <c r="AG2" s="97" t="s">
        <v>420</v>
      </c>
      <c r="AH2" s="97" t="s">
        <v>421</v>
      </c>
      <c r="AI2" s="97" t="s">
        <v>414</v>
      </c>
      <c r="AJ2" s="97" t="s">
        <v>415</v>
      </c>
      <c r="AK2" s="97" t="s">
        <v>416</v>
      </c>
      <c r="AL2" s="97" t="s">
        <v>417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324</v>
      </c>
      <c r="CJ2" s="78" t="s">
        <v>325</v>
      </c>
      <c r="CK2" s="78" t="s">
        <v>327</v>
      </c>
      <c r="CL2" s="78" t="s">
        <v>326</v>
      </c>
      <c r="CM2" s="101" t="s">
        <v>459</v>
      </c>
      <c r="CN2" s="101" t="s">
        <v>460</v>
      </c>
      <c r="CO2" s="101" t="s">
        <v>461</v>
      </c>
      <c r="CP2" s="101" t="s">
        <v>462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">
      <c r="B3" s="55" t="s">
        <v>249</v>
      </c>
      <c r="BC3" s="22"/>
      <c r="BD3" s="71">
        <f t="shared" ref="BD3:BJ3" si="2">+BD5+BD8+BD12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+BK5+BK8+BK12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+BQ5+BQ8+BQ12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+BW5+BW8+BW12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+CD5+CD8+CD12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6845.8</v>
      </c>
      <c r="CM3" s="71">
        <f t="shared" si="6"/>
        <v>5493.7000000000007</v>
      </c>
      <c r="CN3" s="71">
        <f t="shared" si="6"/>
        <v>7228.85</v>
      </c>
      <c r="CO3" s="71">
        <f t="shared" si="6"/>
        <v>7761.15</v>
      </c>
      <c r="CP3" s="71">
        <f t="shared" si="6"/>
        <v>7673.4549999999999</v>
      </c>
      <c r="CQ3" s="44"/>
      <c r="CR3" s="44"/>
      <c r="CZ3" s="16">
        <f>+CZ5+CZ8+CZ12</f>
        <v>19936</v>
      </c>
      <c r="DA3" s="16">
        <f>+DA5+DA8+DA12</f>
        <v>19571</v>
      </c>
      <c r="DB3" s="16">
        <f>+DB5+DB8+DB12</f>
        <v>22153</v>
      </c>
      <c r="DC3" s="16">
        <f t="shared" ref="DC3:DL3" si="7">+DC5+DC8+DC12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26233.8</v>
      </c>
      <c r="DG3" s="16">
        <f t="shared" si="7"/>
        <v>28157.154999999999</v>
      </c>
      <c r="DH3" s="16">
        <f t="shared" si="7"/>
        <v>27719.380450000004</v>
      </c>
      <c r="DI3" s="16">
        <f t="shared" si="7"/>
        <v>27524.970503500001</v>
      </c>
      <c r="DJ3" s="16">
        <f t="shared" si="7"/>
        <v>26459.326850605001</v>
      </c>
      <c r="DK3" s="16">
        <f t="shared" si="7"/>
        <v>26307.41027212315</v>
      </c>
      <c r="DL3" s="16">
        <f t="shared" si="7"/>
        <v>18774.354825570481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f>+CH5*0.6</f>
        <v>1982.3999999999999</v>
      </c>
      <c r="CM5" s="16">
        <f t="shared" ref="CM5:CP5" si="8">+CI5*0.6</f>
        <v>1362</v>
      </c>
      <c r="CN5" s="16">
        <f t="shared" si="8"/>
        <v>1688.3999999999999</v>
      </c>
      <c r="CO5" s="16">
        <f t="shared" si="8"/>
        <v>1336.2</v>
      </c>
      <c r="CP5" s="16">
        <f t="shared" si="8"/>
        <v>1189.4399999999998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9293.4</v>
      </c>
      <c r="DG5" s="16">
        <f>SUM(CM5:CP5)</f>
        <v>5576.0399999999991</v>
      </c>
      <c r="DH5" s="16">
        <f>+DG5*0.8</f>
        <v>4460.8319999999994</v>
      </c>
      <c r="DI5" s="16">
        <f>+DH5*0.8</f>
        <v>3568.6655999999998</v>
      </c>
      <c r="DJ5" s="16">
        <f t="shared" ref="DJ5:DL5" si="9">+DI5*0.5</f>
        <v>1784.3327999999999</v>
      </c>
      <c r="DK5" s="16">
        <f t="shared" si="9"/>
        <v>892.16639999999995</v>
      </c>
      <c r="DL5" s="16">
        <f t="shared" si="9"/>
        <v>446.08319999999998</v>
      </c>
      <c r="DM5" s="16">
        <f t="shared" ref="DM5" si="10">+DL5*0.5</f>
        <v>223.04159999999999</v>
      </c>
      <c r="DN5" s="16">
        <f t="shared" ref="DN5" si="11">+DM5*0.5</f>
        <v>111.52079999999999</v>
      </c>
      <c r="DO5" s="16">
        <f t="shared" ref="DO5" si="12">+DN5*0.5</f>
        <v>55.760399999999997</v>
      </c>
      <c r="DP5" s="16">
        <f t="shared" ref="DP5" si="13">+DO5*0.5</f>
        <v>27.880199999999999</v>
      </c>
      <c r="DQ5" s="16">
        <f t="shared" ref="DQ5" si="14">+DP5*0.5</f>
        <v>13.940099999999999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320</v>
      </c>
      <c r="CE6" s="73" t="s">
        <v>321</v>
      </c>
      <c r="CF6" s="82" t="s">
        <v>332</v>
      </c>
      <c r="CG6" s="82" t="s">
        <v>331</v>
      </c>
      <c r="CH6" s="82" t="s">
        <v>337</v>
      </c>
      <c r="CI6" s="80" t="s">
        <v>330</v>
      </c>
      <c r="CJ6" s="90" t="s">
        <v>391</v>
      </c>
      <c r="CK6" s="100" t="s">
        <v>458</v>
      </c>
      <c r="CL6" s="82" t="s">
        <v>338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58" si="15">SUM(BK6:BN6)</f>
        <v>0</v>
      </c>
      <c r="DA6" s="16">
        <f t="shared" ref="DA6:DA52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339</v>
      </c>
      <c r="DF6" s="16"/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f>+CH7*0.95</f>
        <v>857.84999999999991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814.95749999999987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2" si="18">SUM(BS7:BV7)</f>
        <v>5314</v>
      </c>
      <c r="DC7" s="16">
        <f t="shared" ref="DC7:DC53" si="19">SUM(BW7:BZ7)</f>
        <v>5408</v>
      </c>
      <c r="DD7" s="16">
        <f t="shared" ref="DD7:DD53" si="20">SUM(CA7:CD7)</f>
        <v>4568</v>
      </c>
      <c r="DE7" s="16">
        <f t="shared" ref="DE7:DE26" si="21">SUM(CE7:CH7)</f>
        <v>3596</v>
      </c>
      <c r="DF7" s="16">
        <f t="shared" ref="DF7:DF29" si="22">SUM(CI7:CL7)</f>
        <v>3356.85</v>
      </c>
      <c r="DG7" s="16">
        <f>SUM(CM7:CP7)</f>
        <v>3189.0074999999997</v>
      </c>
      <c r="DH7" s="16">
        <f t="shared" ref="DG7:DL7" si="23">+DG7*0.9</f>
        <v>2870.1067499999999</v>
      </c>
      <c r="DI7" s="16">
        <f t="shared" si="23"/>
        <v>2583.0960749999999</v>
      </c>
      <c r="DJ7" s="16">
        <f t="shared" si="23"/>
        <v>2324.7864675000001</v>
      </c>
      <c r="DK7" s="16">
        <f t="shared" si="23"/>
        <v>2092.3078207500002</v>
      </c>
      <c r="DL7" s="16">
        <f t="shared" si="23"/>
        <v>1883.0770386750003</v>
      </c>
      <c r="DM7" s="16">
        <f t="shared" ref="DM7" si="24">+DL7*0.9</f>
        <v>1694.7693348075002</v>
      </c>
      <c r="DN7" s="16">
        <f t="shared" ref="DN7" si="25">+DM7*0.9</f>
        <v>1525.2924013267502</v>
      </c>
      <c r="DO7" s="16">
        <f t="shared" ref="DO7" si="26">+DN7*0.9</f>
        <v>1372.7631611940753</v>
      </c>
      <c r="DP7" s="16">
        <f t="shared" ref="DP7" si="27">+DO7*0.9</f>
        <v>1235.4868450746678</v>
      </c>
      <c r="DQ7" s="16">
        <f t="shared" ref="DQ7" si="28">+DP7*0.9</f>
        <v>1111.9381605672011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f>+CH8*1.35</f>
        <v>3231.9</v>
      </c>
      <c r="CM8" s="16">
        <f>+CI8*1.35</f>
        <v>2710.8</v>
      </c>
      <c r="CN8" s="16">
        <f>+CJ8*1.35</f>
        <v>3681.4500000000003</v>
      </c>
      <c r="CO8" s="16">
        <f>+CK8*1.35</f>
        <v>4326.75</v>
      </c>
      <c r="CP8" s="16">
        <f>+CL8*1.35</f>
        <v>4363.0650000000005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11171.9</v>
      </c>
      <c r="DG8" s="16">
        <f>SUM(CM8:CP8)</f>
        <v>15082.065000000001</v>
      </c>
      <c r="DH8" s="16">
        <f>+DG8*1.03</f>
        <v>15534.526950000001</v>
      </c>
      <c r="DI8" s="16">
        <f t="shared" ref="DI8:DL8" si="29">+DH8*1.03</f>
        <v>16000.562758500002</v>
      </c>
      <c r="DJ8" s="16">
        <f t="shared" si="29"/>
        <v>16480.579641255001</v>
      </c>
      <c r="DK8" s="16">
        <f t="shared" si="29"/>
        <v>16974.99703049265</v>
      </c>
      <c r="DL8" s="16">
        <f t="shared" si="29"/>
        <v>17484.246941407429</v>
      </c>
      <c r="DM8" s="16">
        <f t="shared" ref="DM8" si="30">+DL8*1.03</f>
        <v>18008.774349649651</v>
      </c>
      <c r="DN8" s="16">
        <f t="shared" ref="DN8" si="31">+DM8*1.03</f>
        <v>18549.037580139142</v>
      </c>
      <c r="DO8" s="16">
        <f t="shared" ref="DO8" si="32">+DN8*1.03</f>
        <v>19105.508707543318</v>
      </c>
      <c r="DP8" s="16">
        <f t="shared" ref="DP8" si="33">+DO8*1.03</f>
        <v>19678.673968769617</v>
      </c>
      <c r="DQ8" s="16">
        <f t="shared" ref="DQ8" si="34">+DP8*1.03</f>
        <v>20269.034187832705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f>+CH9*0.97</f>
        <v>696.46</v>
      </c>
      <c r="CM9" s="16">
        <f t="shared" ref="CM9:CP9" si="35">+CI9*0.97</f>
        <v>614.01</v>
      </c>
      <c r="CN9" s="16">
        <f t="shared" si="35"/>
        <v>707.13</v>
      </c>
      <c r="CO9" s="16">
        <f t="shared" si="35"/>
        <v>650.87</v>
      </c>
      <c r="CP9" s="16">
        <f t="shared" si="35"/>
        <v>675.56619999999998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2729.46</v>
      </c>
      <c r="DG9" s="16">
        <f>SUM(CM9:CP9)</f>
        <v>2647.5761999999995</v>
      </c>
      <c r="DH9" s="16">
        <f t="shared" ref="DG9:DL9" si="36">+DG9*1.05</f>
        <v>2779.9550099999997</v>
      </c>
      <c r="DI9" s="16">
        <f t="shared" si="36"/>
        <v>2918.9527604999998</v>
      </c>
      <c r="DJ9" s="16">
        <f t="shared" si="36"/>
        <v>3064.9003985250001</v>
      </c>
      <c r="DK9" s="16">
        <f t="shared" si="36"/>
        <v>3218.1454184512504</v>
      </c>
      <c r="DL9" s="16">
        <f t="shared" si="36"/>
        <v>3379.0526893738129</v>
      </c>
      <c r="DM9" s="16">
        <f t="shared" ref="DM9:DM10" si="37">+DL9*1.05</f>
        <v>3548.0053238425035</v>
      </c>
      <c r="DN9" s="16">
        <f t="shared" ref="DN9:DN10" si="38">+DM9*1.05</f>
        <v>3725.4055900346289</v>
      </c>
      <c r="DO9" s="16">
        <f t="shared" ref="DO9:DO10" si="39">+DN9*1.05</f>
        <v>3911.6758695363606</v>
      </c>
      <c r="DP9" s="16">
        <f t="shared" ref="DP9:DP10" si="40">+DO9*1.05</f>
        <v>4107.2596630131784</v>
      </c>
      <c r="DQ9" s="16">
        <f t="shared" ref="DQ9:DQ10" si="41">+DP9*1.05</f>
        <v>4312.6226461638371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f>+CH10*1.03</f>
        <v>799.28</v>
      </c>
      <c r="CM10" s="16">
        <f t="shared" ref="CM10:CP10" si="42">+CI10*1.03</f>
        <v>770.44</v>
      </c>
      <c r="CN10" s="16">
        <f t="shared" si="42"/>
        <v>838.42000000000007</v>
      </c>
      <c r="CO10" s="16">
        <f t="shared" si="42"/>
        <v>873.44</v>
      </c>
      <c r="CP10" s="16">
        <f t="shared" si="42"/>
        <v>823.25839999999994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3209.2799999999997</v>
      </c>
      <c r="DG10" s="16">
        <f>SUM(CM10:CP10)</f>
        <v>3305.5583999999999</v>
      </c>
      <c r="DH10" s="16">
        <f t="shared" ref="DG10:DL10" si="43">+DG10*1.05</f>
        <v>3470.8363199999999</v>
      </c>
      <c r="DI10" s="16">
        <f t="shared" si="43"/>
        <v>3644.3781359999998</v>
      </c>
      <c r="DJ10" s="16">
        <f t="shared" si="43"/>
        <v>3826.5970428000001</v>
      </c>
      <c r="DK10" s="16">
        <f t="shared" si="43"/>
        <v>4017.9268949400002</v>
      </c>
      <c r="DL10" s="16">
        <f t="shared" si="43"/>
        <v>4218.8232396870008</v>
      </c>
      <c r="DM10" s="16">
        <f t="shared" si="37"/>
        <v>4429.7644016713512</v>
      </c>
      <c r="DN10" s="16">
        <f t="shared" si="38"/>
        <v>4651.2526217549193</v>
      </c>
      <c r="DO10" s="16">
        <f t="shared" si="39"/>
        <v>4883.8152528426654</v>
      </c>
      <c r="DP10" s="16">
        <f t="shared" si="40"/>
        <v>5128.0060154847988</v>
      </c>
      <c r="DQ10" s="16">
        <f t="shared" si="41"/>
        <v>5384.4063162590392</v>
      </c>
    </row>
    <row r="11" spans="1:121" s="15" customFormat="1" x14ac:dyDescent="0.2">
      <c r="B11" s="76" t="s">
        <v>117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v>96</v>
      </c>
      <c r="BN11" s="16">
        <v>124</v>
      </c>
      <c r="BO11" s="16">
        <v>151</v>
      </c>
      <c r="BP11" s="16">
        <v>169</v>
      </c>
      <c r="BQ11" s="16">
        <v>221</v>
      </c>
      <c r="BR11" s="16">
        <v>251</v>
      </c>
      <c r="BS11" s="16">
        <v>317</v>
      </c>
      <c r="BT11" s="16">
        <v>303</v>
      </c>
      <c r="BU11" s="16">
        <v>352</v>
      </c>
      <c r="BV11" s="16">
        <v>365</v>
      </c>
      <c r="BW11" s="16">
        <v>405</v>
      </c>
      <c r="BX11" s="16">
        <v>435</v>
      </c>
      <c r="BY11" s="16">
        <v>492</v>
      </c>
      <c r="BZ11" s="16">
        <v>488</v>
      </c>
      <c r="CA11" s="16">
        <v>473</v>
      </c>
      <c r="CB11" s="16">
        <v>505</v>
      </c>
      <c r="CC11" s="16">
        <v>515</v>
      </c>
      <c r="CD11" s="16">
        <v>516</v>
      </c>
      <c r="CE11" s="16">
        <v>538</v>
      </c>
      <c r="CF11" s="16">
        <v>571</v>
      </c>
      <c r="CG11" s="16">
        <v>590</v>
      </c>
      <c r="CH11" s="16">
        <v>589</v>
      </c>
      <c r="CI11" s="16">
        <v>614</v>
      </c>
      <c r="CJ11" s="16">
        <v>637</v>
      </c>
      <c r="CK11" s="16">
        <v>677</v>
      </c>
      <c r="CL11" s="16">
        <f>+CH11*1.1</f>
        <v>647.90000000000009</v>
      </c>
      <c r="CM11" s="16">
        <f t="shared" ref="CM11:CP11" si="44">+CI11*1.1</f>
        <v>675.40000000000009</v>
      </c>
      <c r="CN11" s="16">
        <f t="shared" si="44"/>
        <v>700.7</v>
      </c>
      <c r="CO11" s="16">
        <f t="shared" si="44"/>
        <v>744.7</v>
      </c>
      <c r="CP11" s="16">
        <f t="shared" si="44"/>
        <v>712.69000000000017</v>
      </c>
      <c r="CQ11" s="16"/>
      <c r="CR11" s="16"/>
      <c r="CS11" s="16"/>
      <c r="CT11" s="16"/>
      <c r="CU11" s="16"/>
      <c r="CV11" s="16"/>
      <c r="CW11" s="16"/>
      <c r="CX11" s="16"/>
      <c r="CY11" s="16"/>
      <c r="CZ11" s="16">
        <f t="shared" si="15"/>
        <v>220</v>
      </c>
      <c r="DA11" s="16">
        <f t="shared" si="16"/>
        <v>792</v>
      </c>
      <c r="DB11" s="16">
        <f t="shared" si="18"/>
        <v>1337</v>
      </c>
      <c r="DC11" s="16">
        <f t="shared" si="19"/>
        <v>1820</v>
      </c>
      <c r="DD11" s="16">
        <f t="shared" si="20"/>
        <v>2009</v>
      </c>
      <c r="DE11" s="16">
        <f t="shared" si="21"/>
        <v>2288</v>
      </c>
      <c r="DF11" s="16">
        <f t="shared" si="22"/>
        <v>2575.9</v>
      </c>
      <c r="DG11" s="16">
        <f>SUM(CM11:CP11)</f>
        <v>2833.4900000000002</v>
      </c>
      <c r="DH11" s="16">
        <f t="shared" ref="DG11:DK11" si="45">+DG11*1.03</f>
        <v>2918.4947000000002</v>
      </c>
      <c r="DI11" s="16">
        <f t="shared" si="45"/>
        <v>3006.0495410000003</v>
      </c>
      <c r="DJ11" s="16">
        <f t="shared" si="45"/>
        <v>3096.2310272300006</v>
      </c>
      <c r="DK11" s="16">
        <f t="shared" si="45"/>
        <v>3189.1179580469006</v>
      </c>
      <c r="DL11" s="15">
        <f>+DK11*0.1</f>
        <v>318.91179580469009</v>
      </c>
      <c r="DM11" s="15">
        <f t="shared" ref="DM11:DQ13" si="46">+DL11*0.1</f>
        <v>31.891179580469011</v>
      </c>
      <c r="DN11" s="15">
        <f t="shared" si="46"/>
        <v>3.1891179580469013</v>
      </c>
      <c r="DO11" s="15">
        <f t="shared" si="46"/>
        <v>0.31891179580469015</v>
      </c>
      <c r="DP11" s="15">
        <f t="shared" si="46"/>
        <v>3.1891179580469019E-2</v>
      </c>
      <c r="DQ11" s="15">
        <f t="shared" si="46"/>
        <v>3.1891179580469022E-3</v>
      </c>
    </row>
    <row r="12" spans="1:121" s="15" customFormat="1" x14ac:dyDescent="0.2">
      <c r="B12" s="23" t="s">
        <v>115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16">
        <v>14</v>
      </c>
      <c r="BR12" s="16">
        <v>33</v>
      </c>
      <c r="BS12" s="16">
        <v>86</v>
      </c>
      <c r="BT12" s="16">
        <v>149</v>
      </c>
      <c r="BU12" s="16">
        <v>215</v>
      </c>
      <c r="BV12" s="16">
        <v>281</v>
      </c>
      <c r="BW12" s="16">
        <v>303</v>
      </c>
      <c r="BX12" s="16">
        <v>378</v>
      </c>
      <c r="BY12" s="16">
        <v>453</v>
      </c>
      <c r="BZ12" s="16">
        <v>517</v>
      </c>
      <c r="CA12" s="16">
        <v>465</v>
      </c>
      <c r="CB12" s="16">
        <v>592</v>
      </c>
      <c r="CC12" s="16">
        <v>695</v>
      </c>
      <c r="CD12" s="16">
        <v>770</v>
      </c>
      <c r="CE12" s="16">
        <v>686</v>
      </c>
      <c r="CF12" s="16">
        <v>918</v>
      </c>
      <c r="CG12" s="16">
        <v>1110</v>
      </c>
      <c r="CH12" s="16">
        <v>1255</v>
      </c>
      <c r="CI12" s="16">
        <v>1093</v>
      </c>
      <c r="CJ12" s="16">
        <v>1430</v>
      </c>
      <c r="CK12" s="16">
        <v>1614</v>
      </c>
      <c r="CL12" s="16">
        <f>+CH12*1.3</f>
        <v>1631.5</v>
      </c>
      <c r="CM12" s="16">
        <f>+CI12*1.3</f>
        <v>1420.9</v>
      </c>
      <c r="CN12" s="16">
        <f>+CJ12*1.3</f>
        <v>1859</v>
      </c>
      <c r="CO12" s="16">
        <f>+CK12*1.3</f>
        <v>2098.2000000000003</v>
      </c>
      <c r="CP12" s="16">
        <f>+CL12*1.3</f>
        <v>2120.9500000000003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0</v>
      </c>
      <c r="DA12" s="16">
        <f t="shared" si="16"/>
        <v>47</v>
      </c>
      <c r="DB12" s="16">
        <f t="shared" si="18"/>
        <v>731</v>
      </c>
      <c r="DC12" s="16">
        <f t="shared" si="19"/>
        <v>1651</v>
      </c>
      <c r="DD12" s="16">
        <f t="shared" si="20"/>
        <v>2522</v>
      </c>
      <c r="DE12" s="16">
        <f t="shared" si="21"/>
        <v>3969</v>
      </c>
      <c r="DF12" s="16">
        <f>SUM(CI12:CL12)</f>
        <v>5768.5</v>
      </c>
      <c r="DG12" s="16">
        <f>SUM(CM12:CP12)</f>
        <v>7499.0500000000011</v>
      </c>
      <c r="DH12" s="16">
        <f t="shared" ref="DG12:DK12" si="47">+DG12*1.03</f>
        <v>7724.0215000000017</v>
      </c>
      <c r="DI12" s="16">
        <f t="shared" si="47"/>
        <v>7955.742145000002</v>
      </c>
      <c r="DJ12" s="16">
        <f t="shared" si="47"/>
        <v>8194.4144093500017</v>
      </c>
      <c r="DK12" s="16">
        <f t="shared" si="47"/>
        <v>8440.2468416305019</v>
      </c>
      <c r="DL12" s="15">
        <f t="shared" ref="DL12:DL13" si="48">+DK12*0.1</f>
        <v>844.02468416305021</v>
      </c>
      <c r="DM12" s="15">
        <f t="shared" si="46"/>
        <v>84.402468416305027</v>
      </c>
      <c r="DN12" s="15">
        <f t="shared" si="46"/>
        <v>8.4402468416305023</v>
      </c>
      <c r="DO12" s="15">
        <f t="shared" si="46"/>
        <v>0.84402468416305032</v>
      </c>
      <c r="DP12" s="15">
        <f t="shared" si="46"/>
        <v>8.440246841630504E-2</v>
      </c>
      <c r="DQ12" s="15">
        <f t="shared" si="46"/>
        <v>8.4402468416305051E-3</v>
      </c>
    </row>
    <row r="13" spans="1:121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95" t="s">
        <v>202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192</v>
      </c>
      <c r="BU13" s="16">
        <v>358</v>
      </c>
      <c r="BV13" s="16">
        <v>401</v>
      </c>
      <c r="BW13" s="16">
        <v>346</v>
      </c>
      <c r="BX13" s="16">
        <v>432</v>
      </c>
      <c r="BY13" s="16">
        <v>461</v>
      </c>
      <c r="BZ13" s="16">
        <v>489</v>
      </c>
      <c r="CA13" s="16">
        <v>427</v>
      </c>
      <c r="CB13" s="16">
        <v>492</v>
      </c>
      <c r="CC13" s="16">
        <v>554</v>
      </c>
      <c r="CD13" s="16">
        <v>565</v>
      </c>
      <c r="CE13" s="16">
        <v>561</v>
      </c>
      <c r="CF13" s="16">
        <v>658</v>
      </c>
      <c r="CG13" s="16">
        <v>751</v>
      </c>
      <c r="CH13" s="16">
        <v>789</v>
      </c>
      <c r="CI13" s="16">
        <v>694</v>
      </c>
      <c r="CJ13" s="16">
        <v>774</v>
      </c>
      <c r="CK13" s="16">
        <v>875</v>
      </c>
      <c r="CL13" s="16">
        <f>+CH13*1.1</f>
        <v>867.90000000000009</v>
      </c>
      <c r="CM13" s="16">
        <f t="shared" ref="CM13:CP13" si="49">+CI13*1.1</f>
        <v>763.40000000000009</v>
      </c>
      <c r="CN13" s="16">
        <f t="shared" si="49"/>
        <v>851.40000000000009</v>
      </c>
      <c r="CO13" s="16">
        <f t="shared" si="49"/>
        <v>962.50000000000011</v>
      </c>
      <c r="CP13" s="16">
        <f t="shared" si="49"/>
        <v>954.69000000000017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0</v>
      </c>
      <c r="DB13" s="16">
        <f t="shared" si="18"/>
        <v>951</v>
      </c>
      <c r="DC13" s="16">
        <f t="shared" si="19"/>
        <v>1728</v>
      </c>
      <c r="DD13" s="16">
        <f t="shared" si="20"/>
        <v>2038</v>
      </c>
      <c r="DE13" s="16">
        <f t="shared" si="21"/>
        <v>2759</v>
      </c>
      <c r="DF13" s="16">
        <f t="shared" si="22"/>
        <v>3210.9</v>
      </c>
      <c r="DG13" s="16">
        <f>SUM(CM13:CP13)</f>
        <v>3531.9900000000002</v>
      </c>
      <c r="DH13" s="16">
        <f t="shared" ref="DG13:DK13" si="50">+DG13*1.03</f>
        <v>3637.9497000000001</v>
      </c>
      <c r="DI13" s="16">
        <f t="shared" si="50"/>
        <v>3747.0881910000003</v>
      </c>
      <c r="DJ13" s="16">
        <f t="shared" si="50"/>
        <v>3859.5008367300002</v>
      </c>
      <c r="DK13" s="16">
        <f t="shared" si="50"/>
        <v>3975.2858618319001</v>
      </c>
      <c r="DL13" s="15">
        <f t="shared" si="48"/>
        <v>397.52858618319004</v>
      </c>
      <c r="DM13" s="15">
        <f t="shared" si="46"/>
        <v>39.75285861831901</v>
      </c>
      <c r="DN13" s="15">
        <f t="shared" si="46"/>
        <v>3.9752858618319014</v>
      </c>
      <c r="DO13" s="15">
        <f t="shared" si="46"/>
        <v>0.39752858618319015</v>
      </c>
      <c r="DP13" s="15">
        <f t="shared" si="46"/>
        <v>3.9752858618319016E-2</v>
      </c>
      <c r="DQ13" s="15">
        <f t="shared" si="46"/>
        <v>3.9752858618319021E-3</v>
      </c>
    </row>
    <row r="14" spans="1:121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113</v>
      </c>
      <c r="BU14" s="16">
        <v>274</v>
      </c>
      <c r="BV14" s="16">
        <v>331</v>
      </c>
      <c r="BW14" s="16">
        <v>321</v>
      </c>
      <c r="BX14" s="16">
        <v>428</v>
      </c>
      <c r="BY14" s="16">
        <v>354</v>
      </c>
      <c r="BZ14" s="16">
        <v>252</v>
      </c>
      <c r="CA14" s="16">
        <v>410</v>
      </c>
      <c r="CB14" s="16">
        <v>344</v>
      </c>
      <c r="CC14" s="16">
        <v>352</v>
      </c>
      <c r="CD14" s="16">
        <v>322</v>
      </c>
      <c r="CE14" s="16">
        <v>355</v>
      </c>
      <c r="CF14" s="16">
        <v>368</v>
      </c>
      <c r="CG14" s="16">
        <v>321</v>
      </c>
      <c r="CH14" s="16">
        <v>334</v>
      </c>
      <c r="CI14" s="16">
        <v>297</v>
      </c>
      <c r="CJ14" s="16">
        <v>343</v>
      </c>
      <c r="CK14" s="16">
        <v>258</v>
      </c>
      <c r="CL14" s="16">
        <f>+CH14*0.9</f>
        <v>300.60000000000002</v>
      </c>
      <c r="CM14" s="16">
        <f t="shared" ref="CM14:CM15" si="51">+CI14*0.9</f>
        <v>267.3</v>
      </c>
      <c r="CN14" s="16">
        <f t="shared" ref="CN14:CN15" si="52">+CJ14*0.9</f>
        <v>308.7</v>
      </c>
      <c r="CO14" s="16">
        <f t="shared" ref="CO14:CO15" si="53">+CK14*0.9</f>
        <v>232.20000000000002</v>
      </c>
      <c r="CP14" s="16">
        <f t="shared" ref="CP14:CP15" si="54">+CL14*0.9</f>
        <v>270.54000000000002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718</v>
      </c>
      <c r="DC14" s="16">
        <f t="shared" si="19"/>
        <v>1355</v>
      </c>
      <c r="DD14" s="16">
        <f t="shared" si="20"/>
        <v>1428</v>
      </c>
      <c r="DE14" s="16">
        <f t="shared" si="21"/>
        <v>1378</v>
      </c>
      <c r="DF14" s="16">
        <f t="shared" si="22"/>
        <v>1198.5999999999999</v>
      </c>
      <c r="DG14" s="16">
        <f>SUM(CM14:CP14)</f>
        <v>1078.74</v>
      </c>
      <c r="DH14" s="16">
        <f t="shared" ref="DG14:DL14" si="55">+DG14*1.05</f>
        <v>1132.6770000000001</v>
      </c>
      <c r="DI14" s="16">
        <f t="shared" si="55"/>
        <v>1189.3108500000003</v>
      </c>
      <c r="DJ14" s="16">
        <f t="shared" si="55"/>
        <v>1248.7763925000004</v>
      </c>
      <c r="DK14" s="16">
        <f t="shared" si="55"/>
        <v>1311.2152121250006</v>
      </c>
      <c r="DL14" s="16">
        <f t="shared" si="55"/>
        <v>1376.7759727312507</v>
      </c>
      <c r="DM14" s="16">
        <f t="shared" ref="DM14" si="56">+DL14*1.05</f>
        <v>1445.6147713678133</v>
      </c>
      <c r="DN14" s="16">
        <f t="shared" ref="DN14" si="57">+DM14*1.05</f>
        <v>1517.895509936204</v>
      </c>
      <c r="DO14" s="16">
        <f t="shared" ref="DO14" si="58">+DN14*1.05</f>
        <v>1593.7902854330143</v>
      </c>
      <c r="DP14" s="16">
        <f t="shared" ref="DP14" si="59">+DO14*1.05</f>
        <v>1673.4797997046651</v>
      </c>
      <c r="DQ14" s="16">
        <f t="shared" ref="DQ14" si="60">+DP14*1.05</f>
        <v>1757.1537896898983</v>
      </c>
    </row>
    <row r="15" spans="1:121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276</v>
      </c>
      <c r="BJ15" s="16">
        <v>510</v>
      </c>
      <c r="BK15" s="16">
        <v>919</v>
      </c>
      <c r="BL15" s="16">
        <v>973</v>
      </c>
      <c r="BM15" s="16">
        <v>839</v>
      </c>
      <c r="BN15" s="16">
        <v>819</v>
      </c>
      <c r="BO15" s="16">
        <v>790</v>
      </c>
      <c r="BP15" s="16">
        <v>780</v>
      </c>
      <c r="BQ15" s="16">
        <v>695</v>
      </c>
      <c r="BR15" s="16">
        <v>628</v>
      </c>
      <c r="BS15" s="16">
        <v>559</v>
      </c>
      <c r="BT15" s="16">
        <v>376</v>
      </c>
      <c r="BU15" s="16">
        <v>414</v>
      </c>
      <c r="BV15" s="16">
        <v>481</v>
      </c>
      <c r="BW15" s="16">
        <v>415</v>
      </c>
      <c r="BX15" s="16">
        <v>442</v>
      </c>
      <c r="BY15" s="16">
        <v>426</v>
      </c>
      <c r="BZ15" s="16">
        <v>427</v>
      </c>
      <c r="CA15" s="16">
        <v>380</v>
      </c>
      <c r="CB15" s="16">
        <v>398</v>
      </c>
      <c r="CC15" s="16">
        <v>383</v>
      </c>
      <c r="CD15" s="16">
        <v>380</v>
      </c>
      <c r="CE15" s="16">
        <v>364</v>
      </c>
      <c r="CF15" s="16">
        <v>387</v>
      </c>
      <c r="CG15" s="16">
        <v>370</v>
      </c>
      <c r="CH15" s="16">
        <v>309</v>
      </c>
      <c r="CI15" s="16">
        <v>349</v>
      </c>
      <c r="CJ15" s="16">
        <v>369</v>
      </c>
      <c r="CK15" s="16">
        <v>302</v>
      </c>
      <c r="CL15" s="16">
        <f t="shared" ref="CL15" si="61">+CH15*0.9</f>
        <v>278.10000000000002</v>
      </c>
      <c r="CM15" s="16">
        <f t="shared" si="51"/>
        <v>314.10000000000002</v>
      </c>
      <c r="CN15" s="16">
        <f t="shared" si="52"/>
        <v>332.1</v>
      </c>
      <c r="CO15" s="16">
        <f t="shared" si="53"/>
        <v>271.8</v>
      </c>
      <c r="CP15" s="16">
        <f t="shared" si="54"/>
        <v>250.29000000000002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3550</v>
      </c>
      <c r="DA15" s="16">
        <f t="shared" si="16"/>
        <v>2893</v>
      </c>
      <c r="DB15" s="16">
        <f t="shared" si="18"/>
        <v>1830</v>
      </c>
      <c r="DC15" s="16">
        <f t="shared" si="19"/>
        <v>1710</v>
      </c>
      <c r="DD15" s="16">
        <f t="shared" si="20"/>
        <v>1541</v>
      </c>
      <c r="DE15" s="16">
        <f t="shared" si="21"/>
        <v>1430</v>
      </c>
      <c r="DF15" s="16">
        <f t="shared" si="22"/>
        <v>1298.0999999999999</v>
      </c>
      <c r="DG15" s="16">
        <f>SUM(CM15:CP15)</f>
        <v>1168.29</v>
      </c>
      <c r="DH15" s="16">
        <f t="shared" ref="DG15:DL15" si="62">+DG15*0.7</f>
        <v>817.80299999999988</v>
      </c>
      <c r="DI15" s="16">
        <f t="shared" si="62"/>
        <v>572.46209999999985</v>
      </c>
      <c r="DJ15" s="16">
        <f t="shared" si="62"/>
        <v>400.72346999999985</v>
      </c>
      <c r="DK15" s="16">
        <f t="shared" si="62"/>
        <v>280.50642899999986</v>
      </c>
      <c r="DL15" s="16">
        <f t="shared" si="62"/>
        <v>196.3545002999999</v>
      </c>
      <c r="DM15" s="16">
        <f t="shared" ref="DM15" si="63">+DL15*0.7</f>
        <v>137.44815020999991</v>
      </c>
      <c r="DN15" s="16">
        <f t="shared" ref="DN15" si="64">+DM15*0.7</f>
        <v>96.213705146999928</v>
      </c>
      <c r="DO15" s="16">
        <f t="shared" ref="DO15" si="65">+DN15*0.7</f>
        <v>67.349593602899944</v>
      </c>
      <c r="DP15" s="16">
        <f t="shared" ref="DP15" si="66">+DO15*0.7</f>
        <v>47.144715522029955</v>
      </c>
      <c r="DQ15" s="16">
        <f t="shared" ref="DQ15" si="67">+DP15*0.7</f>
        <v>33.001300865420966</v>
      </c>
    </row>
    <row r="16" spans="1:121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95" t="s">
        <v>202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142</v>
      </c>
      <c r="BU16" s="16">
        <v>300</v>
      </c>
      <c r="BV16" s="16">
        <v>318</v>
      </c>
      <c r="BW16" s="16">
        <v>343</v>
      </c>
      <c r="BX16" s="16">
        <v>422</v>
      </c>
      <c r="BY16" s="16">
        <v>352</v>
      </c>
      <c r="BZ16" s="16">
        <v>349</v>
      </c>
      <c r="CA16" s="16">
        <v>323</v>
      </c>
      <c r="CB16" s="16">
        <v>332</v>
      </c>
      <c r="CC16" s="16">
        <v>312</v>
      </c>
      <c r="CD16" s="16">
        <v>323</v>
      </c>
      <c r="CE16" s="16">
        <v>286</v>
      </c>
      <c r="CF16" s="16">
        <v>331</v>
      </c>
      <c r="CG16" s="16">
        <v>298</v>
      </c>
      <c r="CH16" s="16">
        <v>319</v>
      </c>
      <c r="CI16" s="16">
        <v>319</v>
      </c>
      <c r="CJ16" s="16">
        <v>318</v>
      </c>
      <c r="CK16" s="16">
        <v>310</v>
      </c>
      <c r="CL16" s="16">
        <f t="shared" ref="CL16:CL18" si="68">+CH16</f>
        <v>319</v>
      </c>
      <c r="CM16" s="16">
        <f t="shared" ref="CM16:CM18" si="69">+CI16</f>
        <v>319</v>
      </c>
      <c r="CN16" s="16">
        <f t="shared" ref="CN16:CN18" si="70">+CJ16</f>
        <v>318</v>
      </c>
      <c r="CO16" s="16">
        <f t="shared" ref="CO16:CO18" si="71">+CK16</f>
        <v>310</v>
      </c>
      <c r="CP16" s="16">
        <f t="shared" ref="CP16:CP18" si="72">+CL16</f>
        <v>319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0</v>
      </c>
      <c r="DA16" s="16">
        <f t="shared" si="16"/>
        <v>0</v>
      </c>
      <c r="DB16" s="16">
        <f t="shared" si="18"/>
        <v>760</v>
      </c>
      <c r="DC16" s="16">
        <f t="shared" si="19"/>
        <v>1466</v>
      </c>
      <c r="DD16" s="16">
        <f t="shared" si="20"/>
        <v>1290</v>
      </c>
      <c r="DE16" s="16">
        <f t="shared" si="21"/>
        <v>1234</v>
      </c>
      <c r="DF16" s="16">
        <f t="shared" si="22"/>
        <v>1266</v>
      </c>
      <c r="DG16" s="16">
        <f>SUM(CM16:CP16)</f>
        <v>1266</v>
      </c>
      <c r="DH16" s="16">
        <f t="shared" ref="DG16:DL16" si="73">+DG16*0.9</f>
        <v>1139.4000000000001</v>
      </c>
      <c r="DI16" s="16">
        <f t="shared" si="73"/>
        <v>1025.46</v>
      </c>
      <c r="DJ16" s="16">
        <f t="shared" si="73"/>
        <v>922.9140000000001</v>
      </c>
      <c r="DK16" s="16">
        <f t="shared" si="73"/>
        <v>830.62260000000015</v>
      </c>
      <c r="DL16" s="16">
        <f t="shared" si="73"/>
        <v>747.56034000000011</v>
      </c>
      <c r="DM16" s="16">
        <f t="shared" ref="DM16" si="74">+DL16*0.9</f>
        <v>672.80430600000011</v>
      </c>
      <c r="DN16" s="16">
        <f t="shared" ref="DN16" si="75">+DM16*0.9</f>
        <v>605.52387540000007</v>
      </c>
      <c r="DO16" s="16">
        <f t="shared" ref="DO16" si="76">+DN16*0.9</f>
        <v>544.97148786000002</v>
      </c>
      <c r="DP16" s="16">
        <f t="shared" ref="DP16" si="77">+DO16*0.9</f>
        <v>490.47433907400006</v>
      </c>
      <c r="DQ16" s="16">
        <f t="shared" ref="DQ16" si="78">+DP16*0.9</f>
        <v>441.42690516660008</v>
      </c>
    </row>
    <row r="17" spans="2:121" s="15" customFormat="1" x14ac:dyDescent="0.2">
      <c r="B17" s="1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146</v>
      </c>
      <c r="AN17" s="16">
        <v>162</v>
      </c>
      <c r="AO17" s="16">
        <v>163</v>
      </c>
      <c r="AP17" s="16">
        <v>188</v>
      </c>
      <c r="AQ17" s="16">
        <v>90</v>
      </c>
      <c r="AR17" s="16">
        <v>106</v>
      </c>
      <c r="AS17" s="16">
        <v>101</v>
      </c>
      <c r="AT17" s="16">
        <v>115</v>
      </c>
      <c r="AU17" s="16">
        <v>107</v>
      </c>
      <c r="AV17" s="16">
        <v>110</v>
      </c>
      <c r="AW17" s="16">
        <v>148</v>
      </c>
      <c r="AX17" s="16">
        <v>151</v>
      </c>
      <c r="AY17" s="16">
        <v>127</v>
      </c>
      <c r="AZ17" s="16">
        <v>159</v>
      </c>
      <c r="BA17" s="16">
        <v>161</v>
      </c>
      <c r="BB17" s="16">
        <v>185</v>
      </c>
      <c r="BC17" s="16">
        <v>150</v>
      </c>
      <c r="BD17" s="16">
        <v>180</v>
      </c>
      <c r="BE17" s="16">
        <v>187</v>
      </c>
      <c r="BF17" s="16">
        <v>213</v>
      </c>
      <c r="BG17" s="16">
        <v>185</v>
      </c>
      <c r="BH17" s="16">
        <v>196</v>
      </c>
      <c r="BI17" s="16">
        <v>215</v>
      </c>
      <c r="BJ17" s="16">
        <v>235</v>
      </c>
      <c r="BK17" s="16">
        <v>209</v>
      </c>
      <c r="BL17" s="16">
        <v>219</v>
      </c>
      <c r="BM17" s="16">
        <v>239</v>
      </c>
      <c r="BN17" s="16">
        <v>261</v>
      </c>
      <c r="BO17" s="16">
        <v>227</v>
      </c>
      <c r="BP17" s="16">
        <v>257</v>
      </c>
      <c r="BQ17" s="16">
        <v>265</v>
      </c>
      <c r="BR17" s="16">
        <v>292</v>
      </c>
      <c r="BS17" s="16">
        <v>276</v>
      </c>
      <c r="BT17" s="16">
        <v>252</v>
      </c>
      <c r="BU17" s="16">
        <v>282</v>
      </c>
      <c r="BV17" s="16">
        <v>304</v>
      </c>
      <c r="BW17" s="16">
        <v>274</v>
      </c>
      <c r="BX17" s="16">
        <v>280</v>
      </c>
      <c r="BY17" s="16">
        <v>310</v>
      </c>
      <c r="BZ17" s="16">
        <v>327</v>
      </c>
      <c r="CA17" s="16">
        <v>287</v>
      </c>
      <c r="CB17" s="16">
        <v>318</v>
      </c>
      <c r="CC17" s="16">
        <v>336</v>
      </c>
      <c r="CD17" s="16">
        <v>337</v>
      </c>
      <c r="CE17" s="16">
        <v>305</v>
      </c>
      <c r="CF17" s="16">
        <v>282</v>
      </c>
      <c r="CG17" s="16">
        <v>305</v>
      </c>
      <c r="CH17" s="16">
        <v>376</v>
      </c>
      <c r="CI17" s="16">
        <v>285</v>
      </c>
      <c r="CJ17" s="16">
        <v>372</v>
      </c>
      <c r="CK17" s="16">
        <v>338</v>
      </c>
      <c r="CL17" s="16">
        <f t="shared" si="68"/>
        <v>376</v>
      </c>
      <c r="CM17" s="16">
        <f t="shared" si="69"/>
        <v>285</v>
      </c>
      <c r="CN17" s="16">
        <f t="shared" si="70"/>
        <v>372</v>
      </c>
      <c r="CO17" s="16">
        <f t="shared" si="71"/>
        <v>338</v>
      </c>
      <c r="CP17" s="16">
        <f t="shared" si="72"/>
        <v>376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928</v>
      </c>
      <c r="DA17" s="16">
        <f t="shared" si="16"/>
        <v>1041</v>
      </c>
      <c r="DB17" s="16">
        <f t="shared" si="18"/>
        <v>1114</v>
      </c>
      <c r="DC17" s="16">
        <f t="shared" si="19"/>
        <v>1191</v>
      </c>
      <c r="DD17" s="16">
        <f t="shared" si="20"/>
        <v>1278</v>
      </c>
      <c r="DE17" s="16">
        <f t="shared" si="21"/>
        <v>1268</v>
      </c>
      <c r="DF17" s="16">
        <f t="shared" si="22"/>
        <v>1371</v>
      </c>
      <c r="DG17" s="16">
        <f>SUM(CM17:CP17)</f>
        <v>1371</v>
      </c>
      <c r="DH17" s="16">
        <f t="shared" ref="DG17:DL17" si="79">+DG17*1.03</f>
        <v>1412.13</v>
      </c>
      <c r="DI17" s="16">
        <f t="shared" si="79"/>
        <v>1454.4939000000002</v>
      </c>
      <c r="DJ17" s="16">
        <f t="shared" si="79"/>
        <v>1498.1287170000003</v>
      </c>
      <c r="DK17" s="16">
        <f t="shared" si="79"/>
        <v>1543.0725785100003</v>
      </c>
      <c r="DL17" s="16">
        <f t="shared" si="79"/>
        <v>1589.3647558653004</v>
      </c>
      <c r="DM17" s="16">
        <f t="shared" ref="DM17" si="80">+DL17*1.03</f>
        <v>1637.0456985412595</v>
      </c>
      <c r="DN17" s="16">
        <f t="shared" ref="DN17" si="81">+DM17*1.03</f>
        <v>1686.1570694974973</v>
      </c>
      <c r="DO17" s="16">
        <f t="shared" ref="DO17" si="82">+DN17*1.03</f>
        <v>1736.7417815824224</v>
      </c>
      <c r="DP17" s="16">
        <f t="shared" ref="DP17" si="83">+DO17*1.03</f>
        <v>1788.8440350298952</v>
      </c>
      <c r="DQ17" s="16">
        <f t="shared" ref="DQ17" si="84">+DP17*1.03</f>
        <v>1842.509356080792</v>
      </c>
    </row>
    <row r="18" spans="2:121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128</v>
      </c>
      <c r="BU18" s="16">
        <v>269</v>
      </c>
      <c r="BV18" s="16">
        <v>296</v>
      </c>
      <c r="BW18" s="16">
        <v>276</v>
      </c>
      <c r="BX18" s="16">
        <v>301</v>
      </c>
      <c r="BY18" s="16">
        <v>286</v>
      </c>
      <c r="BZ18" s="16">
        <v>306</v>
      </c>
      <c r="CA18" s="16">
        <v>278</v>
      </c>
      <c r="CB18" s="16">
        <v>217</v>
      </c>
      <c r="CC18" s="16">
        <f>287-CC29</f>
        <v>181</v>
      </c>
      <c r="CD18" s="16">
        <v>283</v>
      </c>
      <c r="CE18" s="16">
        <v>200</v>
      </c>
      <c r="CF18" s="16">
        <v>215</v>
      </c>
      <c r="CG18" s="16">
        <v>207</v>
      </c>
      <c r="CH18" s="16">
        <v>181</v>
      </c>
      <c r="CI18" s="16">
        <v>200</v>
      </c>
      <c r="CJ18" s="16">
        <v>225</v>
      </c>
      <c r="CK18" s="16">
        <v>207</v>
      </c>
      <c r="CL18" s="16">
        <f t="shared" si="68"/>
        <v>181</v>
      </c>
      <c r="CM18" s="16">
        <f t="shared" si="69"/>
        <v>200</v>
      </c>
      <c r="CN18" s="16">
        <f t="shared" si="70"/>
        <v>225</v>
      </c>
      <c r="CO18" s="16">
        <f t="shared" si="71"/>
        <v>207</v>
      </c>
      <c r="CP18" s="16">
        <f t="shared" si="72"/>
        <v>181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0</v>
      </c>
      <c r="DA18" s="16">
        <f t="shared" si="16"/>
        <v>0</v>
      </c>
      <c r="DB18" s="16">
        <f t="shared" si="18"/>
        <v>693</v>
      </c>
      <c r="DC18" s="16">
        <f t="shared" si="19"/>
        <v>1169</v>
      </c>
      <c r="DD18" s="16">
        <f t="shared" si="20"/>
        <v>959</v>
      </c>
      <c r="DE18" s="16">
        <f t="shared" si="21"/>
        <v>803</v>
      </c>
      <c r="DF18" s="16">
        <f t="shared" si="22"/>
        <v>813</v>
      </c>
      <c r="DG18" s="16">
        <f>SUM(CM18:CP18)</f>
        <v>813</v>
      </c>
      <c r="DH18" s="16">
        <f t="shared" ref="DG18:DL18" si="85">+DG18*0.9</f>
        <v>731.7</v>
      </c>
      <c r="DI18" s="16">
        <f t="shared" si="85"/>
        <v>658.53000000000009</v>
      </c>
      <c r="DJ18" s="16">
        <f t="shared" si="85"/>
        <v>592.67700000000013</v>
      </c>
      <c r="DK18" s="16">
        <f t="shared" si="85"/>
        <v>533.40930000000014</v>
      </c>
      <c r="DL18" s="16">
        <f t="shared" si="85"/>
        <v>480.06837000000013</v>
      </c>
      <c r="DM18" s="16">
        <f t="shared" ref="DM18:DM19" si="86">+DL18*0.9</f>
        <v>432.06153300000011</v>
      </c>
      <c r="DN18" s="16">
        <f t="shared" ref="DN18:DN19" si="87">+DM18*0.9</f>
        <v>388.85537970000013</v>
      </c>
      <c r="DO18" s="16">
        <f t="shared" ref="DO18:DO19" si="88">+DN18*0.9</f>
        <v>349.9698417300001</v>
      </c>
      <c r="DP18" s="16">
        <f t="shared" ref="DP18:DP19" si="89">+DO18*0.9</f>
        <v>314.97285755700011</v>
      </c>
      <c r="DQ18" s="16">
        <f t="shared" ref="DQ18:DQ19" si="90">+DP18*0.9</f>
        <v>283.47557180130013</v>
      </c>
    </row>
    <row r="19" spans="2:121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144</v>
      </c>
      <c r="BU19" s="16">
        <v>299</v>
      </c>
      <c r="BV19" s="16">
        <v>344</v>
      </c>
      <c r="BW19" s="16">
        <v>280</v>
      </c>
      <c r="BX19" s="16">
        <v>327</v>
      </c>
      <c r="BY19" s="16">
        <v>319</v>
      </c>
      <c r="BZ19" s="16">
        <v>364</v>
      </c>
      <c r="CA19" s="16">
        <v>246</v>
      </c>
      <c r="CB19" s="16">
        <v>168</v>
      </c>
      <c r="CC19" s="16">
        <v>142</v>
      </c>
      <c r="CD19" s="16">
        <v>110</v>
      </c>
      <c r="CE19" s="16">
        <v>92</v>
      </c>
      <c r="CF19" s="16">
        <v>99</v>
      </c>
      <c r="CG19" s="16">
        <v>117</v>
      </c>
      <c r="CH19" s="16">
        <v>128</v>
      </c>
      <c r="CI19" s="16">
        <v>57</v>
      </c>
      <c r="CJ19" s="16">
        <v>32</v>
      </c>
      <c r="CK19" s="16">
        <v>21</v>
      </c>
      <c r="CL19" s="16">
        <f>+CK19-3</f>
        <v>18</v>
      </c>
      <c r="CM19" s="16">
        <f t="shared" ref="CM19:CP19" si="91">+CL19-3</f>
        <v>15</v>
      </c>
      <c r="CN19" s="16">
        <f t="shared" si="91"/>
        <v>12</v>
      </c>
      <c r="CO19" s="16">
        <f t="shared" si="91"/>
        <v>9</v>
      </c>
      <c r="CP19" s="16">
        <f t="shared" si="91"/>
        <v>6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787</v>
      </c>
      <c r="DC19" s="16">
        <f t="shared" si="19"/>
        <v>1290</v>
      </c>
      <c r="DD19" s="16">
        <f t="shared" si="20"/>
        <v>666</v>
      </c>
      <c r="DE19" s="16">
        <f t="shared" si="21"/>
        <v>436</v>
      </c>
      <c r="DF19" s="16">
        <f t="shared" si="22"/>
        <v>128</v>
      </c>
      <c r="DG19" s="16">
        <f>SUM(CM19:CP19)</f>
        <v>42</v>
      </c>
      <c r="DH19" s="16">
        <f t="shared" ref="DG19:DL19" si="92">+DG19*0.9</f>
        <v>37.800000000000004</v>
      </c>
      <c r="DI19" s="16">
        <f t="shared" si="92"/>
        <v>34.020000000000003</v>
      </c>
      <c r="DJ19" s="16">
        <f t="shared" si="92"/>
        <v>30.618000000000002</v>
      </c>
      <c r="DK19" s="16">
        <f t="shared" si="92"/>
        <v>27.556200000000004</v>
      </c>
      <c r="DL19" s="16">
        <f t="shared" si="92"/>
        <v>24.800580000000004</v>
      </c>
      <c r="DM19" s="16">
        <f t="shared" si="86"/>
        <v>22.320522000000004</v>
      </c>
      <c r="DN19" s="16">
        <f t="shared" si="87"/>
        <v>20.088469800000006</v>
      </c>
      <c r="DO19" s="16">
        <f t="shared" si="88"/>
        <v>18.079622820000004</v>
      </c>
      <c r="DP19" s="16">
        <f t="shared" si="89"/>
        <v>16.271660538000006</v>
      </c>
      <c r="DQ19" s="16">
        <f t="shared" si="90"/>
        <v>14.644494484200006</v>
      </c>
    </row>
    <row r="20" spans="2:121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133</v>
      </c>
      <c r="BU20" s="16">
        <v>248</v>
      </c>
      <c r="BV20" s="16">
        <v>286</v>
      </c>
      <c r="BW20" s="16">
        <v>222</v>
      </c>
      <c r="BX20" s="16">
        <v>268</v>
      </c>
      <c r="BY20" s="16">
        <v>261</v>
      </c>
      <c r="BZ20" s="16">
        <v>287</v>
      </c>
      <c r="CA20" s="16">
        <v>240</v>
      </c>
      <c r="CB20" s="16">
        <v>255</v>
      </c>
      <c r="CC20" s="16">
        <v>271</v>
      </c>
      <c r="CD20" s="16">
        <v>269</v>
      </c>
      <c r="CE20" s="16">
        <v>259</v>
      </c>
      <c r="CF20" s="16">
        <v>278</v>
      </c>
      <c r="CG20" s="16">
        <v>288</v>
      </c>
      <c r="CH20" s="16">
        <v>283</v>
      </c>
      <c r="CI20" s="16">
        <v>266</v>
      </c>
      <c r="CJ20" s="16">
        <v>221</v>
      </c>
      <c r="CK20" s="16">
        <v>234</v>
      </c>
      <c r="CL20" s="16">
        <f t="shared" ref="CL20:CL21" si="93">+CH20</f>
        <v>283</v>
      </c>
      <c r="CM20" s="16">
        <f t="shared" ref="CM20:CM21" si="94">+CI20</f>
        <v>266</v>
      </c>
      <c r="CN20" s="16">
        <f t="shared" ref="CN20:CN21" si="95">+CJ20</f>
        <v>221</v>
      </c>
      <c r="CO20" s="16">
        <f t="shared" ref="CO20:CO21" si="96">+CK20</f>
        <v>234</v>
      </c>
      <c r="CP20" s="16">
        <f t="shared" ref="CP20:CP21" si="97">+CL20</f>
        <v>283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667</v>
      </c>
      <c r="DC20" s="16">
        <f t="shared" si="19"/>
        <v>1038</v>
      </c>
      <c r="DD20" s="16">
        <f t="shared" si="20"/>
        <v>1035</v>
      </c>
      <c r="DE20" s="16">
        <f t="shared" si="21"/>
        <v>1108</v>
      </c>
      <c r="DF20" s="16">
        <f t="shared" si="22"/>
        <v>1004</v>
      </c>
      <c r="DG20" s="16">
        <f>SUM(CM20:CP20)</f>
        <v>1004</v>
      </c>
      <c r="DH20" s="16">
        <f t="shared" ref="DG20:DL20" si="98">+DG20*0.5</f>
        <v>502</v>
      </c>
      <c r="DI20" s="16">
        <f t="shared" si="98"/>
        <v>251</v>
      </c>
      <c r="DJ20" s="16">
        <f t="shared" si="98"/>
        <v>125.5</v>
      </c>
      <c r="DK20" s="16">
        <f t="shared" si="98"/>
        <v>62.75</v>
      </c>
      <c r="DL20" s="16">
        <f t="shared" si="98"/>
        <v>31.375</v>
      </c>
      <c r="DM20" s="16">
        <f t="shared" ref="DM20" si="99">+DL20*0.5</f>
        <v>15.6875</v>
      </c>
      <c r="DN20" s="16">
        <f t="shared" ref="DN20" si="100">+DM20*0.5</f>
        <v>7.84375</v>
      </c>
      <c r="DO20" s="16">
        <f t="shared" ref="DO20" si="101">+DN20*0.5</f>
        <v>3.921875</v>
      </c>
      <c r="DP20" s="16">
        <f t="shared" ref="DP20" si="102">+DO20*0.5</f>
        <v>1.9609375</v>
      </c>
      <c r="DQ20" s="16">
        <f t="shared" ref="DQ20" si="103">+DP20*0.5</f>
        <v>0.98046875</v>
      </c>
    </row>
    <row r="21" spans="2:121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105</v>
      </c>
      <c r="BU21" s="16">
        <v>207</v>
      </c>
      <c r="BV21" s="16">
        <v>227</v>
      </c>
      <c r="BW21" s="16">
        <v>160</v>
      </c>
      <c r="BX21" s="16">
        <v>171</v>
      </c>
      <c r="BY21" s="16">
        <v>171</v>
      </c>
      <c r="BZ21" s="16">
        <v>183</v>
      </c>
      <c r="CA21" s="16">
        <v>177</v>
      </c>
      <c r="CB21" s="16">
        <v>150</v>
      </c>
      <c r="CC21" s="16">
        <v>87</v>
      </c>
      <c r="CD21" s="16">
        <v>61</v>
      </c>
      <c r="CE21" s="16">
        <v>79</v>
      </c>
      <c r="CF21" s="16">
        <v>70</v>
      </c>
      <c r="CG21" s="16">
        <v>61</v>
      </c>
      <c r="CH21" s="16">
        <v>66</v>
      </c>
      <c r="CI21" s="16">
        <v>74</v>
      </c>
      <c r="CJ21" s="16">
        <v>80</v>
      </c>
      <c r="CK21" s="16">
        <v>84</v>
      </c>
      <c r="CL21" s="16">
        <f t="shared" si="93"/>
        <v>66</v>
      </c>
      <c r="CM21" s="16">
        <f t="shared" si="94"/>
        <v>74</v>
      </c>
      <c r="CN21" s="16">
        <f t="shared" si="95"/>
        <v>80</v>
      </c>
      <c r="CO21" s="16">
        <f t="shared" si="96"/>
        <v>84</v>
      </c>
      <c r="CP21" s="16">
        <f t="shared" si="97"/>
        <v>66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539</v>
      </c>
      <c r="DC21" s="16">
        <f t="shared" si="19"/>
        <v>685</v>
      </c>
      <c r="DD21" s="16">
        <f t="shared" si="20"/>
        <v>475</v>
      </c>
      <c r="DE21" s="16">
        <f t="shared" si="21"/>
        <v>276</v>
      </c>
      <c r="DF21" s="16">
        <f t="shared" si="22"/>
        <v>304</v>
      </c>
      <c r="DG21" s="16">
        <f>SUM(CM21:CP21)</f>
        <v>304</v>
      </c>
      <c r="DH21" s="16">
        <f t="shared" ref="DG21:DL21" si="104">+DG21*0.9</f>
        <v>273.60000000000002</v>
      </c>
      <c r="DI21" s="16">
        <f t="shared" si="104"/>
        <v>246.24000000000004</v>
      </c>
      <c r="DJ21" s="16">
        <f t="shared" si="104"/>
        <v>221.61600000000004</v>
      </c>
      <c r="DK21" s="16">
        <f t="shared" si="104"/>
        <v>199.45440000000005</v>
      </c>
      <c r="DL21" s="16">
        <f t="shared" si="104"/>
        <v>179.50896000000006</v>
      </c>
      <c r="DM21" s="16">
        <f t="shared" ref="DM21:DM22" si="105">+DL21*0.9</f>
        <v>161.55806400000006</v>
      </c>
      <c r="DN21" s="16">
        <f t="shared" ref="DN21:DN22" si="106">+DM21*0.9</f>
        <v>145.40225760000007</v>
      </c>
      <c r="DO21" s="16">
        <f t="shared" ref="DO21:DO22" si="107">+DN21*0.9</f>
        <v>130.86203184000007</v>
      </c>
      <c r="DP21" s="16">
        <f t="shared" ref="DP21:DP22" si="108">+DO21*0.9</f>
        <v>117.77582865600007</v>
      </c>
      <c r="DQ21" s="16">
        <f t="shared" ref="DQ21:DQ22" si="109">+DP21*0.9</f>
        <v>105.99824579040006</v>
      </c>
    </row>
    <row r="22" spans="2:121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76</v>
      </c>
      <c r="BU22" s="16">
        <v>149</v>
      </c>
      <c r="BV22" s="16">
        <v>153</v>
      </c>
      <c r="BW22" s="16">
        <v>143</v>
      </c>
      <c r="BX22" s="16">
        <v>149</v>
      </c>
      <c r="BY22" s="16">
        <v>138</v>
      </c>
      <c r="BZ22" s="16">
        <v>149</v>
      </c>
      <c r="CA22" s="16">
        <v>140</v>
      </c>
      <c r="CB22" s="16">
        <v>130</v>
      </c>
      <c r="CC22" s="16">
        <v>121</v>
      </c>
      <c r="CD22" s="16">
        <v>123</v>
      </c>
      <c r="CE22" s="16">
        <v>130</v>
      </c>
      <c r="CF22" s="16">
        <v>119</v>
      </c>
      <c r="CG22" s="16">
        <v>91</v>
      </c>
      <c r="CH22" s="16">
        <v>92</v>
      </c>
      <c r="CI22" s="16">
        <v>91</v>
      </c>
      <c r="CJ22" s="16">
        <v>103</v>
      </c>
      <c r="CK22" s="16">
        <v>116</v>
      </c>
      <c r="CL22" s="16">
        <f>+CK22-1</f>
        <v>115</v>
      </c>
      <c r="CM22" s="16">
        <f t="shared" ref="CM22:CP22" si="110">+CL22-1</f>
        <v>114</v>
      </c>
      <c r="CN22" s="16">
        <f t="shared" si="110"/>
        <v>113</v>
      </c>
      <c r="CO22" s="16">
        <f t="shared" si="110"/>
        <v>112</v>
      </c>
      <c r="CP22" s="16">
        <f t="shared" si="110"/>
        <v>111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378</v>
      </c>
      <c r="DC22" s="16">
        <f t="shared" si="19"/>
        <v>579</v>
      </c>
      <c r="DD22" s="16">
        <f t="shared" si="20"/>
        <v>514</v>
      </c>
      <c r="DE22" s="16">
        <f t="shared" si="21"/>
        <v>432</v>
      </c>
      <c r="DF22" s="16">
        <f t="shared" si="22"/>
        <v>425</v>
      </c>
      <c r="DG22" s="16">
        <f>SUM(CM22:CP22)</f>
        <v>450</v>
      </c>
      <c r="DH22" s="16">
        <f t="shared" ref="DG22:DL22" si="111">+DG22*0.9</f>
        <v>405</v>
      </c>
      <c r="DI22" s="16">
        <f t="shared" si="111"/>
        <v>364.5</v>
      </c>
      <c r="DJ22" s="16">
        <f t="shared" si="111"/>
        <v>328.05</v>
      </c>
      <c r="DK22" s="16">
        <f t="shared" si="111"/>
        <v>295.245</v>
      </c>
      <c r="DL22" s="16">
        <f t="shared" si="111"/>
        <v>265.72050000000002</v>
      </c>
      <c r="DM22" s="16">
        <f t="shared" si="105"/>
        <v>239.14845000000003</v>
      </c>
      <c r="DN22" s="16">
        <f t="shared" si="106"/>
        <v>215.23360500000004</v>
      </c>
      <c r="DO22" s="16">
        <f t="shared" si="107"/>
        <v>193.71024450000004</v>
      </c>
      <c r="DP22" s="16">
        <f t="shared" si="108"/>
        <v>174.33922005000005</v>
      </c>
      <c r="DQ22" s="16">
        <f t="shared" si="109"/>
        <v>156.90529804500005</v>
      </c>
    </row>
    <row r="23" spans="2:121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22</v>
      </c>
      <c r="BU23" s="16">
        <v>38</v>
      </c>
      <c r="BV23" s="16">
        <v>65</v>
      </c>
      <c r="BW23" s="16">
        <v>81</v>
      </c>
      <c r="BX23" s="16">
        <v>126</v>
      </c>
      <c r="BY23" s="16">
        <v>162</v>
      </c>
      <c r="BZ23" s="16">
        <v>183</v>
      </c>
      <c r="CA23" s="16">
        <v>138</v>
      </c>
      <c r="CB23" s="16">
        <v>185</v>
      </c>
      <c r="CC23" s="16">
        <v>160</v>
      </c>
      <c r="CD23" s="16">
        <v>197</v>
      </c>
      <c r="CE23" s="16">
        <v>152</v>
      </c>
      <c r="CF23" s="16">
        <v>196</v>
      </c>
      <c r="CG23" s="16">
        <v>233</v>
      </c>
      <c r="CH23" s="16">
        <v>234</v>
      </c>
      <c r="CI23" s="16">
        <v>203</v>
      </c>
      <c r="CJ23" s="16">
        <v>231</v>
      </c>
      <c r="CK23" s="16">
        <v>269</v>
      </c>
      <c r="CL23" s="16">
        <f>+CH23*1.1</f>
        <v>257.40000000000003</v>
      </c>
      <c r="CM23" s="16">
        <f t="shared" ref="CM23:CP23" si="112">+CI23*1.1</f>
        <v>223.3</v>
      </c>
      <c r="CN23" s="16">
        <f t="shared" si="112"/>
        <v>254.10000000000002</v>
      </c>
      <c r="CO23" s="16">
        <f t="shared" si="112"/>
        <v>295.90000000000003</v>
      </c>
      <c r="CP23" s="16">
        <f t="shared" si="112"/>
        <v>283.14000000000004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125</v>
      </c>
      <c r="DC23" s="16">
        <f t="shared" si="19"/>
        <v>552</v>
      </c>
      <c r="DD23" s="16">
        <f t="shared" si="20"/>
        <v>680</v>
      </c>
      <c r="DE23" s="16">
        <f t="shared" si="21"/>
        <v>815</v>
      </c>
      <c r="DF23" s="16">
        <f t="shared" si="22"/>
        <v>960.40000000000009</v>
      </c>
      <c r="DG23" s="16">
        <f>SUM(CM23:CP23)</f>
        <v>1056.44</v>
      </c>
      <c r="DH23" s="16">
        <f>+DG23*1.2</f>
        <v>1267.7280000000001</v>
      </c>
      <c r="DI23" s="16">
        <f>+DH23*1.1</f>
        <v>1394.5008000000003</v>
      </c>
      <c r="DJ23" s="16">
        <f>+DI23*1.1</f>
        <v>1533.9508800000003</v>
      </c>
      <c r="DK23" s="16">
        <f>+DJ23*1.03</f>
        <v>1579.9694064000005</v>
      </c>
      <c r="DL23" s="15">
        <f>+DK23*0.1</f>
        <v>157.99694064000005</v>
      </c>
      <c r="DM23" s="15">
        <f t="shared" ref="DM23:DQ23" si="113">+DL23*0.1</f>
        <v>15.799694064000006</v>
      </c>
      <c r="DN23" s="15">
        <f t="shared" si="113"/>
        <v>1.5799694064000007</v>
      </c>
      <c r="DO23" s="15">
        <f t="shared" si="113"/>
        <v>0.15799694064000008</v>
      </c>
      <c r="DP23" s="15">
        <f t="shared" si="113"/>
        <v>1.579969406400001E-2</v>
      </c>
      <c r="DQ23" s="15">
        <f t="shared" si="113"/>
        <v>1.579969406400001E-3</v>
      </c>
    </row>
    <row r="24" spans="2:121" s="15" customFormat="1" x14ac:dyDescent="0.2">
      <c r="B24" s="15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37</v>
      </c>
      <c r="AP24" s="16"/>
      <c r="AQ24" s="16">
        <v>39</v>
      </c>
      <c r="AR24" s="16">
        <v>44</v>
      </c>
      <c r="AS24" s="16">
        <v>46</v>
      </c>
      <c r="AT24" s="16">
        <v>49</v>
      </c>
      <c r="AU24" s="16">
        <v>52</v>
      </c>
      <c r="AV24" s="16">
        <v>56</v>
      </c>
      <c r="AW24" s="16">
        <v>56</v>
      </c>
      <c r="AX24" s="16">
        <v>56</v>
      </c>
      <c r="AY24" s="16">
        <v>53</v>
      </c>
      <c r="AZ24" s="16">
        <v>55</v>
      </c>
      <c r="BA24" s="16">
        <v>61</v>
      </c>
      <c r="BB24" s="16">
        <v>62</v>
      </c>
      <c r="BC24" s="16">
        <v>68</v>
      </c>
      <c r="BD24" s="16">
        <v>73</v>
      </c>
      <c r="BE24" s="16">
        <v>74</v>
      </c>
      <c r="BF24" s="16">
        <v>78</v>
      </c>
      <c r="BG24" s="16">
        <v>80</v>
      </c>
      <c r="BH24" s="16">
        <v>81</v>
      </c>
      <c r="BI24" s="16">
        <v>94</v>
      </c>
      <c r="BJ24" s="16">
        <v>100</v>
      </c>
      <c r="BK24" s="16">
        <v>103</v>
      </c>
      <c r="BL24" s="16">
        <v>108</v>
      </c>
      <c r="BM24" s="16">
        <v>106</v>
      </c>
      <c r="BN24" s="16">
        <v>113</v>
      </c>
      <c r="BO24" s="16">
        <v>111</v>
      </c>
      <c r="BP24" s="16">
        <v>115</v>
      </c>
      <c r="BQ24" s="16">
        <v>117</v>
      </c>
      <c r="BR24" s="16">
        <v>118</v>
      </c>
      <c r="BS24" s="16">
        <v>124</v>
      </c>
      <c r="BT24" s="16">
        <v>118</v>
      </c>
      <c r="BU24" s="16">
        <v>123</v>
      </c>
      <c r="BV24" s="16">
        <v>129</v>
      </c>
      <c r="BW24" s="16">
        <v>129</v>
      </c>
      <c r="BX24" s="16">
        <v>127</v>
      </c>
      <c r="BY24" s="16">
        <v>127</v>
      </c>
      <c r="BZ24" s="16">
        <v>128</v>
      </c>
      <c r="CA24" s="16">
        <v>121</v>
      </c>
      <c r="CB24" s="16">
        <v>120</v>
      </c>
      <c r="CC24" s="16">
        <v>110</v>
      </c>
      <c r="CD24" s="16">
        <v>107</v>
      </c>
      <c r="CE24" s="16">
        <v>118</v>
      </c>
      <c r="CF24" s="16">
        <v>117</v>
      </c>
      <c r="CG24" s="16">
        <v>118</v>
      </c>
      <c r="CH24" s="16">
        <v>115</v>
      </c>
      <c r="CI24" s="16">
        <v>115</v>
      </c>
      <c r="CJ24" s="16">
        <v>113</v>
      </c>
      <c r="CK24" s="16">
        <v>111</v>
      </c>
      <c r="CL24" s="16">
        <f>+CH24</f>
        <v>115</v>
      </c>
      <c r="CM24" s="16">
        <f t="shared" ref="CM24:CP24" si="114">+CI24</f>
        <v>115</v>
      </c>
      <c r="CN24" s="16">
        <f t="shared" si="114"/>
        <v>113</v>
      </c>
      <c r="CO24" s="16">
        <f t="shared" si="114"/>
        <v>111</v>
      </c>
      <c r="CP24" s="16">
        <f t="shared" si="114"/>
        <v>115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430</v>
      </c>
      <c r="DA24" s="16">
        <f t="shared" si="16"/>
        <v>461</v>
      </c>
      <c r="DB24" s="16">
        <f t="shared" si="18"/>
        <v>494</v>
      </c>
      <c r="DC24" s="16">
        <f t="shared" si="19"/>
        <v>511</v>
      </c>
      <c r="DD24" s="16">
        <f t="shared" si="20"/>
        <v>458</v>
      </c>
      <c r="DE24" s="16">
        <f t="shared" si="21"/>
        <v>468</v>
      </c>
      <c r="DF24" s="16">
        <f t="shared" si="22"/>
        <v>454</v>
      </c>
      <c r="DG24" s="16">
        <f>SUM(CM24:CP24)</f>
        <v>454</v>
      </c>
      <c r="DH24" s="16">
        <f t="shared" ref="DG24:DL24" si="115">+DG24*0.9</f>
        <v>408.6</v>
      </c>
      <c r="DI24" s="16">
        <f t="shared" si="115"/>
        <v>367.74</v>
      </c>
      <c r="DJ24" s="16">
        <f t="shared" si="115"/>
        <v>330.96600000000001</v>
      </c>
      <c r="DK24" s="16">
        <f t="shared" si="115"/>
        <v>297.86940000000004</v>
      </c>
      <c r="DL24" s="16">
        <f t="shared" si="115"/>
        <v>268.08246000000003</v>
      </c>
      <c r="DM24" s="16">
        <f t="shared" ref="DM24:DM25" si="116">+DL24*0.9</f>
        <v>241.27421400000003</v>
      </c>
      <c r="DN24" s="16">
        <f t="shared" ref="DN24:DN25" si="117">+DM24*0.9</f>
        <v>217.14679260000003</v>
      </c>
      <c r="DO24" s="16">
        <f t="shared" ref="DO24:DO25" si="118">+DN24*0.9</f>
        <v>195.43211334000003</v>
      </c>
      <c r="DP24" s="16">
        <f t="shared" ref="DP24:DP25" si="119">+DO24*0.9</f>
        <v>175.88890200600002</v>
      </c>
      <c r="DQ24" s="16">
        <f t="shared" ref="DQ24:DQ25" si="120">+DP24*0.9</f>
        <v>158.30001180540003</v>
      </c>
    </row>
    <row r="25" spans="2:121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69</v>
      </c>
      <c r="BU25" s="16">
        <v>123</v>
      </c>
      <c r="BV25" s="16">
        <v>134</v>
      </c>
      <c r="BW25" s="16">
        <v>118</v>
      </c>
      <c r="BX25" s="16">
        <v>142</v>
      </c>
      <c r="BY25" s="16">
        <v>128</v>
      </c>
      <c r="BZ25" s="16">
        <v>141</v>
      </c>
      <c r="CA25" s="16">
        <v>107</v>
      </c>
      <c r="CB25" s="16">
        <v>92</v>
      </c>
      <c r="CC25" s="16">
        <v>73</v>
      </c>
      <c r="CD25" s="16">
        <v>74</v>
      </c>
      <c r="CE25" s="16">
        <v>71</v>
      </c>
      <c r="CF25" s="16">
        <v>65</v>
      </c>
      <c r="CG25" s="16">
        <v>70</v>
      </c>
      <c r="CH25" s="16">
        <v>66</v>
      </c>
      <c r="CI25" s="16">
        <v>59</v>
      </c>
      <c r="CJ25" s="16">
        <v>49</v>
      </c>
      <c r="CK25" s="16">
        <v>62</v>
      </c>
      <c r="CL25" s="16">
        <f>+CK25-1</f>
        <v>61</v>
      </c>
      <c r="CM25" s="16">
        <f t="shared" ref="CM25:CP25" si="121">+CL25-1</f>
        <v>60</v>
      </c>
      <c r="CN25" s="16">
        <f t="shared" si="121"/>
        <v>59</v>
      </c>
      <c r="CO25" s="16">
        <f t="shared" si="121"/>
        <v>58</v>
      </c>
      <c r="CP25" s="16">
        <f t="shared" si="121"/>
        <v>57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0</v>
      </c>
      <c r="DA25" s="16">
        <f t="shared" si="16"/>
        <v>0</v>
      </c>
      <c r="DB25" s="16">
        <f t="shared" si="18"/>
        <v>326</v>
      </c>
      <c r="DC25" s="16">
        <f t="shared" si="19"/>
        <v>529</v>
      </c>
      <c r="DD25" s="16">
        <f t="shared" si="20"/>
        <v>346</v>
      </c>
      <c r="DE25" s="16">
        <f t="shared" si="21"/>
        <v>272</v>
      </c>
      <c r="DF25" s="16">
        <f t="shared" si="22"/>
        <v>231</v>
      </c>
      <c r="DG25" s="16">
        <f>SUM(CM25:CP25)</f>
        <v>234</v>
      </c>
      <c r="DH25" s="16">
        <f t="shared" ref="DG25:DL25" si="122">+DG25*0.9</f>
        <v>210.6</v>
      </c>
      <c r="DI25" s="16">
        <f t="shared" si="122"/>
        <v>189.54</v>
      </c>
      <c r="DJ25" s="16">
        <f t="shared" si="122"/>
        <v>170.58599999999998</v>
      </c>
      <c r="DK25" s="16">
        <f t="shared" si="122"/>
        <v>153.5274</v>
      </c>
      <c r="DL25" s="16">
        <f t="shared" si="122"/>
        <v>138.17466000000002</v>
      </c>
      <c r="DM25" s="16">
        <f t="shared" si="116"/>
        <v>124.35719400000002</v>
      </c>
      <c r="DN25" s="16">
        <f t="shared" si="117"/>
        <v>111.92147460000002</v>
      </c>
      <c r="DO25" s="16">
        <f t="shared" si="118"/>
        <v>100.72932714000002</v>
      </c>
      <c r="DP25" s="16">
        <f t="shared" si="119"/>
        <v>90.65639442600002</v>
      </c>
      <c r="DQ25" s="16">
        <f t="shared" si="120"/>
        <v>81.590754983400018</v>
      </c>
    </row>
    <row r="26" spans="2:121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11</v>
      </c>
      <c r="CB26" s="16">
        <v>33</v>
      </c>
      <c r="CC26" s="16">
        <v>62</v>
      </c>
      <c r="CD26" s="16">
        <v>52</v>
      </c>
      <c r="CE26" s="16">
        <v>66</v>
      </c>
      <c r="CF26" s="16">
        <v>96</v>
      </c>
      <c r="CG26" s="16">
        <v>132</v>
      </c>
      <c r="CH26" s="16">
        <v>114</v>
      </c>
      <c r="CI26" s="16">
        <v>131</v>
      </c>
      <c r="CJ26" s="16">
        <v>150</v>
      </c>
      <c r="CK26" s="16">
        <v>176</v>
      </c>
      <c r="CL26" s="16">
        <f>+CH26*1.3</f>
        <v>148.20000000000002</v>
      </c>
      <c r="CM26" s="16">
        <f t="shared" ref="CM26:CP26" si="123">+CI26*1.3</f>
        <v>170.3</v>
      </c>
      <c r="CN26" s="16">
        <f t="shared" si="123"/>
        <v>195</v>
      </c>
      <c r="CO26" s="16">
        <f t="shared" si="123"/>
        <v>228.8</v>
      </c>
      <c r="CP26" s="16">
        <f t="shared" si="123"/>
        <v>192.66000000000003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0</v>
      </c>
      <c r="DC26" s="16">
        <f t="shared" si="19"/>
        <v>0</v>
      </c>
      <c r="DD26" s="16">
        <f t="shared" si="20"/>
        <v>158</v>
      </c>
      <c r="DE26" s="16">
        <f t="shared" si="21"/>
        <v>408</v>
      </c>
      <c r="DF26" s="16">
        <f t="shared" si="22"/>
        <v>605.20000000000005</v>
      </c>
      <c r="DG26" s="16">
        <f>SUM(CM26:CP26)</f>
        <v>786.76</v>
      </c>
      <c r="DH26" s="16">
        <f>+DG26*1.2</f>
        <v>944.11199999999997</v>
      </c>
      <c r="DI26" s="16">
        <f>+DH26*1.1</f>
        <v>1038.5232000000001</v>
      </c>
      <c r="DJ26" s="16">
        <f>+DI26*1.1</f>
        <v>1142.3755200000003</v>
      </c>
      <c r="DK26" s="16">
        <f>+DJ26*1.03</f>
        <v>1176.6467856000004</v>
      </c>
      <c r="DL26" s="15">
        <f>+DK26*0.1</f>
        <v>117.66467856000004</v>
      </c>
      <c r="DM26" s="15">
        <f t="shared" ref="DM26:DQ26" si="124">+DL26*0.1</f>
        <v>11.766467856000006</v>
      </c>
      <c r="DN26" s="15">
        <f t="shared" si="124"/>
        <v>1.1766467856000007</v>
      </c>
      <c r="DO26" s="15">
        <f t="shared" si="124"/>
        <v>0.11766467856000007</v>
      </c>
      <c r="DP26" s="15">
        <f t="shared" si="124"/>
        <v>1.1766467856000008E-2</v>
      </c>
      <c r="DQ26" s="15">
        <f t="shared" si="124"/>
        <v>1.1766467856000008E-3</v>
      </c>
    </row>
    <row r="27" spans="2:121" s="15" customFormat="1" x14ac:dyDescent="0.2">
      <c r="B27" s="79" t="s">
        <v>328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>
        <v>64</v>
      </c>
      <c r="CJ27" s="16">
        <v>128</v>
      </c>
      <c r="CK27" s="16">
        <v>139</v>
      </c>
      <c r="CL27" s="16">
        <f>+CK27+2</f>
        <v>141</v>
      </c>
      <c r="CM27" s="16">
        <f t="shared" ref="CM27:CP27" si="125">+CL27+2</f>
        <v>143</v>
      </c>
      <c r="CN27" s="16">
        <f t="shared" si="125"/>
        <v>145</v>
      </c>
      <c r="CO27" s="16">
        <f t="shared" si="125"/>
        <v>147</v>
      </c>
      <c r="CP27" s="16">
        <f t="shared" si="125"/>
        <v>149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>
        <f t="shared" si="22"/>
        <v>472</v>
      </c>
      <c r="DG27" s="16">
        <f>SUM(CM27:CP27)</f>
        <v>584</v>
      </c>
      <c r="DH27" s="16">
        <f>+DG27*1.1</f>
        <v>642.40000000000009</v>
      </c>
      <c r="DI27" s="16">
        <f>+DH27*1.1</f>
        <v>706.64000000000021</v>
      </c>
      <c r="DJ27" s="16">
        <f>+DI27*1.1</f>
        <v>777.30400000000031</v>
      </c>
      <c r="DK27" s="16">
        <f>+DJ27*1.1</f>
        <v>855.03440000000046</v>
      </c>
      <c r="DL27" s="16">
        <f>+DK27*1.1</f>
        <v>940.53784000000053</v>
      </c>
      <c r="DM27" s="16">
        <f t="shared" ref="DM27:DQ27" si="126">+DL27*1.1</f>
        <v>1034.5916240000006</v>
      </c>
      <c r="DN27" s="16">
        <f t="shared" si="126"/>
        <v>1138.0507864000008</v>
      </c>
      <c r="DO27" s="16">
        <f t="shared" si="126"/>
        <v>1251.8558650400009</v>
      </c>
      <c r="DP27" s="16">
        <f t="shared" si="126"/>
        <v>1377.0414515440011</v>
      </c>
      <c r="DQ27" s="16">
        <f t="shared" si="126"/>
        <v>1514.7455966984014</v>
      </c>
    </row>
    <row r="28" spans="2:121" s="15" customFormat="1" x14ac:dyDescent="0.2">
      <c r="B28" s="79" t="s">
        <v>329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>
        <v>14</v>
      </c>
      <c r="CH28" s="16">
        <v>17</v>
      </c>
      <c r="CI28" s="16">
        <v>27</v>
      </c>
      <c r="CJ28" s="16">
        <v>36</v>
      </c>
      <c r="CK28" s="16">
        <v>43</v>
      </c>
      <c r="CL28" s="16">
        <f>+CK28+15</f>
        <v>58</v>
      </c>
      <c r="CM28" s="16">
        <f>+CL28+15</f>
        <v>73</v>
      </c>
      <c r="CN28" s="16">
        <f>+CM28+15</f>
        <v>88</v>
      </c>
      <c r="CO28" s="16">
        <f>+CN28+15</f>
        <v>103</v>
      </c>
      <c r="CP28" s="16">
        <f>+CO28+15</f>
        <v>118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>
        <f t="shared" ref="DE28:DE29" si="127">SUM(CE28:CH28)</f>
        <v>31</v>
      </c>
      <c r="DF28" s="16">
        <f t="shared" si="22"/>
        <v>164</v>
      </c>
      <c r="DG28" s="16">
        <f>SUM(CM28:CP28)</f>
        <v>382</v>
      </c>
      <c r="DH28" s="16">
        <f>+DG28*1.4</f>
        <v>534.79999999999995</v>
      </c>
      <c r="DI28" s="16">
        <f>+DH28*1.3</f>
        <v>695.24</v>
      </c>
      <c r="DJ28" s="16">
        <f t="shared" ref="DI28:DQ28" si="128">+DI28*1.2</f>
        <v>834.28800000000001</v>
      </c>
      <c r="DK28" s="16">
        <f t="shared" si="128"/>
        <v>1001.1455999999999</v>
      </c>
      <c r="DL28" s="16">
        <f>+DK28*1.1</f>
        <v>1101.26016</v>
      </c>
      <c r="DM28" s="16">
        <f>+DL28*1.05</f>
        <v>1156.3231680000001</v>
      </c>
      <c r="DN28" s="16">
        <f t="shared" ref="DN28:DQ28" si="129">+DM28*1.05</f>
        <v>1214.1393264000001</v>
      </c>
      <c r="DO28" s="16">
        <f t="shared" si="129"/>
        <v>1274.8462927200001</v>
      </c>
      <c r="DP28" s="16">
        <f t="shared" si="129"/>
        <v>1338.588607356</v>
      </c>
      <c r="DQ28" s="16">
        <f t="shared" si="129"/>
        <v>1405.5180377238</v>
      </c>
    </row>
    <row r="29" spans="2:121" s="15" customFormat="1" x14ac:dyDescent="0.2">
      <c r="B29" s="74" t="s">
        <v>322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>
        <v>110</v>
      </c>
      <c r="CC29" s="16">
        <v>106</v>
      </c>
      <c r="CD29" s="16"/>
      <c r="CE29" s="16">
        <v>115</v>
      </c>
      <c r="CF29" s="16">
        <v>119</v>
      </c>
      <c r="CG29" s="16">
        <v>120</v>
      </c>
      <c r="CH29" s="16">
        <v>118</v>
      </c>
      <c r="CI29" s="16">
        <v>131</v>
      </c>
      <c r="CJ29" s="16">
        <v>124</v>
      </c>
      <c r="CK29" s="16">
        <v>119</v>
      </c>
      <c r="CL29" s="16">
        <f>+CH29+5</f>
        <v>123</v>
      </c>
      <c r="CM29" s="16">
        <f t="shared" ref="CM29:CP29" si="130">+CI29+5</f>
        <v>136</v>
      </c>
      <c r="CN29" s="16">
        <f t="shared" si="130"/>
        <v>129</v>
      </c>
      <c r="CO29" s="16">
        <f t="shared" si="130"/>
        <v>124</v>
      </c>
      <c r="CP29" s="16">
        <f t="shared" si="130"/>
        <v>128</v>
      </c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>
        <f t="shared" si="127"/>
        <v>472</v>
      </c>
      <c r="DF29" s="16">
        <f t="shared" si="22"/>
        <v>497</v>
      </c>
      <c r="DG29" s="16">
        <f>SUM(CM29:CP29)</f>
        <v>517</v>
      </c>
      <c r="DH29" s="16">
        <f>+DG29</f>
        <v>517</v>
      </c>
      <c r="DI29" s="16">
        <f t="shared" ref="DI29:DQ29" si="131">+DH29</f>
        <v>517</v>
      </c>
      <c r="DJ29" s="16">
        <f t="shared" si="131"/>
        <v>517</v>
      </c>
      <c r="DK29" s="16">
        <f t="shared" si="131"/>
        <v>517</v>
      </c>
      <c r="DL29" s="16">
        <f t="shared" si="131"/>
        <v>517</v>
      </c>
      <c r="DM29" s="16">
        <f t="shared" si="131"/>
        <v>517</v>
      </c>
      <c r="DN29" s="16">
        <f t="shared" si="131"/>
        <v>517</v>
      </c>
      <c r="DO29" s="16">
        <f t="shared" si="131"/>
        <v>517</v>
      </c>
      <c r="DP29" s="16">
        <f t="shared" si="131"/>
        <v>517</v>
      </c>
      <c r="DQ29" s="16">
        <f t="shared" si="131"/>
        <v>517</v>
      </c>
    </row>
    <row r="30" spans="2:121" s="15" customFormat="1" x14ac:dyDescent="0.2">
      <c r="B30" s="109" t="s">
        <v>582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>
        <v>50</v>
      </c>
      <c r="DH30" s="16">
        <v>150</v>
      </c>
      <c r="DI30" s="16">
        <v>300</v>
      </c>
      <c r="DJ30" s="16">
        <v>450</v>
      </c>
      <c r="DK30" s="16">
        <v>600</v>
      </c>
      <c r="DL30" s="16">
        <v>700</v>
      </c>
      <c r="DM30" s="16">
        <v>800</v>
      </c>
      <c r="DN30" s="16">
        <v>900</v>
      </c>
      <c r="DO30" s="16">
        <v>1000</v>
      </c>
      <c r="DP30" s="16">
        <f>+DO30</f>
        <v>1000</v>
      </c>
      <c r="DQ30" s="16">
        <f>+DP30</f>
        <v>1000</v>
      </c>
    </row>
    <row r="31" spans="2:121" s="15" customFormat="1" x14ac:dyDescent="0.2">
      <c r="B31" s="48" t="s">
        <v>230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80</v>
      </c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>
        <f t="shared" si="15"/>
        <v>0</v>
      </c>
      <c r="DA31" s="16">
        <f t="shared" si="16"/>
        <v>0</v>
      </c>
      <c r="DB31" s="16">
        <f t="shared" si="18"/>
        <v>80</v>
      </c>
      <c r="DC31" s="16"/>
      <c r="DD31" s="16"/>
      <c r="DE31" s="16"/>
      <c r="DF31" s="16"/>
      <c r="DG31" s="16"/>
      <c r="DH31" s="16"/>
      <c r="DI31" s="16"/>
      <c r="DJ31" s="16"/>
      <c r="DK31" s="16"/>
    </row>
    <row r="32" spans="2:121" s="15" customFormat="1" x14ac:dyDescent="0.2">
      <c r="B32" s="48" t="s">
        <v>231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19</v>
      </c>
      <c r="BQ32" s="16">
        <v>27</v>
      </c>
      <c r="BR32" s="16">
        <v>34</v>
      </c>
      <c r="BS32" s="16">
        <v>31</v>
      </c>
      <c r="BT32" s="16">
        <v>31</v>
      </c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>
        <f t="shared" si="15"/>
        <v>0</v>
      </c>
      <c r="DA32" s="16">
        <f t="shared" si="16"/>
        <v>80</v>
      </c>
      <c r="DB32" s="16">
        <f t="shared" si="18"/>
        <v>62</v>
      </c>
      <c r="DC32" s="16"/>
      <c r="DD32" s="16"/>
      <c r="DE32" s="16"/>
      <c r="DF32" s="16"/>
      <c r="DG32" s="16"/>
      <c r="DH32" s="16"/>
      <c r="DI32" s="16"/>
      <c r="DJ32" s="16"/>
      <c r="DK32" s="16"/>
    </row>
    <row r="33" spans="2:115" s="15" customFormat="1" x14ac:dyDescent="0.2">
      <c r="B33" s="98" t="s">
        <v>442</v>
      </c>
      <c r="C33" s="16"/>
      <c r="D33" s="16"/>
      <c r="E33" s="16"/>
      <c r="F33" s="16"/>
      <c r="G33" s="16">
        <v>50</v>
      </c>
      <c r="H33" s="16">
        <v>43</v>
      </c>
      <c r="I33" s="16">
        <v>50</v>
      </c>
      <c r="J33" s="16">
        <v>54</v>
      </c>
      <c r="K33" s="16">
        <v>52</v>
      </c>
      <c r="L33" s="16">
        <v>57</v>
      </c>
      <c r="M33" s="16">
        <f>219-N33-L33-K33</f>
        <v>56</v>
      </c>
      <c r="N33" s="16">
        <v>54</v>
      </c>
      <c r="O33" s="16">
        <v>53</v>
      </c>
      <c r="P33" s="16">
        <v>58</v>
      </c>
      <c r="Q33" s="16">
        <f>168-P33-O33</f>
        <v>57</v>
      </c>
      <c r="R33" s="16">
        <v>61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</row>
    <row r="34" spans="2:115" s="15" customFormat="1" x14ac:dyDescent="0.2">
      <c r="B34" s="98" t="s">
        <v>443</v>
      </c>
      <c r="C34" s="16"/>
      <c r="D34" s="16"/>
      <c r="E34" s="16"/>
      <c r="F34" s="16"/>
      <c r="G34" s="16">
        <v>37</v>
      </c>
      <c r="H34" s="16">
        <v>30</v>
      </c>
      <c r="I34" s="16">
        <v>35</v>
      </c>
      <c r="J34" s="16">
        <v>41</v>
      </c>
      <c r="K34" s="16">
        <v>36</v>
      </c>
      <c r="L34" s="16">
        <v>37</v>
      </c>
      <c r="M34" s="16">
        <f>154-L34-K34-N34</f>
        <v>40</v>
      </c>
      <c r="N34" s="16">
        <v>41</v>
      </c>
      <c r="O34" s="16">
        <v>40</v>
      </c>
      <c r="P34" s="16">
        <v>44</v>
      </c>
      <c r="Q34" s="16">
        <f>127-P34-O34</f>
        <v>43</v>
      </c>
      <c r="R34" s="16">
        <v>46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15" s="15" customFormat="1" x14ac:dyDescent="0.2">
      <c r="B35" s="98" t="s">
        <v>444</v>
      </c>
      <c r="C35" s="16"/>
      <c r="D35" s="16"/>
      <c r="E35" s="16"/>
      <c r="F35" s="16"/>
      <c r="G35" s="16">
        <v>700</v>
      </c>
      <c r="H35" s="16">
        <v>706</v>
      </c>
      <c r="I35" s="16">
        <v>711</v>
      </c>
      <c r="J35" s="16">
        <v>475</v>
      </c>
      <c r="K35" s="16">
        <v>590</v>
      </c>
      <c r="L35" s="16">
        <v>337</v>
      </c>
      <c r="M35" s="16">
        <f>2501-L35-K35-N35</f>
        <v>942</v>
      </c>
      <c r="N35" s="16">
        <v>632</v>
      </c>
      <c r="O35" s="16">
        <v>616</v>
      </c>
      <c r="P35" s="16">
        <v>663</v>
      </c>
      <c r="Q35" s="16">
        <f>1891-P35-O35</f>
        <v>612</v>
      </c>
      <c r="R35" s="16">
        <v>709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15" s="15" customFormat="1" x14ac:dyDescent="0.2">
      <c r="B36" s="15" t="s">
        <v>9</v>
      </c>
      <c r="C36" s="16"/>
      <c r="D36" s="16"/>
      <c r="E36" s="16"/>
      <c r="F36" s="16"/>
      <c r="G36" s="16">
        <v>180</v>
      </c>
      <c r="H36" s="16">
        <v>182</v>
      </c>
      <c r="I36" s="16">
        <v>202</v>
      </c>
      <c r="J36" s="16">
        <v>206</v>
      </c>
      <c r="K36" s="16">
        <v>171</v>
      </c>
      <c r="L36" s="16">
        <v>174</v>
      </c>
      <c r="M36" s="16">
        <f>699-L36-K36-N36</f>
        <v>181</v>
      </c>
      <c r="N36" s="16">
        <v>173</v>
      </c>
      <c r="O36" s="16">
        <v>168</v>
      </c>
      <c r="P36" s="16">
        <v>159</v>
      </c>
      <c r="Q36" s="16">
        <f>499-P36-O36</f>
        <v>172</v>
      </c>
      <c r="R36" s="16">
        <v>164</v>
      </c>
      <c r="S36" s="16"/>
      <c r="T36" s="16"/>
      <c r="U36" s="16"/>
      <c r="V36" s="16"/>
      <c r="W36" s="16">
        <f>218-X36</f>
        <v>64</v>
      </c>
      <c r="X36" s="16">
        <v>154</v>
      </c>
      <c r="Y36" s="16">
        <v>221</v>
      </c>
      <c r="Z36" s="16">
        <v>213</v>
      </c>
      <c r="AA36" s="16">
        <f>390-AB36</f>
        <v>193</v>
      </c>
      <c r="AB36" s="16">
        <v>197</v>
      </c>
      <c r="AC36" s="16">
        <v>195</v>
      </c>
      <c r="AD36" s="16">
        <v>215</v>
      </c>
      <c r="AE36" s="16">
        <v>172</v>
      </c>
      <c r="AF36" s="16">
        <v>187</v>
      </c>
      <c r="AG36" s="16">
        <v>189</v>
      </c>
      <c r="AH36" s="16">
        <v>200</v>
      </c>
      <c r="AI36" s="16">
        <v>184</v>
      </c>
      <c r="AJ36" s="16">
        <v>205</v>
      </c>
      <c r="AK36" s="16">
        <f>810-AJ36-AI36-AL36</f>
        <v>213</v>
      </c>
      <c r="AL36" s="16">
        <v>208</v>
      </c>
      <c r="AM36" s="16">
        <v>199</v>
      </c>
      <c r="AN36" s="16">
        <v>200</v>
      </c>
      <c r="AO36" s="16">
        <v>189</v>
      </c>
      <c r="AP36" s="16">
        <v>211</v>
      </c>
      <c r="AQ36" s="16">
        <v>181</v>
      </c>
      <c r="AR36" s="16">
        <v>199</v>
      </c>
      <c r="AS36" s="16">
        <v>196</v>
      </c>
      <c r="AT36" s="16">
        <v>209</v>
      </c>
      <c r="AU36" s="16">
        <v>189</v>
      </c>
      <c r="AV36" s="16">
        <v>186</v>
      </c>
      <c r="AW36" s="16">
        <v>196</v>
      </c>
      <c r="AX36" s="16">
        <v>207</v>
      </c>
      <c r="AY36" s="16">
        <v>192</v>
      </c>
      <c r="AZ36" s="16">
        <v>198</v>
      </c>
      <c r="BA36" s="16">
        <v>201</v>
      </c>
      <c r="BB36" s="16">
        <v>235</v>
      </c>
      <c r="BC36" s="16">
        <v>190</v>
      </c>
      <c r="BD36" s="16">
        <v>219</v>
      </c>
      <c r="BE36" s="16">
        <v>193</v>
      </c>
      <c r="BF36" s="16">
        <v>219</v>
      </c>
      <c r="BG36" s="16">
        <v>194</v>
      </c>
      <c r="BH36" s="16">
        <v>210</v>
      </c>
      <c r="BI36" s="16">
        <v>201</v>
      </c>
      <c r="BJ36" s="16">
        <v>224</v>
      </c>
      <c r="BK36" s="16">
        <v>219</v>
      </c>
      <c r="BL36" s="16">
        <v>223</v>
      </c>
      <c r="BM36" s="16">
        <v>214</v>
      </c>
      <c r="BN36" s="16">
        <v>236</v>
      </c>
      <c r="BO36" s="16">
        <v>229</v>
      </c>
      <c r="BP36" s="16">
        <v>209</v>
      </c>
      <c r="BQ36" s="16">
        <v>230</v>
      </c>
      <c r="BR36" s="16">
        <v>219</v>
      </c>
      <c r="BS36" s="16">
        <v>233</v>
      </c>
      <c r="BT36" s="16">
        <v>205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>
        <f t="shared" si="15"/>
        <v>892</v>
      </c>
      <c r="DA36" s="16">
        <f t="shared" si="16"/>
        <v>887</v>
      </c>
      <c r="DB36" s="16">
        <f t="shared" si="18"/>
        <v>438</v>
      </c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15" s="15" customFormat="1" x14ac:dyDescent="0.2">
      <c r="B37" s="15" t="s">
        <v>7</v>
      </c>
      <c r="C37" s="16"/>
      <c r="D37" s="16"/>
      <c r="E37" s="16"/>
      <c r="F37" s="16"/>
      <c r="G37" s="16">
        <v>180</v>
      </c>
      <c r="H37" s="16">
        <v>189</v>
      </c>
      <c r="I37" s="16">
        <v>165</v>
      </c>
      <c r="J37" s="16">
        <v>154</v>
      </c>
      <c r="K37" s="16">
        <v>136</v>
      </c>
      <c r="L37" s="16">
        <v>127</v>
      </c>
      <c r="M37" s="16">
        <f>554-L37-K37-N37</f>
        <v>135</v>
      </c>
      <c r="N37" s="16">
        <v>156</v>
      </c>
      <c r="O37" s="16">
        <v>126</v>
      </c>
      <c r="P37" s="16">
        <v>149</v>
      </c>
      <c r="Q37" s="16">
        <f>403-P37-O37</f>
        <v>128</v>
      </c>
      <c r="R37" s="16">
        <v>132</v>
      </c>
      <c r="S37" s="16">
        <v>129</v>
      </c>
      <c r="T37" s="16">
        <v>121</v>
      </c>
      <c r="U37" s="16">
        <v>130</v>
      </c>
      <c r="V37" s="16">
        <v>153</v>
      </c>
      <c r="W37" s="16">
        <v>115</v>
      </c>
      <c r="X37" s="16">
        <v>138</v>
      </c>
      <c r="Y37" s="16">
        <v>129</v>
      </c>
      <c r="Z37" s="16">
        <v>142</v>
      </c>
      <c r="AA37" s="16">
        <f>220-AB37</f>
        <v>104</v>
      </c>
      <c r="AB37" s="16">
        <v>116</v>
      </c>
      <c r="AC37" s="16">
        <v>134</v>
      </c>
      <c r="AD37" s="16">
        <v>148</v>
      </c>
      <c r="AE37" s="16">
        <v>123</v>
      </c>
      <c r="AF37" s="16">
        <v>129</v>
      </c>
      <c r="AG37" s="16">
        <v>143</v>
      </c>
      <c r="AH37" s="16">
        <v>160</v>
      </c>
      <c r="AI37" s="16">
        <v>145</v>
      </c>
      <c r="AJ37" s="16">
        <v>169</v>
      </c>
      <c r="AK37" s="16">
        <f>638-AJ37-AI37-AL37</f>
        <v>161</v>
      </c>
      <c r="AL37" s="16">
        <v>163</v>
      </c>
      <c r="AM37" s="16">
        <v>155</v>
      </c>
      <c r="AN37" s="16">
        <v>149</v>
      </c>
      <c r="AO37" s="16">
        <v>157</v>
      </c>
      <c r="AP37" s="16">
        <v>194</v>
      </c>
      <c r="AQ37" s="16">
        <v>119</v>
      </c>
      <c r="AR37" s="16">
        <v>153</v>
      </c>
      <c r="AS37" s="16">
        <v>161</v>
      </c>
      <c r="AT37" s="16">
        <v>189</v>
      </c>
      <c r="AU37" s="16">
        <v>157</v>
      </c>
      <c r="AV37" s="16">
        <v>166</v>
      </c>
      <c r="AW37" s="16">
        <v>200</v>
      </c>
      <c r="AX37" s="16">
        <v>186</v>
      </c>
      <c r="AY37" s="16">
        <v>186</v>
      </c>
      <c r="AZ37" s="16">
        <v>187</v>
      </c>
      <c r="BA37" s="16">
        <v>188</v>
      </c>
      <c r="BB37" s="16">
        <v>194</v>
      </c>
      <c r="BC37" s="16">
        <v>182</v>
      </c>
      <c r="BD37" s="16">
        <v>188</v>
      </c>
      <c r="BE37" s="16">
        <v>188</v>
      </c>
      <c r="BF37" s="16">
        <v>205</v>
      </c>
      <c r="BG37" s="16">
        <v>192</v>
      </c>
      <c r="BH37" s="16">
        <v>193</v>
      </c>
      <c r="BI37" s="16">
        <v>191</v>
      </c>
      <c r="BJ37" s="16">
        <v>205</v>
      </c>
      <c r="BK37" s="16">
        <v>182</v>
      </c>
      <c r="BL37" s="16">
        <v>193</v>
      </c>
      <c r="BM37" s="16">
        <v>192</v>
      </c>
      <c r="BN37" s="16">
        <v>209</v>
      </c>
      <c r="BO37" s="16">
        <v>182</v>
      </c>
      <c r="BP37" s="16">
        <v>203</v>
      </c>
      <c r="BQ37" s="16">
        <v>197</v>
      </c>
      <c r="BR37" s="16">
        <v>204</v>
      </c>
      <c r="BS37" s="16">
        <v>205</v>
      </c>
      <c r="BT37" s="16">
        <v>183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>
        <f t="shared" si="15"/>
        <v>776</v>
      </c>
      <c r="DA37" s="16">
        <f t="shared" si="16"/>
        <v>786</v>
      </c>
      <c r="DB37" s="16">
        <f t="shared" si="18"/>
        <v>388</v>
      </c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15" s="15" customFormat="1" x14ac:dyDescent="0.2">
      <c r="B38" s="48" t="s">
        <v>232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36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>
        <f t="shared" si="15"/>
        <v>0</v>
      </c>
      <c r="DA38" s="16">
        <f t="shared" si="16"/>
        <v>0</v>
      </c>
      <c r="DB38" s="16">
        <f t="shared" si="18"/>
        <v>36</v>
      </c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15" s="15" customFormat="1" x14ac:dyDescent="0.2">
      <c r="B39" s="15" t="s">
        <v>2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>
        <v>96</v>
      </c>
      <c r="AP39" s="16"/>
      <c r="AQ39" s="16">
        <v>345</v>
      </c>
      <c r="AR39" s="16">
        <v>70</v>
      </c>
      <c r="AS39" s="16">
        <v>98</v>
      </c>
      <c r="AT39" s="16">
        <v>314</v>
      </c>
      <c r="AU39" s="16">
        <v>354</v>
      </c>
      <c r="AV39" s="16">
        <v>74</v>
      </c>
      <c r="AW39" s="16">
        <v>109</v>
      </c>
      <c r="AX39" s="16">
        <v>298</v>
      </c>
      <c r="AY39" s="16">
        <v>335</v>
      </c>
      <c r="AZ39" s="16">
        <v>46</v>
      </c>
      <c r="BA39" s="16">
        <v>93</v>
      </c>
      <c r="BB39" s="16">
        <v>266</v>
      </c>
      <c r="BC39" s="16">
        <v>319</v>
      </c>
      <c r="BD39" s="16">
        <v>45</v>
      </c>
      <c r="BE39" s="16">
        <v>96</v>
      </c>
      <c r="BF39" s="16">
        <v>270</v>
      </c>
      <c r="BG39" s="16">
        <v>300</v>
      </c>
      <c r="BH39" s="16">
        <v>40</v>
      </c>
      <c r="BI39" s="16">
        <v>116</v>
      </c>
      <c r="BJ39" s="16">
        <v>282</v>
      </c>
      <c r="BK39" s="16">
        <v>321</v>
      </c>
      <c r="BL39" s="16">
        <v>44</v>
      </c>
      <c r="BM39" s="16">
        <v>97</v>
      </c>
      <c r="BN39" s="16">
        <v>264</v>
      </c>
      <c r="BO39" s="16">
        <v>287</v>
      </c>
      <c r="BP39" s="16">
        <v>38</v>
      </c>
      <c r="BQ39" s="16">
        <v>132</v>
      </c>
      <c r="BR39" s="16">
        <v>261</v>
      </c>
      <c r="BS39" s="16">
        <v>270</v>
      </c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726</v>
      </c>
      <c r="DA39" s="16">
        <f t="shared" si="16"/>
        <v>718</v>
      </c>
      <c r="DB39" s="16">
        <f t="shared" si="18"/>
        <v>270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15" s="15" customFormat="1" x14ac:dyDescent="0.2">
      <c r="B40" s="98" t="s">
        <v>432</v>
      </c>
      <c r="C40" s="16"/>
      <c r="D40" s="16"/>
      <c r="E40" s="16"/>
      <c r="F40" s="16"/>
      <c r="G40" s="16">
        <v>17</v>
      </c>
      <c r="H40" s="16">
        <v>193</v>
      </c>
      <c r="I40" s="16">
        <v>200</v>
      </c>
      <c r="J40" s="16">
        <v>211</v>
      </c>
      <c r="K40" s="16">
        <v>197</v>
      </c>
      <c r="L40" s="16">
        <v>226</v>
      </c>
      <c r="M40" s="16">
        <f>874-L40-K40-N40</f>
        <v>218</v>
      </c>
      <c r="N40" s="16">
        <v>233</v>
      </c>
      <c r="O40" s="16">
        <v>207</v>
      </c>
      <c r="P40" s="16">
        <v>189</v>
      </c>
      <c r="Q40" s="16">
        <f>604-P40-O40</f>
        <v>208</v>
      </c>
      <c r="R40" s="16">
        <v>195</v>
      </c>
      <c r="S40" s="16">
        <v>174</v>
      </c>
      <c r="T40" s="16">
        <v>197</v>
      </c>
      <c r="U40" s="16">
        <v>188</v>
      </c>
      <c r="V40" s="16">
        <v>200</v>
      </c>
      <c r="W40" s="16">
        <v>187</v>
      </c>
      <c r="X40" s="16">
        <v>202</v>
      </c>
      <c r="Y40" s="16">
        <v>200</v>
      </c>
      <c r="Z40" s="16">
        <v>198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15" s="15" customFormat="1" x14ac:dyDescent="0.2">
      <c r="B41" s="15" t="s">
        <v>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>
        <v>241</v>
      </c>
      <c r="AN41" s="16">
        <v>284</v>
      </c>
      <c r="AO41" s="16">
        <v>287</v>
      </c>
      <c r="AP41" s="16">
        <v>373</v>
      </c>
      <c r="AQ41" s="16">
        <v>240</v>
      </c>
      <c r="AR41" s="16">
        <v>258</v>
      </c>
      <c r="AS41" s="16">
        <v>248</v>
      </c>
      <c r="AT41" s="16">
        <v>289</v>
      </c>
      <c r="AU41" s="16">
        <v>254</v>
      </c>
      <c r="AV41" s="16">
        <v>218</v>
      </c>
      <c r="AW41" s="16">
        <v>232</v>
      </c>
      <c r="AX41" s="16">
        <v>230</v>
      </c>
      <c r="AY41" s="16">
        <v>153</v>
      </c>
      <c r="AZ41" s="16">
        <v>170</v>
      </c>
      <c r="BA41" s="16">
        <v>177</v>
      </c>
      <c r="BB41" s="16">
        <v>194</v>
      </c>
      <c r="BC41" s="16">
        <v>156</v>
      </c>
      <c r="BD41" s="16">
        <v>171</v>
      </c>
      <c r="BE41" s="16">
        <v>174</v>
      </c>
      <c r="BF41" s="16">
        <v>174</v>
      </c>
      <c r="BG41" s="16">
        <v>136</v>
      </c>
      <c r="BH41" s="16">
        <v>154</v>
      </c>
      <c r="BI41" s="16">
        <v>147</v>
      </c>
      <c r="BJ41" s="16">
        <v>140</v>
      </c>
      <c r="BK41" s="16">
        <v>130</v>
      </c>
      <c r="BL41" s="16">
        <v>128</v>
      </c>
      <c r="BM41" s="16">
        <v>135</v>
      </c>
      <c r="BN41" s="16">
        <v>76</v>
      </c>
      <c r="BO41" s="16">
        <v>74</v>
      </c>
      <c r="BP41" s="16">
        <v>22</v>
      </c>
      <c r="BQ41" s="16">
        <v>53</v>
      </c>
      <c r="BR41" s="16">
        <v>23</v>
      </c>
      <c r="BS41" s="16">
        <v>8</v>
      </c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469</v>
      </c>
      <c r="DA41" s="16">
        <f t="shared" si="16"/>
        <v>172</v>
      </c>
      <c r="DB41" s="16">
        <f t="shared" si="18"/>
        <v>8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15" s="15" customFormat="1" x14ac:dyDescent="0.2">
      <c r="B42" s="98" t="s">
        <v>449</v>
      </c>
      <c r="C42" s="16"/>
      <c r="D42" s="16"/>
      <c r="E42" s="16"/>
      <c r="F42" s="16"/>
      <c r="G42" s="16">
        <v>104</v>
      </c>
      <c r="H42" s="16">
        <v>104</v>
      </c>
      <c r="I42" s="16">
        <v>126</v>
      </c>
      <c r="J42" s="16">
        <v>258</v>
      </c>
      <c r="K42" s="16">
        <v>293</v>
      </c>
      <c r="L42" s="16">
        <v>322</v>
      </c>
      <c r="M42" s="16">
        <f>1232-N42-K42-L42</f>
        <v>311</v>
      </c>
      <c r="N42" s="16">
        <v>306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15" s="15" customFormat="1" x14ac:dyDescent="0.2">
      <c r="B43" s="98" t="s">
        <v>437</v>
      </c>
      <c r="C43" s="16"/>
      <c r="D43" s="16"/>
      <c r="E43" s="16"/>
      <c r="F43" s="16"/>
      <c r="G43" s="16">
        <v>75</v>
      </c>
      <c r="H43" s="16">
        <v>50</v>
      </c>
      <c r="I43" s="16">
        <v>50</v>
      </c>
      <c r="J43" s="16">
        <v>148</v>
      </c>
      <c r="K43" s="16">
        <v>135</v>
      </c>
      <c r="L43" s="16">
        <v>85</v>
      </c>
      <c r="M43" s="16">
        <f>495-N43-L43-K43</f>
        <v>86</v>
      </c>
      <c r="N43" s="16">
        <v>189</v>
      </c>
      <c r="O43" s="16">
        <v>143</v>
      </c>
      <c r="P43" s="16">
        <v>135</v>
      </c>
      <c r="Q43" s="16">
        <f>378-P43-O43</f>
        <v>100</v>
      </c>
      <c r="R43" s="16">
        <v>259</v>
      </c>
      <c r="S43" s="16">
        <v>161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15" s="15" customFormat="1" x14ac:dyDescent="0.2">
      <c r="B44" s="98" t="s">
        <v>427</v>
      </c>
      <c r="C44" s="16"/>
      <c r="D44" s="16"/>
      <c r="E44" s="16"/>
      <c r="F44" s="16"/>
      <c r="G44" s="16">
        <v>290</v>
      </c>
      <c r="H44" s="16">
        <v>286</v>
      </c>
      <c r="I44" s="16">
        <v>224</v>
      </c>
      <c r="J44" s="16">
        <v>383</v>
      </c>
      <c r="K44" s="16">
        <v>353</v>
      </c>
      <c r="L44" s="16">
        <v>254</v>
      </c>
      <c r="M44" s="16">
        <f>1065-N44-L44-K44</f>
        <v>177</v>
      </c>
      <c r="N44" s="16">
        <v>281</v>
      </c>
      <c r="O44" s="16">
        <v>249</v>
      </c>
      <c r="P44" s="16">
        <v>138</v>
      </c>
      <c r="Q44" s="16">
        <f>580-P44-O44</f>
        <v>193</v>
      </c>
      <c r="R44" s="16">
        <v>235</v>
      </c>
      <c r="S44" s="16">
        <v>224</v>
      </c>
      <c r="T44" s="16">
        <v>170</v>
      </c>
      <c r="U44" s="16">
        <v>131</v>
      </c>
      <c r="V44" s="16">
        <v>200</v>
      </c>
      <c r="W44" s="16">
        <v>222</v>
      </c>
      <c r="X44" s="16">
        <v>159</v>
      </c>
      <c r="Y44" s="16">
        <v>115</v>
      </c>
      <c r="Z44" s="16">
        <v>154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15" s="15" customFormat="1" x14ac:dyDescent="0.2">
      <c r="B45" s="15" t="s">
        <v>11</v>
      </c>
      <c r="C45" s="16"/>
      <c r="D45" s="16"/>
      <c r="E45" s="16"/>
      <c r="F45" s="16"/>
      <c r="G45" s="16">
        <v>200</v>
      </c>
      <c r="H45" s="16">
        <v>225</v>
      </c>
      <c r="I45" s="16">
        <v>224</v>
      </c>
      <c r="J45" s="16">
        <v>247</v>
      </c>
      <c r="K45" s="16">
        <v>238</v>
      </c>
      <c r="L45" s="16">
        <v>236</v>
      </c>
      <c r="M45" s="16">
        <f>1005-N45-L45-K45</f>
        <v>259</v>
      </c>
      <c r="N45" s="16">
        <v>272</v>
      </c>
      <c r="O45" s="16">
        <v>280</v>
      </c>
      <c r="P45" s="16">
        <v>294</v>
      </c>
      <c r="Q45" s="16">
        <f>839-P45-O45</f>
        <v>265</v>
      </c>
      <c r="R45" s="16">
        <v>159</v>
      </c>
      <c r="S45" s="16">
        <v>300</v>
      </c>
      <c r="T45" s="16">
        <v>315</v>
      </c>
      <c r="U45" s="16">
        <v>338</v>
      </c>
      <c r="V45" s="16">
        <v>371</v>
      </c>
      <c r="W45" s="16">
        <v>353</v>
      </c>
      <c r="X45" s="16">
        <v>355</v>
      </c>
      <c r="Y45" s="16">
        <v>387</v>
      </c>
      <c r="Z45" s="16">
        <v>378</v>
      </c>
      <c r="AA45" s="16">
        <f>635-AB45</f>
        <v>292</v>
      </c>
      <c r="AB45" s="16">
        <v>343</v>
      </c>
      <c r="AC45" s="16">
        <v>353</v>
      </c>
      <c r="AD45" s="16">
        <v>378</v>
      </c>
      <c r="AE45" s="16">
        <v>292</v>
      </c>
      <c r="AF45" s="16">
        <v>294</v>
      </c>
      <c r="AG45" s="16">
        <v>328</v>
      </c>
      <c r="AH45" s="16">
        <v>341</v>
      </c>
      <c r="AI45" s="16">
        <v>248</v>
      </c>
      <c r="AJ45" s="16">
        <v>336</v>
      </c>
      <c r="AK45" s="16">
        <f>1170-AJ45-AI45-AL45</f>
        <v>298</v>
      </c>
      <c r="AL45" s="16">
        <v>288</v>
      </c>
      <c r="AM45" s="16">
        <v>221</v>
      </c>
      <c r="AN45" s="16">
        <v>275</v>
      </c>
      <c r="AO45" s="16">
        <v>267</v>
      </c>
      <c r="AP45" s="16">
        <v>250</v>
      </c>
      <c r="AQ45" s="16">
        <v>219</v>
      </c>
      <c r="AR45" s="16">
        <v>278</v>
      </c>
      <c r="AS45" s="16">
        <v>237</v>
      </c>
      <c r="AT45" s="16">
        <v>228</v>
      </c>
      <c r="AU45" s="16">
        <v>195</v>
      </c>
      <c r="AV45" s="16">
        <v>216</v>
      </c>
      <c r="AW45" s="16">
        <v>256</v>
      </c>
      <c r="AX45" s="16">
        <v>203</v>
      </c>
      <c r="AY45" s="16">
        <v>180</v>
      </c>
      <c r="AZ45" s="16">
        <v>167</v>
      </c>
      <c r="BA45" s="16">
        <v>168</v>
      </c>
      <c r="BB45" s="16">
        <v>185</v>
      </c>
      <c r="BC45" s="16">
        <v>133</v>
      </c>
      <c r="BD45" s="16">
        <v>146</v>
      </c>
      <c r="BE45" s="16">
        <v>137</v>
      </c>
      <c r="BF45" s="16">
        <v>133</v>
      </c>
      <c r="BG45" s="16">
        <v>115</v>
      </c>
      <c r="BH45" s="16">
        <v>110</v>
      </c>
      <c r="BI45" s="16">
        <v>85</v>
      </c>
      <c r="BJ45" s="16">
        <v>113</v>
      </c>
      <c r="BK45" s="16">
        <v>73</v>
      </c>
      <c r="BL45" s="16">
        <v>91</v>
      </c>
      <c r="BM45" s="16">
        <v>88</v>
      </c>
      <c r="BN45" s="16">
        <v>84</v>
      </c>
      <c r="BO45" s="16">
        <v>78</v>
      </c>
      <c r="BP45" s="16">
        <v>77</v>
      </c>
      <c r="BQ45" s="16">
        <v>74</v>
      </c>
      <c r="BR45" s="16">
        <v>54</v>
      </c>
      <c r="BS45" s="16">
        <v>86</v>
      </c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>
        <f t="shared" si="15"/>
        <v>336</v>
      </c>
      <c r="DA45" s="16">
        <f t="shared" si="16"/>
        <v>283</v>
      </c>
      <c r="DB45" s="16">
        <f t="shared" si="18"/>
        <v>86</v>
      </c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15" s="15" customFormat="1" x14ac:dyDescent="0.2">
      <c r="B46" s="98" t="s">
        <v>426</v>
      </c>
      <c r="C46" s="16"/>
      <c r="D46" s="16"/>
      <c r="E46" s="16"/>
      <c r="F46" s="16"/>
      <c r="G46" s="16">
        <v>225</v>
      </c>
      <c r="H46" s="16">
        <v>224</v>
      </c>
      <c r="I46" s="16">
        <v>262</v>
      </c>
      <c r="J46" s="16">
        <v>317</v>
      </c>
      <c r="K46" s="16">
        <v>217</v>
      </c>
      <c r="L46" s="16">
        <v>267</v>
      </c>
      <c r="M46" s="16">
        <f>1096-N46-L46-K46</f>
        <v>262</v>
      </c>
      <c r="N46" s="16">
        <v>350</v>
      </c>
      <c r="O46" s="16">
        <v>246</v>
      </c>
      <c r="P46" s="16">
        <v>339</v>
      </c>
      <c r="Q46" s="16">
        <f>904-P46-O46</f>
        <v>319</v>
      </c>
      <c r="R46" s="16">
        <v>405</v>
      </c>
      <c r="S46" s="16">
        <v>326</v>
      </c>
      <c r="T46" s="16">
        <v>404</v>
      </c>
      <c r="U46" s="16">
        <v>383</v>
      </c>
      <c r="V46" s="16">
        <v>461</v>
      </c>
      <c r="W46" s="16">
        <v>365</v>
      </c>
      <c r="X46" s="16">
        <v>414</v>
      </c>
      <c r="Y46" s="16">
        <v>387</v>
      </c>
      <c r="Z46" s="16">
        <v>268</v>
      </c>
      <c r="AA46" s="16">
        <f>232-AB46</f>
        <v>130</v>
      </c>
      <c r="AB46" s="16">
        <v>102</v>
      </c>
      <c r="AC46" s="16">
        <v>92</v>
      </c>
      <c r="AD46" s="16">
        <v>102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15" s="15" customFormat="1" x14ac:dyDescent="0.2">
      <c r="B47" s="15" t="s">
        <v>10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>
        <v>142</v>
      </c>
      <c r="T47" s="16">
        <v>170</v>
      </c>
      <c r="U47" s="16">
        <v>167</v>
      </c>
      <c r="V47" s="16">
        <v>179</v>
      </c>
      <c r="W47" s="16">
        <v>176</v>
      </c>
      <c r="X47" s="16">
        <v>194</v>
      </c>
      <c r="Y47" s="16">
        <v>194</v>
      </c>
      <c r="Z47" s="16">
        <v>221</v>
      </c>
      <c r="AA47" s="16">
        <f>386-AB47</f>
        <v>178</v>
      </c>
      <c r="AB47" s="16">
        <v>208</v>
      </c>
      <c r="AC47" s="16">
        <v>215</v>
      </c>
      <c r="AD47" s="16">
        <v>254</v>
      </c>
      <c r="AE47" s="16">
        <v>205</v>
      </c>
      <c r="AF47" s="16">
        <v>211</v>
      </c>
      <c r="AG47" s="16">
        <v>225</v>
      </c>
      <c r="AH47" s="16">
        <v>286</v>
      </c>
      <c r="AI47" s="16">
        <v>226</v>
      </c>
      <c r="AJ47" s="16">
        <v>247</v>
      </c>
      <c r="AK47" s="16">
        <f>976-AJ47-AI47-AL47</f>
        <v>245</v>
      </c>
      <c r="AL47" s="16">
        <v>258</v>
      </c>
      <c r="AM47" s="16">
        <v>191</v>
      </c>
      <c r="AN47" s="16">
        <v>211</v>
      </c>
      <c r="AO47" s="16">
        <v>232</v>
      </c>
      <c r="AP47" s="16">
        <v>277</v>
      </c>
      <c r="AQ47" s="16">
        <v>186</v>
      </c>
      <c r="AR47" s="16">
        <v>232</v>
      </c>
      <c r="AS47" s="16">
        <v>201</v>
      </c>
      <c r="AT47" s="16">
        <v>31</v>
      </c>
      <c r="AU47" s="16">
        <v>47</v>
      </c>
      <c r="AV47" s="16">
        <v>21</v>
      </c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>
        <f t="shared" si="15"/>
        <v>0</v>
      </c>
      <c r="DA47" s="16">
        <f t="shared" si="16"/>
        <v>0</v>
      </c>
      <c r="DB47" s="16">
        <f t="shared" si="18"/>
        <v>0</v>
      </c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15" s="15" customFormat="1" x14ac:dyDescent="0.2">
      <c r="B48" s="48" t="s">
        <v>233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16">
        <v>48</v>
      </c>
      <c r="AY48" s="16">
        <v>231</v>
      </c>
      <c r="AZ48" s="16">
        <v>385</v>
      </c>
      <c r="BA48" s="16">
        <v>469</v>
      </c>
      <c r="BB48" s="16">
        <v>554</v>
      </c>
      <c r="BC48" s="16">
        <v>414</v>
      </c>
      <c r="BD48" s="16">
        <v>419</v>
      </c>
      <c r="BE48" s="16">
        <v>378</v>
      </c>
      <c r="BF48" s="16">
        <v>311</v>
      </c>
      <c r="BG48" s="16">
        <v>263</v>
      </c>
      <c r="BH48" s="16">
        <v>225</v>
      </c>
      <c r="BI48" s="16">
        <v>0</v>
      </c>
      <c r="BJ48" s="16">
        <v>0</v>
      </c>
      <c r="BK48" s="16">
        <v>0</v>
      </c>
      <c r="BL48" s="16">
        <v>0</v>
      </c>
      <c r="BM48" s="16">
        <v>23</v>
      </c>
      <c r="BN48" s="16">
        <v>43</v>
      </c>
      <c r="BO48" s="16">
        <v>25</v>
      </c>
      <c r="BP48" s="16">
        <v>4</v>
      </c>
      <c r="BQ48" s="16">
        <v>3</v>
      </c>
      <c r="BR48" s="16">
        <v>4</v>
      </c>
      <c r="BS48" s="16">
        <v>5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66</v>
      </c>
      <c r="DA48" s="16">
        <f t="shared" si="16"/>
        <v>36</v>
      </c>
      <c r="DB48" s="16">
        <f t="shared" si="18"/>
        <v>5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243" s="15" customFormat="1" x14ac:dyDescent="0.2">
      <c r="B49" s="15" t="s">
        <v>8</v>
      </c>
      <c r="C49" s="16"/>
      <c r="D49" s="16"/>
      <c r="E49" s="16"/>
      <c r="F49" s="16"/>
      <c r="G49" s="16"/>
      <c r="H49" s="16"/>
      <c r="I49" s="16">
        <v>208</v>
      </c>
      <c r="J49" s="16">
        <v>227</v>
      </c>
      <c r="K49" s="16">
        <v>171</v>
      </c>
      <c r="L49" s="16">
        <v>219</v>
      </c>
      <c r="M49" s="16">
        <f>927-N49-L49-K49</f>
        <v>225</v>
      </c>
      <c r="N49" s="16">
        <v>312</v>
      </c>
      <c r="O49" s="16">
        <v>205</v>
      </c>
      <c r="P49" s="16">
        <v>266</v>
      </c>
      <c r="Q49" s="16">
        <f>722-P49-O49</f>
        <v>251</v>
      </c>
      <c r="R49" s="16">
        <v>326</v>
      </c>
      <c r="S49" s="16">
        <v>223</v>
      </c>
      <c r="T49" s="16">
        <v>302</v>
      </c>
      <c r="U49" s="16">
        <v>300</v>
      </c>
      <c r="V49" s="16">
        <v>392</v>
      </c>
      <c r="W49" s="16">
        <v>245</v>
      </c>
      <c r="X49" s="16">
        <v>307</v>
      </c>
      <c r="Y49" s="16">
        <v>334</v>
      </c>
      <c r="Z49" s="16">
        <v>455</v>
      </c>
      <c r="AA49" s="16">
        <f>588-AB49</f>
        <v>252</v>
      </c>
      <c r="AB49" s="16">
        <v>336</v>
      </c>
      <c r="AC49" s="16">
        <v>330</v>
      </c>
      <c r="AD49" s="16">
        <v>419</v>
      </c>
      <c r="AE49" s="16">
        <v>291</v>
      </c>
      <c r="AF49" s="16">
        <v>388</v>
      </c>
      <c r="AG49" s="16">
        <v>404</v>
      </c>
      <c r="AH49" s="16">
        <v>499</v>
      </c>
      <c r="AI49" s="16">
        <v>372</v>
      </c>
      <c r="AJ49" s="16">
        <v>419</v>
      </c>
      <c r="AK49" s="16">
        <f>1692-AJ49-AI49-AL49</f>
        <v>418</v>
      </c>
      <c r="AL49" s="16">
        <v>483</v>
      </c>
      <c r="AM49" s="16">
        <v>329</v>
      </c>
      <c r="AN49" s="16">
        <v>388</v>
      </c>
      <c r="AO49" s="16">
        <v>404</v>
      </c>
      <c r="AP49" s="16">
        <v>269</v>
      </c>
      <c r="AQ49" s="16">
        <v>128</v>
      </c>
      <c r="AR49" s="16">
        <v>107</v>
      </c>
      <c r="AS49" s="16">
        <v>39</v>
      </c>
      <c r="AT49" s="16">
        <v>29</v>
      </c>
      <c r="AU49" s="16">
        <v>23</v>
      </c>
      <c r="AV49" s="16">
        <v>17</v>
      </c>
      <c r="AW49" s="16">
        <v>63</v>
      </c>
      <c r="AX49" s="16">
        <v>104</v>
      </c>
      <c r="AY49" s="16"/>
      <c r="AZ49" s="16"/>
      <c r="BA49" s="16"/>
      <c r="BB49" s="16"/>
      <c r="BC49" s="16"/>
      <c r="BD49" s="16"/>
      <c r="BE49" s="16"/>
      <c r="BF49" s="16"/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>
        <f t="shared" si="15"/>
        <v>0</v>
      </c>
      <c r="DA49" s="16">
        <f t="shared" si="16"/>
        <v>0</v>
      </c>
      <c r="DB49" s="16">
        <f t="shared" si="18"/>
        <v>0</v>
      </c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243" s="15" customFormat="1" x14ac:dyDescent="0.2">
      <c r="B50" s="15" t="s">
        <v>63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>
        <v>135</v>
      </c>
      <c r="AP50" s="16"/>
      <c r="AQ50" s="16">
        <f>274-AR50</f>
        <v>137</v>
      </c>
      <c r="AR50" s="16">
        <v>137</v>
      </c>
      <c r="AS50" s="16">
        <v>138</v>
      </c>
      <c r="AT50" s="16">
        <v>156</v>
      </c>
      <c r="AU50" s="16">
        <v>142</v>
      </c>
      <c r="AV50" s="16">
        <v>154</v>
      </c>
      <c r="AW50" s="16">
        <v>134</v>
      </c>
      <c r="AX50" s="16">
        <v>120</v>
      </c>
      <c r="AY50" s="16">
        <v>126</v>
      </c>
      <c r="AZ50" s="16">
        <v>118</v>
      </c>
      <c r="BA50" s="16">
        <v>122</v>
      </c>
      <c r="BB50" s="16">
        <v>108</v>
      </c>
      <c r="BC50" s="16">
        <v>111</v>
      </c>
      <c r="BD50" s="16">
        <v>114</v>
      </c>
      <c r="BE50" s="16">
        <v>102</v>
      </c>
      <c r="BF50" s="16">
        <v>101</v>
      </c>
      <c r="BG50" s="16">
        <v>107</v>
      </c>
      <c r="BH50" s="16">
        <v>104</v>
      </c>
      <c r="BI50" s="16">
        <v>100</v>
      </c>
      <c r="BJ50" s="16">
        <v>99</v>
      </c>
      <c r="BK50" s="16">
        <v>106</v>
      </c>
      <c r="BL50" s="16">
        <v>113</v>
      </c>
      <c r="BM50" s="16">
        <v>86</v>
      </c>
      <c r="BN50" s="16">
        <v>86</v>
      </c>
      <c r="BO50" s="16">
        <v>92</v>
      </c>
      <c r="BP50" s="16">
        <v>91</v>
      </c>
      <c r="BQ50" s="16">
        <v>84</v>
      </c>
      <c r="BR50" s="16">
        <v>81</v>
      </c>
      <c r="BS50" s="16">
        <v>79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391</v>
      </c>
      <c r="DA50" s="16">
        <f t="shared" si="16"/>
        <v>348</v>
      </c>
      <c r="DB50" s="16">
        <f t="shared" si="18"/>
        <v>79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243" s="15" customFormat="1" x14ac:dyDescent="0.2">
      <c r="B51" s="15" t="s">
        <v>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>
        <v>91</v>
      </c>
      <c r="AP51" s="16"/>
      <c r="AQ51" s="16">
        <v>81</v>
      </c>
      <c r="AR51" s="16">
        <v>107</v>
      </c>
      <c r="AS51" s="16">
        <v>100</v>
      </c>
      <c r="AT51" s="16">
        <v>101</v>
      </c>
      <c r="AU51" s="16"/>
      <c r="AV51" s="16">
        <v>0</v>
      </c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0</v>
      </c>
      <c r="DA51" s="16">
        <f t="shared" si="16"/>
        <v>0</v>
      </c>
      <c r="DB51" s="16">
        <f t="shared" si="18"/>
        <v>0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243" s="15" customFormat="1" x14ac:dyDescent="0.2">
      <c r="B52" s="15" t="s">
        <v>13</v>
      </c>
      <c r="C52" s="16">
        <f>SUM(C5:C51)</f>
        <v>30</v>
      </c>
      <c r="D52" s="16">
        <f>SUM(D5:D51)</f>
        <v>60</v>
      </c>
      <c r="E52" s="16">
        <f>SUM(E5:E51)</f>
        <v>80</v>
      </c>
      <c r="F52" s="16">
        <f>SUM(F5:F51)</f>
        <v>110</v>
      </c>
      <c r="G52" s="16">
        <f>SUM(G5:G51)</f>
        <v>2207</v>
      </c>
      <c r="H52" s="16">
        <f>SUM(H5:H51)</f>
        <v>2435</v>
      </c>
      <c r="I52" s="16">
        <f>SUM(I5:I51)</f>
        <v>2684</v>
      </c>
      <c r="J52" s="16">
        <f>SUM(J5:J51)</f>
        <v>2994</v>
      </c>
      <c r="K52" s="16">
        <f>SUM(K5:K51)</f>
        <v>2871</v>
      </c>
      <c r="L52" s="16">
        <f>SUM(L5:L51)</f>
        <v>2662</v>
      </c>
      <c r="M52" s="16">
        <f>SUM(M5:M51)</f>
        <v>3248</v>
      </c>
      <c r="N52" s="16">
        <f>SUM(N5:N51)</f>
        <v>3440</v>
      </c>
      <c r="O52" s="16">
        <f>SUM(O5:O51)</f>
        <v>2725</v>
      </c>
      <c r="P52" s="16">
        <f>SUM(P5:P51)</f>
        <v>2925</v>
      </c>
      <c r="Q52" s="16">
        <f>SUM(Q5:Q51)</f>
        <v>2889</v>
      </c>
      <c r="R52" s="16">
        <f>SUM(R5:R51)</f>
        <v>3311</v>
      </c>
      <c r="S52" s="16">
        <f>SUM(S5:S51)</f>
        <v>2250</v>
      </c>
      <c r="T52" s="16">
        <f>SUM(T5:T51)</f>
        <v>2414</v>
      </c>
      <c r="U52" s="16">
        <f>SUM(U5:U51)</f>
        <v>2440</v>
      </c>
      <c r="V52" s="16">
        <f>SUM(V5:V51)</f>
        <v>2910</v>
      </c>
      <c r="W52" s="16">
        <f>SUM(W5:W51)</f>
        <v>2605</v>
      </c>
      <c r="X52" s="16">
        <f>SUM(X5:X51)</f>
        <v>3012</v>
      </c>
      <c r="Y52" s="16">
        <f>SUM(Y5:Y51)</f>
        <v>3171</v>
      </c>
      <c r="Z52" s="16">
        <f>SUM(Z5:Z51)</f>
        <v>3380</v>
      </c>
      <c r="AA52" s="16">
        <f>SUM(AA5:AA51)</f>
        <v>2173</v>
      </c>
      <c r="AB52" s="16">
        <f>SUM(AB5:AB51)</f>
        <v>2613</v>
      </c>
      <c r="AC52" s="16">
        <f>SUM(AC5:AC51)</f>
        <v>2810</v>
      </c>
      <c r="AD52" s="16">
        <f>SUM(AD5:AD51)</f>
        <v>3178</v>
      </c>
      <c r="AE52" s="16">
        <f>SUM(AE5:AE51)</f>
        <v>2480</v>
      </c>
      <c r="AF52" s="16">
        <f>SUM(AF5:AF51)</f>
        <v>2802</v>
      </c>
      <c r="AG52" s="16">
        <f>SUM(AG5:AG51)</f>
        <v>2968</v>
      </c>
      <c r="AH52" s="16">
        <f>SUM(AH5:AH51)</f>
        <v>3365</v>
      </c>
      <c r="AI52" s="16">
        <f>SUM(AI5:AI51)</f>
        <v>2821</v>
      </c>
      <c r="AJ52" s="16">
        <f>SUM(AJ5:AJ51)</f>
        <v>3373</v>
      </c>
      <c r="AK52" s="16">
        <f>SUM(AK5:AK51)</f>
        <v>3446</v>
      </c>
      <c r="AL52" s="16">
        <f>SUM(AL5:AL51)</f>
        <v>3578</v>
      </c>
      <c r="AM52" s="16">
        <f>SUM(AM5:AM51)</f>
        <v>3416</v>
      </c>
      <c r="AN52" s="16">
        <f>SUM(AN5:AN51)</f>
        <v>3995</v>
      </c>
      <c r="AO52" s="16">
        <f>SUM(AO5:AO51)</f>
        <v>4383</v>
      </c>
      <c r="AP52" s="16">
        <f>SUM(AP5:AP51)</f>
        <v>4443</v>
      </c>
      <c r="AQ52" s="16">
        <f>SUM(AQ5:AQ51)</f>
        <v>4009</v>
      </c>
      <c r="AR52" s="16">
        <f>SUM(AR5:AR51)</f>
        <v>4297</v>
      </c>
      <c r="AS52" s="16">
        <f>SUM(AS5:AS51)</f>
        <v>4335</v>
      </c>
      <c r="AT52" s="16">
        <f>SUM(AT5:AT51)</f>
        <v>4749</v>
      </c>
      <c r="AU52" s="16">
        <f>SUM(AU5:AU51)</f>
        <v>4157</v>
      </c>
      <c r="AV52" s="16">
        <f>SUM(AV5:AV51)</f>
        <v>4506</v>
      </c>
      <c r="AW52" s="16">
        <f>SUM(AW5:AW51)</f>
        <v>4649</v>
      </c>
      <c r="AX52" s="16">
        <f>SUM(AX5:AX51)</f>
        <v>4966</v>
      </c>
      <c r="AY52" s="16">
        <f>SUM(AY5:AY51)</f>
        <v>4694</v>
      </c>
      <c r="AZ52" s="16">
        <f>SUM(AZ5:AZ51)</f>
        <v>5129</v>
      </c>
      <c r="BA52" s="16">
        <f>SUM(BA5:BA51)</f>
        <v>5591</v>
      </c>
      <c r="BB52" s="16">
        <f>SUM(BB5:BB51)</f>
        <v>6043</v>
      </c>
      <c r="BC52" s="16">
        <f>SUM(BC5:BC51)</f>
        <v>5681</v>
      </c>
      <c r="BD52" s="16">
        <f>SUM(BD5:BD51)</f>
        <v>6143</v>
      </c>
      <c r="BE52" s="16">
        <f>SUM(BE5:BE51)</f>
        <v>6090</v>
      </c>
      <c r="BF52" s="16">
        <f>SUM(BF5:BF51)</f>
        <v>6507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243" s="15" customFormat="1" x14ac:dyDescent="0.2">
      <c r="B53" s="15" t="s">
        <v>12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301</v>
      </c>
      <c r="AP53" s="16"/>
      <c r="AQ53" s="16">
        <f>+AQ54-AQ52</f>
        <v>320</v>
      </c>
      <c r="AR53" s="16">
        <v>395</v>
      </c>
      <c r="AS53" s="16">
        <v>323</v>
      </c>
      <c r="AT53" s="16">
        <v>362</v>
      </c>
      <c r="AU53" s="16">
        <v>406</v>
      </c>
      <c r="AV53" s="16">
        <f>4926-AV52</f>
        <v>420</v>
      </c>
      <c r="AW53" s="16">
        <v>370</v>
      </c>
      <c r="AX53" s="16">
        <v>486</v>
      </c>
      <c r="AY53" s="16">
        <v>346</v>
      </c>
      <c r="AZ53" s="16">
        <v>346</v>
      </c>
      <c r="BA53" s="16">
        <v>353</v>
      </c>
      <c r="BB53" s="16">
        <v>317</v>
      </c>
      <c r="BC53" s="16">
        <v>277</v>
      </c>
      <c r="BD53" s="16">
        <v>289</v>
      </c>
      <c r="BE53" s="16">
        <v>296</v>
      </c>
      <c r="BF53" s="16">
        <v>277</v>
      </c>
      <c r="BG53" s="16">
        <f>6538-SUM(BG5:BG52)</f>
        <v>297</v>
      </c>
      <c r="BH53" s="16">
        <f>6944-SUM(BH5:BH52)</f>
        <v>289</v>
      </c>
      <c r="BI53" s="16">
        <f>6995-SUM(BI5:BI52)</f>
        <v>181</v>
      </c>
      <c r="BJ53" s="16">
        <f>7739-SUM(BJ5:BJ52)</f>
        <v>231</v>
      </c>
      <c r="BK53" s="16">
        <f>7934-7733</f>
        <v>201</v>
      </c>
      <c r="BL53" s="16">
        <v>131</v>
      </c>
      <c r="BM53" s="16">
        <v>25</v>
      </c>
      <c r="BN53" s="16">
        <f>8305-8239</f>
        <v>66</v>
      </c>
      <c r="BO53" s="16">
        <f>7828-7714</f>
        <v>114</v>
      </c>
      <c r="BP53" s="16">
        <v>254</v>
      </c>
      <c r="BQ53" s="16">
        <f>8479-8396</f>
        <v>83</v>
      </c>
      <c r="BR53" s="16">
        <f>8704-8631</f>
        <v>73</v>
      </c>
      <c r="BS53" s="16">
        <f>8619-8514</f>
        <v>105</v>
      </c>
      <c r="BT53" s="16">
        <f>10425-9835</f>
        <v>590</v>
      </c>
      <c r="BU53" s="16">
        <f>12882-11512</f>
        <v>1370</v>
      </c>
      <c r="BV53" s="16">
        <f>13858-12276</f>
        <v>1582</v>
      </c>
      <c r="BW53" s="16">
        <f>12935-11534</f>
        <v>1401</v>
      </c>
      <c r="BX53" s="16">
        <f>13959-12738</f>
        <v>1221</v>
      </c>
      <c r="BY53" s="16">
        <f>14342-13225</f>
        <v>1117</v>
      </c>
      <c r="BZ53" s="16">
        <f>14886-13501</f>
        <v>1385</v>
      </c>
      <c r="CA53" s="16">
        <f>13538-12327</f>
        <v>1211</v>
      </c>
      <c r="CB53" s="16">
        <f>14583-13574</f>
        <v>1009</v>
      </c>
      <c r="CC53" s="16">
        <v>925</v>
      </c>
      <c r="CD53" s="16">
        <v>992</v>
      </c>
      <c r="CE53" s="16">
        <v>691</v>
      </c>
      <c r="CF53" s="16">
        <v>741</v>
      </c>
      <c r="CG53" s="16">
        <v>782</v>
      </c>
      <c r="CH53" s="16">
        <f>3035-CG53-CF53-CE53</f>
        <v>821</v>
      </c>
      <c r="CI53" s="16">
        <v>744</v>
      </c>
      <c r="CJ53" s="16">
        <f>14462-SUM(CJ5:CJ29)</f>
        <v>810</v>
      </c>
      <c r="CK53" s="16">
        <v>726</v>
      </c>
      <c r="CL53" s="16">
        <f>+CH53</f>
        <v>821</v>
      </c>
      <c r="CM53" s="16">
        <f t="shared" ref="CM53:CP53" si="132">+CI53</f>
        <v>744</v>
      </c>
      <c r="CN53" s="16">
        <f t="shared" si="132"/>
        <v>810</v>
      </c>
      <c r="CO53" s="16">
        <f t="shared" si="132"/>
        <v>726</v>
      </c>
      <c r="CP53" s="16">
        <f t="shared" si="132"/>
        <v>821</v>
      </c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423</v>
      </c>
      <c r="DA53" s="16">
        <f t="shared" ref="DA53" si="133">SUM(BO53:BR53)</f>
        <v>524</v>
      </c>
      <c r="DB53" s="16">
        <f t="shared" ref="DB53" si="134">SUM(BS53:BV53)</f>
        <v>3647</v>
      </c>
      <c r="DC53" s="16">
        <f t="shared" si="19"/>
        <v>5124</v>
      </c>
      <c r="DD53" s="16">
        <f t="shared" si="20"/>
        <v>4137</v>
      </c>
      <c r="DE53" s="16">
        <f>SUM(CE53:CH53)</f>
        <v>3035</v>
      </c>
      <c r="DF53" s="16">
        <f>SUM(CI53:CL53)</f>
        <v>3101</v>
      </c>
      <c r="DG53" s="16">
        <f t="shared" ref="DG53:DL53" si="135">+DF53*0.9</f>
        <v>2790.9</v>
      </c>
      <c r="DH53" s="16">
        <f t="shared" si="135"/>
        <v>2511.81</v>
      </c>
      <c r="DI53" s="16">
        <f t="shared" si="135"/>
        <v>2260.6289999999999</v>
      </c>
      <c r="DJ53" s="16">
        <f t="shared" si="135"/>
        <v>2034.5661</v>
      </c>
      <c r="DK53" s="16">
        <f t="shared" si="135"/>
        <v>1831.1094900000001</v>
      </c>
      <c r="DL53" s="16">
        <f t="shared" si="135"/>
        <v>1647.9985410000002</v>
      </c>
      <c r="DM53" s="16">
        <f t="shared" ref="DM53" si="136">+DL53*0.9</f>
        <v>1483.1986869000002</v>
      </c>
      <c r="DN53" s="16">
        <f t="shared" ref="DN53" si="137">+DM53*0.9</f>
        <v>1334.8788182100002</v>
      </c>
      <c r="DO53" s="16">
        <f t="shared" ref="DO53" si="138">+DN53*0.9</f>
        <v>1201.3909363890002</v>
      </c>
      <c r="DP53" s="16">
        <f t="shared" ref="DP53" si="139">+DO53*0.9</f>
        <v>1081.2518427501002</v>
      </c>
      <c r="DQ53" s="16">
        <f t="shared" ref="DQ53" si="140">+DP53*0.9</f>
        <v>973.12665847509015</v>
      </c>
    </row>
    <row r="54" spans="2:243" s="17" customFormat="1" x14ac:dyDescent="0.2">
      <c r="B54" s="17" t="s">
        <v>241</v>
      </c>
      <c r="C54" s="18">
        <f t="shared" ref="C54:AP54" si="141">+C53+C52</f>
        <v>30</v>
      </c>
      <c r="D54" s="18">
        <f t="shared" si="141"/>
        <v>60</v>
      </c>
      <c r="E54" s="18">
        <f t="shared" si="141"/>
        <v>80</v>
      </c>
      <c r="F54" s="18">
        <f t="shared" si="141"/>
        <v>110</v>
      </c>
      <c r="G54" s="18">
        <f t="shared" si="141"/>
        <v>2207</v>
      </c>
      <c r="H54" s="18">
        <f t="shared" si="141"/>
        <v>2435</v>
      </c>
      <c r="I54" s="18">
        <f t="shared" si="141"/>
        <v>2684</v>
      </c>
      <c r="J54" s="18">
        <f t="shared" si="141"/>
        <v>2994</v>
      </c>
      <c r="K54" s="18">
        <f t="shared" si="141"/>
        <v>2871</v>
      </c>
      <c r="L54" s="18">
        <f t="shared" si="141"/>
        <v>2662</v>
      </c>
      <c r="M54" s="18">
        <f t="shared" si="141"/>
        <v>3248</v>
      </c>
      <c r="N54" s="18">
        <f t="shared" si="141"/>
        <v>3440</v>
      </c>
      <c r="O54" s="18">
        <f t="shared" si="141"/>
        <v>2725</v>
      </c>
      <c r="P54" s="18">
        <f t="shared" si="141"/>
        <v>2925</v>
      </c>
      <c r="Q54" s="18">
        <f t="shared" si="141"/>
        <v>2889</v>
      </c>
      <c r="R54" s="18">
        <f t="shared" si="141"/>
        <v>3311</v>
      </c>
      <c r="S54" s="18">
        <f t="shared" si="141"/>
        <v>2250</v>
      </c>
      <c r="T54" s="18">
        <f t="shared" si="141"/>
        <v>2414</v>
      </c>
      <c r="U54" s="18">
        <f t="shared" si="141"/>
        <v>2440</v>
      </c>
      <c r="V54" s="18">
        <f t="shared" si="141"/>
        <v>2910</v>
      </c>
      <c r="W54" s="18">
        <f t="shared" si="141"/>
        <v>2605</v>
      </c>
      <c r="X54" s="18">
        <f t="shared" si="141"/>
        <v>3012</v>
      </c>
      <c r="Y54" s="18">
        <f t="shared" si="141"/>
        <v>3171</v>
      </c>
      <c r="Z54" s="18">
        <f t="shared" si="141"/>
        <v>3380</v>
      </c>
      <c r="AA54" s="18">
        <f t="shared" si="141"/>
        <v>2173</v>
      </c>
      <c r="AB54" s="18">
        <f t="shared" si="141"/>
        <v>2613</v>
      </c>
      <c r="AC54" s="18">
        <f t="shared" si="141"/>
        <v>2810</v>
      </c>
      <c r="AD54" s="18">
        <f t="shared" si="141"/>
        <v>3178</v>
      </c>
      <c r="AE54" s="18">
        <f t="shared" si="141"/>
        <v>2480</v>
      </c>
      <c r="AF54" s="18">
        <f t="shared" si="141"/>
        <v>2802</v>
      </c>
      <c r="AG54" s="18">
        <f t="shared" si="141"/>
        <v>2968</v>
      </c>
      <c r="AH54" s="18">
        <f t="shared" si="141"/>
        <v>3365</v>
      </c>
      <c r="AI54" s="18">
        <f t="shared" si="141"/>
        <v>2821</v>
      </c>
      <c r="AJ54" s="18">
        <f t="shared" si="141"/>
        <v>3373</v>
      </c>
      <c r="AK54" s="18">
        <f t="shared" si="141"/>
        <v>3446</v>
      </c>
      <c r="AL54" s="18">
        <f t="shared" si="141"/>
        <v>3578</v>
      </c>
      <c r="AM54" s="18">
        <f t="shared" si="141"/>
        <v>3416</v>
      </c>
      <c r="AN54" s="18">
        <f t="shared" si="141"/>
        <v>3995</v>
      </c>
      <c r="AO54" s="18">
        <f t="shared" si="141"/>
        <v>4684</v>
      </c>
      <c r="AP54" s="18">
        <f t="shared" si="141"/>
        <v>4443</v>
      </c>
      <c r="AQ54" s="18">
        <v>4329</v>
      </c>
      <c r="AR54" s="18">
        <f>+AR52+AR53</f>
        <v>4692</v>
      </c>
      <c r="AS54" s="18">
        <f t="shared" ref="AS54:BF54" si="142">+AS53+AS52</f>
        <v>4658</v>
      </c>
      <c r="AT54" s="18">
        <f t="shared" si="142"/>
        <v>5111</v>
      </c>
      <c r="AU54" s="18">
        <f t="shared" si="142"/>
        <v>4563</v>
      </c>
      <c r="AV54" s="18">
        <f t="shared" si="142"/>
        <v>4926</v>
      </c>
      <c r="AW54" s="18">
        <f t="shared" si="142"/>
        <v>5019</v>
      </c>
      <c r="AX54" s="18">
        <f t="shared" si="142"/>
        <v>5452</v>
      </c>
      <c r="AY54" s="18">
        <f t="shared" si="142"/>
        <v>5040</v>
      </c>
      <c r="AZ54" s="18">
        <f t="shared" si="142"/>
        <v>5475</v>
      </c>
      <c r="BA54" s="18">
        <f t="shared" si="142"/>
        <v>5944</v>
      </c>
      <c r="BB54" s="18">
        <f t="shared" si="142"/>
        <v>6360</v>
      </c>
      <c r="BC54" s="18">
        <f t="shared" si="142"/>
        <v>5958</v>
      </c>
      <c r="BD54" s="18">
        <f t="shared" si="142"/>
        <v>6432</v>
      </c>
      <c r="BE54" s="18">
        <f t="shared" si="142"/>
        <v>6386</v>
      </c>
      <c r="BF54" s="18">
        <f t="shared" si="142"/>
        <v>6784</v>
      </c>
      <c r="BG54" s="18">
        <v>6538</v>
      </c>
      <c r="BH54" s="18">
        <v>6944</v>
      </c>
      <c r="BI54" s="18">
        <v>6995</v>
      </c>
      <c r="BJ54" s="18">
        <f>SUM(BJ5:BJ53)</f>
        <v>7739</v>
      </c>
      <c r="BK54" s="18">
        <v>7934</v>
      </c>
      <c r="BL54" s="18">
        <f>SUM(BL5:BL53)</f>
        <v>8258</v>
      </c>
      <c r="BM54" s="18">
        <f>SUM(BM5:BM53)</f>
        <v>8236</v>
      </c>
      <c r="BN54" s="18">
        <f>SUM(BN5:BN53)</f>
        <v>8305</v>
      </c>
      <c r="BO54" s="18">
        <f>SUM(BO5:BO53)</f>
        <v>7828</v>
      </c>
      <c r="BP54" s="18">
        <f>SUM(BP5:BP53)</f>
        <v>8255</v>
      </c>
      <c r="BQ54" s="18">
        <f>SUM(BQ5:BQ53)</f>
        <v>8479</v>
      </c>
      <c r="BR54" s="18">
        <f>SUM(BR5:BR53)</f>
        <v>8704</v>
      </c>
      <c r="BS54" s="18">
        <f>SUM(BS5:BS53)</f>
        <v>8619</v>
      </c>
      <c r="BT54" s="18">
        <f>SUM(BT5:BT53)</f>
        <v>10425</v>
      </c>
      <c r="BU54" s="18">
        <f>SUM(BU5:BU53)</f>
        <v>12882</v>
      </c>
      <c r="BV54" s="18">
        <f>SUM(BV5:BV53)</f>
        <v>13858</v>
      </c>
      <c r="BW54" s="18">
        <f>SUM(BW5:BW53)</f>
        <v>12935</v>
      </c>
      <c r="BX54" s="18">
        <f>SUM(BX5:BX53)</f>
        <v>13959</v>
      </c>
      <c r="BY54" s="18">
        <f>SUM(BY5:BY53)</f>
        <v>14342</v>
      </c>
      <c r="BZ54" s="18">
        <f>SUM(BZ5:BZ53)</f>
        <v>14886</v>
      </c>
      <c r="CA54" s="18">
        <f>SUM(CA5:CA53)</f>
        <v>13538</v>
      </c>
      <c r="CB54" s="18">
        <f>SUM(CB5:CB53)</f>
        <v>14583</v>
      </c>
      <c r="CC54" s="18">
        <f>SUM(CC5:CC53)</f>
        <v>14812</v>
      </c>
      <c r="CD54" s="18">
        <f>SUM(CD5:CD53)</f>
        <v>15121</v>
      </c>
      <c r="CE54" s="18">
        <f>SUM(CE5:CE53)</f>
        <v>12225</v>
      </c>
      <c r="CF54" s="18">
        <f>SUM(CF5:CF53)</f>
        <v>13865</v>
      </c>
      <c r="CG54" s="18">
        <f>SUM(CG5:CG53)</f>
        <v>13927</v>
      </c>
      <c r="CH54" s="18">
        <f>SUM(CH5:CH53)</f>
        <v>14301</v>
      </c>
      <c r="CI54" s="18">
        <f>SUM(CI5:CI53)</f>
        <v>12310</v>
      </c>
      <c r="CJ54" s="18">
        <f>SUM(CJ5:CJ53)</f>
        <v>14462</v>
      </c>
      <c r="CK54" s="18">
        <f>SUM(CK5:CK53)</f>
        <v>14460</v>
      </c>
      <c r="CL54" s="18">
        <f>SUM(CL5:CL53)</f>
        <v>14376.49</v>
      </c>
      <c r="CM54" s="18">
        <f t="shared" ref="CM54:CP54" si="143">SUM(CM5:CM53)</f>
        <v>12632.049999999997</v>
      </c>
      <c r="CN54" s="18">
        <f t="shared" si="143"/>
        <v>14892.750000000002</v>
      </c>
      <c r="CO54" s="18">
        <f t="shared" si="143"/>
        <v>15370.960000000001</v>
      </c>
      <c r="CP54" s="18">
        <f t="shared" si="143"/>
        <v>15381.247100000002</v>
      </c>
      <c r="CQ54" s="18"/>
      <c r="CR54" s="18"/>
      <c r="CS54" s="18"/>
      <c r="CT54" s="18"/>
      <c r="CU54" s="18"/>
      <c r="CV54" s="18"/>
      <c r="CW54" s="18"/>
      <c r="CX54" s="18"/>
      <c r="CY54" s="18"/>
      <c r="CZ54" s="18">
        <f>SUM(CZ5:CZ53)</f>
        <v>32733</v>
      </c>
      <c r="DA54" s="18">
        <f>SUM(DA5:DA53)</f>
        <v>33266</v>
      </c>
      <c r="DB54" s="18">
        <f>SUM(DB5:DB53)</f>
        <v>45784</v>
      </c>
      <c r="DC54" s="18">
        <f>SUM(DC5:DC53)</f>
        <v>56122</v>
      </c>
      <c r="DD54" s="18">
        <f>SUM(DD5:DD53)</f>
        <v>57838</v>
      </c>
      <c r="DE54" s="18">
        <f>SUM(DE5:DE53)</f>
        <v>54318</v>
      </c>
      <c r="DF54" s="18">
        <f>SUM(DF5:DF53)</f>
        <v>55608.49</v>
      </c>
      <c r="DG54" s="18">
        <f>SUM(DG5:DG53)</f>
        <v>58016.907100000004</v>
      </c>
      <c r="DH54" s="18">
        <f>SUM(DH5:DH53)</f>
        <v>57035.88293</v>
      </c>
      <c r="DI54" s="18">
        <f>SUM(DI5:DI53)</f>
        <v>56690.365057000003</v>
      </c>
      <c r="DJ54" s="18">
        <f>SUM(DJ5:DJ53)</f>
        <v>55791.382702890027</v>
      </c>
      <c r="DK54" s="18">
        <f>SUM(DK5:DK53)</f>
        <v>55896.328427778222</v>
      </c>
      <c r="DL54" s="18">
        <f>SUM(DL5:DL53)</f>
        <v>39451.992434390726</v>
      </c>
      <c r="DM54" s="18">
        <f t="shared" ref="DM54:DQ54" si="144">SUM(DM5:DM53)</f>
        <v>38208.401560525177</v>
      </c>
      <c r="DN54" s="18">
        <f t="shared" si="144"/>
        <v>38697.221080399642</v>
      </c>
      <c r="DO54" s="18">
        <f t="shared" si="144"/>
        <v>39512.010816799098</v>
      </c>
      <c r="DP54" s="18">
        <f t="shared" si="144"/>
        <v>40383.18089672448</v>
      </c>
      <c r="DQ54" s="18">
        <f t="shared" si="144"/>
        <v>41378.336262449331</v>
      </c>
    </row>
    <row r="55" spans="2:243" s="15" customFormat="1" x14ac:dyDescent="0.2">
      <c r="B55" s="15" t="s">
        <v>25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>
        <v>1153</v>
      </c>
      <c r="AR55" s="16">
        <v>1054</v>
      </c>
      <c r="AS55" s="16">
        <v>1092</v>
      </c>
      <c r="AT55" s="16">
        <v>1282</v>
      </c>
      <c r="AU55" s="16">
        <v>1100</v>
      </c>
      <c r="AV55" s="16">
        <f>1113-69-3-6</f>
        <v>1035</v>
      </c>
      <c r="AW55" s="16">
        <v>1094</v>
      </c>
      <c r="AX55" s="16">
        <v>1119</v>
      </c>
      <c r="AY55" s="16">
        <v>942</v>
      </c>
      <c r="AZ55" s="16">
        <v>916</v>
      </c>
      <c r="BA55" s="16">
        <v>1167</v>
      </c>
      <c r="BB55" s="16">
        <v>1475</v>
      </c>
      <c r="BC55" s="16">
        <v>1369</v>
      </c>
      <c r="BD55" s="16">
        <v>1405</v>
      </c>
      <c r="BE55" s="16">
        <v>1235</v>
      </c>
      <c r="BF55" s="16">
        <v>1287</v>
      </c>
      <c r="BG55" s="16">
        <v>1313</v>
      </c>
      <c r="BH55" s="16">
        <v>1231</v>
      </c>
      <c r="BI55" s="16">
        <v>1342</v>
      </c>
      <c r="BJ55" s="16">
        <v>1625</v>
      </c>
      <c r="BK55" s="16">
        <v>1572</v>
      </c>
      <c r="BL55" s="16">
        <v>1607</v>
      </c>
      <c r="BM55" s="16">
        <v>1509</v>
      </c>
      <c r="BN55" s="16">
        <v>1674</v>
      </c>
      <c r="BO55" s="16">
        <v>1303</v>
      </c>
      <c r="BP55" s="16">
        <v>1427</v>
      </c>
      <c r="BQ55" s="16">
        <v>1525</v>
      </c>
      <c r="BR55" s="16">
        <v>1605</v>
      </c>
      <c r="BS55" s="16">
        <v>1494</v>
      </c>
      <c r="BT55" s="16">
        <v>1796</v>
      </c>
      <c r="BU55" s="16">
        <v>2362</v>
      </c>
      <c r="BV55" s="16">
        <v>2523</v>
      </c>
      <c r="BW55" s="16">
        <v>2085</v>
      </c>
      <c r="BX55" s="16">
        <v>2479</v>
      </c>
      <c r="BY55" s="16">
        <v>2413</v>
      </c>
      <c r="BZ55" s="16">
        <v>2448</v>
      </c>
      <c r="CA55" s="16">
        <v>2103</v>
      </c>
      <c r="CB55" s="16">
        <v>2167</v>
      </c>
      <c r="CC55" s="16">
        <v>2167</v>
      </c>
      <c r="CD55" s="16">
        <f>+CD54-CD56</f>
        <v>2268.1499999999996</v>
      </c>
      <c r="CE55" s="16">
        <v>1931</v>
      </c>
      <c r="CF55" s="16">
        <v>2117</v>
      </c>
      <c r="CG55" s="16">
        <v>2301</v>
      </c>
      <c r="CH55" s="16">
        <v>2297</v>
      </c>
      <c r="CI55" s="16">
        <v>2108</v>
      </c>
      <c r="CJ55" s="16">
        <v>2135</v>
      </c>
      <c r="CK55" s="16">
        <v>2251</v>
      </c>
      <c r="CL55" s="16">
        <f>+CL54-CL56</f>
        <v>2444.0033000000003</v>
      </c>
      <c r="CM55" s="16">
        <f>+CM54-CM56</f>
        <v>1894.8075000000008</v>
      </c>
      <c r="CN55" s="16">
        <f>+CN54-CN56</f>
        <v>2233.9125000000004</v>
      </c>
      <c r="CO55" s="16">
        <f>+CO54-CO56</f>
        <v>2305.6440000000002</v>
      </c>
      <c r="CP55" s="16">
        <f>+CP54-CP56</f>
        <v>2307.1870650000001</v>
      </c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6362</v>
      </c>
      <c r="DA55" s="16">
        <f t="shared" ref="DA55" si="145">SUM(BO55:BR55)</f>
        <v>5860</v>
      </c>
      <c r="DB55" s="16">
        <f t="shared" ref="DB55" si="146">SUM(BS55:BV55)</f>
        <v>8175</v>
      </c>
      <c r="DC55" s="16">
        <f t="shared" ref="DC55" si="147">SUM(BW55:BZ55)</f>
        <v>9425</v>
      </c>
      <c r="DD55" s="16">
        <f t="shared" ref="DD55" si="148">SUM(CA55:CD55)</f>
        <v>8705.15</v>
      </c>
      <c r="DE55" s="16">
        <f>SUM(CE55:CH55)</f>
        <v>8646</v>
      </c>
      <c r="DF55" s="16">
        <f>SUM(CI55:CL55)</f>
        <v>8938.0033000000003</v>
      </c>
      <c r="DG55" s="16">
        <f t="shared" ref="DG55:DL55" si="149">+DG54-DG56</f>
        <v>8702.5360650000002</v>
      </c>
      <c r="DH55" s="16">
        <f t="shared" si="149"/>
        <v>8555.3824395000047</v>
      </c>
      <c r="DI55" s="16">
        <f t="shared" si="149"/>
        <v>8503.5547585500026</v>
      </c>
      <c r="DJ55" s="16">
        <f t="shared" si="149"/>
        <v>8368.7074054335026</v>
      </c>
      <c r="DK55" s="16">
        <f t="shared" si="149"/>
        <v>8384.4492641667312</v>
      </c>
      <c r="DL55" s="16">
        <f t="shared" si="149"/>
        <v>5917.7988651586129</v>
      </c>
    </row>
    <row r="56" spans="2:243" s="15" customFormat="1" x14ac:dyDescent="0.2">
      <c r="B56" s="15" t="s">
        <v>24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>
        <f t="shared" ref="AQ56:BB56" si="150">+AQ54-AQ55</f>
        <v>3176</v>
      </c>
      <c r="AR56" s="16">
        <f t="shared" si="150"/>
        <v>3638</v>
      </c>
      <c r="AS56" s="16">
        <f t="shared" si="150"/>
        <v>3566</v>
      </c>
      <c r="AT56" s="16">
        <f t="shared" si="150"/>
        <v>3829</v>
      </c>
      <c r="AU56" s="16">
        <f t="shared" si="150"/>
        <v>3463</v>
      </c>
      <c r="AV56" s="16">
        <f t="shared" si="150"/>
        <v>3891</v>
      </c>
      <c r="AW56" s="16">
        <f t="shared" si="150"/>
        <v>3925</v>
      </c>
      <c r="AX56" s="16">
        <f t="shared" si="150"/>
        <v>4333</v>
      </c>
      <c r="AY56" s="16">
        <f t="shared" si="150"/>
        <v>4098</v>
      </c>
      <c r="AZ56" s="16">
        <f t="shared" si="150"/>
        <v>4559</v>
      </c>
      <c r="BA56" s="16">
        <f t="shared" si="150"/>
        <v>4777</v>
      </c>
      <c r="BB56" s="16">
        <f t="shared" si="150"/>
        <v>4885</v>
      </c>
      <c r="BC56" s="16">
        <f t="shared" ref="BC56" si="151">+BC54-BC55</f>
        <v>4589</v>
      </c>
      <c r="BD56" s="16">
        <f t="shared" ref="BD56:BE56" si="152">+BD54-BD55</f>
        <v>5027</v>
      </c>
      <c r="BE56" s="16">
        <f t="shared" si="152"/>
        <v>5151</v>
      </c>
      <c r="BF56" s="16">
        <f t="shared" ref="BF56:BG56" si="153">+BF54-BF55</f>
        <v>5497</v>
      </c>
      <c r="BG56" s="16">
        <f t="shared" si="153"/>
        <v>5225</v>
      </c>
      <c r="BH56" s="16">
        <f t="shared" ref="BH56:BI56" si="154">+BH54-BH55</f>
        <v>5713</v>
      </c>
      <c r="BI56" s="16">
        <f t="shared" si="154"/>
        <v>5653</v>
      </c>
      <c r="BJ56" s="16">
        <f t="shared" ref="BJ56" si="155">+BJ54-BJ55</f>
        <v>6114</v>
      </c>
      <c r="BK56" s="16">
        <f t="shared" ref="BK56:BP56" si="156">+BK54-BK55</f>
        <v>6362</v>
      </c>
      <c r="BL56" s="16">
        <f t="shared" si="156"/>
        <v>6651</v>
      </c>
      <c r="BM56" s="16">
        <f t="shared" si="156"/>
        <v>6727</v>
      </c>
      <c r="BN56" s="16">
        <f t="shared" si="156"/>
        <v>6631</v>
      </c>
      <c r="BO56" s="16">
        <f t="shared" si="156"/>
        <v>6525</v>
      </c>
      <c r="BP56" s="16">
        <f t="shared" si="156"/>
        <v>6828</v>
      </c>
      <c r="BQ56" s="16">
        <f t="shared" ref="BQ56:BR56" si="157">BQ54-BQ55</f>
        <v>6954</v>
      </c>
      <c r="BR56" s="16">
        <f t="shared" si="157"/>
        <v>7099</v>
      </c>
      <c r="BS56" s="16">
        <f t="shared" ref="BS56:BT56" si="158">BS54-BS55</f>
        <v>7125</v>
      </c>
      <c r="BT56" s="16">
        <f t="shared" si="158"/>
        <v>8629</v>
      </c>
      <c r="BU56" s="16">
        <f t="shared" ref="BU56:CA56" si="159">BU54-BU55</f>
        <v>10520</v>
      </c>
      <c r="BV56" s="16">
        <f t="shared" si="159"/>
        <v>11335</v>
      </c>
      <c r="BW56" s="16">
        <f t="shared" si="159"/>
        <v>10850</v>
      </c>
      <c r="BX56" s="16">
        <f t="shared" si="159"/>
        <v>11480</v>
      </c>
      <c r="BY56" s="16">
        <f t="shared" si="159"/>
        <v>11929</v>
      </c>
      <c r="BZ56" s="16">
        <f t="shared" si="159"/>
        <v>12438</v>
      </c>
      <c r="CA56" s="16">
        <f t="shared" si="159"/>
        <v>11435</v>
      </c>
      <c r="CB56" s="16">
        <f t="shared" ref="CB56" si="160">CB54-CB55</f>
        <v>12416</v>
      </c>
      <c r="CC56" s="16">
        <f>+CC54-CC55</f>
        <v>12645</v>
      </c>
      <c r="CD56" s="16">
        <f>+CD54*0.85</f>
        <v>12852.85</v>
      </c>
      <c r="CE56" s="16">
        <f>CE54-CE55</f>
        <v>10294</v>
      </c>
      <c r="CF56" s="16">
        <f t="shared" ref="CF56:CK56" si="161">+CF54-CF55</f>
        <v>11748</v>
      </c>
      <c r="CG56" s="16">
        <f t="shared" si="161"/>
        <v>11626</v>
      </c>
      <c r="CH56" s="16">
        <f t="shared" si="161"/>
        <v>12004</v>
      </c>
      <c r="CI56" s="16">
        <f t="shared" si="161"/>
        <v>10202</v>
      </c>
      <c r="CJ56" s="16">
        <f t="shared" si="161"/>
        <v>12327</v>
      </c>
      <c r="CK56" s="16">
        <f t="shared" si="161"/>
        <v>12209</v>
      </c>
      <c r="CL56" s="16">
        <f>+CL54*0.83</f>
        <v>11932.486699999999</v>
      </c>
      <c r="CM56" s="16">
        <f>+CM54*0.85</f>
        <v>10737.242499999997</v>
      </c>
      <c r="CN56" s="16">
        <f>+CN54*0.85</f>
        <v>12658.837500000001</v>
      </c>
      <c r="CO56" s="16">
        <f>+CO54*0.85</f>
        <v>13065.316000000001</v>
      </c>
      <c r="CP56" s="16">
        <f>+CP54*0.85</f>
        <v>13074.060035000002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ref="CZ56:DB56" si="162">+CZ54-CZ55</f>
        <v>26371</v>
      </c>
      <c r="DA56" s="16">
        <f t="shared" si="162"/>
        <v>27406</v>
      </c>
      <c r="DB56" s="16">
        <f t="shared" si="162"/>
        <v>37609</v>
      </c>
      <c r="DC56" s="16">
        <f>+DC54-DC55</f>
        <v>46697</v>
      </c>
      <c r="DD56" s="16">
        <f>+DD54-DD55</f>
        <v>49132.85</v>
      </c>
      <c r="DE56" s="16">
        <f>+DE54-DE55</f>
        <v>45672</v>
      </c>
      <c r="DF56" s="16">
        <f>+DF54-DF55</f>
        <v>46670.486699999994</v>
      </c>
      <c r="DG56" s="16">
        <f t="shared" ref="DG56:DL56" si="163">+DG54*0.85</f>
        <v>49314.371035000004</v>
      </c>
      <c r="DH56" s="16">
        <f t="shared" si="163"/>
        <v>48480.500490499995</v>
      </c>
      <c r="DI56" s="16">
        <f t="shared" si="163"/>
        <v>48186.81029845</v>
      </c>
      <c r="DJ56" s="16">
        <f t="shared" si="163"/>
        <v>47422.675297456524</v>
      </c>
      <c r="DK56" s="16">
        <f t="shared" si="163"/>
        <v>47511.879163611491</v>
      </c>
      <c r="DL56" s="16">
        <f t="shared" si="163"/>
        <v>33534.193569232113</v>
      </c>
    </row>
    <row r="57" spans="2:243" s="15" customFormat="1" x14ac:dyDescent="0.2">
      <c r="B57" s="15" t="s">
        <v>23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>
        <v>1237</v>
      </c>
      <c r="AR57" s="16">
        <v>1406</v>
      </c>
      <c r="AS57" s="16">
        <v>1261</v>
      </c>
      <c r="AT57" s="16">
        <v>1448</v>
      </c>
      <c r="AU57" s="16">
        <v>1340</v>
      </c>
      <c r="AV57" s="16">
        <f>1448-96-6</f>
        <v>1346</v>
      </c>
      <c r="AW57" s="16">
        <v>1595</v>
      </c>
      <c r="AX57" s="16">
        <v>3341</v>
      </c>
      <c r="AY57" s="16">
        <v>1473</v>
      </c>
      <c r="AZ57" s="16">
        <v>1703</v>
      </c>
      <c r="BA57" s="16">
        <v>1474</v>
      </c>
      <c r="BB57" s="16">
        <v>1737</v>
      </c>
      <c r="BC57" s="16">
        <v>1355</v>
      </c>
      <c r="BD57" s="16">
        <v>1466</v>
      </c>
      <c r="BE57" s="16">
        <v>1368</v>
      </c>
      <c r="BF57" s="16">
        <v>1625</v>
      </c>
      <c r="BG57" s="16">
        <v>1360</v>
      </c>
      <c r="BH57" s="16">
        <v>1405</v>
      </c>
      <c r="BI57" s="16">
        <v>1448</v>
      </c>
      <c r="BJ57" s="16">
        <v>1641</v>
      </c>
      <c r="BK57" s="16">
        <v>1670</v>
      </c>
      <c r="BL57" s="16">
        <v>1643</v>
      </c>
      <c r="BM57" s="16">
        <v>1575</v>
      </c>
      <c r="BN57" s="16">
        <v>1797</v>
      </c>
      <c r="BO57" s="16">
        <v>1563</v>
      </c>
      <c r="BP57" s="16">
        <v>1620</v>
      </c>
      <c r="BQ57" s="16">
        <v>1621</v>
      </c>
      <c r="BR57" s="16">
        <v>1883</v>
      </c>
      <c r="BS57" s="16">
        <v>1599</v>
      </c>
      <c r="BT57" s="16">
        <v>2392</v>
      </c>
      <c r="BU57" s="16">
        <v>2723</v>
      </c>
      <c r="BV57" s="16">
        <v>3089</v>
      </c>
      <c r="BW57" s="16">
        <v>2743</v>
      </c>
      <c r="BX57" s="16">
        <v>2953</v>
      </c>
      <c r="BY57" s="16">
        <v>2961</v>
      </c>
      <c r="BZ57" s="16">
        <v>3307</v>
      </c>
      <c r="CA57" s="16">
        <v>2852</v>
      </c>
      <c r="CB57" s="16">
        <v>3089</v>
      </c>
      <c r="CC57" s="16">
        <v>3089</v>
      </c>
      <c r="CD57" s="16">
        <f>+BZ57*1.01</f>
        <v>3340.07</v>
      </c>
      <c r="CE57" s="16">
        <v>2984</v>
      </c>
      <c r="CF57" s="16">
        <v>3218</v>
      </c>
      <c r="CG57" s="16">
        <v>3330</v>
      </c>
      <c r="CH57" s="16">
        <v>3540</v>
      </c>
      <c r="CI57" s="16">
        <v>3032</v>
      </c>
      <c r="CJ57" s="16">
        <v>3315</v>
      </c>
      <c r="CK57" s="16">
        <v>3326</v>
      </c>
      <c r="CL57" s="16">
        <f>+CH57*0.98</f>
        <v>3469.2</v>
      </c>
      <c r="CM57" s="16">
        <f>+CI57*1.05</f>
        <v>3183.6</v>
      </c>
      <c r="CN57" s="16">
        <f t="shared" ref="CN57:CN58" si="164">+CJ57*1.05</f>
        <v>3480.75</v>
      </c>
      <c r="CO57" s="16">
        <f t="shared" ref="CO57:CO58" si="165">+CK57*1.05</f>
        <v>3492.3</v>
      </c>
      <c r="CP57" s="16">
        <f t="shared" ref="CP57:CP58" si="166">+CL57*1.05</f>
        <v>3642.66</v>
      </c>
      <c r="CQ57" s="16"/>
      <c r="CR57" s="16"/>
      <c r="CS57" s="16"/>
      <c r="CT57" s="16"/>
      <c r="CU57" s="16"/>
      <c r="CV57" s="16"/>
      <c r="CW57" s="16"/>
      <c r="CX57" s="16"/>
      <c r="CY57" s="16"/>
      <c r="CZ57" s="16">
        <f t="shared" si="15"/>
        <v>6685</v>
      </c>
      <c r="DA57" s="16">
        <f t="shared" ref="DA57:DA58" si="167">SUM(BO57:BR57)</f>
        <v>6687</v>
      </c>
      <c r="DB57" s="16">
        <f t="shared" ref="DB57:DB58" si="168">SUM(BS57:BV57)</f>
        <v>9803</v>
      </c>
      <c r="DC57" s="16">
        <f t="shared" ref="DC57:DC58" si="169">SUM(BW57:BZ57)</f>
        <v>11964</v>
      </c>
      <c r="DD57" s="16">
        <f t="shared" ref="DD57:DD58" si="170">SUM(CA57:CD57)</f>
        <v>12370.07</v>
      </c>
      <c r="DE57" s="16">
        <f>SUM(CE57:CH57)</f>
        <v>13072</v>
      </c>
      <c r="DF57" s="16">
        <f t="shared" ref="DF57:DF58" si="171">SUM(CI57:CL57)</f>
        <v>13142.2</v>
      </c>
      <c r="DG57" s="16">
        <f t="shared" ref="DG57:DL57" si="172">+DG54*0.2</f>
        <v>11603.381420000002</v>
      </c>
      <c r="DH57" s="16">
        <f t="shared" si="172"/>
        <v>11407.176586000001</v>
      </c>
      <c r="DI57" s="16">
        <f t="shared" si="172"/>
        <v>11338.073011400002</v>
      </c>
      <c r="DJ57" s="16">
        <f t="shared" si="172"/>
        <v>11158.276540578006</v>
      </c>
      <c r="DK57" s="16">
        <f t="shared" si="172"/>
        <v>11179.265685555645</v>
      </c>
      <c r="DL57" s="16">
        <f t="shared" si="172"/>
        <v>7890.3984868781454</v>
      </c>
    </row>
    <row r="58" spans="2:243" s="15" customFormat="1" x14ac:dyDescent="0.2">
      <c r="B58" s="15" t="s">
        <v>22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634</v>
      </c>
      <c r="AR58" s="16">
        <v>709</v>
      </c>
      <c r="AS58" s="16">
        <v>714</v>
      </c>
      <c r="AT58" s="16">
        <v>798</v>
      </c>
      <c r="AU58" s="16">
        <v>772</v>
      </c>
      <c r="AV58" s="16">
        <f>834-41</f>
        <v>793</v>
      </c>
      <c r="AW58" s="16">
        <v>812</v>
      </c>
      <c r="AX58" s="16">
        <v>879</v>
      </c>
      <c r="AY58" s="16">
        <v>811</v>
      </c>
      <c r="AZ58" s="16">
        <v>981</v>
      </c>
      <c r="BA58" s="16">
        <v>1418</v>
      </c>
      <c r="BB58" s="16">
        <v>1075</v>
      </c>
      <c r="BC58" s="16">
        <v>946</v>
      </c>
      <c r="BD58" s="16">
        <v>1124</v>
      </c>
      <c r="BE58" s="16">
        <v>1051</v>
      </c>
      <c r="BF58" s="16">
        <v>1175</v>
      </c>
      <c r="BG58" s="16">
        <v>1112</v>
      </c>
      <c r="BH58" s="16">
        <v>1212</v>
      </c>
      <c r="BI58" s="16">
        <v>1190</v>
      </c>
      <c r="BJ58" s="16">
        <v>1322</v>
      </c>
      <c r="BK58" s="16">
        <v>1189</v>
      </c>
      <c r="BL58" s="16">
        <v>1267</v>
      </c>
      <c r="BM58" s="16">
        <v>1268</v>
      </c>
      <c r="BN58" s="16">
        <v>1369</v>
      </c>
      <c r="BO58" s="16">
        <v>1199</v>
      </c>
      <c r="BP58" s="16">
        <v>1232</v>
      </c>
      <c r="BQ58" s="16">
        <v>1227</v>
      </c>
      <c r="BR58" s="16">
        <v>1331</v>
      </c>
      <c r="BS58" s="16">
        <v>1234</v>
      </c>
      <c r="BT58" s="16">
        <v>1332</v>
      </c>
      <c r="BU58" s="16">
        <v>1513</v>
      </c>
      <c r="BV58" s="16">
        <v>1751</v>
      </c>
      <c r="BW58" s="16">
        <v>1505</v>
      </c>
      <c r="BX58" s="16">
        <v>1583</v>
      </c>
      <c r="BY58" s="16">
        <v>1632</v>
      </c>
      <c r="BZ58" s="16">
        <v>1798</v>
      </c>
      <c r="CA58" s="16">
        <v>1480</v>
      </c>
      <c r="CB58" s="16">
        <v>1607</v>
      </c>
      <c r="CC58" s="16">
        <v>1607</v>
      </c>
      <c r="CD58" s="16">
        <f>+BZ58*1.01</f>
        <v>1815.98</v>
      </c>
      <c r="CE58" s="16">
        <v>1657</v>
      </c>
      <c r="CF58" s="16">
        <v>1730</v>
      </c>
      <c r="CG58" s="16">
        <v>1720</v>
      </c>
      <c r="CH58" s="16">
        <v>1992</v>
      </c>
      <c r="CI58" s="16">
        <v>1811</v>
      </c>
      <c r="CJ58" s="16">
        <v>1917</v>
      </c>
      <c r="CK58" s="16">
        <v>2055</v>
      </c>
      <c r="CL58" s="16">
        <f>+CH58</f>
        <v>1992</v>
      </c>
      <c r="CM58" s="16">
        <f t="shared" ref="CM58" si="173">+CI58*1.05</f>
        <v>1901.5500000000002</v>
      </c>
      <c r="CN58" s="16">
        <f t="shared" si="164"/>
        <v>2012.8500000000001</v>
      </c>
      <c r="CO58" s="16">
        <f t="shared" si="165"/>
        <v>2157.75</v>
      </c>
      <c r="CP58" s="16">
        <f t="shared" si="166"/>
        <v>2091.6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5093</v>
      </c>
      <c r="DA58" s="16">
        <f t="shared" si="167"/>
        <v>4989</v>
      </c>
      <c r="DB58" s="16">
        <f t="shared" si="168"/>
        <v>5830</v>
      </c>
      <c r="DC58" s="16">
        <f t="shared" si="169"/>
        <v>6518</v>
      </c>
      <c r="DD58" s="16">
        <f t="shared" si="170"/>
        <v>6509.98</v>
      </c>
      <c r="DE58" s="16">
        <f>SUM(CE58:CH58)</f>
        <v>7099</v>
      </c>
      <c r="DF58" s="16">
        <f t="shared" si="171"/>
        <v>7775</v>
      </c>
      <c r="DG58" s="16"/>
      <c r="DH58" s="16"/>
      <c r="DI58" s="16"/>
      <c r="DJ58" s="16"/>
      <c r="DK58" s="16"/>
    </row>
    <row r="59" spans="2:243" s="15" customFormat="1" x14ac:dyDescent="0.2">
      <c r="B59" s="15" t="s">
        <v>20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74">+AQ58+AQ57</f>
        <v>1871</v>
      </c>
      <c r="AR59" s="16">
        <f t="shared" si="174"/>
        <v>2115</v>
      </c>
      <c r="AS59" s="16">
        <f t="shared" si="174"/>
        <v>1975</v>
      </c>
      <c r="AT59" s="16">
        <f t="shared" si="174"/>
        <v>2246</v>
      </c>
      <c r="AU59" s="16">
        <f t="shared" si="174"/>
        <v>2112</v>
      </c>
      <c r="AV59" s="16">
        <f t="shared" si="174"/>
        <v>2139</v>
      </c>
      <c r="AW59" s="16">
        <f t="shared" si="174"/>
        <v>2407</v>
      </c>
      <c r="AX59" s="16">
        <f t="shared" si="174"/>
        <v>4220</v>
      </c>
      <c r="AY59" s="16">
        <f t="shared" si="174"/>
        <v>2284</v>
      </c>
      <c r="AZ59" s="16">
        <f t="shared" si="174"/>
        <v>2684</v>
      </c>
      <c r="BA59" s="16">
        <f t="shared" si="174"/>
        <v>2892</v>
      </c>
      <c r="BB59" s="16">
        <f t="shared" si="174"/>
        <v>2812</v>
      </c>
      <c r="BC59" s="16">
        <f t="shared" ref="BC59" si="175">+BC57+BC58</f>
        <v>2301</v>
      </c>
      <c r="BD59" s="16">
        <f t="shared" ref="BD59:BE59" si="176">+BD57+BD58</f>
        <v>2590</v>
      </c>
      <c r="BE59" s="16">
        <f t="shared" si="176"/>
        <v>2419</v>
      </c>
      <c r="BF59" s="16">
        <f t="shared" ref="BF59:BG59" si="177">+BF57+BF58</f>
        <v>2800</v>
      </c>
      <c r="BG59" s="16">
        <f t="shared" si="177"/>
        <v>2472</v>
      </c>
      <c r="BH59" s="16">
        <f t="shared" ref="BH59:BI59" si="178">+BH57+BH58</f>
        <v>2617</v>
      </c>
      <c r="BI59" s="16">
        <f t="shared" si="178"/>
        <v>2638</v>
      </c>
      <c r="BJ59" s="16">
        <f t="shared" ref="BJ59" si="179">+BJ57+BJ58</f>
        <v>2963</v>
      </c>
      <c r="BK59" s="16">
        <f t="shared" ref="BK59:BP59" si="180">+BK57+BK58</f>
        <v>2859</v>
      </c>
      <c r="BL59" s="16">
        <f t="shared" si="180"/>
        <v>2910</v>
      </c>
      <c r="BM59" s="16">
        <f t="shared" si="180"/>
        <v>2843</v>
      </c>
      <c r="BN59" s="16">
        <f t="shared" si="180"/>
        <v>3166</v>
      </c>
      <c r="BO59" s="16">
        <f t="shared" si="180"/>
        <v>2762</v>
      </c>
      <c r="BP59" s="16">
        <f t="shared" si="180"/>
        <v>2852</v>
      </c>
      <c r="BQ59" s="16">
        <f t="shared" ref="BQ59:BR59" si="181">BQ58+BQ57</f>
        <v>2848</v>
      </c>
      <c r="BR59" s="16">
        <f t="shared" si="181"/>
        <v>3214</v>
      </c>
      <c r="BS59" s="16">
        <f t="shared" ref="BS59:BT59" si="182">BS58+BS57</f>
        <v>2833</v>
      </c>
      <c r="BT59" s="16">
        <f t="shared" si="182"/>
        <v>3724</v>
      </c>
      <c r="BU59" s="16">
        <f t="shared" ref="BU59:CA59" si="183">BU58+BU57</f>
        <v>4236</v>
      </c>
      <c r="BV59" s="16">
        <f t="shared" si="183"/>
        <v>4840</v>
      </c>
      <c r="BW59" s="16">
        <f t="shared" si="183"/>
        <v>4248</v>
      </c>
      <c r="BX59" s="16">
        <f t="shared" si="183"/>
        <v>4536</v>
      </c>
      <c r="BY59" s="16">
        <f t="shared" si="183"/>
        <v>4593</v>
      </c>
      <c r="BZ59" s="16">
        <f t="shared" si="183"/>
        <v>5105</v>
      </c>
      <c r="CA59" s="16">
        <f t="shared" si="183"/>
        <v>4332</v>
      </c>
      <c r="CB59" s="16">
        <f t="shared" ref="CB59:CD59" si="184">CB58+CB57</f>
        <v>4696</v>
      </c>
      <c r="CC59" s="16">
        <f t="shared" si="184"/>
        <v>4696</v>
      </c>
      <c r="CD59" s="16">
        <f t="shared" si="184"/>
        <v>5156.05</v>
      </c>
      <c r="CE59" s="16">
        <f t="shared" ref="CE59:CH59" si="185">CE58+CE57</f>
        <v>4641</v>
      </c>
      <c r="CF59" s="16">
        <f t="shared" si="185"/>
        <v>4948</v>
      </c>
      <c r="CG59" s="16">
        <f t="shared" si="185"/>
        <v>5050</v>
      </c>
      <c r="CH59" s="16">
        <f t="shared" si="185"/>
        <v>5532</v>
      </c>
      <c r="CI59" s="16">
        <f>+CI57+CI58</f>
        <v>4843</v>
      </c>
      <c r="CJ59" s="16">
        <f t="shared" ref="CJ59:CL59" si="186">+CJ57+CJ58</f>
        <v>5232</v>
      </c>
      <c r="CK59" s="16">
        <f t="shared" si="186"/>
        <v>5381</v>
      </c>
      <c r="CL59" s="16">
        <f t="shared" si="186"/>
        <v>5461.2</v>
      </c>
      <c r="CM59" s="16">
        <f t="shared" ref="CM59:CP59" si="187">+CM57+CM58</f>
        <v>5085.1499999999996</v>
      </c>
      <c r="CN59" s="16">
        <f t="shared" si="187"/>
        <v>5493.6</v>
      </c>
      <c r="CO59" s="16">
        <f t="shared" si="187"/>
        <v>5650.05</v>
      </c>
      <c r="CP59" s="16">
        <f t="shared" si="187"/>
        <v>5734.26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" si="188">+CZ57+CZ58</f>
        <v>11778</v>
      </c>
      <c r="DA59" s="16">
        <f t="shared" ref="DA59:DB59" si="189">+DA57+DA58</f>
        <v>11676</v>
      </c>
      <c r="DB59" s="16">
        <f t="shared" si="189"/>
        <v>15633</v>
      </c>
      <c r="DC59" s="16">
        <f>+DC57+DC58</f>
        <v>18482</v>
      </c>
      <c r="DD59" s="16">
        <f>+DD57+DD58</f>
        <v>18880.05</v>
      </c>
      <c r="DE59" s="16">
        <f t="shared" ref="DE59:DL59" si="190">+DE57+DE58</f>
        <v>20171</v>
      </c>
      <c r="DF59" s="16">
        <f t="shared" si="190"/>
        <v>20917.2</v>
      </c>
      <c r="DG59" s="16">
        <f t="shared" si="190"/>
        <v>11603.381420000002</v>
      </c>
      <c r="DH59" s="16">
        <f t="shared" si="190"/>
        <v>11407.176586000001</v>
      </c>
      <c r="DI59" s="16">
        <f t="shared" si="190"/>
        <v>11338.073011400002</v>
      </c>
      <c r="DJ59" s="16">
        <f t="shared" si="190"/>
        <v>11158.276540578006</v>
      </c>
      <c r="DK59" s="16">
        <f t="shared" si="190"/>
        <v>11179.265685555645</v>
      </c>
      <c r="DL59" s="16">
        <f t="shared" si="190"/>
        <v>7890.3984868781454</v>
      </c>
    </row>
    <row r="60" spans="2:243" s="15" customFormat="1" x14ac:dyDescent="0.2">
      <c r="B60" s="15" t="s">
        <v>21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f>AQ56-AQ59</f>
        <v>1305</v>
      </c>
      <c r="AR60" s="16">
        <f>AR56-AR59</f>
        <v>1523</v>
      </c>
      <c r="AS60" s="16">
        <f>AS56-AS59</f>
        <v>1591</v>
      </c>
      <c r="AT60" s="16">
        <f>AT56-AT59</f>
        <v>1583</v>
      </c>
      <c r="AU60" s="16">
        <f>AU56-AU59</f>
        <v>1351</v>
      </c>
      <c r="AV60" s="16">
        <f t="shared" ref="AV60:BB60" si="191">+AV56-AV59</f>
        <v>1752</v>
      </c>
      <c r="AW60" s="16">
        <f t="shared" si="191"/>
        <v>1518</v>
      </c>
      <c r="AX60" s="16">
        <f t="shared" si="191"/>
        <v>113</v>
      </c>
      <c r="AY60" s="16">
        <f t="shared" si="191"/>
        <v>1814</v>
      </c>
      <c r="AZ60" s="16">
        <f t="shared" si="191"/>
        <v>1875</v>
      </c>
      <c r="BA60" s="16">
        <f t="shared" si="191"/>
        <v>1885</v>
      </c>
      <c r="BB60" s="16">
        <f t="shared" si="191"/>
        <v>2073</v>
      </c>
      <c r="BC60" s="16">
        <f t="shared" ref="BC60" si="192">+BC56-BC59</f>
        <v>2288</v>
      </c>
      <c r="BD60" s="16">
        <f t="shared" ref="BD60:BE60" si="193">+BD56-BD59</f>
        <v>2437</v>
      </c>
      <c r="BE60" s="16">
        <f t="shared" si="193"/>
        <v>2732</v>
      </c>
      <c r="BF60" s="16">
        <f t="shared" ref="BF60:BG60" si="194">+BF56-BF59</f>
        <v>2697</v>
      </c>
      <c r="BG60" s="16">
        <f t="shared" si="194"/>
        <v>2753</v>
      </c>
      <c r="BH60" s="16">
        <f t="shared" ref="BH60:BI60" si="195">+BH56-BH59</f>
        <v>3096</v>
      </c>
      <c r="BI60" s="16">
        <f t="shared" si="195"/>
        <v>3015</v>
      </c>
      <c r="BJ60" s="16">
        <f t="shared" ref="BJ60" si="196">+BJ56-BJ59</f>
        <v>3151</v>
      </c>
      <c r="BK60" s="16">
        <f t="shared" ref="BK60:BP60" si="197">+BK56-BK59</f>
        <v>3503</v>
      </c>
      <c r="BL60" s="16">
        <f t="shared" si="197"/>
        <v>3741</v>
      </c>
      <c r="BM60" s="16">
        <f t="shared" si="197"/>
        <v>3884</v>
      </c>
      <c r="BN60" s="16">
        <f t="shared" si="197"/>
        <v>3465</v>
      </c>
      <c r="BO60" s="16">
        <f t="shared" si="197"/>
        <v>3763</v>
      </c>
      <c r="BP60" s="16">
        <f t="shared" si="197"/>
        <v>3976</v>
      </c>
      <c r="BQ60" s="16">
        <f t="shared" ref="BQ60:BR60" si="198">BQ56-BQ59</f>
        <v>4106</v>
      </c>
      <c r="BR60" s="16">
        <f t="shared" si="198"/>
        <v>3885</v>
      </c>
      <c r="BS60" s="16">
        <f t="shared" ref="BS60:BT60" si="199">BS56-BS59</f>
        <v>4292</v>
      </c>
      <c r="BT60" s="16">
        <f t="shared" si="199"/>
        <v>4905</v>
      </c>
      <c r="BU60" s="16">
        <f t="shared" ref="BU60:CA60" si="200">BU56-BU59</f>
        <v>6284</v>
      </c>
      <c r="BV60" s="16">
        <f t="shared" si="200"/>
        <v>6495</v>
      </c>
      <c r="BW60" s="16">
        <f t="shared" si="200"/>
        <v>6602</v>
      </c>
      <c r="BX60" s="16">
        <f t="shared" si="200"/>
        <v>6944</v>
      </c>
      <c r="BY60" s="16">
        <f t="shared" si="200"/>
        <v>7336</v>
      </c>
      <c r="BZ60" s="16">
        <f t="shared" si="200"/>
        <v>7333</v>
      </c>
      <c r="CA60" s="16">
        <f t="shared" si="200"/>
        <v>7103</v>
      </c>
      <c r="CB60" s="16">
        <f t="shared" ref="CB60:CD60" si="201">CB56-CB59</f>
        <v>7720</v>
      </c>
      <c r="CC60" s="16">
        <f t="shared" si="201"/>
        <v>7949</v>
      </c>
      <c r="CD60" s="16">
        <f t="shared" si="201"/>
        <v>7696.8</v>
      </c>
      <c r="CE60" s="16">
        <f t="shared" ref="CE60:CH60" si="202">CE56-CE59</f>
        <v>5653</v>
      </c>
      <c r="CF60" s="16">
        <f t="shared" si="202"/>
        <v>6800</v>
      </c>
      <c r="CG60" s="16">
        <f t="shared" si="202"/>
        <v>6576</v>
      </c>
      <c r="CH60" s="16">
        <f t="shared" si="202"/>
        <v>6472</v>
      </c>
      <c r="CI60" s="16">
        <f>+CI56-CI59</f>
        <v>5359</v>
      </c>
      <c r="CJ60" s="16">
        <f t="shared" ref="CJ60:CL60" si="203">+CJ56-CJ59</f>
        <v>7095</v>
      </c>
      <c r="CK60" s="16">
        <f t="shared" si="203"/>
        <v>6828</v>
      </c>
      <c r="CL60" s="16">
        <f t="shared" si="203"/>
        <v>6471.2866999999997</v>
      </c>
      <c r="CM60" s="16">
        <f t="shared" ref="CM60:CP60" si="204">+CM56-CM59</f>
        <v>5652.092499999997</v>
      </c>
      <c r="CN60" s="16">
        <f t="shared" si="204"/>
        <v>7165.2375000000011</v>
      </c>
      <c r="CO60" s="16">
        <f t="shared" si="204"/>
        <v>7415.2660000000005</v>
      </c>
      <c r="CP60" s="16">
        <f t="shared" si="204"/>
        <v>7339.800035000002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ref="CZ60" si="205">+CZ56-CZ59</f>
        <v>14593</v>
      </c>
      <c r="DA60" s="16">
        <f t="shared" ref="DA60:DB60" si="206">+DA56-DA59</f>
        <v>15730</v>
      </c>
      <c r="DB60" s="16">
        <f t="shared" si="206"/>
        <v>21976</v>
      </c>
      <c r="DC60" s="16">
        <f>+DC56-DC59</f>
        <v>28215</v>
      </c>
      <c r="DD60" s="16">
        <f>+DD56-DD59</f>
        <v>30252.799999999999</v>
      </c>
      <c r="DE60" s="16">
        <f t="shared" ref="DE60:DL60" si="207">+DE56-DE59</f>
        <v>25501</v>
      </c>
      <c r="DF60" s="16">
        <f t="shared" si="207"/>
        <v>25753.286699999993</v>
      </c>
      <c r="DG60" s="16">
        <f t="shared" si="207"/>
        <v>37710.989614999999</v>
      </c>
      <c r="DH60" s="16">
        <f t="shared" si="207"/>
        <v>37073.323904499994</v>
      </c>
      <c r="DI60" s="16">
        <f t="shared" si="207"/>
        <v>36848.737287049997</v>
      </c>
      <c r="DJ60" s="16">
        <f t="shared" si="207"/>
        <v>36264.398756878516</v>
      </c>
      <c r="DK60" s="16">
        <f t="shared" si="207"/>
        <v>36332.61347805585</v>
      </c>
      <c r="DL60" s="16">
        <f t="shared" si="207"/>
        <v>25643.795082353969</v>
      </c>
    </row>
    <row r="61" spans="2:243" s="15" customFormat="1" x14ac:dyDescent="0.2">
      <c r="B61" s="15" t="s">
        <v>19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>-66-15+15</f>
        <v>-66</v>
      </c>
      <c r="AR61" s="16">
        <f>-75+4</f>
        <v>-71</v>
      </c>
      <c r="AS61" s="16">
        <f>-69-11-5</f>
        <v>-85</v>
      </c>
      <c r="AT61" s="16">
        <f>-68-13</f>
        <v>-81</v>
      </c>
      <c r="AU61" s="16">
        <f>-65+3</f>
        <v>-62</v>
      </c>
      <c r="AV61" s="16">
        <f>-69-5-8</f>
        <v>-82</v>
      </c>
      <c r="AW61" s="16">
        <f>-128-221</f>
        <v>-349</v>
      </c>
      <c r="AX61" s="16">
        <f>-129+3</f>
        <v>-126</v>
      </c>
      <c r="AY61" s="16">
        <f>-126-1</f>
        <v>-127</v>
      </c>
      <c r="AZ61" s="16">
        <f>-164+4</f>
        <v>-160</v>
      </c>
      <c r="BA61" s="16">
        <f>-197-28</f>
        <v>-225</v>
      </c>
      <c r="BB61" s="16">
        <f>-199+12</f>
        <v>-187</v>
      </c>
      <c r="BC61" s="16">
        <v>-200</v>
      </c>
      <c r="BD61" s="16">
        <f>-225-51</f>
        <v>-276</v>
      </c>
      <c r="BE61" s="16">
        <f>-250+3</f>
        <v>-247</v>
      </c>
      <c r="BF61" s="16">
        <f>-251+5</f>
        <v>-246</v>
      </c>
      <c r="BG61" s="16">
        <f>-247+25</f>
        <v>-222</v>
      </c>
      <c r="BH61" s="16">
        <v>-253</v>
      </c>
      <c r="BI61" s="16">
        <f>-252+52</f>
        <v>-200</v>
      </c>
      <c r="BJ61" s="16">
        <f>-252+50</f>
        <v>-202</v>
      </c>
      <c r="BK61" s="16">
        <f>5-251</f>
        <v>-246</v>
      </c>
      <c r="BL61" s="16">
        <f>-15-272</f>
        <v>-287</v>
      </c>
      <c r="BM61" s="16">
        <f>-302-2+1</f>
        <v>-303</v>
      </c>
      <c r="BN61" s="16">
        <f>-319-6+11</f>
        <v>-314</v>
      </c>
      <c r="BO61" s="16">
        <f>34-325</f>
        <v>-291</v>
      </c>
      <c r="BP61" s="16">
        <f>-302+26</f>
        <v>-276</v>
      </c>
      <c r="BQ61" s="16">
        <f>-288-19+3</f>
        <v>-304</v>
      </c>
      <c r="BR61" s="16">
        <f>-282-11+22</f>
        <v>-271</v>
      </c>
      <c r="BS61" s="16">
        <f>-284-5</f>
        <v>-289</v>
      </c>
      <c r="BT61" s="16">
        <f>-484+7-33</f>
        <v>-510</v>
      </c>
      <c r="BU61" s="49">
        <v>620</v>
      </c>
      <c r="BV61" s="49">
        <v>618</v>
      </c>
      <c r="BW61" s="16">
        <v>-622</v>
      </c>
      <c r="BX61" s="16">
        <v>-606</v>
      </c>
      <c r="BY61" s="16">
        <v>-585</v>
      </c>
      <c r="BZ61" s="16">
        <v>-571</v>
      </c>
      <c r="CA61" s="16">
        <f>-539+28</f>
        <v>-511</v>
      </c>
      <c r="CB61" s="16">
        <f>-497+210</f>
        <v>-287</v>
      </c>
      <c r="CC61" s="16">
        <f>120-497</f>
        <v>-377</v>
      </c>
      <c r="CD61" s="16">
        <f>+CC61</f>
        <v>-377</v>
      </c>
      <c r="CE61" s="16">
        <v>69</v>
      </c>
      <c r="CF61" s="16">
        <f>-119-454</f>
        <v>-573</v>
      </c>
      <c r="CG61" s="16">
        <f>146-398</f>
        <v>-252</v>
      </c>
      <c r="CH61" s="16">
        <f>-363+142</f>
        <v>-221</v>
      </c>
      <c r="CI61" s="16">
        <f>-429+76</f>
        <v>-353</v>
      </c>
      <c r="CJ61" s="16">
        <f>153-506-1</f>
        <v>-354</v>
      </c>
      <c r="CK61" s="16">
        <f>199-591</f>
        <v>-392</v>
      </c>
      <c r="CL61" s="16">
        <f>+CK61</f>
        <v>-392</v>
      </c>
      <c r="CM61" s="16">
        <f>+CL61</f>
        <v>-392</v>
      </c>
      <c r="CN61" s="16">
        <f>+CM61</f>
        <v>-392</v>
      </c>
      <c r="CO61" s="16">
        <f>+CN61</f>
        <v>-392</v>
      </c>
      <c r="CP61" s="16">
        <f>+CO61</f>
        <v>-392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ref="CZ61:CZ63" si="208">SUM(BK61:BN61)</f>
        <v>-1150</v>
      </c>
      <c r="DA61" s="16">
        <f t="shared" ref="DA61" si="209">SUM(BO61:BR61)</f>
        <v>-1142</v>
      </c>
      <c r="DB61" s="16">
        <f t="shared" ref="DB61" si="210">SUM(BS61:BV61)</f>
        <v>439</v>
      </c>
      <c r="DC61" s="16">
        <f t="shared" ref="DC61" si="211">SUM(BW61:BZ61)</f>
        <v>-2384</v>
      </c>
      <c r="DD61" s="16">
        <f t="shared" ref="DD61" si="212">SUM(CA61:CD61)</f>
        <v>-1552</v>
      </c>
      <c r="DE61" s="16">
        <f>SUM(CE61:CH61)</f>
        <v>-977</v>
      </c>
      <c r="DF61" s="16">
        <f t="shared" ref="DF61" si="213">SUM(CI61:CL61)</f>
        <v>-1491</v>
      </c>
      <c r="DG61" s="16">
        <f t="shared" ref="DG61:DL61" si="214">+DF61+300</f>
        <v>-1191</v>
      </c>
      <c r="DH61" s="16">
        <f t="shared" si="214"/>
        <v>-891</v>
      </c>
      <c r="DI61" s="16">
        <f t="shared" si="214"/>
        <v>-591</v>
      </c>
      <c r="DJ61" s="16">
        <f>+DI61+300</f>
        <v>-291</v>
      </c>
      <c r="DK61" s="16">
        <f>+DJ61+300</f>
        <v>9</v>
      </c>
      <c r="DL61" s="16">
        <f>+DK61+300</f>
        <v>309</v>
      </c>
    </row>
    <row r="62" spans="2:243" s="15" customFormat="1" x14ac:dyDescent="0.2">
      <c r="B62" s="15" t="s">
        <v>18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>+AQ60+AQ61</f>
        <v>1239</v>
      </c>
      <c r="AR62" s="16">
        <f>+AR60+AR61</f>
        <v>1452</v>
      </c>
      <c r="AS62" s="16">
        <f>+AS60+AS61</f>
        <v>1506</v>
      </c>
      <c r="AT62" s="16">
        <f>+AT60+AT61</f>
        <v>1502</v>
      </c>
      <c r="AU62" s="16">
        <f>+AU60+AU61</f>
        <v>1289</v>
      </c>
      <c r="AV62" s="16">
        <f t="shared" ref="AV62:BB62" si="215">+AV61+AV60</f>
        <v>1670</v>
      </c>
      <c r="AW62" s="16">
        <f t="shared" si="215"/>
        <v>1169</v>
      </c>
      <c r="AX62" s="16">
        <f t="shared" si="215"/>
        <v>-13</v>
      </c>
      <c r="AY62" s="16">
        <f t="shared" si="215"/>
        <v>1687</v>
      </c>
      <c r="AZ62" s="16">
        <f t="shared" si="215"/>
        <v>1715</v>
      </c>
      <c r="BA62" s="16">
        <f t="shared" si="215"/>
        <v>1660</v>
      </c>
      <c r="BB62" s="16">
        <f t="shared" si="215"/>
        <v>1886</v>
      </c>
      <c r="BC62" s="16">
        <f t="shared" ref="BC62" si="216">+BC60+BC61</f>
        <v>2088</v>
      </c>
      <c r="BD62" s="16">
        <f t="shared" ref="BD62:BE62" si="217">+BD60+BD61</f>
        <v>2161</v>
      </c>
      <c r="BE62" s="16">
        <f t="shared" si="217"/>
        <v>2485</v>
      </c>
      <c r="BF62" s="16">
        <f t="shared" ref="BF62:BG62" si="218">+BF60+BF61</f>
        <v>2451</v>
      </c>
      <c r="BG62" s="16">
        <f t="shared" si="218"/>
        <v>2531</v>
      </c>
      <c r="BH62" s="16">
        <f t="shared" ref="BH62:BI62" si="219">+BH60+BH61</f>
        <v>2843</v>
      </c>
      <c r="BI62" s="16">
        <f t="shared" si="219"/>
        <v>2815</v>
      </c>
      <c r="BJ62" s="16">
        <f t="shared" ref="BJ62:BP62" si="220">+BJ60+BJ61</f>
        <v>2949</v>
      </c>
      <c r="BK62" s="16">
        <f t="shared" si="220"/>
        <v>3257</v>
      </c>
      <c r="BL62" s="16">
        <f t="shared" si="220"/>
        <v>3454</v>
      </c>
      <c r="BM62" s="16">
        <f t="shared" si="220"/>
        <v>3581</v>
      </c>
      <c r="BN62" s="16">
        <f t="shared" si="220"/>
        <v>3151</v>
      </c>
      <c r="BO62" s="16">
        <f t="shared" si="220"/>
        <v>3472</v>
      </c>
      <c r="BP62" s="16">
        <f t="shared" si="220"/>
        <v>3700</v>
      </c>
      <c r="BQ62" s="16">
        <f t="shared" ref="BQ62:BR62" si="221">BQ60+BQ61</f>
        <v>3802</v>
      </c>
      <c r="BR62" s="16">
        <f t="shared" si="221"/>
        <v>3614</v>
      </c>
      <c r="BS62" s="16">
        <f t="shared" ref="BS62:BT62" si="222">BS60+BS61</f>
        <v>4003</v>
      </c>
      <c r="BT62" s="16">
        <f t="shared" si="222"/>
        <v>4395</v>
      </c>
      <c r="BU62" s="16">
        <f t="shared" ref="BU62:CA62" si="223">BU60+BU61</f>
        <v>6904</v>
      </c>
      <c r="BV62" s="16">
        <f t="shared" si="223"/>
        <v>7113</v>
      </c>
      <c r="BW62" s="16">
        <f t="shared" si="223"/>
        <v>5980</v>
      </c>
      <c r="BX62" s="16">
        <f t="shared" si="223"/>
        <v>6338</v>
      </c>
      <c r="BY62" s="16">
        <f t="shared" si="223"/>
        <v>6751</v>
      </c>
      <c r="BZ62" s="16">
        <f t="shared" si="223"/>
        <v>6762</v>
      </c>
      <c r="CA62" s="16">
        <f t="shared" si="223"/>
        <v>6592</v>
      </c>
      <c r="CB62" s="16">
        <f t="shared" ref="CB62:CD62" si="224">CB60+CB61</f>
        <v>7433</v>
      </c>
      <c r="CC62" s="16">
        <f t="shared" si="224"/>
        <v>7572</v>
      </c>
      <c r="CD62" s="16">
        <f t="shared" si="224"/>
        <v>7319.8</v>
      </c>
      <c r="CE62" s="16">
        <f t="shared" ref="CE62:CH62" si="225">CE60+CE61</f>
        <v>5722</v>
      </c>
      <c r="CF62" s="16">
        <f t="shared" si="225"/>
        <v>6227</v>
      </c>
      <c r="CG62" s="16">
        <f t="shared" si="225"/>
        <v>6324</v>
      </c>
      <c r="CH62" s="16">
        <f t="shared" si="225"/>
        <v>6251</v>
      </c>
      <c r="CI62" s="16">
        <f>+CI60+CI61</f>
        <v>5006</v>
      </c>
      <c r="CJ62" s="16">
        <f>+CJ60+CJ61</f>
        <v>6741</v>
      </c>
      <c r="CK62" s="16">
        <f>+CK60+CK61</f>
        <v>6436</v>
      </c>
      <c r="CL62" s="16">
        <f>+CL60+CL61</f>
        <v>6079.2866999999997</v>
      </c>
      <c r="CM62" s="16">
        <f t="shared" ref="CM62:CP62" si="226">+CM60+CM61</f>
        <v>5260.092499999997</v>
      </c>
      <c r="CN62" s="16">
        <f t="shared" si="226"/>
        <v>6773.2375000000011</v>
      </c>
      <c r="CO62" s="16">
        <f t="shared" si="226"/>
        <v>7023.2660000000005</v>
      </c>
      <c r="CP62" s="16">
        <f t="shared" si="226"/>
        <v>6947.800035000002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:DB62" si="227">+CZ60+CZ61</f>
        <v>13443</v>
      </c>
      <c r="DA62" s="16">
        <f t="shared" si="227"/>
        <v>14588</v>
      </c>
      <c r="DB62" s="16">
        <f t="shared" si="227"/>
        <v>22415</v>
      </c>
      <c r="DC62" s="16">
        <f>+DC60+DC61</f>
        <v>25831</v>
      </c>
      <c r="DD62" s="16">
        <f>+DD60+DD61</f>
        <v>28700.799999999999</v>
      </c>
      <c r="DE62" s="16">
        <f t="shared" ref="DE62:DL62" si="228">+DE60+DE61</f>
        <v>24524</v>
      </c>
      <c r="DF62" s="16">
        <f t="shared" si="228"/>
        <v>24262.286699999993</v>
      </c>
      <c r="DG62" s="16">
        <f t="shared" si="228"/>
        <v>36519.989614999999</v>
      </c>
      <c r="DH62" s="16">
        <f t="shared" si="228"/>
        <v>36182.323904499994</v>
      </c>
      <c r="DI62" s="16">
        <f t="shared" si="228"/>
        <v>36257.737287049997</v>
      </c>
      <c r="DJ62" s="16">
        <f>+DJ60+DJ61</f>
        <v>35973.398756878516</v>
      </c>
      <c r="DK62" s="16">
        <f t="shared" si="228"/>
        <v>36341.61347805585</v>
      </c>
      <c r="DL62" s="16">
        <f t="shared" si="228"/>
        <v>25952.795082353969</v>
      </c>
    </row>
    <row r="63" spans="2:243" s="15" customFormat="1" x14ac:dyDescent="0.2">
      <c r="B63" s="15" t="s">
        <v>17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v>271</v>
      </c>
      <c r="AR63" s="16">
        <v>300</v>
      </c>
      <c r="AS63" s="16">
        <v>322</v>
      </c>
      <c r="AT63" s="16">
        <v>311</v>
      </c>
      <c r="AU63" s="16">
        <v>306</v>
      </c>
      <c r="AV63" s="16">
        <v>335</v>
      </c>
      <c r="AW63" s="16">
        <v>181</v>
      </c>
      <c r="AX63" s="16">
        <v>0</v>
      </c>
      <c r="AY63" s="16">
        <v>374</v>
      </c>
      <c r="AZ63" s="16">
        <v>312</v>
      </c>
      <c r="BA63" s="16">
        <v>408</v>
      </c>
      <c r="BB63" s="16">
        <v>407</v>
      </c>
      <c r="BC63" s="16">
        <v>422</v>
      </c>
      <c r="BD63" s="16">
        <v>486</v>
      </c>
      <c r="BE63" s="16">
        <v>495</v>
      </c>
      <c r="BF63" s="16">
        <v>497</v>
      </c>
      <c r="BG63" s="16">
        <v>458</v>
      </c>
      <c r="BH63" s="16">
        <v>548</v>
      </c>
      <c r="BI63" s="16">
        <v>533</v>
      </c>
      <c r="BJ63" s="16">
        <v>556</v>
      </c>
      <c r="BK63" s="16">
        <v>249</v>
      </c>
      <c r="BL63" s="16">
        <v>311</v>
      </c>
      <c r="BM63" s="16">
        <v>326</v>
      </c>
      <c r="BN63" s="16">
        <v>289</v>
      </c>
      <c r="BO63" s="16">
        <v>274</v>
      </c>
      <c r="BP63" s="16">
        <v>324</v>
      </c>
      <c r="BQ63" s="16">
        <v>334</v>
      </c>
      <c r="BR63" s="16">
        <v>320</v>
      </c>
      <c r="BS63" s="16">
        <v>390</v>
      </c>
      <c r="BT63" s="16">
        <v>501</v>
      </c>
      <c r="BU63" s="16">
        <v>668</v>
      </c>
      <c r="BV63" s="16">
        <v>686</v>
      </c>
      <c r="BW63" s="16">
        <v>738</v>
      </c>
      <c r="BX63" s="16">
        <f>799+3</f>
        <v>802</v>
      </c>
      <c r="BY63" s="16">
        <f>862+1</f>
        <v>863</v>
      </c>
      <c r="BZ63" s="16">
        <f>6764-5919</f>
        <v>845</v>
      </c>
      <c r="CA63" s="16">
        <v>778</v>
      </c>
      <c r="CB63" s="16">
        <v>965</v>
      </c>
      <c r="CC63" s="16">
        <v>965</v>
      </c>
      <c r="CD63" s="16">
        <f>+CD62*0.15</f>
        <v>1097.97</v>
      </c>
      <c r="CE63" s="16">
        <f>6422-5641</f>
        <v>781</v>
      </c>
      <c r="CF63" s="81">
        <f>583+3</f>
        <v>586</v>
      </c>
      <c r="CG63" s="16">
        <v>980</v>
      </c>
      <c r="CH63" s="16">
        <f>388+2</f>
        <v>390</v>
      </c>
      <c r="CI63" s="16">
        <v>715</v>
      </c>
      <c r="CJ63" s="16">
        <v>1091</v>
      </c>
      <c r="CK63" s="16">
        <v>1027</v>
      </c>
      <c r="CL63" s="16">
        <f>+CL62*0.1</f>
        <v>607.92867000000001</v>
      </c>
      <c r="CM63" s="16">
        <f>+CM62*0.1</f>
        <v>526.00924999999972</v>
      </c>
      <c r="CN63" s="16">
        <f t="shared" ref="CN63:CP63" si="229">+CN62*0.1</f>
        <v>677.32375000000013</v>
      </c>
      <c r="CO63" s="16">
        <f t="shared" si="229"/>
        <v>702.3266000000001</v>
      </c>
      <c r="CP63" s="16">
        <f t="shared" si="229"/>
        <v>694.78000350000025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si="208"/>
        <v>1175</v>
      </c>
      <c r="DA63" s="16">
        <f t="shared" ref="DA63" si="230">SUM(BO63:BR63)</f>
        <v>1252</v>
      </c>
      <c r="DB63" s="16">
        <f t="shared" ref="DB63" si="231">SUM(BS63:BV63)</f>
        <v>2245</v>
      </c>
      <c r="DC63" s="16">
        <f t="shared" ref="DC63" si="232">SUM(BW63:BZ63)</f>
        <v>3248</v>
      </c>
      <c r="DD63" s="16">
        <f t="shared" ref="DD63" si="233">SUM(CA63:CD63)</f>
        <v>3805.9700000000003</v>
      </c>
      <c r="DE63" s="16">
        <f>SUM(CE63:CH63)</f>
        <v>2737</v>
      </c>
      <c r="DF63" s="16">
        <f t="shared" ref="DF63" si="234">SUM(CI63:CL63)</f>
        <v>3440.9286700000002</v>
      </c>
      <c r="DG63" s="16">
        <f t="shared" ref="DG63:DL63" si="235">+DG62*0.15</f>
        <v>5477.9984422499992</v>
      </c>
      <c r="DH63" s="16">
        <f t="shared" si="235"/>
        <v>5427.3485856749985</v>
      </c>
      <c r="DI63" s="16">
        <f t="shared" si="235"/>
        <v>5438.6605930574997</v>
      </c>
      <c r="DJ63" s="16">
        <f t="shared" si="235"/>
        <v>5396.0098135317776</v>
      </c>
      <c r="DK63" s="16">
        <f t="shared" si="235"/>
        <v>5451.2420217083773</v>
      </c>
      <c r="DL63" s="16">
        <f t="shared" si="235"/>
        <v>3892.9192623530953</v>
      </c>
    </row>
    <row r="64" spans="2:243" s="15" customFormat="1" x14ac:dyDescent="0.2">
      <c r="B64" s="15" t="s">
        <v>16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 t="shared" ref="AQ64:BB64" si="236">+AQ62-AQ63</f>
        <v>968</v>
      </c>
      <c r="AR64" s="16">
        <f t="shared" si="236"/>
        <v>1152</v>
      </c>
      <c r="AS64" s="16">
        <f t="shared" si="236"/>
        <v>1184</v>
      </c>
      <c r="AT64" s="16">
        <f t="shared" si="236"/>
        <v>1191</v>
      </c>
      <c r="AU64" s="16">
        <f t="shared" si="236"/>
        <v>983</v>
      </c>
      <c r="AV64" s="16">
        <f t="shared" si="236"/>
        <v>1335</v>
      </c>
      <c r="AW64" s="16">
        <f t="shared" si="236"/>
        <v>988</v>
      </c>
      <c r="AX64" s="16">
        <f t="shared" si="236"/>
        <v>-13</v>
      </c>
      <c r="AY64" s="16">
        <f t="shared" si="236"/>
        <v>1313</v>
      </c>
      <c r="AZ64" s="16">
        <f t="shared" si="236"/>
        <v>1403</v>
      </c>
      <c r="BA64" s="16">
        <f t="shared" si="236"/>
        <v>1252</v>
      </c>
      <c r="BB64" s="16">
        <f t="shared" si="236"/>
        <v>1479</v>
      </c>
      <c r="BC64" s="16">
        <f t="shared" ref="BC64" si="237">+BC62-BC63</f>
        <v>1666</v>
      </c>
      <c r="BD64" s="16">
        <f t="shared" ref="BD64:BE64" si="238">+BD62-BD63</f>
        <v>1675</v>
      </c>
      <c r="BE64" s="16">
        <f t="shared" si="238"/>
        <v>1990</v>
      </c>
      <c r="BF64" s="16">
        <f t="shared" ref="BF64:BG64" si="239">+BF62-BF63</f>
        <v>1954</v>
      </c>
      <c r="BG64" s="16">
        <f t="shared" si="239"/>
        <v>2073</v>
      </c>
      <c r="BH64" s="16">
        <f t="shared" ref="BH64:BI64" si="240">+BH62-BH63</f>
        <v>2295</v>
      </c>
      <c r="BI64" s="16">
        <f t="shared" si="240"/>
        <v>2282</v>
      </c>
      <c r="BJ64" s="16">
        <f t="shared" ref="BJ64" si="241">+BJ62-BJ63</f>
        <v>2393</v>
      </c>
      <c r="BK64" s="16">
        <f t="shared" ref="BK64:BP64" si="242">+BK62-BK63</f>
        <v>3008</v>
      </c>
      <c r="BL64" s="16">
        <f t="shared" si="242"/>
        <v>3143</v>
      </c>
      <c r="BM64" s="16">
        <f t="shared" si="242"/>
        <v>3255</v>
      </c>
      <c r="BN64" s="16">
        <f t="shared" si="242"/>
        <v>2862</v>
      </c>
      <c r="BO64" s="16">
        <f t="shared" si="242"/>
        <v>3198</v>
      </c>
      <c r="BP64" s="16">
        <f t="shared" si="242"/>
        <v>3376</v>
      </c>
      <c r="BQ64" s="16">
        <f t="shared" ref="BQ64:BR64" si="243">BQ62-BQ63</f>
        <v>3468</v>
      </c>
      <c r="BR64" s="16">
        <f t="shared" si="243"/>
        <v>3294</v>
      </c>
      <c r="BS64" s="16">
        <f t="shared" ref="BS64:BT64" si="244">BS62-BS63</f>
        <v>3613</v>
      </c>
      <c r="BT64" s="16">
        <f t="shared" si="244"/>
        <v>3894</v>
      </c>
      <c r="BU64" s="16">
        <f t="shared" ref="BU64:CA64" si="245">BU62-BU63</f>
        <v>6236</v>
      </c>
      <c r="BV64" s="16">
        <f t="shared" si="245"/>
        <v>6427</v>
      </c>
      <c r="BW64" s="16">
        <f t="shared" si="245"/>
        <v>5242</v>
      </c>
      <c r="BX64" s="16">
        <f t="shared" si="245"/>
        <v>5536</v>
      </c>
      <c r="BY64" s="16">
        <f t="shared" si="245"/>
        <v>5888</v>
      </c>
      <c r="BZ64" s="16">
        <f t="shared" si="245"/>
        <v>5917</v>
      </c>
      <c r="CA64" s="16">
        <f t="shared" si="245"/>
        <v>5814</v>
      </c>
      <c r="CB64" s="16">
        <f t="shared" ref="CB64:CD64" si="246">CB62-CB63</f>
        <v>6468</v>
      </c>
      <c r="CC64" s="16">
        <f t="shared" si="246"/>
        <v>6607</v>
      </c>
      <c r="CD64" s="16">
        <f t="shared" si="246"/>
        <v>6221.83</v>
      </c>
      <c r="CE64" s="16">
        <f t="shared" ref="CE64:CJ64" si="247">CE62-CE63</f>
        <v>4941</v>
      </c>
      <c r="CF64" s="16">
        <f t="shared" si="247"/>
        <v>5641</v>
      </c>
      <c r="CG64" s="16">
        <f t="shared" si="247"/>
        <v>5344</v>
      </c>
      <c r="CH64" s="16">
        <f t="shared" si="247"/>
        <v>5861</v>
      </c>
      <c r="CI64" s="16">
        <f t="shared" si="247"/>
        <v>4291</v>
      </c>
      <c r="CJ64" s="16">
        <f t="shared" si="247"/>
        <v>5650</v>
      </c>
      <c r="CK64" s="16">
        <f t="shared" ref="CK64:CL64" si="248">CK62-CK63</f>
        <v>5409</v>
      </c>
      <c r="CL64" s="16">
        <f t="shared" si="248"/>
        <v>5471.3580299999994</v>
      </c>
      <c r="CM64" s="16">
        <f t="shared" ref="CM64:CP64" si="249">CM62-CM63</f>
        <v>4734.083249999997</v>
      </c>
      <c r="CN64" s="16">
        <f t="shared" si="249"/>
        <v>6095.9137500000006</v>
      </c>
      <c r="CO64" s="16">
        <f t="shared" si="249"/>
        <v>6320.9394000000002</v>
      </c>
      <c r="CP64" s="16">
        <f t="shared" si="249"/>
        <v>6253.020031500002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DB64" si="250">+CZ62-CZ63</f>
        <v>12268</v>
      </c>
      <c r="DA64" s="16">
        <f t="shared" si="250"/>
        <v>13336</v>
      </c>
      <c r="DB64" s="16">
        <f t="shared" si="250"/>
        <v>20170</v>
      </c>
      <c r="DC64" s="16">
        <f>+DC62-DC63</f>
        <v>22583</v>
      </c>
      <c r="DD64" s="16">
        <f>+DD62-DD63</f>
        <v>24894.829999999998</v>
      </c>
      <c r="DE64" s="16">
        <f>+DE62-DE63</f>
        <v>21787</v>
      </c>
      <c r="DF64" s="16">
        <f t="shared" ref="DF64:DL64" si="251">+DF62-DF63</f>
        <v>20821.358029999992</v>
      </c>
      <c r="DG64" s="16">
        <f t="shared" si="251"/>
        <v>31041.99117275</v>
      </c>
      <c r="DH64" s="16">
        <f t="shared" si="251"/>
        <v>30754.975318824996</v>
      </c>
      <c r="DI64" s="16">
        <f t="shared" si="251"/>
        <v>30819.076693992498</v>
      </c>
      <c r="DJ64" s="16">
        <f t="shared" si="251"/>
        <v>30577.388943346738</v>
      </c>
      <c r="DK64" s="16">
        <f t="shared" si="251"/>
        <v>30890.371456347471</v>
      </c>
      <c r="DL64" s="16">
        <f t="shared" si="251"/>
        <v>22059.875820000874</v>
      </c>
      <c r="DM64" s="15">
        <f>DL64*(1+$DT$72)</f>
        <v>21839.277061800865</v>
      </c>
      <c r="DN64" s="15">
        <f>DM64*(1+$DT$72)</f>
        <v>21620.884291182858</v>
      </c>
      <c r="DO64" s="15">
        <f>DN64*(1+$DT$72)</f>
        <v>21404.675448271028</v>
      </c>
      <c r="DP64" s="15">
        <f>DO64*(1+$DT$72)</f>
        <v>21190.628693788316</v>
      </c>
      <c r="DQ64" s="15">
        <f>DP64*(1+$DT$72)</f>
        <v>20978.722406850433</v>
      </c>
      <c r="DR64" s="15">
        <f>DQ64*(1+$DT$72)</f>
        <v>20768.93518278193</v>
      </c>
      <c r="DS64" s="15">
        <f>DR64*(1+$DT$72)</f>
        <v>20561.245830954111</v>
      </c>
      <c r="DT64" s="15">
        <f>DS64*(1+$DT$72)</f>
        <v>20355.63337264457</v>
      </c>
      <c r="DU64" s="15">
        <f>DT64*(1+$DT$72)</f>
        <v>20152.077038918123</v>
      </c>
      <c r="DV64" s="15">
        <f>DU64*(1+$DT$72)</f>
        <v>19950.556268528941</v>
      </c>
      <c r="DW64" s="15">
        <f>DV64*(1+$DT$72)</f>
        <v>19751.050705843652</v>
      </c>
      <c r="DX64" s="15">
        <f>DW64*(1+$DT$72)</f>
        <v>19553.540198785216</v>
      </c>
      <c r="DY64" s="15">
        <f>DX64*(1+$DT$72)</f>
        <v>19358.004796797362</v>
      </c>
      <c r="DZ64" s="15">
        <f>DY64*(1+$DT$72)</f>
        <v>19164.424748829388</v>
      </c>
      <c r="EA64" s="15">
        <f>DZ64*(1+$DT$72)</f>
        <v>18972.780501341094</v>
      </c>
      <c r="EB64" s="15">
        <f>EA64*(1+$DT$72)</f>
        <v>18783.052696327682</v>
      </c>
      <c r="EC64" s="15">
        <f>EB64*(1+$DT$72)</f>
        <v>18595.222169364406</v>
      </c>
      <c r="ED64" s="15">
        <f>EC64*(1+$DT$72)</f>
        <v>18409.26994767076</v>
      </c>
      <c r="EE64" s="15">
        <f>ED64*(1+$DT$72)</f>
        <v>18225.177248194053</v>
      </c>
      <c r="EF64" s="15">
        <f>EE64*(1+$DT$72)</f>
        <v>18042.925475712113</v>
      </c>
      <c r="EG64" s="15">
        <f>EF64*(1+$DT$72)</f>
        <v>17862.496220954992</v>
      </c>
      <c r="EH64" s="15">
        <f>EG64*(1+$DT$72)</f>
        <v>17683.871258745443</v>
      </c>
      <c r="EI64" s="15">
        <f>EH64*(1+$DT$72)</f>
        <v>17507.032546157989</v>
      </c>
      <c r="EJ64" s="15">
        <f>EI64*(1+$DT$72)</f>
        <v>17331.962220696409</v>
      </c>
      <c r="EK64" s="15">
        <f>EJ64*(1+$DT$72)</f>
        <v>17158.642598489445</v>
      </c>
      <c r="EL64" s="15">
        <f>EK64*(1+$DT$72)</f>
        <v>16987.056172504552</v>
      </c>
      <c r="EM64" s="15">
        <f>EL64*(1+$DT$72)</f>
        <v>16817.185610779507</v>
      </c>
      <c r="EN64" s="15">
        <f>EM64*(1+$DT$72)</f>
        <v>16649.013754671712</v>
      </c>
      <c r="EO64" s="15">
        <f>EN64*(1+$DT$72)</f>
        <v>16482.523617124996</v>
      </c>
      <c r="EP64" s="15">
        <f>EO64*(1+$DT$72)</f>
        <v>16317.698380953747</v>
      </c>
      <c r="EQ64" s="15">
        <f>EP64*(1+$DT$72)</f>
        <v>16154.52139714421</v>
      </c>
      <c r="ER64" s="15">
        <f>EQ64*(1+$DT$72)</f>
        <v>15992.976183172768</v>
      </c>
      <c r="ES64" s="15">
        <f>ER64*(1+$DT$72)</f>
        <v>15833.04642134104</v>
      </c>
      <c r="ET64" s="15">
        <f>ES64*(1+$DT$72)</f>
        <v>15674.71595712763</v>
      </c>
      <c r="EU64" s="15">
        <f>ET64*(1+$DT$72)</f>
        <v>15517.968797556354</v>
      </c>
      <c r="EV64" s="15">
        <f>EU64*(1+$DT$72)</f>
        <v>15362.78910958079</v>
      </c>
      <c r="EW64" s="15">
        <f>EV64*(1+$DT$72)</f>
        <v>15209.161218484982</v>
      </c>
      <c r="EX64" s="15">
        <f>EW64*(1+$DT$72)</f>
        <v>15057.069606300132</v>
      </c>
      <c r="EY64" s="15">
        <f>EX64*(1+$DT$72)</f>
        <v>14906.498910237131</v>
      </c>
      <c r="EZ64" s="15">
        <f>EY64*(1+$DT$72)</f>
        <v>14757.43392113476</v>
      </c>
      <c r="FA64" s="15">
        <f>EZ64*(1+$DT$72)</f>
        <v>14609.859581923412</v>
      </c>
      <c r="FB64" s="15">
        <f>FA64*(1+$DT$72)</f>
        <v>14463.760986104178</v>
      </c>
      <c r="FC64" s="15">
        <f>FB64*(1+$DT$72)</f>
        <v>14319.123376243137</v>
      </c>
      <c r="FD64" s="15">
        <f>FC64*(1+$DT$72)</f>
        <v>14175.932142480706</v>
      </c>
      <c r="FE64" s="15">
        <f>FD64*(1+$DT$72)</f>
        <v>14034.172821055899</v>
      </c>
      <c r="FF64" s="15">
        <f>FE64*(1+$DT$72)</f>
        <v>13893.831092845341</v>
      </c>
      <c r="FG64" s="15">
        <f>FF64*(1+$DT$72)</f>
        <v>13754.892781916888</v>
      </c>
      <c r="FH64" s="15">
        <f>FG64*(1+$DT$72)</f>
        <v>13617.343854097719</v>
      </c>
      <c r="FI64" s="15">
        <f>FH64*(1+$DT$72)</f>
        <v>13481.17041555674</v>
      </c>
      <c r="FJ64" s="15">
        <f>FI64*(1+$DT$72)</f>
        <v>13346.358711401173</v>
      </c>
      <c r="FK64" s="15">
        <f>FJ64*(1+$DT$72)</f>
        <v>13212.895124287161</v>
      </c>
      <c r="FL64" s="15">
        <f>FK64*(1+$DT$72)</f>
        <v>13080.766173044289</v>
      </c>
      <c r="FM64" s="15">
        <f>FL64*(1+$DT$72)</f>
        <v>12949.958511313846</v>
      </c>
      <c r="FN64" s="15">
        <f>FM64*(1+$DT$72)</f>
        <v>12820.458926200707</v>
      </c>
      <c r="FO64" s="15">
        <f>FN64*(1+$DT$72)</f>
        <v>12692.254336938699</v>
      </c>
      <c r="FP64" s="15">
        <f>FO64*(1+$DT$72)</f>
        <v>12565.331793569312</v>
      </c>
      <c r="FQ64" s="15">
        <f>FP64*(1+$DT$72)</f>
        <v>12439.678475633618</v>
      </c>
      <c r="FR64" s="15">
        <f>FQ64*(1+$DT$72)</f>
        <v>12315.281690877282</v>
      </c>
      <c r="FS64" s="15">
        <f>FR64*(1+$DT$72)</f>
        <v>12192.12887396851</v>
      </c>
      <c r="FT64" s="15">
        <f>FS64*(1+$DT$72)</f>
        <v>12070.207585228825</v>
      </c>
      <c r="FU64" s="15">
        <f>FT64*(1+$DT$72)</f>
        <v>11949.505509376537</v>
      </c>
      <c r="FV64" s="15">
        <f>FU64*(1+$DT$72)</f>
        <v>11830.010454282772</v>
      </c>
      <c r="FW64" s="15">
        <f>FV64*(1+$DT$72)</f>
        <v>11711.710349739944</v>
      </c>
      <c r="FX64" s="15">
        <f>FW64*(1+$DT$72)</f>
        <v>11594.593246242544</v>
      </c>
      <c r="FY64" s="15">
        <f>FX64*(1+$DT$72)</f>
        <v>11478.647313780119</v>
      </c>
      <c r="FZ64" s="15">
        <f>FY64*(1+$DT$72)</f>
        <v>11363.860840642317</v>
      </c>
      <c r="GA64" s="15">
        <f>FZ64*(1+$DT$72)</f>
        <v>11250.222232235894</v>
      </c>
      <c r="GB64" s="15">
        <f>GA64*(1+$DT$72)</f>
        <v>11137.720009913535</v>
      </c>
      <c r="GC64" s="15">
        <f>GB64*(1+$DT$72)</f>
        <v>11026.3428098144</v>
      </c>
      <c r="GD64" s="15">
        <f>GC64*(1+$DT$72)</f>
        <v>10916.079381716256</v>
      </c>
      <c r="GE64" s="15">
        <f>GD64*(1+$DT$72)</f>
        <v>10806.918587899094</v>
      </c>
      <c r="GF64" s="15">
        <f>GE64*(1+$DT$72)</f>
        <v>10698.849402020103</v>
      </c>
      <c r="GG64" s="15">
        <f>GF64*(1+$DT$72)</f>
        <v>10591.860907999902</v>
      </c>
      <c r="GH64" s="15">
        <f>GG64*(1+$DT$72)</f>
        <v>10485.942298919903</v>
      </c>
      <c r="GI64" s="15">
        <f>GH64*(1+$DT$72)</f>
        <v>10381.082875930704</v>
      </c>
      <c r="GJ64" s="15">
        <f>GI64*(1+$DT$72)</f>
        <v>10277.272047171396</v>
      </c>
      <c r="GK64" s="15">
        <f>GJ64*(1+$DT$72)</f>
        <v>10174.499326699683</v>
      </c>
      <c r="GL64" s="15">
        <f>GK64*(1+$DT$72)</f>
        <v>10072.754333432686</v>
      </c>
      <c r="GM64" s="15">
        <f>GL64*(1+$DT$72)</f>
        <v>9972.0267900983581</v>
      </c>
      <c r="GN64" s="15">
        <f>GM64*(1+$DT$72)</f>
        <v>9872.3065221973739</v>
      </c>
      <c r="GO64" s="15">
        <f>GN64*(1+$DT$72)</f>
        <v>9773.5834569754006</v>
      </c>
      <c r="GP64" s="15">
        <f>GO64*(1+$DT$72)</f>
        <v>9675.8476224056467</v>
      </c>
      <c r="GQ64" s="15">
        <f>GP64*(1+$DT$72)</f>
        <v>9579.08914618159</v>
      </c>
      <c r="GR64" s="15">
        <f>GQ64*(1+$DT$72)</f>
        <v>9483.2982547197735</v>
      </c>
      <c r="GS64" s="15">
        <f>GR64*(1+$DT$72)</f>
        <v>9388.4652721725761</v>
      </c>
      <c r="GT64" s="15">
        <f>GS64*(1+$DT$72)</f>
        <v>9294.5806194508496</v>
      </c>
      <c r="GU64" s="15">
        <f>GT64*(1+$DT$72)</f>
        <v>9201.6348132563417</v>
      </c>
      <c r="GV64" s="15">
        <f>GU64*(1+$DT$72)</f>
        <v>9109.6184651237782</v>
      </c>
      <c r="GW64" s="15">
        <f>GV64*(1+$DT$72)</f>
        <v>9018.5222804725399</v>
      </c>
      <c r="GX64" s="15">
        <f>GW64*(1+$DT$72)</f>
        <v>8928.3370576678153</v>
      </c>
      <c r="GY64" s="15">
        <f>GX64*(1+$DT$72)</f>
        <v>8839.0536870911365</v>
      </c>
      <c r="GZ64" s="15">
        <f>GY64*(1+$DT$72)</f>
        <v>8750.6631502202254</v>
      </c>
      <c r="HA64" s="15">
        <f>GZ64*(1+$DT$72)</f>
        <v>8663.1565187180222</v>
      </c>
      <c r="HB64" s="15">
        <f>HA64*(1+$DT$72)</f>
        <v>8576.5249535308412</v>
      </c>
      <c r="HC64" s="15">
        <f>HB64*(1+$DT$72)</f>
        <v>8490.7597039955326</v>
      </c>
      <c r="HD64" s="15">
        <f>HC64*(1+$DT$72)</f>
        <v>8405.8521069555773</v>
      </c>
      <c r="HE64" s="15">
        <f>HD64*(1+$DT$72)</f>
        <v>8321.7935858860219</v>
      </c>
      <c r="HF64" s="15">
        <f>HE64*(1+$DT$72)</f>
        <v>8238.5756500271618</v>
      </c>
      <c r="HG64" s="15">
        <f>HF64*(1+$DT$72)</f>
        <v>8156.18989352689</v>
      </c>
      <c r="HH64" s="15">
        <f>HG64*(1+$DT$72)</f>
        <v>8074.6279945916212</v>
      </c>
      <c r="HI64" s="15">
        <f>HH64*(1+$DT$72)</f>
        <v>7993.881714645705</v>
      </c>
      <c r="HJ64" s="15">
        <f>HI64*(1+$DT$72)</f>
        <v>7913.9428974992479</v>
      </c>
      <c r="HK64" s="15">
        <f>HJ64*(1+$DT$72)</f>
        <v>7834.8034685242555</v>
      </c>
      <c r="HL64" s="15">
        <f>HK64*(1+$DT$72)</f>
        <v>7756.4554338390126</v>
      </c>
      <c r="HM64" s="15">
        <f>HL64*(1+$DT$72)</f>
        <v>7678.8908795006228</v>
      </c>
      <c r="HN64" s="15">
        <f>HM64*(1+$DT$72)</f>
        <v>7602.1019707056166</v>
      </c>
      <c r="HO64" s="15">
        <f>HN64*(1+$DT$72)</f>
        <v>7526.0809509985602</v>
      </c>
      <c r="HP64" s="15">
        <f>HO64*(1+$DT$72)</f>
        <v>7450.8201414885743</v>
      </c>
      <c r="HQ64" s="15">
        <f>HP64*(1+$DT$72)</f>
        <v>7376.3119400736887</v>
      </c>
      <c r="HR64" s="15">
        <f>HQ64*(1+$DT$72)</f>
        <v>7302.5488206729515</v>
      </c>
      <c r="HS64" s="15">
        <f>HR64*(1+$DT$72)</f>
        <v>7229.5233324662222</v>
      </c>
      <c r="HT64" s="15">
        <f>HS64*(1+$DT$72)</f>
        <v>7157.2280991415601</v>
      </c>
      <c r="HU64" s="15">
        <f>HT64*(1+$DT$72)</f>
        <v>7085.6558181501441</v>
      </c>
      <c r="HV64" s="15">
        <f>HU64*(1+$DT$72)</f>
        <v>7014.7992599686422</v>
      </c>
      <c r="HW64" s="15">
        <f>HV64*(1+$DT$72)</f>
        <v>6944.6512673689558</v>
      </c>
      <c r="HX64" s="15">
        <f>HW64*(1+$DT$72)</f>
        <v>6875.2047546952663</v>
      </c>
      <c r="HY64" s="15">
        <f>HX64*(1+$DT$72)</f>
        <v>6806.4527071483135</v>
      </c>
      <c r="HZ64" s="15">
        <f>HY64*(1+$DT$72)</f>
        <v>6738.3881800768304</v>
      </c>
      <c r="IA64" s="15">
        <f>HZ64*(1+$DT$72)</f>
        <v>6671.0042982760624</v>
      </c>
      <c r="IB64" s="15">
        <f>IA64*(1+$DT$72)</f>
        <v>6604.2942552933018</v>
      </c>
      <c r="IC64" s="15">
        <f>IB64*(1+$DT$72)</f>
        <v>6538.251312740369</v>
      </c>
      <c r="ID64" s="15">
        <f>IC64*(1+$DT$72)</f>
        <v>6472.8687996129656</v>
      </c>
      <c r="IE64" s="15">
        <f>ID64*(1+$DT$72)</f>
        <v>6408.1401116168363</v>
      </c>
      <c r="IF64" s="15">
        <f>IE64*(1+$DT$72)</f>
        <v>6344.058710500668</v>
      </c>
      <c r="IG64" s="15">
        <f>IF64*(1+$DT$72)</f>
        <v>6280.6181233956613</v>
      </c>
      <c r="IH64" s="15">
        <f>IG64*(1+$DT$72)</f>
        <v>6217.8119421617048</v>
      </c>
      <c r="II64" s="15">
        <f>IH64*(1+$DT$72)</f>
        <v>6155.6338227400875</v>
      </c>
    </row>
    <row r="65" spans="2:124" s="14" customFormat="1" x14ac:dyDescent="0.2">
      <c r="B65" s="14" t="s">
        <v>15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f t="shared" ref="AQ65:BB65" si="252">AQ64/AQ66</f>
        <v>0.60311526479750777</v>
      </c>
      <c r="AR65" s="3">
        <f t="shared" si="252"/>
        <v>0.71597265382224984</v>
      </c>
      <c r="AS65" s="3">
        <f t="shared" si="252"/>
        <v>0.74465408805031441</v>
      </c>
      <c r="AT65" s="3">
        <f t="shared" si="252"/>
        <v>0.74067164179104472</v>
      </c>
      <c r="AU65" s="3">
        <f t="shared" si="252"/>
        <v>0.61093847110006216</v>
      </c>
      <c r="AV65" s="3">
        <f t="shared" si="252"/>
        <v>0.83022388059701491</v>
      </c>
      <c r="AW65" s="3">
        <f t="shared" si="252"/>
        <v>0.61366459627329195</v>
      </c>
      <c r="AX65" s="3">
        <f t="shared" si="252"/>
        <v>-8.1402629931120844E-3</v>
      </c>
      <c r="AY65" s="3">
        <f t="shared" si="252"/>
        <v>0.81654228855721389</v>
      </c>
      <c r="AZ65" s="3">
        <f t="shared" si="252"/>
        <v>0.85915492957746475</v>
      </c>
      <c r="BA65" s="3">
        <f t="shared" si="252"/>
        <v>0.75240384615384615</v>
      </c>
      <c r="BB65" s="3">
        <f t="shared" si="252"/>
        <v>0.90182926829268295</v>
      </c>
      <c r="BC65" s="3">
        <f t="shared" ref="BC65:BD65" si="253">BC64/BC66</f>
        <v>1.0252307692307692</v>
      </c>
      <c r="BD65" s="3">
        <f t="shared" si="253"/>
        <v>1.0263480392156863</v>
      </c>
      <c r="BE65" s="3">
        <f t="shared" ref="BE65:BF65" si="254">BE64/BE66</f>
        <v>1.2134146341463414</v>
      </c>
      <c r="BF65" s="3">
        <f t="shared" si="254"/>
        <v>1.219725343320849</v>
      </c>
      <c r="BG65" s="3">
        <f t="shared" ref="BG65:BH65" si="255">BG64/BG66</f>
        <v>1.2932002495321273</v>
      </c>
      <c r="BH65" s="3">
        <f t="shared" si="255"/>
        <v>1.434375</v>
      </c>
      <c r="BI65" s="3">
        <f t="shared" ref="BI65" si="256">BI64/BI66</f>
        <v>1.4235807860262009</v>
      </c>
      <c r="BJ65" s="3">
        <f t="shared" ref="BJ65:BK65" si="257">BJ64/BJ66</f>
        <v>1.4937578027465668</v>
      </c>
      <c r="BK65" s="3">
        <f t="shared" si="257"/>
        <v>1.8847117794486214</v>
      </c>
      <c r="BL65" s="3">
        <f t="shared" ref="BL65:BM65" si="258">BL64/BL66</f>
        <v>1.9993638676844783</v>
      </c>
      <c r="BM65" s="3">
        <f t="shared" si="258"/>
        <v>2.1485148514851486</v>
      </c>
      <c r="BN65" s="3">
        <f t="shared" ref="BN65:BR65" si="259">BN64/BN66</f>
        <v>1.9067288474350432</v>
      </c>
      <c r="BO65" s="3">
        <f t="shared" si="259"/>
        <v>2.1564396493594065</v>
      </c>
      <c r="BP65" s="3">
        <f t="shared" si="259"/>
        <v>2.2749326145552562</v>
      </c>
      <c r="BQ65" s="3">
        <f t="shared" ref="BQ65" si="260">BQ64/BQ66</f>
        <v>2.3385030343897504</v>
      </c>
      <c r="BR65" s="3">
        <f t="shared" si="259"/>
        <v>2.2181818181818183</v>
      </c>
      <c r="BS65" s="3">
        <f t="shared" ref="BS65:BT65" si="261">BS64/BS66</f>
        <v>2.4346361185983829</v>
      </c>
      <c r="BT65" s="3">
        <f t="shared" si="261"/>
        <v>2.3642987249544625</v>
      </c>
      <c r="BU65" s="3">
        <f t="shared" ref="BU65:CA65" si="262">BU64/BU66</f>
        <v>3.5152198421645999</v>
      </c>
      <c r="BV65" s="3">
        <f t="shared" si="262"/>
        <v>3.6188063063063063</v>
      </c>
      <c r="BW65" s="3">
        <f t="shared" si="262"/>
        <v>2.9532394366197181</v>
      </c>
      <c r="BX65" s="3">
        <f t="shared" si="262"/>
        <v>3.1171171171171173</v>
      </c>
      <c r="BY65" s="3">
        <f t="shared" si="262"/>
        <v>3.3134496342149689</v>
      </c>
      <c r="BZ65" s="3">
        <f t="shared" si="262"/>
        <v>3.3278965129358831</v>
      </c>
      <c r="CA65" s="3">
        <f t="shared" si="262"/>
        <v>3.2699662542182226</v>
      </c>
      <c r="CB65" s="3">
        <f t="shared" ref="CB65:CD65" si="263">CB64/CB66</f>
        <v>3.6418918918918921</v>
      </c>
      <c r="CC65" s="3">
        <f t="shared" si="263"/>
        <v>3.7201576576576576</v>
      </c>
      <c r="CD65" s="3">
        <f t="shared" si="263"/>
        <v>3.5032826576576577</v>
      </c>
      <c r="CE65" s="3">
        <f t="shared" ref="CE65:CJ65" si="264">CE64/CE66</f>
        <v>2.7820945945945947</v>
      </c>
      <c r="CF65" s="3">
        <f t="shared" si="264"/>
        <v>3.1852060982495765</v>
      </c>
      <c r="CG65" s="3">
        <f t="shared" si="264"/>
        <v>3.0175042348955392</v>
      </c>
      <c r="CH65" s="3">
        <f t="shared" si="264"/>
        <v>3.3075620767494356</v>
      </c>
      <c r="CI65" s="3">
        <f t="shared" si="264"/>
        <v>2.4215575620767495</v>
      </c>
      <c r="CJ65" s="3">
        <f t="shared" si="264"/>
        <v>3.1884875846501131</v>
      </c>
      <c r="CK65" s="3">
        <f t="shared" ref="CK65:CL65" si="265">CK64/CK66</f>
        <v>3.0524830699774266</v>
      </c>
      <c r="CL65" s="3">
        <f t="shared" si="265"/>
        <v>3.0876738318284422</v>
      </c>
      <c r="CM65" s="3">
        <f t="shared" ref="CM65:CP65" si="266">CM64/CM66</f>
        <v>2.6716045428893889</v>
      </c>
      <c r="CN65" s="3">
        <f t="shared" si="266"/>
        <v>3.440131913092551</v>
      </c>
      <c r="CO65" s="3">
        <f t="shared" si="266"/>
        <v>3.5671215575620767</v>
      </c>
      <c r="CP65" s="3">
        <f t="shared" si="266"/>
        <v>3.5287923428329582</v>
      </c>
      <c r="CQ65" s="3"/>
      <c r="CR65" s="3"/>
      <c r="CS65" s="3"/>
      <c r="CT65" s="3"/>
      <c r="CU65" s="3"/>
      <c r="CV65" s="3"/>
      <c r="CW65" s="3"/>
      <c r="CX65" s="3"/>
      <c r="CY65" s="3"/>
      <c r="CZ65" s="3">
        <f t="shared" ref="CZ65:DB65" si="267">+CZ64/CZ66</f>
        <v>7.9353169469598965</v>
      </c>
      <c r="DA65" s="3">
        <f t="shared" si="267"/>
        <v>8.9880370682392581</v>
      </c>
      <c r="DB65" s="3">
        <f t="shared" si="267"/>
        <v>12.076036521478821</v>
      </c>
      <c r="DC65" s="3">
        <f>+DC64/DC66</f>
        <v>12.712074303405572</v>
      </c>
      <c r="DD65" s="3">
        <f>+DD64/DD66</f>
        <v>14.013414016324232</v>
      </c>
      <c r="DE65" s="3">
        <f>+DE64/DE66</f>
        <v>12.291678420310296</v>
      </c>
      <c r="DF65" s="3">
        <f t="shared" ref="DF65:DL65" si="268">+DF64/DF66</f>
        <v>11.750202048532726</v>
      </c>
      <c r="DG65" s="3">
        <f t="shared" si="268"/>
        <v>17.518053709226862</v>
      </c>
      <c r="DH65" s="3">
        <f t="shared" si="268"/>
        <v>17.35608087969808</v>
      </c>
      <c r="DI65" s="3">
        <f t="shared" si="268"/>
        <v>17.392255470650394</v>
      </c>
      <c r="DJ65" s="3">
        <f t="shared" si="268"/>
        <v>17.255862834845789</v>
      </c>
      <c r="DK65" s="3">
        <f t="shared" si="268"/>
        <v>17.432489535184803</v>
      </c>
      <c r="DL65" s="3">
        <f t="shared" si="268"/>
        <v>12.449139853273632</v>
      </c>
    </row>
    <row r="66" spans="2:124" s="15" customFormat="1" x14ac:dyDescent="0.2">
      <c r="B66" s="15" t="s">
        <v>14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1605</v>
      </c>
      <c r="AR66" s="16">
        <v>1609</v>
      </c>
      <c r="AS66" s="16">
        <v>1590</v>
      </c>
      <c r="AT66" s="16">
        <v>1608</v>
      </c>
      <c r="AU66" s="16">
        <v>1609</v>
      </c>
      <c r="AV66" s="16">
        <v>1608</v>
      </c>
      <c r="AW66" s="16">
        <v>1610</v>
      </c>
      <c r="AX66" s="16">
        <v>1597</v>
      </c>
      <c r="AY66" s="16">
        <v>1608</v>
      </c>
      <c r="AZ66" s="16">
        <v>1633</v>
      </c>
      <c r="BA66" s="16">
        <v>1664</v>
      </c>
      <c r="BB66" s="16">
        <v>1640</v>
      </c>
      <c r="BC66" s="16">
        <v>1625</v>
      </c>
      <c r="BD66" s="16">
        <v>1632</v>
      </c>
      <c r="BE66" s="16">
        <v>1640</v>
      </c>
      <c r="BF66" s="16">
        <v>1602</v>
      </c>
      <c r="BG66" s="16">
        <v>1603</v>
      </c>
      <c r="BH66" s="16">
        <v>1600</v>
      </c>
      <c r="BI66" s="16">
        <v>1603</v>
      </c>
      <c r="BJ66" s="16">
        <v>1602</v>
      </c>
      <c r="BK66" s="16">
        <v>1596</v>
      </c>
      <c r="BL66" s="16">
        <v>1572</v>
      </c>
      <c r="BM66" s="16">
        <v>1515</v>
      </c>
      <c r="BN66" s="16">
        <v>1501</v>
      </c>
      <c r="BO66" s="16">
        <v>1483</v>
      </c>
      <c r="BP66" s="16">
        <v>1484</v>
      </c>
      <c r="BQ66" s="16">
        <v>1483</v>
      </c>
      <c r="BR66" s="16">
        <v>1485</v>
      </c>
      <c r="BS66" s="16">
        <v>1484</v>
      </c>
      <c r="BT66" s="16">
        <v>1647</v>
      </c>
      <c r="BU66" s="16">
        <v>1774</v>
      </c>
      <c r="BV66" s="16">
        <v>1776</v>
      </c>
      <c r="BW66" s="16">
        <v>1775</v>
      </c>
      <c r="BX66" s="16">
        <v>1776</v>
      </c>
      <c r="BY66" s="16">
        <v>1777</v>
      </c>
      <c r="BZ66" s="16">
        <v>1778</v>
      </c>
      <c r="CA66" s="16">
        <v>1778</v>
      </c>
      <c r="CB66" s="16">
        <v>1776</v>
      </c>
      <c r="CC66" s="16">
        <v>1776</v>
      </c>
      <c r="CD66" s="16">
        <f>+CC66</f>
        <v>1776</v>
      </c>
      <c r="CE66" s="16">
        <v>1776</v>
      </c>
      <c r="CF66" s="16">
        <v>1771</v>
      </c>
      <c r="CG66" s="16">
        <v>1771</v>
      </c>
      <c r="CH66" s="16">
        <v>1772</v>
      </c>
      <c r="CI66" s="16">
        <v>1772</v>
      </c>
      <c r="CJ66" s="49">
        <f>+CI66</f>
        <v>1772</v>
      </c>
      <c r="CK66" s="16">
        <v>1772</v>
      </c>
      <c r="CL66" s="16">
        <f t="shared" ref="CL66" si="269">+CK66</f>
        <v>1772</v>
      </c>
      <c r="CM66" s="16">
        <f t="shared" ref="CM66" si="270">+CL66</f>
        <v>1772</v>
      </c>
      <c r="CN66" s="16">
        <f t="shared" ref="CN66" si="271">+CM66</f>
        <v>1772</v>
      </c>
      <c r="CO66" s="16">
        <f t="shared" ref="CO66" si="272">+CN66</f>
        <v>1772</v>
      </c>
      <c r="CP66" s="16">
        <f t="shared" ref="CP66" si="273">+CO66</f>
        <v>1772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>AVERAGE(BK66:BN66)</f>
        <v>1546</v>
      </c>
      <c r="DA66" s="16">
        <f>AVERAGE(BO66:BR66)</f>
        <v>1483.75</v>
      </c>
      <c r="DB66" s="16">
        <f>AVERAGE(BS66:BV66)</f>
        <v>1670.25</v>
      </c>
      <c r="DC66" s="16">
        <f>AVERAGE(BW66:BZ66)</f>
        <v>1776.5</v>
      </c>
      <c r="DD66" s="16">
        <f>AVERAGE(CA66:CD66)</f>
        <v>1776.5</v>
      </c>
      <c r="DE66" s="16">
        <f>AVERAGE(CE66:CH66)</f>
        <v>1772.5</v>
      </c>
      <c r="DF66" s="16">
        <f>AVERAGE(CI66:CL66)</f>
        <v>1772</v>
      </c>
      <c r="DG66" s="16">
        <f t="shared" ref="DG66:DL66" si="274">DF66</f>
        <v>1772</v>
      </c>
      <c r="DH66" s="16">
        <f t="shared" si="274"/>
        <v>1772</v>
      </c>
      <c r="DI66" s="16">
        <f t="shared" si="274"/>
        <v>1772</v>
      </c>
      <c r="DJ66" s="16">
        <f t="shared" si="274"/>
        <v>1772</v>
      </c>
      <c r="DK66" s="16">
        <f t="shared" si="274"/>
        <v>1772</v>
      </c>
      <c r="DL66" s="16">
        <f t="shared" si="274"/>
        <v>1772</v>
      </c>
    </row>
    <row r="68" spans="2:124" s="32" customFormat="1" x14ac:dyDescent="0.2">
      <c r="B68" s="32" t="s">
        <v>156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>
        <f t="shared" ref="BG68:BU68" si="275">+BG54/BC54-1</f>
        <v>9.7348103390399565E-2</v>
      </c>
      <c r="BH68" s="33">
        <f t="shared" si="275"/>
        <v>7.9601990049751326E-2</v>
      </c>
      <c r="BI68" s="33">
        <f t="shared" si="275"/>
        <v>9.536486063263383E-2</v>
      </c>
      <c r="BJ68" s="33">
        <f t="shared" si="275"/>
        <v>0.14077240566037741</v>
      </c>
      <c r="BK68" s="33">
        <f t="shared" si="275"/>
        <v>0.21352095442031205</v>
      </c>
      <c r="BL68" s="33">
        <f t="shared" si="275"/>
        <v>0.18922811059907829</v>
      </c>
      <c r="BM68" s="33">
        <f t="shared" si="275"/>
        <v>0.1774124374553252</v>
      </c>
      <c r="BN68" s="33">
        <f t="shared" si="275"/>
        <v>7.3136064090967734E-2</v>
      </c>
      <c r="BO68" s="33">
        <f t="shared" si="275"/>
        <v>-1.3360221830098329E-2</v>
      </c>
      <c r="BP68" s="33">
        <f t="shared" si="275"/>
        <v>-3.6328408815688995E-4</v>
      </c>
      <c r="BQ68" s="33">
        <f t="shared" si="275"/>
        <v>2.9504613890237952E-2</v>
      </c>
      <c r="BR68" s="33">
        <f t="shared" si="275"/>
        <v>4.8043347381095725E-2</v>
      </c>
      <c r="BS68" s="33">
        <f t="shared" si="275"/>
        <v>0.10104752171691356</v>
      </c>
      <c r="BT68" s="33">
        <f t="shared" si="275"/>
        <v>0.26287098728043601</v>
      </c>
      <c r="BU68" s="33">
        <f t="shared" si="275"/>
        <v>0.51928293430829098</v>
      </c>
      <c r="BV68" s="33">
        <f t="shared" ref="BV68:BZ68" si="276">+BV54/BR54-1</f>
        <v>0.59214154411764697</v>
      </c>
      <c r="BW68" s="33">
        <f t="shared" si="276"/>
        <v>0.50075414781297134</v>
      </c>
      <c r="BX68" s="33">
        <f t="shared" si="276"/>
        <v>0.3389928057553957</v>
      </c>
      <c r="BY68" s="33">
        <f t="shared" si="276"/>
        <v>0.11333643844123586</v>
      </c>
      <c r="BZ68" s="33">
        <f t="shared" si="276"/>
        <v>7.4180978496175554E-2</v>
      </c>
      <c r="CA68" s="33">
        <f>+CA54/BW54-1</f>
        <v>4.6617703904135999E-2</v>
      </c>
      <c r="CB68" s="33">
        <f t="shared" ref="CB68" si="277">+CB54/BX54-1</f>
        <v>4.4702342574683085E-2</v>
      </c>
      <c r="CC68" s="33">
        <f>+CC54/BY54-1</f>
        <v>3.2770882722074957E-2</v>
      </c>
      <c r="CD68" s="33">
        <f t="shared" ref="CD68" si="278">+CD54/BZ54-1</f>
        <v>1.5786645169958424E-2</v>
      </c>
      <c r="CE68" s="33">
        <f t="shared" ref="CE68" si="279">+CE54/CA54-1</f>
        <v>-9.6986260895257748E-2</v>
      </c>
      <c r="CF68" s="33">
        <f t="shared" ref="CF68" si="280">+CF54/CB54-1</f>
        <v>-4.9235411095110759E-2</v>
      </c>
      <c r="CG68" s="33">
        <f t="shared" ref="CG68" si="281">+CG54/CC54-1</f>
        <v>-5.9748852281933607E-2</v>
      </c>
      <c r="CH68" s="33">
        <f t="shared" ref="CH68:CL68" si="282">+CH54/CD54-1</f>
        <v>-5.4229217644335637E-2</v>
      </c>
      <c r="CI68" s="33">
        <f t="shared" si="282"/>
        <v>6.952965235173858E-3</v>
      </c>
      <c r="CJ68" s="33">
        <f t="shared" si="282"/>
        <v>4.3058059862964404E-2</v>
      </c>
      <c r="CK68" s="33">
        <f t="shared" si="282"/>
        <v>3.8270984418754983E-2</v>
      </c>
      <c r="CL68" s="33">
        <f t="shared" si="282"/>
        <v>5.2786518425285145E-3</v>
      </c>
      <c r="CM68" s="33">
        <f t="shared" ref="CM68" si="283">+CM54/CI54-1</f>
        <v>2.6161657189276877E-2</v>
      </c>
      <c r="CN68" s="33">
        <f t="shared" ref="CN68" si="284">+CN54/CJ54-1</f>
        <v>2.9784953671691428E-2</v>
      </c>
      <c r="CO68" s="33">
        <f t="shared" ref="CO68" si="285">+CO54/CK54-1</f>
        <v>6.299861687413566E-2</v>
      </c>
      <c r="CP68" s="33">
        <f t="shared" ref="CP68" si="286">+CP54/CL54-1</f>
        <v>6.9888901950337257E-2</v>
      </c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>
        <f>+DA54/CZ54-1</f>
        <v>1.6283261540341654E-2</v>
      </c>
      <c r="DB68" s="33">
        <f>+DB54/DA54-1</f>
        <v>0.37630012625503517</v>
      </c>
      <c r="DC68" s="33">
        <f>+DC54/DB54-1</f>
        <v>0.22579940590599334</v>
      </c>
      <c r="DD68" s="33">
        <f>+DD54/DC54-1</f>
        <v>3.0576244609956893E-2</v>
      </c>
      <c r="DE68" s="33">
        <f t="shared" ref="DE68:DQ68" si="287">+DE54/DD54-1</f>
        <v>-6.0859642449600626E-2</v>
      </c>
      <c r="DF68" s="33">
        <f t="shared" si="287"/>
        <v>2.3758054420265795E-2</v>
      </c>
      <c r="DG68" s="33">
        <f t="shared" si="287"/>
        <v>4.3310240936231148E-2</v>
      </c>
      <c r="DH68" s="33">
        <f t="shared" si="287"/>
        <v>-1.6909280743095723E-2</v>
      </c>
      <c r="DI68" s="33">
        <f t="shared" si="287"/>
        <v>-6.0579034679633104E-3</v>
      </c>
      <c r="DJ68" s="33">
        <f t="shared" si="287"/>
        <v>-1.5857762658717856E-2</v>
      </c>
      <c r="DK68" s="33">
        <f t="shared" si="287"/>
        <v>1.8810382500658029E-3</v>
      </c>
      <c r="DL68" s="33">
        <f t="shared" si="287"/>
        <v>-0.2941934909845586</v>
      </c>
      <c r="DM68" s="33">
        <f t="shared" si="287"/>
        <v>-3.1521624058243991E-2</v>
      </c>
      <c r="DN68" s="33">
        <f t="shared" si="287"/>
        <v>1.2793508754877836E-2</v>
      </c>
      <c r="DO68" s="33">
        <f t="shared" si="287"/>
        <v>2.1055510283454204E-2</v>
      </c>
      <c r="DP68" s="33">
        <f t="shared" si="287"/>
        <v>2.2048234496711228E-2</v>
      </c>
      <c r="DQ68" s="33">
        <f t="shared" si="287"/>
        <v>2.4642817718342869E-2</v>
      </c>
    </row>
    <row r="69" spans="2:124" s="32" customFormat="1" x14ac:dyDescent="0.2">
      <c r="B69" s="32" t="s">
        <v>250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>
        <v>0.17599999999999999</v>
      </c>
      <c r="BL69" s="33">
        <v>0.17100000000000001</v>
      </c>
      <c r="BM69" s="33">
        <v>0.185</v>
      </c>
      <c r="BN69" s="33">
        <v>8.3000000000000004E-2</v>
      </c>
      <c r="BO69" s="33">
        <v>4.0000000000000001E-3</v>
      </c>
      <c r="BP69" s="33">
        <v>1.4999999999999999E-2</v>
      </c>
      <c r="BQ69" s="33"/>
      <c r="BR69" s="33"/>
      <c r="BS69" s="33"/>
      <c r="BT69" s="33"/>
      <c r="BU69" s="33"/>
      <c r="BV69" s="33"/>
      <c r="BW69" s="33"/>
      <c r="BX69" s="33"/>
      <c r="BY69" s="33"/>
      <c r="BZ69" s="33">
        <v>7.3999999999999996E-2</v>
      </c>
      <c r="CA69" s="33">
        <v>5.3999999999999999E-2</v>
      </c>
      <c r="CB69" s="33">
        <v>6.0999999999999999E-2</v>
      </c>
      <c r="CC69" s="33">
        <v>5.3999999999999999E-2</v>
      </c>
      <c r="CD69" s="33">
        <v>3.7999999999999999E-2</v>
      </c>
      <c r="CE69" s="33">
        <v>-8.3000000000000004E-2</v>
      </c>
      <c r="CF69" s="33"/>
      <c r="CG69" s="33">
        <v>-5.8000000000000003E-2</v>
      </c>
      <c r="CH69" s="33">
        <v>-5.3999999999999999E-2</v>
      </c>
      <c r="CI69" s="33">
        <v>1.6E-2</v>
      </c>
      <c r="CJ69" s="33">
        <v>5.6000000000000001E-2</v>
      </c>
      <c r="CK69" s="33">
        <v>4.9000000000000002E-2</v>
      </c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</row>
    <row r="70" spans="2:124" s="29" customFormat="1" x14ac:dyDescent="0.2">
      <c r="B70" s="31" t="s">
        <v>155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>
        <f>+BK5/BG5-1</f>
        <v>0.14351627003399714</v>
      </c>
      <c r="BL70" s="30">
        <f>+BL5/BH5-1</f>
        <v>9.9448685326547936E-2</v>
      </c>
      <c r="BM70" s="30">
        <f>+BM5/BI5-1</f>
        <v>8.9980855137204774E-2</v>
      </c>
      <c r="BN70" s="30">
        <f>+BN5/BJ5-1</f>
        <v>5.3147996729354663E-3</v>
      </c>
      <c r="BO70" s="30">
        <f>+BO5/BK5-1</f>
        <v>-5.5850499044383106E-2</v>
      </c>
      <c r="BP70" s="30">
        <f>+BP5/BL5-1</f>
        <v>-6.0752169720347138E-2</v>
      </c>
      <c r="BQ70" s="30">
        <f>+BQ5/BM5-1</f>
        <v>-3.669008587041378E-2</v>
      </c>
      <c r="BR70" s="30">
        <f>+BR5/BN5-1</f>
        <v>-2.0333468889788264E-4</v>
      </c>
      <c r="BS70" s="30">
        <f>+BS5/BO5-1</f>
        <v>5.7804768331084055E-2</v>
      </c>
      <c r="BT70" s="30">
        <f>+BT5/BP5-1</f>
        <v>-6.7761806981520012E-3</v>
      </c>
      <c r="BU70" s="30">
        <f>+BU5/BQ5-1</f>
        <v>4.1329011345218714E-2</v>
      </c>
      <c r="BV70" s="30">
        <f>+BV5/BR5-1</f>
        <v>4.7793369941020902E-2</v>
      </c>
      <c r="BW70" s="30">
        <f>+BW5/BS5-1</f>
        <v>3.4871358707208255E-2</v>
      </c>
      <c r="BX70" s="30">
        <f>+BX5/BT5-1</f>
        <v>4.7756874095513657E-2</v>
      </c>
      <c r="BY70" s="30">
        <f>+BY5/BU5-1</f>
        <v>5.5447470817120648E-2</v>
      </c>
      <c r="BZ70" s="30">
        <f>+BZ5/BV5-1</f>
        <v>3.5326086956521729E-2</v>
      </c>
      <c r="CA70" s="30">
        <f>+CA5/BW5-1</f>
        <v>-2.6915964659954827E-2</v>
      </c>
      <c r="CB70" s="30">
        <f>+CB5/BX5-1</f>
        <v>5.8208366219415941E-2</v>
      </c>
      <c r="CC70" s="30">
        <f>+CC5/BY5-1</f>
        <v>2.4700460829493176E-2</v>
      </c>
      <c r="CD70" s="30">
        <f>+CD5/BZ5-1</f>
        <v>4.5931758530183719E-2</v>
      </c>
      <c r="CE70" s="30">
        <f>+CE5/CA5-1</f>
        <v>-0.25232263513513509</v>
      </c>
      <c r="CF70" s="30">
        <f>+CF5/CB5-1</f>
        <v>-0.25191124370688045</v>
      </c>
      <c r="CG70" s="30">
        <f>+CG5/CC5-1</f>
        <v>-0.36193559992804458</v>
      </c>
      <c r="CH70" s="30">
        <f>+CH5/CD5-1</f>
        <v>-0.40777917189460477</v>
      </c>
      <c r="CI70" s="30">
        <f>+CI5/CE5-1</f>
        <v>-0.35893815306410615</v>
      </c>
      <c r="CJ70" s="30">
        <f>+CJ5/CF5-1</f>
        <v>-0.29860418743768691</v>
      </c>
      <c r="CK70" s="30">
        <f>+CK5/CG5-1</f>
        <v>-0.37214547504933748</v>
      </c>
      <c r="CL70" s="30">
        <f>+CL5/CH5-1</f>
        <v>-0.4</v>
      </c>
      <c r="CM70" s="30">
        <f t="shared" ref="CM70:CP70" si="288">+CM5/CI5-1</f>
        <v>-0.4</v>
      </c>
      <c r="CN70" s="30">
        <f t="shared" si="288"/>
        <v>-0.4</v>
      </c>
      <c r="CO70" s="30">
        <f t="shared" si="288"/>
        <v>-0.4</v>
      </c>
      <c r="CP70" s="30">
        <f t="shared" si="288"/>
        <v>-0.4</v>
      </c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>
        <f>+DA5/CZ5-1</f>
        <v>-3.8473113964687E-2</v>
      </c>
      <c r="DB70" s="30">
        <f>+DB5/DA5-1</f>
        <v>3.4587093745109376E-2</v>
      </c>
      <c r="DC70" s="30">
        <f>+DC5/DB5-1</f>
        <v>4.3465106897942807E-2</v>
      </c>
      <c r="DD70" s="30">
        <f>+DD5/DC5-1</f>
        <v>2.623948970716139E-2</v>
      </c>
      <c r="DE70" s="30">
        <f>+DE5/DD5-1</f>
        <v>-0.32174977633375712</v>
      </c>
      <c r="DF70" s="30">
        <f>+DF5/DE5-1</f>
        <v>-0.35480422104970843</v>
      </c>
      <c r="DG70" s="30">
        <f>+DG5/DF5-1</f>
        <v>-0.40000000000000013</v>
      </c>
      <c r="DH70" s="30">
        <f>+DH5/DG5-1</f>
        <v>-0.19999999999999996</v>
      </c>
      <c r="DI70" s="30">
        <f>+DI5/DH5-1</f>
        <v>-0.19999999999999996</v>
      </c>
      <c r="DJ70" s="30">
        <f>+DJ5/DI5-1</f>
        <v>-0.5</v>
      </c>
      <c r="DK70" s="30">
        <f>+DK5/DJ5-1</f>
        <v>-0.5</v>
      </c>
      <c r="DL70" s="30">
        <f>+DL5/DK5-1</f>
        <v>-0.5</v>
      </c>
    </row>
    <row r="71" spans="2:124" s="29" customFormat="1" x14ac:dyDescent="0.2">
      <c r="B71" s="31" t="s">
        <v>157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>
        <f>+BK7/BG7-1</f>
        <v>0.38294010889292207</v>
      </c>
      <c r="BL71" s="30">
        <f>+BL7/BH7-1</f>
        <v>0.35782747603833864</v>
      </c>
      <c r="BM71" s="30">
        <f>+BM7/BI7-1</f>
        <v>0.41279069767441867</v>
      </c>
      <c r="BN71" s="30">
        <f>+BN7/BJ7-1</f>
        <v>0.42090395480225995</v>
      </c>
      <c r="BO71" s="30">
        <f>+BO7/BK7-1</f>
        <v>0.34120734908136474</v>
      </c>
      <c r="BP71" s="30">
        <f>+BP7/BL7-1</f>
        <v>0.29294117647058826</v>
      </c>
      <c r="BQ71" s="30">
        <f>+BQ7/BM7-1</f>
        <v>0.29320987654320985</v>
      </c>
      <c r="BR71" s="30">
        <f>+BR7/BN7-1</f>
        <v>0.28827037773359843</v>
      </c>
      <c r="BS71" s="30">
        <f>+BS7/BO7-1</f>
        <v>0.20547945205479445</v>
      </c>
      <c r="BT71" s="30">
        <f>+BT7/BP7-1</f>
        <v>0.17197452229299359</v>
      </c>
      <c r="BU71" s="30">
        <f>+BU7/BQ7-1</f>
        <v>8.9896579156722334E-2</v>
      </c>
      <c r="BV71" s="30">
        <f>+BV7/BR7-1</f>
        <v>9.8765432098765427E-2</v>
      </c>
      <c r="BW71" s="30">
        <f>+BW7/BS7-1</f>
        <v>2.9220779220779258E-2</v>
      </c>
      <c r="BX71" s="30">
        <f>+BX7/BT7-1</f>
        <v>7.2204968944099335E-2</v>
      </c>
      <c r="BY71" s="30">
        <f>+BY7/BU7-1</f>
        <v>2.9197080291971655E-3</v>
      </c>
      <c r="BZ71" s="30">
        <f>+BZ7/BV7-1</f>
        <v>-2.73876404494382E-2</v>
      </c>
      <c r="CA71" s="30">
        <f>+CA7/BW7-1</f>
        <v>-7.4921135646687675E-2</v>
      </c>
      <c r="CB71" s="30">
        <f>+CB7/BX7-1</f>
        <v>-0.17089065894279509</v>
      </c>
      <c r="CC71" s="30">
        <f>+CC7/BY7-1</f>
        <v>-0.17394468704512378</v>
      </c>
      <c r="CD71" s="30">
        <f>+CD7/BZ7-1</f>
        <v>-0.19494584837545126</v>
      </c>
      <c r="CE71" s="30">
        <f>+CE7/CA7-1</f>
        <v>-0.25149190110826936</v>
      </c>
      <c r="CF71" s="30">
        <f>+CF7/CB7-1</f>
        <v>-0.20786026200873364</v>
      </c>
      <c r="CG71" s="30">
        <f>+CG7/CC7-1</f>
        <v>-0.19999999999999996</v>
      </c>
      <c r="CH71" s="30">
        <f>+CH7/CD7-1</f>
        <v>-0.19013452914798201</v>
      </c>
      <c r="CI71" s="30">
        <f>+CI7/CE7-1</f>
        <v>-4.5558086560364419E-2</v>
      </c>
      <c r="CJ71" s="30">
        <f>+CJ7/CF7-1</f>
        <v>-8.158765159867698E-2</v>
      </c>
      <c r="CK71" s="30">
        <f>+CK7/CG7-1</f>
        <v>-8.8105726872246715E-2</v>
      </c>
      <c r="CL71" s="30">
        <f>+CL7/CH7-1</f>
        <v>-5.0000000000000155E-2</v>
      </c>
      <c r="CM71" s="30">
        <f t="shared" ref="CM71:CP71" si="289">+CM7/CI7-1</f>
        <v>-5.0000000000000155E-2</v>
      </c>
      <c r="CN71" s="30">
        <f t="shared" si="289"/>
        <v>-5.0000000000000155E-2</v>
      </c>
      <c r="CO71" s="30">
        <f t="shared" si="289"/>
        <v>-5.0000000000000155E-2</v>
      </c>
      <c r="CP71" s="30">
        <f t="shared" si="289"/>
        <v>-5.0000000000000044E-2</v>
      </c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>
        <f>+DA7/CZ7-1</f>
        <v>0.30194986072423391</v>
      </c>
      <c r="DB71" s="30">
        <f>+DB7/DA7-1</f>
        <v>0.13692768506632436</v>
      </c>
      <c r="DC71" s="30">
        <f>+DC7/DB7-1</f>
        <v>1.7689123071132906E-2</v>
      </c>
      <c r="DD71" s="30">
        <f>+DD7/DC7-1</f>
        <v>-0.15532544378698221</v>
      </c>
      <c r="DE71" s="30">
        <f>+DE7/DD7-1</f>
        <v>-0.21278458844133097</v>
      </c>
      <c r="DF71" s="30">
        <f>+DF7/DE7-1</f>
        <v>-6.6504449388209097E-2</v>
      </c>
      <c r="DG71" s="30">
        <f>+DG7/DF7-1</f>
        <v>-5.0000000000000044E-2</v>
      </c>
      <c r="DH71" s="30">
        <f>+DH7/DG7-1</f>
        <v>-9.9999999999999978E-2</v>
      </c>
      <c r="DI71" s="30">
        <f>+DI7/DH7-1</f>
        <v>-9.9999999999999978E-2</v>
      </c>
      <c r="DJ71" s="30">
        <f>+DJ7/DI7-1</f>
        <v>-9.9999999999999978E-2</v>
      </c>
      <c r="DK71" s="30">
        <f>+DK7/DJ7-1</f>
        <v>-9.9999999999999867E-2</v>
      </c>
      <c r="DL71" s="30">
        <f>+DL7/DK7-1</f>
        <v>-9.9999999999999978E-2</v>
      </c>
      <c r="DS71" s="48" t="s">
        <v>242</v>
      </c>
      <c r="DT71" s="29">
        <v>0.06</v>
      </c>
    </row>
    <row r="72" spans="2:124" s="29" customFormat="1" x14ac:dyDescent="0.2">
      <c r="B72" s="31" t="s">
        <v>154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69" t="s">
        <v>202</v>
      </c>
      <c r="BG72" s="69" t="s">
        <v>202</v>
      </c>
      <c r="BH72" s="69" t="s">
        <v>202</v>
      </c>
      <c r="BI72" s="69" t="s">
        <v>202</v>
      </c>
      <c r="BJ72" s="69" t="s">
        <v>202</v>
      </c>
      <c r="BK72" s="69" t="s">
        <v>202</v>
      </c>
      <c r="BL72" s="69" t="s">
        <v>202</v>
      </c>
      <c r="BM72" s="69" t="s">
        <v>202</v>
      </c>
      <c r="BN72" s="69" t="s">
        <v>202</v>
      </c>
      <c r="BO72" s="69" t="s">
        <v>202</v>
      </c>
      <c r="BP72" s="69" t="s">
        <v>202</v>
      </c>
      <c r="BQ72" s="69" t="s">
        <v>202</v>
      </c>
      <c r="BR72" s="69" t="s">
        <v>202</v>
      </c>
      <c r="BS72" s="69" t="s">
        <v>202</v>
      </c>
      <c r="BT72" s="30">
        <f>+BT8/BP8-1</f>
        <v>5.875</v>
      </c>
      <c r="BU72" s="30">
        <f>+BU8/BQ8-1</f>
        <v>3.7802197802197801</v>
      </c>
      <c r="BV72" s="30">
        <f>+BV8/BR8-1</f>
        <v>1.4305555555555554</v>
      </c>
      <c r="BW72" s="30">
        <f>+BW8/BS8-1</f>
        <v>0.91333333333333333</v>
      </c>
      <c r="BX72" s="30">
        <f>+BX8/BT8-1</f>
        <v>1.0424242424242425</v>
      </c>
      <c r="BY72" s="30">
        <f>+BY8/BU8-1</f>
        <v>0.8298850574712644</v>
      </c>
      <c r="BZ72" s="30">
        <f>+BZ8/BV8-1</f>
        <v>0.7047619047619047</v>
      </c>
      <c r="CA72" s="30">
        <f>+CA8/BW8-1</f>
        <v>0.63763066202090601</v>
      </c>
      <c r="CB72" s="30">
        <f>+CB8/BX8-1</f>
        <v>0.85756676557863498</v>
      </c>
      <c r="CC72" s="30">
        <f>+CC8/BY8-1</f>
        <v>0.75502512562814061</v>
      </c>
      <c r="CD72" s="30">
        <f>+CD8/BZ8-1</f>
        <v>0.76089385474860327</v>
      </c>
      <c r="CE72" s="30">
        <f>+CE8/CA8-1</f>
        <v>0.44680851063829796</v>
      </c>
      <c r="CF72" s="30">
        <f>+CF8/CB8-1</f>
        <v>0.5039936102236422</v>
      </c>
      <c r="CG72" s="30">
        <f>+CG8/CC8-1</f>
        <v>0.52183249821045097</v>
      </c>
      <c r="CH72" s="30">
        <f>+CH8/CD8-1</f>
        <v>0.51903553299492389</v>
      </c>
      <c r="CI72" s="30">
        <f>+CI8/CE8-1</f>
        <v>0.4764705882352942</v>
      </c>
      <c r="CJ72" s="30">
        <f>+CJ8/CF8-1</f>
        <v>0.44822092405735536</v>
      </c>
      <c r="CK72" s="30">
        <f>+CK8/CG8-1</f>
        <v>0.50752587017873951</v>
      </c>
      <c r="CL72" s="30">
        <f>+CL8/CH8-1</f>
        <v>0.35000000000000009</v>
      </c>
      <c r="CM72" s="30">
        <f t="shared" ref="CM72:CP72" si="290">+CM8/CI8-1</f>
        <v>0.35000000000000009</v>
      </c>
      <c r="CN72" s="30">
        <f t="shared" si="290"/>
        <v>0.35000000000000009</v>
      </c>
      <c r="CO72" s="30">
        <f t="shared" si="290"/>
        <v>0.35000000000000009</v>
      </c>
      <c r="CP72" s="30">
        <f t="shared" si="290"/>
        <v>0.35000000000000009</v>
      </c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69" t="s">
        <v>202</v>
      </c>
      <c r="DB72" s="30">
        <f>+DB8/DA8-1</f>
        <v>3.47887323943662</v>
      </c>
      <c r="DC72" s="30">
        <f>+DC8/DB8-1</f>
        <v>0.84842767295597477</v>
      </c>
      <c r="DD72" s="30">
        <f>+DD8/DC8-1</f>
        <v>0.75740047635250085</v>
      </c>
      <c r="DE72" s="30">
        <f>+DE8/DD8-1</f>
        <v>0.50300096805421113</v>
      </c>
      <c r="DF72" s="30">
        <f>+DF8/DE8-1</f>
        <v>0.4391214736570912</v>
      </c>
      <c r="DG72" s="30">
        <f>+DG8/DF8-1</f>
        <v>0.35000000000000009</v>
      </c>
      <c r="DH72" s="30">
        <f>+DH8/DG8-1</f>
        <v>3.0000000000000027E-2</v>
      </c>
      <c r="DI72" s="30">
        <f>+DI8/DH8-1</f>
        <v>3.0000000000000027E-2</v>
      </c>
      <c r="DJ72" s="30">
        <f>+DJ8/DI8-1</f>
        <v>3.0000000000000027E-2</v>
      </c>
      <c r="DK72" s="30">
        <f>+DK8/DJ8-1</f>
        <v>3.0000000000000027E-2</v>
      </c>
      <c r="DL72" s="30">
        <f>+DL8/DK8-1</f>
        <v>3.0000000000000027E-2</v>
      </c>
      <c r="DS72" s="45" t="s">
        <v>243</v>
      </c>
      <c r="DT72" s="29">
        <v>-0.01</v>
      </c>
    </row>
    <row r="73" spans="2:124" s="29" customFormat="1" x14ac:dyDescent="0.2">
      <c r="B73" s="70" t="s">
        <v>319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>
        <f>+BO3/BK3-1</f>
        <v>-5.5850499044383106E-2</v>
      </c>
      <c r="BP73" s="30">
        <f>+BP3/BL3-1</f>
        <v>-5.1494696239151372E-2</v>
      </c>
      <c r="BQ73" s="30">
        <f>+BQ3/BM3-1</f>
        <v>-1.6198282591725177E-2</v>
      </c>
      <c r="BR73" s="30">
        <f>+BR3/BN3-1</f>
        <v>5.0427002846685554E-2</v>
      </c>
      <c r="BS73" s="30">
        <f>+BS3/BO3-1</f>
        <v>0.14462438146648671</v>
      </c>
      <c r="BT73" s="30">
        <f>+BT3/BP3-1</f>
        <v>8.0927206181374611E-2</v>
      </c>
      <c r="BU73" s="30">
        <f>+BU3/BQ3-1</f>
        <v>0.14858163062884344</v>
      </c>
      <c r="BV73" s="30">
        <f>+BV3/BR3-1</f>
        <v>0.1533101045296168</v>
      </c>
      <c r="BW73" s="30">
        <f>+BW3/BS3-1</f>
        <v>0.1287089801532717</v>
      </c>
      <c r="BX73" s="30">
        <f>+BX3/BT3-1</f>
        <v>0.15124153498871329</v>
      </c>
      <c r="BY73" s="30">
        <f>+BY3/BU3-1</f>
        <v>0.15267702936096716</v>
      </c>
      <c r="BZ73" s="30">
        <f>+BZ3/BV3-1</f>
        <v>0.13225914736488753</v>
      </c>
      <c r="CA73" s="30">
        <f>+CA3/BW3-1</f>
        <v>6.9115598885793883E-2</v>
      </c>
      <c r="CB73" s="30">
        <f>+CB3/BX3-1</f>
        <v>0.17761437908496736</v>
      </c>
      <c r="CC73" s="30">
        <f>+CC3/BY3-1</f>
        <v>0.14638897213065638</v>
      </c>
      <c r="CD73" s="30">
        <f>+CD3/BZ3-1</f>
        <v>0.17477023421286697</v>
      </c>
      <c r="CE73" s="30">
        <f>+CE3/CA3-1</f>
        <v>-9.0213320306139044E-2</v>
      </c>
      <c r="CF73" s="30">
        <f>+CF3/CB3-1</f>
        <v>-5.4669071735812369E-2</v>
      </c>
      <c r="CG73" s="30">
        <f>+CG3/CC3-1</f>
        <v>-0.11344922232387922</v>
      </c>
      <c r="CH73" s="30">
        <f>+CH3/CD3-1</f>
        <v>-0.12264984227129339</v>
      </c>
      <c r="CI73" s="30">
        <f>+CI3/CE3-1</f>
        <v>-3.8661177734025443E-2</v>
      </c>
      <c r="CJ73" s="30">
        <f>+CJ3/CF3-1</f>
        <v>2.3190958461764222E-2</v>
      </c>
      <c r="CK73" s="30">
        <f>+CK3/CG3-1</f>
        <v>3.8773404098481512E-2</v>
      </c>
      <c r="CL73" s="30">
        <f>+CL3/CH3-1</f>
        <v>-1.5417805263914786E-2</v>
      </c>
      <c r="CM73" s="30">
        <f t="shared" ref="CM73:CP73" si="291">+CM3/CI3-1</f>
        <v>2.2844907838391437E-2</v>
      </c>
      <c r="CN73" s="30">
        <f t="shared" si="291"/>
        <v>3.6988954238990068E-2</v>
      </c>
      <c r="CO73" s="30">
        <f t="shared" si="291"/>
        <v>0.10149730343457275</v>
      </c>
      <c r="CP73" s="30">
        <f t="shared" si="291"/>
        <v>0.12089967571357607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>+Model!DA3/Model!CZ3-1</f>
        <v>-1.8308587479935801E-2</v>
      </c>
      <c r="DB73" s="30">
        <f>+Model!DB3/Model!DA3-1</f>
        <v>0.13192989627510099</v>
      </c>
      <c r="DC73" s="30">
        <f>+Model!DC3/Model!DB3-1</f>
        <v>0.14133525933282165</v>
      </c>
      <c r="DD73" s="30">
        <f>+Model!DD3/Model!DC3-1</f>
        <v>0.14396456256921364</v>
      </c>
      <c r="DE73" s="30">
        <f>+Model!DE3/Model!DD3-1</f>
        <v>-9.639054072742359E-2</v>
      </c>
      <c r="DF73" s="30">
        <f>+Model!DF3/Model!DE3-1</f>
        <v>3.7419651056014303E-3</v>
      </c>
      <c r="DG73" s="30">
        <f>+Model!DG3/Model!DF3-1</f>
        <v>7.3315913058725757E-2</v>
      </c>
      <c r="DH73" s="30">
        <f>+Model!DH3/Model!DG3-1</f>
        <v>-1.5547542001313475E-2</v>
      </c>
      <c r="DI73" s="30">
        <f>+Model!DI3/Model!DH3-1</f>
        <v>-7.0135025871403966E-3</v>
      </c>
      <c r="DJ73" s="30">
        <f>+Model!DJ3/Model!DI3-1</f>
        <v>-3.8715523882559499E-2</v>
      </c>
      <c r="DK73" s="30">
        <f>+Model!DK3/Model!DJ3-1</f>
        <v>-5.7415133551811381E-3</v>
      </c>
      <c r="DL73" s="30">
        <f>+Model!DL3/Model!DK3-1</f>
        <v>-0.28634728270973631</v>
      </c>
      <c r="DS73" s="51" t="s">
        <v>245</v>
      </c>
      <c r="DT73" s="33">
        <v>0</v>
      </c>
    </row>
    <row r="74" spans="2:124" s="29" customFormat="1" x14ac:dyDescent="0.2">
      <c r="B74" s="43" t="s">
        <v>118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50" t="s">
        <v>202</v>
      </c>
      <c r="BG74" s="50" t="s">
        <v>202</v>
      </c>
      <c r="BH74" s="50" t="s">
        <v>202</v>
      </c>
      <c r="BI74" s="50" t="s">
        <v>202</v>
      </c>
      <c r="BJ74" s="50" t="s">
        <v>202</v>
      </c>
      <c r="BK74" s="50" t="s">
        <v>202</v>
      </c>
      <c r="BL74" s="50" t="s">
        <v>202</v>
      </c>
      <c r="BM74" s="50" t="s">
        <v>202</v>
      </c>
      <c r="BN74" s="50" t="s">
        <v>202</v>
      </c>
      <c r="BO74" s="50" t="s">
        <v>202</v>
      </c>
      <c r="BP74" s="50" t="s">
        <v>202</v>
      </c>
      <c r="BQ74" s="50" t="s">
        <v>202</v>
      </c>
      <c r="BR74" s="50" t="s">
        <v>202</v>
      </c>
      <c r="BS74" s="50" t="s">
        <v>202</v>
      </c>
      <c r="BT74" s="50" t="s">
        <v>202</v>
      </c>
      <c r="BU74" s="50" t="s">
        <v>202</v>
      </c>
      <c r="BV74" s="50" t="s">
        <v>202</v>
      </c>
      <c r="BW74" s="50" t="s">
        <v>202</v>
      </c>
      <c r="BX74" s="30">
        <f>BX9/BT9-1</f>
        <v>1.584070796460177</v>
      </c>
      <c r="BY74" s="30">
        <f>BY9/BU9-1</f>
        <v>0.38676844783715003</v>
      </c>
      <c r="BZ74" s="30">
        <f>BZ9/BV9-1</f>
        <v>0.26977687626774838</v>
      </c>
      <c r="CA74" s="30">
        <f>CA9/BW9-1</f>
        <v>0.34381551362683438</v>
      </c>
      <c r="CB74" s="30">
        <f>CB9/BX9-1</f>
        <v>0.19006849315068486</v>
      </c>
      <c r="CC74" s="30">
        <f>CC9/BY9-1</f>
        <v>0.16880733944954129</v>
      </c>
      <c r="CD74" s="30">
        <f>CD9/BZ9-1</f>
        <v>2.5559105431310014E-2</v>
      </c>
      <c r="CE74" s="30">
        <f>CE9/CA9-1</f>
        <v>2.808112324492984E-2</v>
      </c>
      <c r="CF74" s="30">
        <f>CF9/CB9-1</f>
        <v>-1.4388489208633115E-2</v>
      </c>
      <c r="CG74" s="30">
        <f>CG9/CC9-1</f>
        <v>-2.6687598116169498E-2</v>
      </c>
      <c r="CH74" s="30">
        <f>CH9/CD9-1</f>
        <v>0.11838006230529596</v>
      </c>
      <c r="CI74" s="30">
        <f>CI9/CE9-1</f>
        <v>-3.9453717754172946E-2</v>
      </c>
      <c r="CJ74" s="30">
        <f>CJ9/CF9-1</f>
        <v>6.4233576642335866E-2</v>
      </c>
      <c r="CK74" s="30">
        <f>CK9/CG9-1</f>
        <v>8.2258064516129048E-2</v>
      </c>
      <c r="CL74" s="30">
        <f>CL9/CH9-1</f>
        <v>-2.9999999999999916E-2</v>
      </c>
      <c r="CM74" s="30">
        <f t="shared" ref="CM74:CP74" si="292">CM9/CI9-1</f>
        <v>-3.0000000000000027E-2</v>
      </c>
      <c r="CN74" s="30">
        <f t="shared" si="292"/>
        <v>-3.0000000000000027E-2</v>
      </c>
      <c r="CO74" s="30">
        <f t="shared" si="292"/>
        <v>-3.0000000000000027E-2</v>
      </c>
      <c r="CP74" s="30">
        <f t="shared" si="292"/>
        <v>-3.0000000000000027E-2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>
        <f>+DC9/DB9-1</f>
        <v>1.0071942446043165</v>
      </c>
      <c r="DD74" s="30">
        <f>+DD9/DC9-1</f>
        <v>0.17159498207885315</v>
      </c>
      <c r="DE74" s="30">
        <f>+DE9/DD9-1</f>
        <v>2.5621414913957974E-2</v>
      </c>
      <c r="DF74" s="30">
        <f>+DF9/DE9-1</f>
        <v>1.7695749440715947E-2</v>
      </c>
      <c r="DG74" s="30">
        <f>+DG9/DF9-1</f>
        <v>-3.0000000000000138E-2</v>
      </c>
      <c r="DH74" s="30">
        <f>+DH9/DG9-1</f>
        <v>5.0000000000000044E-2</v>
      </c>
      <c r="DI74" s="30">
        <f>+DI9/DH9-1</f>
        <v>5.0000000000000044E-2</v>
      </c>
      <c r="DJ74" s="30">
        <f>+DJ9/DI9-1</f>
        <v>5.0000000000000044E-2</v>
      </c>
      <c r="DK74" s="30">
        <f>+DK9/DJ9-1</f>
        <v>5.0000000000000044E-2</v>
      </c>
      <c r="DL74" s="30">
        <f>+DL9/DK9-1</f>
        <v>5.0000000000000044E-2</v>
      </c>
      <c r="DS74" s="32" t="s">
        <v>244</v>
      </c>
      <c r="DT74" s="17">
        <f>NPV(DT71,DE64:II64)+Main!K5-Main!K6</f>
        <v>300664.94109272904</v>
      </c>
    </row>
    <row r="75" spans="2:124" s="29" customFormat="1" x14ac:dyDescent="0.2">
      <c r="B75" s="43" t="s">
        <v>121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50" t="s">
        <v>202</v>
      </c>
      <c r="BG75" s="50" t="s">
        <v>202</v>
      </c>
      <c r="BH75" s="50" t="s">
        <v>202</v>
      </c>
      <c r="BI75" s="50" t="s">
        <v>202</v>
      </c>
      <c r="BJ75" s="50" t="s">
        <v>202</v>
      </c>
      <c r="BK75" s="50" t="s">
        <v>202</v>
      </c>
      <c r="BL75" s="50" t="s">
        <v>202</v>
      </c>
      <c r="BM75" s="50" t="s">
        <v>202</v>
      </c>
      <c r="BN75" s="50" t="s">
        <v>202</v>
      </c>
      <c r="BO75" s="50" t="s">
        <v>202</v>
      </c>
      <c r="BP75" s="50" t="s">
        <v>202</v>
      </c>
      <c r="BQ75" s="50" t="s">
        <v>202</v>
      </c>
      <c r="BR75" s="50" t="s">
        <v>202</v>
      </c>
      <c r="BS75" s="50" t="s">
        <v>202</v>
      </c>
      <c r="BT75" s="50" t="s">
        <v>202</v>
      </c>
      <c r="BU75" s="50" t="s">
        <v>202</v>
      </c>
      <c r="BV75" s="50" t="s">
        <v>202</v>
      </c>
      <c r="BW75" s="50" t="s">
        <v>202</v>
      </c>
      <c r="BX75" s="30">
        <f>BX10/BT10-1</f>
        <v>1.0303030303030303</v>
      </c>
      <c r="BY75" s="30">
        <f>BY10/BU10-1</f>
        <v>0.23326959847036322</v>
      </c>
      <c r="BZ75" s="30">
        <f>BZ10/BV10-1</f>
        <v>0.18342151675485008</v>
      </c>
      <c r="CA75" s="30">
        <f>CA10/BW10-1</f>
        <v>0.15413533834586457</v>
      </c>
      <c r="CB75" s="30">
        <f>CB10/BX10-1</f>
        <v>0.12437810945273631</v>
      </c>
      <c r="CC75" s="30">
        <f>CC10/BY10-1</f>
        <v>8.3720930232558111E-2</v>
      </c>
      <c r="CD75" s="30">
        <f>CD10/BZ10-1</f>
        <v>8.4947839046199736E-2</v>
      </c>
      <c r="CE75" s="30">
        <f>CE10/CA10-1</f>
        <v>0.17100977198697076</v>
      </c>
      <c r="CF75" s="30">
        <f>CF10/CB10-1</f>
        <v>0.10324483775811211</v>
      </c>
      <c r="CG75" s="30">
        <f>CG10/CC10-1</f>
        <v>7.0100143061516462E-2</v>
      </c>
      <c r="CH75" s="30">
        <f>CH10/CD10-1</f>
        <v>6.5934065934065922E-2</v>
      </c>
      <c r="CI75" s="30">
        <f>CI10/CE10-1</f>
        <v>4.0333796940194677E-2</v>
      </c>
      <c r="CJ75" s="30">
        <f>CJ10/CF10-1</f>
        <v>8.8235294117646967E-2</v>
      </c>
      <c r="CK75" s="30">
        <f>CK10/CG10-1</f>
        <v>0.1336898395721926</v>
      </c>
      <c r="CL75" s="30">
        <f>CL10/CH10-1</f>
        <v>3.0000000000000027E-2</v>
      </c>
      <c r="CM75" s="30">
        <f t="shared" ref="CM75:CP75" si="293">CM10/CI10-1</f>
        <v>3.0000000000000027E-2</v>
      </c>
      <c r="CN75" s="30">
        <f t="shared" si="293"/>
        <v>3.0000000000000027E-2</v>
      </c>
      <c r="CO75" s="30">
        <f t="shared" si="293"/>
        <v>3.0000000000000027E-2</v>
      </c>
      <c r="CP75" s="30">
        <f t="shared" si="293"/>
        <v>3.0000000000000027E-2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>
        <f>+DC10/DB10-1</f>
        <v>0.76712328767123283</v>
      </c>
      <c r="DD75" s="30">
        <f>+DD10/DC10-1</f>
        <v>0.1093431252549979</v>
      </c>
      <c r="DE75" s="30">
        <f>+DE10/DD10-1</f>
        <v>0.10003677822728951</v>
      </c>
      <c r="DF75" s="30">
        <f>+DF10/DE10-1</f>
        <v>7.2978936810431216E-2</v>
      </c>
      <c r="DG75" s="30">
        <f>+DG10/DF10-1</f>
        <v>3.0000000000000027E-2</v>
      </c>
      <c r="DH75" s="30">
        <f>+DH10/DG10-1</f>
        <v>5.0000000000000044E-2</v>
      </c>
      <c r="DI75" s="30">
        <f>+DI10/DH10-1</f>
        <v>5.0000000000000044E-2</v>
      </c>
      <c r="DJ75" s="30">
        <f>+DJ10/DI10-1</f>
        <v>5.0000000000000044E-2</v>
      </c>
      <c r="DK75" s="30">
        <f>+DK10/DJ10-1</f>
        <v>5.0000000000000044E-2</v>
      </c>
      <c r="DL75" s="30">
        <f>+DL10/DK10-1</f>
        <v>5.0000000000000044E-2</v>
      </c>
      <c r="DS75" s="51" t="s">
        <v>246</v>
      </c>
      <c r="DT75" s="14">
        <f>DT74/Main!K3</f>
        <v>169.67547465729629</v>
      </c>
    </row>
    <row r="76" spans="2:124" s="29" customFormat="1" x14ac:dyDescent="0.2">
      <c r="B76" s="53" t="s">
        <v>248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54" t="s">
        <v>202</v>
      </c>
      <c r="BG76" s="54" t="s">
        <v>202</v>
      </c>
      <c r="BH76" s="54" t="s">
        <v>202</v>
      </c>
      <c r="BI76" s="54" t="s">
        <v>202</v>
      </c>
      <c r="BJ76" s="54" t="s">
        <v>202</v>
      </c>
      <c r="BK76" s="54" t="s">
        <v>202</v>
      </c>
      <c r="BL76" s="54" t="s">
        <v>202</v>
      </c>
      <c r="BM76" s="54" t="s">
        <v>202</v>
      </c>
      <c r="BN76" s="54" t="s">
        <v>202</v>
      </c>
      <c r="BO76" s="54" t="s">
        <v>202</v>
      </c>
      <c r="BP76" s="54" t="s">
        <v>202</v>
      </c>
      <c r="BQ76" s="54" t="s">
        <v>202</v>
      </c>
      <c r="BR76" s="54" t="s">
        <v>202</v>
      </c>
      <c r="BS76" s="54" t="s">
        <v>202</v>
      </c>
      <c r="BT76" s="54" t="s">
        <v>202</v>
      </c>
      <c r="BU76" s="30">
        <f>BU12/BQ12-1</f>
        <v>14.357142857142858</v>
      </c>
      <c r="BV76" s="30">
        <f>BV12/BR12-1</f>
        <v>7.5151515151515156</v>
      </c>
      <c r="BW76" s="30">
        <f>BW12/BS12-1</f>
        <v>2.5232558139534884</v>
      </c>
      <c r="BX76" s="30">
        <f>BX12/BT12-1</f>
        <v>1.5369127516778525</v>
      </c>
      <c r="BY76" s="30">
        <f>BY12/BU12-1</f>
        <v>1.1069767441860465</v>
      </c>
      <c r="BZ76" s="30">
        <f>BZ12/BV12-1</f>
        <v>0.83985765124555156</v>
      </c>
      <c r="CA76" s="30">
        <f>CA12/BW12-1</f>
        <v>0.53465346534653468</v>
      </c>
      <c r="CB76" s="30">
        <f>CB12/BX12-1</f>
        <v>0.56613756613756605</v>
      </c>
      <c r="CC76" s="30">
        <f>CC12/BY12-1</f>
        <v>0.53421633554083892</v>
      </c>
      <c r="CD76" s="30">
        <f>CD12/BZ12-1</f>
        <v>0.4893617021276595</v>
      </c>
      <c r="CE76" s="30">
        <f>CE12/CA12-1</f>
        <v>0.47526881720430114</v>
      </c>
      <c r="CF76" s="30">
        <f>CF12/CB12-1</f>
        <v>0.55067567567567566</v>
      </c>
      <c r="CG76" s="30">
        <f>CG12/CC12-1</f>
        <v>0.59712230215827344</v>
      </c>
      <c r="CH76" s="30">
        <f>CH12/CD12-1</f>
        <v>0.62987012987012991</v>
      </c>
      <c r="CI76" s="30">
        <f>CI12/CE12-1</f>
        <v>0.59329446064139946</v>
      </c>
      <c r="CJ76" s="30">
        <f>CJ12/CF12-1</f>
        <v>0.55773420479302827</v>
      </c>
      <c r="CK76" s="30">
        <f>CK12/CG12-1</f>
        <v>0.45405405405405408</v>
      </c>
      <c r="CL76" s="30">
        <f>CL12/CH12-1</f>
        <v>0.30000000000000004</v>
      </c>
      <c r="CM76" s="30">
        <f t="shared" ref="CM76:CP76" si="294">CM12/CI12-1</f>
        <v>0.30000000000000004</v>
      </c>
      <c r="CN76" s="30">
        <f t="shared" si="294"/>
        <v>0.30000000000000004</v>
      </c>
      <c r="CO76" s="30">
        <f t="shared" si="294"/>
        <v>0.30000000000000027</v>
      </c>
      <c r="CP76" s="30">
        <f t="shared" si="294"/>
        <v>0.30000000000000027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>
        <f>+DC12/DB12-1</f>
        <v>1.2585499316005473</v>
      </c>
      <c r="DD76" s="30">
        <f>+DD12/DC12-1</f>
        <v>0.52755905511811019</v>
      </c>
      <c r="DE76" s="30">
        <f>+DE12/DD12-1</f>
        <v>0.57375099127676443</v>
      </c>
      <c r="DF76" s="30">
        <f>+DF12/DE12-1</f>
        <v>0.45338876291257235</v>
      </c>
      <c r="DG76" s="30">
        <f>+DG12/DF12-1</f>
        <v>0.30000000000000027</v>
      </c>
      <c r="DH76" s="30">
        <f>+DH12/DG12-1</f>
        <v>3.0000000000000027E-2</v>
      </c>
      <c r="DI76" s="30">
        <f>+DI12/DH12-1</f>
        <v>3.0000000000000027E-2</v>
      </c>
      <c r="DJ76" s="30">
        <f>+DJ12/DI12-1</f>
        <v>3.0000000000000027E-2</v>
      </c>
      <c r="DK76" s="30">
        <f>+DK12/DJ12-1</f>
        <v>3.0000000000000027E-2</v>
      </c>
      <c r="DL76" s="30">
        <f>+DL12/DK12-1</f>
        <v>-0.9</v>
      </c>
    </row>
    <row r="77" spans="2:124" s="29" customFormat="1" x14ac:dyDescent="0.2">
      <c r="B77" s="110" t="s">
        <v>513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30"/>
      <c r="BT77" s="30"/>
      <c r="BU77" s="30"/>
      <c r="BV77" s="30"/>
      <c r="BW77" s="30"/>
      <c r="BX77" s="30">
        <f t="shared" ref="BX77" si="295">BX13/BT13-1</f>
        <v>1.25</v>
      </c>
      <c r="BY77" s="30">
        <f t="shared" ref="BY77" si="296">BY13/BU13-1</f>
        <v>0.2877094972067038</v>
      </c>
      <c r="BZ77" s="30">
        <f t="shared" ref="BZ77" si="297">BZ13/BV13-1</f>
        <v>0.21945137157107242</v>
      </c>
      <c r="CA77" s="30">
        <f t="shared" ref="CA77" si="298">CA13/BW13-1</f>
        <v>0.23410404624277459</v>
      </c>
      <c r="CB77" s="30">
        <f t="shared" ref="CB77" si="299">CB13/BX13-1</f>
        <v>0.13888888888888884</v>
      </c>
      <c r="CC77" s="30">
        <f t="shared" ref="CC77" si="300">CC13/BY13-1</f>
        <v>0.20173535791757047</v>
      </c>
      <c r="CD77" s="30">
        <f t="shared" ref="CD77" si="301">CD13/BZ13-1</f>
        <v>0.15541922290388555</v>
      </c>
      <c r="CE77" s="30">
        <f t="shared" ref="CE77:CJ77" si="302">CE13/CA13-1</f>
        <v>0.31381733021077274</v>
      </c>
      <c r="CF77" s="30">
        <f t="shared" si="302"/>
        <v>0.33739837398373984</v>
      </c>
      <c r="CG77" s="30">
        <f t="shared" si="302"/>
        <v>0.35559566787003605</v>
      </c>
      <c r="CH77" s="30">
        <f t="shared" si="302"/>
        <v>0.39646017699115044</v>
      </c>
      <c r="CI77" s="30">
        <f t="shared" si="302"/>
        <v>0.23707664884135471</v>
      </c>
      <c r="CJ77" s="30">
        <f t="shared" si="302"/>
        <v>0.17629179331306988</v>
      </c>
      <c r="CK77" s="30">
        <f>CK13/CG13-1</f>
        <v>0.16511318242343531</v>
      </c>
      <c r="CL77" s="30">
        <f t="shared" ref="CL77:CP77" si="303">CL13/CH13-1</f>
        <v>0.10000000000000009</v>
      </c>
      <c r="CM77" s="30">
        <f t="shared" si="303"/>
        <v>0.10000000000000009</v>
      </c>
      <c r="CN77" s="30">
        <f t="shared" si="303"/>
        <v>0.10000000000000009</v>
      </c>
      <c r="CO77" s="30">
        <f t="shared" si="303"/>
        <v>0.10000000000000009</v>
      </c>
      <c r="CP77" s="30">
        <f t="shared" si="303"/>
        <v>0.10000000000000009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</row>
    <row r="78" spans="2:124" s="29" customFormat="1" x14ac:dyDescent="0.2">
      <c r="B78" s="53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</row>
    <row r="79" spans="2:124" s="29" customFormat="1" x14ac:dyDescent="0.2">
      <c r="B79" s="43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</row>
    <row r="80" spans="2:124" s="29" customFormat="1" x14ac:dyDescent="0.2">
      <c r="B80" s="43" t="s">
        <v>203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>
        <f t="shared" ref="BI80" si="304">+BI56/BI54</f>
        <v>0.80814867762687637</v>
      </c>
      <c r="BJ80" s="30">
        <f t="shared" ref="BJ80" si="305">+BJ56/BJ54</f>
        <v>0.79002455097557822</v>
      </c>
      <c r="BK80" s="30">
        <f t="shared" ref="BK80" si="306">+BK56/BK54</f>
        <v>0.80186538946307029</v>
      </c>
      <c r="BL80" s="30">
        <f t="shared" ref="BL80:BQ80" si="307">+BL56/BL54</f>
        <v>0.80540082344393316</v>
      </c>
      <c r="BM80" s="30">
        <f t="shared" si="307"/>
        <v>0.81677999028654691</v>
      </c>
      <c r="BN80" s="30">
        <f t="shared" si="307"/>
        <v>0.79843467790487654</v>
      </c>
      <c r="BO80" s="30">
        <f t="shared" si="307"/>
        <v>0.83354624425140522</v>
      </c>
      <c r="BP80" s="30">
        <f t="shared" si="307"/>
        <v>0.8271350696547547</v>
      </c>
      <c r="BQ80" s="30">
        <f t="shared" si="307"/>
        <v>0.82014388489208634</v>
      </c>
      <c r="BR80" s="30">
        <f>+BR56/BR54</f>
        <v>0.81560202205882348</v>
      </c>
      <c r="BS80" s="30">
        <f>+BS56/BS54</f>
        <v>0.82666202575704839</v>
      </c>
      <c r="BT80" s="30">
        <f>+BT56/BT54</f>
        <v>0.82772182254196647</v>
      </c>
      <c r="BU80" s="30">
        <f>+BU56/BU54</f>
        <v>0.81664337835739786</v>
      </c>
      <c r="BV80" s="30">
        <f t="shared" ref="BV80:CD80" si="308">+BV56/BV54</f>
        <v>0.81793909655072883</v>
      </c>
      <c r="BW80" s="30">
        <f t="shared" si="308"/>
        <v>0.83880943177425593</v>
      </c>
      <c r="BX80" s="30">
        <f t="shared" si="308"/>
        <v>0.82240848198295002</v>
      </c>
      <c r="BY80" s="30">
        <f t="shared" si="308"/>
        <v>0.83175289359921911</v>
      </c>
      <c r="BZ80" s="30">
        <f t="shared" si="308"/>
        <v>0.83555018137847648</v>
      </c>
      <c r="CA80" s="30">
        <f t="shared" si="308"/>
        <v>0.84465947702762589</v>
      </c>
      <c r="CB80" s="30">
        <f t="shared" si="308"/>
        <v>0.85140231776726327</v>
      </c>
      <c r="CC80" s="30">
        <f>+CC56/CC54</f>
        <v>0.85369970294355924</v>
      </c>
      <c r="CD80" s="30">
        <f t="shared" si="308"/>
        <v>0.85</v>
      </c>
      <c r="CE80" s="30">
        <f t="shared" ref="CE80:CH80" si="309">+CE56/CE54</f>
        <v>0.84204498977505116</v>
      </c>
      <c r="CF80" s="30">
        <f t="shared" si="309"/>
        <v>0.84731337901190051</v>
      </c>
      <c r="CG80" s="30">
        <f t="shared" si="309"/>
        <v>0.83478135994830183</v>
      </c>
      <c r="CH80" s="30">
        <f t="shared" si="309"/>
        <v>0.83938186140829307</v>
      </c>
      <c r="CI80" s="30">
        <f t="shared" ref="CI80:CL80" si="310">+CI56/CI54</f>
        <v>0.82875710804224212</v>
      </c>
      <c r="CJ80" s="30">
        <f t="shared" si="310"/>
        <v>0.85237173281703771</v>
      </c>
      <c r="CK80" s="30">
        <f t="shared" si="310"/>
        <v>0.84432918395573997</v>
      </c>
      <c r="CL80" s="30">
        <f t="shared" si="310"/>
        <v>0.83</v>
      </c>
      <c r="CM80" s="30">
        <f t="shared" ref="CM80:CP80" si="311">+CM56/CM54</f>
        <v>0.84999999999999987</v>
      </c>
      <c r="CN80" s="30">
        <f t="shared" si="311"/>
        <v>0.85</v>
      </c>
      <c r="CO80" s="30">
        <f t="shared" si="311"/>
        <v>0.85</v>
      </c>
      <c r="CP80" s="30">
        <f t="shared" si="311"/>
        <v>0.85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>
        <f>+CZ56/CZ54</f>
        <v>0.80563956863104513</v>
      </c>
      <c r="DA80" s="30">
        <f>+DA56/DA54</f>
        <v>0.82384416521373172</v>
      </c>
      <c r="DB80" s="30">
        <f>+DB56/DB54</f>
        <v>0.82144417263672898</v>
      </c>
      <c r="DC80" s="30">
        <f>+DC56/DC54</f>
        <v>0.8320622928619793</v>
      </c>
      <c r="DD80" s="30">
        <f>+DD56/DD54</f>
        <v>0.84949081918461911</v>
      </c>
      <c r="DE80" s="30">
        <f t="shared" ref="DE80:DI80" si="312">+DE56/DE54</f>
        <v>0.84082624544349938</v>
      </c>
      <c r="DF80" s="30">
        <f t="shared" si="312"/>
        <v>0.83926908822735513</v>
      </c>
      <c r="DG80" s="30">
        <f t="shared" si="312"/>
        <v>0.85</v>
      </c>
      <c r="DH80" s="30">
        <f t="shared" si="312"/>
        <v>0.84999999999999987</v>
      </c>
      <c r="DI80" s="30">
        <f t="shared" si="312"/>
        <v>0.85</v>
      </c>
      <c r="DJ80" s="30">
        <f t="shared" ref="DJ80:DL80" si="313">+DJ56/DJ54</f>
        <v>0.85</v>
      </c>
      <c r="DK80" s="30">
        <f t="shared" si="313"/>
        <v>0.85000000000000009</v>
      </c>
      <c r="DL80" s="30">
        <f t="shared" si="313"/>
        <v>0.84999999999999987</v>
      </c>
    </row>
    <row r="81" spans="2:116" s="29" customFormat="1" x14ac:dyDescent="0.2">
      <c r="B81" s="43" t="s">
        <v>204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>
        <f t="shared" ref="BI81" si="314">+BI63/BI62</f>
        <v>0.18934280639431617</v>
      </c>
      <c r="BJ81" s="30">
        <f t="shared" ref="BJ81" si="315">+BJ63/BJ62</f>
        <v>0.18853848762292302</v>
      </c>
      <c r="BK81" s="30">
        <f t="shared" ref="BK81" si="316">+BK63/BK62</f>
        <v>7.6450721522873813E-2</v>
      </c>
      <c r="BL81" s="30">
        <f t="shared" ref="BL81:BQ81" si="317">+BL63/BL62</f>
        <v>9.0040532715691957E-2</v>
      </c>
      <c r="BM81" s="30">
        <f t="shared" si="317"/>
        <v>9.1036023457134879E-2</v>
      </c>
      <c r="BN81" s="30">
        <f t="shared" si="317"/>
        <v>9.1716915264995244E-2</v>
      </c>
      <c r="BO81" s="30">
        <f t="shared" si="317"/>
        <v>7.8917050691244245E-2</v>
      </c>
      <c r="BP81" s="30">
        <f t="shared" si="317"/>
        <v>8.7567567567567561E-2</v>
      </c>
      <c r="BQ81" s="30">
        <f t="shared" si="317"/>
        <v>8.7848500789058384E-2</v>
      </c>
      <c r="BR81" s="30">
        <f>+BR63/BR62</f>
        <v>8.8544548976203646E-2</v>
      </c>
      <c r="BS81" s="30">
        <f>+BS63/BS62</f>
        <v>9.7426929802648013E-2</v>
      </c>
      <c r="BT81" s="30">
        <f>+BT63/BT62</f>
        <v>0.11399317406143344</v>
      </c>
      <c r="BU81" s="30">
        <f>+BU63/BU62</f>
        <v>9.6755504055619931E-2</v>
      </c>
      <c r="BV81" s="30">
        <f t="shared" ref="BV81:CD81" si="318">+BV63/BV62</f>
        <v>9.6443132292984679E-2</v>
      </c>
      <c r="BW81" s="30">
        <f t="shared" si="318"/>
        <v>0.1234113712374582</v>
      </c>
      <c r="BX81" s="30">
        <f t="shared" si="318"/>
        <v>0.12653834017040075</v>
      </c>
      <c r="BY81" s="30">
        <f t="shared" si="318"/>
        <v>0.12783291364242336</v>
      </c>
      <c r="BZ81" s="30">
        <f t="shared" si="318"/>
        <v>0.12496302868973676</v>
      </c>
      <c r="CA81" s="30">
        <f t="shared" si="318"/>
        <v>0.11802184466019418</v>
      </c>
      <c r="CB81" s="30">
        <f t="shared" si="318"/>
        <v>0.12982644961657475</v>
      </c>
      <c r="CC81" s="30">
        <f>+CC63/CC62</f>
        <v>0.1274432118330692</v>
      </c>
      <c r="CD81" s="30">
        <f t="shared" si="318"/>
        <v>0.15</v>
      </c>
      <c r="CE81" s="30">
        <f t="shared" ref="CE81:CH81" si="319">+CE63/CE62</f>
        <v>0.1364907375043691</v>
      </c>
      <c r="CF81" s="30">
        <f t="shared" si="319"/>
        <v>9.4106311225309144E-2</v>
      </c>
      <c r="CG81" s="30">
        <f t="shared" si="319"/>
        <v>0.1549652118912081</v>
      </c>
      <c r="CH81" s="30">
        <f t="shared" si="319"/>
        <v>6.2390017597184454E-2</v>
      </c>
      <c r="CI81" s="30">
        <f t="shared" ref="CI81:CL81" si="320">+CI63/CI62</f>
        <v>0.14282860567319217</v>
      </c>
      <c r="CJ81" s="30">
        <f t="shared" si="320"/>
        <v>0.16184542352766651</v>
      </c>
      <c r="CK81" s="30">
        <f t="shared" si="320"/>
        <v>0.15957116221255438</v>
      </c>
      <c r="CL81" s="30">
        <f t="shared" si="320"/>
        <v>0.1</v>
      </c>
      <c r="CM81" s="30">
        <f t="shared" ref="CM81:CP81" si="321">+CM63/CM62</f>
        <v>0.1</v>
      </c>
      <c r="CN81" s="30">
        <f t="shared" si="321"/>
        <v>0.1</v>
      </c>
      <c r="CO81" s="30">
        <f t="shared" si="321"/>
        <v>0.1</v>
      </c>
      <c r="CP81" s="30">
        <f t="shared" si="321"/>
        <v>0.1</v>
      </c>
      <c r="CQ81" s="30"/>
      <c r="CR81" s="30"/>
      <c r="CS81" s="30"/>
      <c r="CT81" s="30"/>
      <c r="CU81" s="30"/>
      <c r="CV81" s="30"/>
      <c r="CW81" s="30"/>
      <c r="CX81" s="30"/>
      <c r="CY81" s="30"/>
      <c r="CZ81" s="30">
        <f t="shared" ref="CZ81" si="322">+CZ63/CZ62</f>
        <v>8.7406084951275761E-2</v>
      </c>
      <c r="DA81" s="30">
        <f t="shared" ref="DA81:DI81" si="323">+DA63/DA62</f>
        <v>8.5823964902659713E-2</v>
      </c>
      <c r="DB81" s="30">
        <f t="shared" si="323"/>
        <v>0.10015614543832255</v>
      </c>
      <c r="DC81" s="30">
        <f t="shared" si="323"/>
        <v>0.12574038945453136</v>
      </c>
      <c r="DD81" s="30">
        <f t="shared" si="323"/>
        <v>0.13260849871780578</v>
      </c>
      <c r="DE81" s="30">
        <f t="shared" si="323"/>
        <v>0.11160495840809004</v>
      </c>
      <c r="DF81" s="30">
        <f t="shared" si="323"/>
        <v>0.14182210904300299</v>
      </c>
      <c r="DG81" s="30">
        <f t="shared" si="323"/>
        <v>0.15</v>
      </c>
      <c r="DH81" s="30">
        <f t="shared" si="323"/>
        <v>0.15</v>
      </c>
      <c r="DI81" s="30">
        <f t="shared" si="323"/>
        <v>0.15</v>
      </c>
      <c r="DJ81" s="30">
        <f t="shared" ref="DJ81:DL81" si="324">+DJ63/DJ62</f>
        <v>0.15</v>
      </c>
      <c r="DK81" s="30">
        <f t="shared" si="324"/>
        <v>0.15</v>
      </c>
      <c r="DL81" s="30">
        <f t="shared" si="324"/>
        <v>0.15</v>
      </c>
    </row>
    <row r="83" spans="2:116" x14ac:dyDescent="0.2">
      <c r="B83" s="25" t="s">
        <v>145</v>
      </c>
      <c r="CA83" s="16">
        <f t="shared" ref="CA83:CG83" si="325">CA84-CA93</f>
        <v>-65642</v>
      </c>
      <c r="CB83" s="16">
        <f t="shared" si="325"/>
        <v>-62727</v>
      </c>
      <c r="CC83" s="16">
        <f t="shared" si="325"/>
        <v>-57492</v>
      </c>
      <c r="CD83" s="16">
        <f t="shared" si="325"/>
        <v>0</v>
      </c>
      <c r="CE83" s="16">
        <f t="shared" si="325"/>
        <v>-55114</v>
      </c>
      <c r="CF83" s="16">
        <f t="shared" si="325"/>
        <v>-51961</v>
      </c>
      <c r="CG83" s="16">
        <f t="shared" si="325"/>
        <v>-47181</v>
      </c>
      <c r="CH83" s="16">
        <f>CH84-CH93</f>
        <v>-46265</v>
      </c>
      <c r="CI83" s="16">
        <f>CI84-CI93</f>
        <v>-55627</v>
      </c>
      <c r="CJ83" s="16">
        <f>CJ84-CJ93</f>
        <v>-57205</v>
      </c>
      <c r="CK83" s="16">
        <f>CK84-CK93</f>
        <v>-63527</v>
      </c>
      <c r="CL83" s="16">
        <f>+CK83+CL64</f>
        <v>-58055.641969999997</v>
      </c>
      <c r="CM83" s="16"/>
      <c r="CN83" s="16"/>
      <c r="CO83" s="16"/>
    </row>
    <row r="84" spans="2:116" s="15" customFormat="1" x14ac:dyDescent="0.2">
      <c r="B84" s="23" t="s">
        <v>50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>
        <f>6098+1474+260</f>
        <v>7832</v>
      </c>
      <c r="CB84" s="16">
        <f>8521+1440+244</f>
        <v>10205</v>
      </c>
      <c r="CC84" s="16">
        <f>11832+47+235</f>
        <v>12114</v>
      </c>
      <c r="CD84" s="16"/>
      <c r="CE84" s="16">
        <f>6711+11+257</f>
        <v>6979</v>
      </c>
      <c r="CF84" s="16">
        <f>8759+7+288</f>
        <v>9054</v>
      </c>
      <c r="CG84" s="16">
        <f>13287+3+275</f>
        <v>13565</v>
      </c>
      <c r="CH84" s="16">
        <f>12814+2+304</f>
        <v>13120</v>
      </c>
      <c r="CI84" s="16">
        <f>18069+305</f>
        <v>18374</v>
      </c>
      <c r="CJ84" s="16">
        <f>13130+27+272</f>
        <v>13429</v>
      </c>
      <c r="CK84" s="16">
        <f>7257+28+267</f>
        <v>7552</v>
      </c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</row>
    <row r="85" spans="2:116" s="15" customFormat="1" x14ac:dyDescent="0.2">
      <c r="B85" s="23" t="s">
        <v>135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>
        <v>10733</v>
      </c>
      <c r="CB85" s="16">
        <v>11237</v>
      </c>
      <c r="CC85" s="16">
        <v>10743</v>
      </c>
      <c r="CD85" s="16"/>
      <c r="CE85" s="16">
        <v>11473</v>
      </c>
      <c r="CF85" s="16">
        <v>11491</v>
      </c>
      <c r="CG85" s="16">
        <v>11412</v>
      </c>
      <c r="CH85" s="16">
        <v>11155</v>
      </c>
      <c r="CI85" s="16">
        <v>11949</v>
      </c>
      <c r="CJ85" s="16">
        <v>11724</v>
      </c>
      <c r="CK85" s="16">
        <v>11472</v>
      </c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</row>
    <row r="86" spans="2:116" s="15" customFormat="1" x14ac:dyDescent="0.2">
      <c r="B86" s="23" t="s">
        <v>136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>
        <v>3483</v>
      </c>
      <c r="CB86" s="16">
        <v>3396</v>
      </c>
      <c r="CC86" s="16">
        <v>3172</v>
      </c>
      <c r="CD86" s="16"/>
      <c r="CE86" s="16">
        <v>3833</v>
      </c>
      <c r="CF86" s="16">
        <v>4055</v>
      </c>
      <c r="CG86" s="16">
        <v>3981</v>
      </c>
      <c r="CH86" s="16">
        <v>4099</v>
      </c>
      <c r="CI86" s="16">
        <v>4245</v>
      </c>
      <c r="CJ86" s="16">
        <v>4218</v>
      </c>
      <c r="CK86" s="16">
        <v>4450</v>
      </c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</row>
    <row r="87" spans="2:116" s="15" customFormat="1" x14ac:dyDescent="0.2">
      <c r="B87" s="23" t="s">
        <v>137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v>4721</v>
      </c>
      <c r="CB87" s="16">
        <v>4506</v>
      </c>
      <c r="CC87" s="16">
        <v>4570</v>
      </c>
      <c r="CD87" s="16"/>
      <c r="CE87" s="16">
        <v>4460</v>
      </c>
      <c r="CF87" s="16">
        <v>4540</v>
      </c>
      <c r="CG87" s="16">
        <v>4541</v>
      </c>
      <c r="CH87" s="16">
        <v>4932</v>
      </c>
      <c r="CI87" s="16">
        <v>4608</v>
      </c>
      <c r="CJ87" s="16">
        <v>4717</v>
      </c>
      <c r="CK87" s="16">
        <v>4578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">
      <c r="B88" s="23" t="s">
        <v>138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5075</v>
      </c>
      <c r="CB88" s="16">
        <v>4958</v>
      </c>
      <c r="CC88" s="16">
        <v>4893</v>
      </c>
      <c r="CD88" s="16"/>
      <c r="CE88" s="16">
        <v>4931</v>
      </c>
      <c r="CF88" s="16">
        <v>4943</v>
      </c>
      <c r="CG88" s="16">
        <v>4934</v>
      </c>
      <c r="CH88" s="16">
        <v>4989</v>
      </c>
      <c r="CI88" s="16">
        <v>4980</v>
      </c>
      <c r="CJ88" s="16">
        <v>5023</v>
      </c>
      <c r="CK88" s="16">
        <v>5141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">
      <c r="B89" s="23" t="s">
        <v>139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f>73986+32298</f>
        <v>106284</v>
      </c>
      <c r="CB89" s="16">
        <f>71823+32028</f>
        <v>103851</v>
      </c>
      <c r="CC89" s="16">
        <f>68725+31726</f>
        <v>100451</v>
      </c>
      <c r="CD89" s="16"/>
      <c r="CE89" s="16">
        <f>64848+32220</f>
        <v>97068</v>
      </c>
      <c r="CF89" s="16">
        <f>62862+32224</f>
        <v>95086</v>
      </c>
      <c r="CG89" s="16">
        <f>58603+32091</f>
        <v>90694</v>
      </c>
      <c r="CH89" s="16">
        <f>55610+32293</f>
        <v>87903</v>
      </c>
      <c r="CI89" s="16">
        <f>62225+33426</f>
        <v>95651</v>
      </c>
      <c r="CJ89" s="16">
        <f>60243+33386</f>
        <v>93629</v>
      </c>
      <c r="CK89" s="16">
        <f>66646+35295</f>
        <v>101941</v>
      </c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">
      <c r="B90" s="23" t="s">
        <v>12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5083</v>
      </c>
      <c r="CB90" s="16">
        <v>5033</v>
      </c>
      <c r="CC90" s="16">
        <v>5382</v>
      </c>
      <c r="CD90" s="16"/>
      <c r="CE90" s="16">
        <v>5800</v>
      </c>
      <c r="CF90" s="16">
        <v>6198</v>
      </c>
      <c r="CG90" s="16">
        <v>7094</v>
      </c>
      <c r="CH90" s="16">
        <v>8513</v>
      </c>
      <c r="CI90" s="16">
        <v>9067</v>
      </c>
      <c r="CJ90" s="16">
        <v>9197</v>
      </c>
      <c r="CK90" s="16">
        <v>8288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">
      <c r="B91" s="23" t="s">
        <v>134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f>SUM(CA84:CA90)</f>
        <v>143211</v>
      </c>
      <c r="CB91" s="16">
        <f>SUM(CB84:CB90)</f>
        <v>143186</v>
      </c>
      <c r="CC91" s="16">
        <f>SUM(CC84:CC90)</f>
        <v>141325</v>
      </c>
      <c r="CD91" s="16"/>
      <c r="CE91" s="16">
        <f t="shared" ref="CE91:CK91" si="326">SUM(CE84:CE90)</f>
        <v>134544</v>
      </c>
      <c r="CF91" s="16">
        <f t="shared" si="326"/>
        <v>135367</v>
      </c>
      <c r="CG91" s="16">
        <f t="shared" si="326"/>
        <v>136221</v>
      </c>
      <c r="CH91" s="16">
        <f t="shared" si="326"/>
        <v>134711</v>
      </c>
      <c r="CI91" s="16">
        <f t="shared" si="326"/>
        <v>148874</v>
      </c>
      <c r="CJ91" s="16">
        <f t="shared" si="326"/>
        <v>141937</v>
      </c>
      <c r="CK91" s="16">
        <f t="shared" si="326"/>
        <v>143422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3" spans="2:116" s="15" customFormat="1" x14ac:dyDescent="0.2">
      <c r="B93" s="23" t="s">
        <v>51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f>12+9940+63522</f>
        <v>73474</v>
      </c>
      <c r="CB93" s="16">
        <f>17+61002+11913</f>
        <v>72932</v>
      </c>
      <c r="CC93" s="16">
        <f>10+9197+60399</f>
        <v>69606</v>
      </c>
      <c r="CD93" s="16"/>
      <c r="CE93" s="16">
        <f>1+59292+2800</f>
        <v>62093</v>
      </c>
      <c r="CF93" s="16">
        <f>5203+55812</f>
        <v>61015</v>
      </c>
      <c r="CG93" s="16">
        <f>2+55631+5113</f>
        <v>60746</v>
      </c>
      <c r="CH93" s="16">
        <f>7191+52194</f>
        <v>59385</v>
      </c>
      <c r="CI93" s="16">
        <f>3+63805+10193</f>
        <v>74001</v>
      </c>
      <c r="CJ93" s="16">
        <f>12586+58048</f>
        <v>70634</v>
      </c>
      <c r="CK93" s="16">
        <f>12570+58509</f>
        <v>71079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">
      <c r="B94" s="23" t="s">
        <v>140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v>22569</v>
      </c>
      <c r="CB94" s="16">
        <v>22543</v>
      </c>
      <c r="CC94" s="16">
        <v>23505</v>
      </c>
      <c r="CD94" s="16"/>
      <c r="CE94" s="16">
        <v>24789</v>
      </c>
      <c r="CF94" s="16">
        <v>27036</v>
      </c>
      <c r="CG94" s="16">
        <v>29658</v>
      </c>
      <c r="CH94" s="16">
        <v>30650</v>
      </c>
      <c r="CI94" s="16">
        <v>31326</v>
      </c>
      <c r="CJ94" s="16">
        <v>29329</v>
      </c>
      <c r="CK94" s="16">
        <v>30492</v>
      </c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5" spans="2:116" s="15" customFormat="1" x14ac:dyDescent="0.2">
      <c r="B95" s="23" t="s">
        <v>141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v>2831</v>
      </c>
      <c r="CB95" s="16">
        <v>2255</v>
      </c>
      <c r="CC95" s="16">
        <v>1972</v>
      </c>
      <c r="CD95" s="16"/>
      <c r="CE95" s="16">
        <v>2110</v>
      </c>
      <c r="CF95" s="16">
        <v>2124</v>
      </c>
      <c r="CG95" s="16">
        <v>2044</v>
      </c>
      <c r="CH95" s="16">
        <v>1952</v>
      </c>
      <c r="CI95" s="16">
        <v>2722</v>
      </c>
      <c r="CJ95" s="16">
        <v>2726</v>
      </c>
      <c r="CK95" s="16">
        <v>2749</v>
      </c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</row>
    <row r="96" spans="2:116" s="15" customFormat="1" x14ac:dyDescent="0.2">
      <c r="B96" s="23" t="s">
        <v>142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v>28023</v>
      </c>
      <c r="CB96" s="16">
        <v>30768</v>
      </c>
      <c r="CC96" s="16">
        <v>30215</v>
      </c>
      <c r="CD96" s="16"/>
      <c r="CE96" s="16">
        <v>32249</v>
      </c>
      <c r="CF96" s="16">
        <v>32294</v>
      </c>
      <c r="CG96" s="16">
        <v>31644</v>
      </c>
      <c r="CH96" s="16">
        <v>32327</v>
      </c>
      <c r="CI96" s="16">
        <v>32778</v>
      </c>
      <c r="CJ96" s="16">
        <v>32427</v>
      </c>
      <c r="CK96" s="16">
        <v>33031</v>
      </c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">
      <c r="B97" s="23" t="s">
        <v>143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16314</v>
      </c>
      <c r="CB97" s="16">
        <v>14688</v>
      </c>
      <c r="CC97" s="16">
        <v>16027</v>
      </c>
      <c r="CD97" s="16"/>
      <c r="CE97" s="16">
        <v>13303</v>
      </c>
      <c r="CF97" s="16">
        <v>12898</v>
      </c>
      <c r="CG97" s="16">
        <v>12129</v>
      </c>
      <c r="CH97" s="16">
        <v>10397</v>
      </c>
      <c r="CI97" s="16">
        <v>8047</v>
      </c>
      <c r="CJ97" s="16">
        <v>6821</v>
      </c>
      <c r="CK97" s="16">
        <v>6071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23" t="s">
        <v>144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f>SUM(CA93:CA97)</f>
        <v>143211</v>
      </c>
      <c r="CB98" s="16">
        <f>SUM(CB93:CB97)</f>
        <v>143186</v>
      </c>
      <c r="CC98" s="16">
        <f>SUM(CC93:CC97)</f>
        <v>141325</v>
      </c>
      <c r="CD98" s="16"/>
      <c r="CE98" s="16">
        <f t="shared" ref="CE98:CK98" si="327">SUM(CE93:CE97)</f>
        <v>134544</v>
      </c>
      <c r="CF98" s="16">
        <f t="shared" si="327"/>
        <v>135367</v>
      </c>
      <c r="CG98" s="16">
        <f t="shared" si="327"/>
        <v>136221</v>
      </c>
      <c r="CH98" s="16">
        <f t="shared" si="327"/>
        <v>134711</v>
      </c>
      <c r="CI98" s="16">
        <f t="shared" si="327"/>
        <v>148874</v>
      </c>
      <c r="CJ98" s="16">
        <f t="shared" si="327"/>
        <v>141937</v>
      </c>
      <c r="CK98" s="16">
        <f t="shared" si="327"/>
        <v>143422</v>
      </c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100" spans="2:115" s="15" customFormat="1" x14ac:dyDescent="0.2">
      <c r="B100" s="65" t="s">
        <v>294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f>+CA64</f>
        <v>5814</v>
      </c>
      <c r="CB100" s="16"/>
      <c r="CC100" s="16"/>
      <c r="CD100" s="16"/>
      <c r="CE100" s="16">
        <f t="shared" ref="CE100:CK100" si="328">+CE64</f>
        <v>4941</v>
      </c>
      <c r="CF100" s="16">
        <f t="shared" si="328"/>
        <v>5641</v>
      </c>
      <c r="CG100" s="16">
        <f t="shared" si="328"/>
        <v>5344</v>
      </c>
      <c r="CH100" s="16">
        <f t="shared" si="328"/>
        <v>5861</v>
      </c>
      <c r="CI100" s="16">
        <f t="shared" si="328"/>
        <v>4291</v>
      </c>
      <c r="CJ100" s="16">
        <f t="shared" si="328"/>
        <v>5650</v>
      </c>
      <c r="CK100" s="16">
        <f t="shared" si="328"/>
        <v>5409</v>
      </c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65" t="s">
        <v>295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v>4493</v>
      </c>
      <c r="CB101" s="16"/>
      <c r="CC101" s="16"/>
      <c r="CD101" s="16"/>
      <c r="CE101" s="16">
        <v>241</v>
      </c>
      <c r="CF101" s="16">
        <f>2268-CE101</f>
        <v>2027</v>
      </c>
      <c r="CG101" s="16">
        <f>4049-CF101-CE101</f>
        <v>1781</v>
      </c>
      <c r="CH101" s="16">
        <f>4873-CG101-CF101-CE101</f>
        <v>824</v>
      </c>
      <c r="CI101" s="16">
        <v>1372</v>
      </c>
      <c r="CJ101" s="16">
        <f>2745-CI101</f>
        <v>1373</v>
      </c>
      <c r="CK101" s="16">
        <f>4309-CJ101-CI101</f>
        <v>1564</v>
      </c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2" spans="2:115" s="15" customFormat="1" x14ac:dyDescent="0.2">
      <c r="B102" s="65" t="s">
        <v>296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>
        <v>198</v>
      </c>
      <c r="CB102" s="16"/>
      <c r="CC102" s="16"/>
      <c r="CD102" s="16"/>
      <c r="CE102" s="16">
        <v>179</v>
      </c>
      <c r="CF102" s="16">
        <f>369-CE102</f>
        <v>190</v>
      </c>
      <c r="CG102" s="16">
        <f>565-CF102-CE102</f>
        <v>196</v>
      </c>
      <c r="CH102" s="16">
        <f>752-CG102-CF102-CE102</f>
        <v>187</v>
      </c>
      <c r="CI102" s="16">
        <v>183</v>
      </c>
      <c r="CJ102" s="16">
        <f>367-CI102</f>
        <v>184</v>
      </c>
      <c r="CK102" s="16">
        <f>558-CJ102-CI102</f>
        <v>191</v>
      </c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</row>
    <row r="103" spans="2:115" s="15" customFormat="1" x14ac:dyDescent="0.2">
      <c r="B103" s="65" t="s">
        <v>297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v>1855</v>
      </c>
      <c r="CB103" s="16"/>
      <c r="CC103" s="16"/>
      <c r="CD103" s="16"/>
      <c r="CE103" s="16">
        <v>1948</v>
      </c>
      <c r="CF103" s="16">
        <f>4018-CE103</f>
        <v>2070</v>
      </c>
      <c r="CG103" s="16">
        <f>6057-CF103-CE103</f>
        <v>2039</v>
      </c>
      <c r="CH103" s="16">
        <f>7946-CG103-CF103-CE103</f>
        <v>1889</v>
      </c>
      <c r="CI103" s="16">
        <v>1891</v>
      </c>
      <c r="CJ103" s="16">
        <f>3838-CI103</f>
        <v>1947</v>
      </c>
      <c r="CK103" s="16">
        <f>5726-CJ103-CI103</f>
        <v>1888</v>
      </c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">
      <c r="B104" s="65" t="s">
        <v>141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-194</v>
      </c>
      <c r="CB104" s="16"/>
      <c r="CC104" s="16"/>
      <c r="CD104" s="16"/>
      <c r="CE104" s="16">
        <v>-267</v>
      </c>
      <c r="CF104" s="16">
        <f>-635-CE104</f>
        <v>-368</v>
      </c>
      <c r="CG104" s="16">
        <f>-1498-CF104-CE104</f>
        <v>-863</v>
      </c>
      <c r="CH104" s="16">
        <f>-2889-CG104-CF104-CE104</f>
        <v>-1391</v>
      </c>
      <c r="CI104" s="16">
        <v>-389</v>
      </c>
      <c r="CJ104" s="16">
        <f>-405-CI104</f>
        <v>-16</v>
      </c>
      <c r="CK104" s="16">
        <f>-682-CJ104-CI104</f>
        <v>-277</v>
      </c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">
      <c r="B105" s="65" t="s">
        <v>298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-748</v>
      </c>
      <c r="CB105" s="16"/>
      <c r="CC105" s="16"/>
      <c r="CD105" s="16"/>
      <c r="CE105" s="16">
        <v>1872</v>
      </c>
      <c r="CF105" s="16">
        <f>3424-CE105</f>
        <v>1552</v>
      </c>
      <c r="CG105" s="16">
        <f>3432-CF105-CE105-407</f>
        <v>-399</v>
      </c>
      <c r="CH105" s="16">
        <f>5128-870-CG105-CF105-CE105</f>
        <v>1233</v>
      </c>
      <c r="CI105" s="16">
        <f>660-391</f>
        <v>269</v>
      </c>
      <c r="CJ105" s="16">
        <f>2136-876-CI105</f>
        <v>991</v>
      </c>
      <c r="CK105" s="16">
        <f>3492-CJ105-CI105-1456</f>
        <v>776</v>
      </c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">
      <c r="B106" s="65" t="s">
        <v>299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306</v>
      </c>
      <c r="CB106" s="16"/>
      <c r="CC106" s="16"/>
      <c r="CD106" s="16"/>
      <c r="CE106" s="16">
        <v>313</v>
      </c>
      <c r="CF106" s="16">
        <f>492-CE106</f>
        <v>179</v>
      </c>
      <c r="CG106" s="16">
        <f>622-CF106-CE106</f>
        <v>130</v>
      </c>
      <c r="CH106" s="16">
        <f>747-CG106-CF106-CE106</f>
        <v>125</v>
      </c>
      <c r="CI106" s="16">
        <v>348</v>
      </c>
      <c r="CJ106" s="16">
        <f>566-CI106</f>
        <v>218</v>
      </c>
      <c r="CK106" s="16">
        <f>747-CJ106-CI106</f>
        <v>181</v>
      </c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x14ac:dyDescent="0.2">
      <c r="B107" s="62" t="s">
        <v>302</v>
      </c>
      <c r="CA107" s="16">
        <v>145</v>
      </c>
      <c r="CE107" s="2">
        <f>150+710</f>
        <v>860</v>
      </c>
      <c r="CF107" s="2">
        <f>430-CE107</f>
        <v>-430</v>
      </c>
      <c r="CG107" s="16">
        <f>496-CF107-CE107</f>
        <v>66</v>
      </c>
      <c r="CH107" s="16">
        <f>778-CG107-CF107-CE107</f>
        <v>282</v>
      </c>
      <c r="CI107" s="2">
        <v>164</v>
      </c>
      <c r="CJ107" s="16">
        <f>1101-CI107</f>
        <v>937</v>
      </c>
      <c r="CK107" s="16">
        <f>1183-CJ107-CI107</f>
        <v>82</v>
      </c>
    </row>
    <row r="108" spans="2:115" x14ac:dyDescent="0.2">
      <c r="B108" s="62" t="s">
        <v>12</v>
      </c>
      <c r="CA108" s="16">
        <v>128</v>
      </c>
      <c r="CE108" s="2">
        <v>-128</v>
      </c>
      <c r="CF108" s="2">
        <f>-118+710-173-CE108</f>
        <v>547</v>
      </c>
      <c r="CG108" s="16">
        <f>-205-CF108-CE108</f>
        <v>-624</v>
      </c>
      <c r="CH108" s="16">
        <f>-443+4229-225-CG108-CF108-CE108</f>
        <v>3766</v>
      </c>
      <c r="CI108" s="2">
        <v>-45</v>
      </c>
      <c r="CJ108" s="16">
        <f>27-53-CI108</f>
        <v>19</v>
      </c>
      <c r="CK108" s="16">
        <f>341-CJ108-CI108-75</f>
        <v>292</v>
      </c>
    </row>
    <row r="109" spans="2:115" x14ac:dyDescent="0.2">
      <c r="B109" s="62" t="s">
        <v>301</v>
      </c>
      <c r="CA109" s="16">
        <f>-785-385-285-258+438</f>
        <v>-1275</v>
      </c>
      <c r="CE109" s="2">
        <f>-195-185-167-465+187</f>
        <v>-825</v>
      </c>
      <c r="CF109" s="2">
        <f>-275-458+285+1107-932-CE109</f>
        <v>552</v>
      </c>
      <c r="CG109" s="16">
        <f>2824-219-273-513+394+3661-899-CF109-CE109</f>
        <v>5248</v>
      </c>
      <c r="CH109" s="16">
        <f>66-417-188+3840-488-CG109-CF109-CE109</f>
        <v>-2162</v>
      </c>
      <c r="CI109" s="2">
        <f>-702-75+284+362+378</f>
        <v>247</v>
      </c>
      <c r="CJ109" s="16">
        <f>-524-127+309-1337-1456-CI109</f>
        <v>-3382</v>
      </c>
      <c r="CK109" s="16">
        <f>-180-191+461-1070-1405-CJ109-CI109</f>
        <v>750</v>
      </c>
    </row>
    <row r="110" spans="2:115" x14ac:dyDescent="0.2">
      <c r="B110" s="62" t="s">
        <v>300</v>
      </c>
      <c r="CA110" s="16">
        <f>SUM(CA101:CA109)</f>
        <v>4908</v>
      </c>
      <c r="CE110" s="16">
        <f>SUM(CE101:CE109)</f>
        <v>4193</v>
      </c>
      <c r="CF110" s="16">
        <f>SUM(CF101:CF109)</f>
        <v>6319</v>
      </c>
      <c r="CG110" s="16">
        <f>SUM(CG101:CG109)</f>
        <v>7574</v>
      </c>
      <c r="CH110" s="16">
        <f>SUM(CH101:CH109)</f>
        <v>4753</v>
      </c>
      <c r="CI110" s="16">
        <f>SUM(CI101:CI109)</f>
        <v>4040</v>
      </c>
      <c r="CJ110" s="16">
        <f>SUM(CJ101:CJ109)</f>
        <v>2271</v>
      </c>
      <c r="CK110" s="16">
        <f>SUM(CK101:CK109)</f>
        <v>5447</v>
      </c>
    </row>
    <row r="112" spans="2:115" s="15" customFormat="1" x14ac:dyDescent="0.2">
      <c r="B112" s="65" t="s">
        <v>304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>
        <f>-185-1406+8+154</f>
        <v>-1429</v>
      </c>
      <c r="CB112" s="16"/>
      <c r="CC112" s="16"/>
      <c r="CD112" s="16"/>
      <c r="CE112" s="16">
        <f>-353-19+22+26</f>
        <v>-324</v>
      </c>
      <c r="CF112" s="16">
        <f>-513-35+36-CE112+25</f>
        <v>-163</v>
      </c>
      <c r="CG112" s="16">
        <f>-670-43+41-CF112-CE112+35</f>
        <v>-150</v>
      </c>
      <c r="CH112" s="16">
        <f>-1223-77+55+13-CG112-CF112-CE112</f>
        <v>-595</v>
      </c>
      <c r="CI112" s="16">
        <f>-190-6+6-6</f>
        <v>-196</v>
      </c>
      <c r="CJ112" s="16">
        <f>-1033-22+9-11-CI112</f>
        <v>-861</v>
      </c>
      <c r="CK112" s="16">
        <f>-1232-CJ112-CI112-46+516-8</f>
        <v>287</v>
      </c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</row>
    <row r="113" spans="2:115" s="15" customFormat="1" x14ac:dyDescent="0.2">
      <c r="B113" s="109" t="s">
        <v>512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>
        <v>0</v>
      </c>
      <c r="CF113" s="16">
        <v>0</v>
      </c>
      <c r="CG113" s="16">
        <v>0</v>
      </c>
      <c r="CH113" s="16">
        <v>0</v>
      </c>
      <c r="CI113" s="16">
        <v>-9199</v>
      </c>
      <c r="CJ113" s="16">
        <f>-9199-CI113</f>
        <v>0</v>
      </c>
      <c r="CK113" s="16">
        <f>-17493-CJ113-CI113</f>
        <v>-8294</v>
      </c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</row>
    <row r="114" spans="2:115" s="15" customFormat="1" x14ac:dyDescent="0.2">
      <c r="B114" s="65" t="s">
        <v>305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>
        <v>-162</v>
      </c>
      <c r="CB114" s="16"/>
      <c r="CC114" s="16"/>
      <c r="CD114" s="16"/>
      <c r="CE114" s="16">
        <v>-175</v>
      </c>
      <c r="CF114" s="16">
        <f>-353-CE114</f>
        <v>-178</v>
      </c>
      <c r="CG114" s="16">
        <f>-572-CF114-CE114</f>
        <v>-219</v>
      </c>
      <c r="CH114" s="16">
        <f>-777-CG114-CF114-CE114</f>
        <v>-205</v>
      </c>
      <c r="CI114" s="16">
        <v>-193</v>
      </c>
      <c r="CJ114" s="16">
        <f>-434-CI114</f>
        <v>-241</v>
      </c>
      <c r="CK114" s="16">
        <f>-683-CJ114-CI114</f>
        <v>-249</v>
      </c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</row>
    <row r="115" spans="2:115" s="15" customFormat="1" x14ac:dyDescent="0.2">
      <c r="B115" s="65" t="s">
        <v>303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CA112+CA114</f>
        <v>-1591</v>
      </c>
      <c r="CB115" s="16"/>
      <c r="CC115" s="16"/>
      <c r="CD115" s="16"/>
      <c r="CE115" s="16">
        <f>SUM(CE112:CE114)</f>
        <v>-499</v>
      </c>
      <c r="CF115" s="16">
        <f>SUM(CF112:CF114)</f>
        <v>-341</v>
      </c>
      <c r="CG115" s="16">
        <f>SUM(CG112:CG114)</f>
        <v>-369</v>
      </c>
      <c r="CH115" s="16">
        <f>SUM(CH112:CH114)</f>
        <v>-800</v>
      </c>
      <c r="CI115" s="16">
        <f>SUM(CI112:CI114)</f>
        <v>-9588</v>
      </c>
      <c r="CJ115" s="16">
        <f>SUM(CJ112:CJ114)</f>
        <v>-1102</v>
      </c>
      <c r="CK115" s="16">
        <f>SUM(CK112:CK114)</f>
        <v>-8256</v>
      </c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x14ac:dyDescent="0.2">
      <c r="CI116" s="16"/>
    </row>
    <row r="117" spans="2:115" x14ac:dyDescent="0.2">
      <c r="B117" s="62" t="s">
        <v>51</v>
      </c>
      <c r="CA117" s="16">
        <f>2000-4879</f>
        <v>-2879</v>
      </c>
      <c r="CE117" s="16">
        <v>-1351</v>
      </c>
      <c r="CF117" s="16">
        <f>-2353-CE117</f>
        <v>-1002</v>
      </c>
      <c r="CG117" s="16">
        <f>-2355-CF117-CE117</f>
        <v>-2</v>
      </c>
      <c r="CH117" s="16">
        <f>-4149-38-CG117-CF117-CE117</f>
        <v>-1832</v>
      </c>
      <c r="CI117" s="16">
        <f>5008-5005+14963-103-99</f>
        <v>14764</v>
      </c>
      <c r="CJ117" s="16">
        <f>14963-3448-99-CI117</f>
        <v>-3348</v>
      </c>
      <c r="CK117" s="16">
        <f>14963-3851-99-CJ117-CI117</f>
        <v>-403</v>
      </c>
    </row>
    <row r="118" spans="2:115" x14ac:dyDescent="0.2">
      <c r="B118" s="62" t="s">
        <v>306</v>
      </c>
      <c r="CA118" s="16">
        <v>-2526</v>
      </c>
      <c r="CE118" s="16">
        <v>-2661</v>
      </c>
      <c r="CF118" s="16">
        <f>-5286-CE118</f>
        <v>-2625</v>
      </c>
      <c r="CG118" s="16">
        <f>-7913-CF118-CE118</f>
        <v>-2627</v>
      </c>
      <c r="CH118" s="16">
        <f>-10539-CG118-CF118-CE118</f>
        <v>-2626</v>
      </c>
      <c r="CI118" s="16">
        <v>-2772</v>
      </c>
      <c r="CJ118" s="16">
        <f>-5522-CI118</f>
        <v>-2750</v>
      </c>
      <c r="CK118" s="16">
        <f>-8273-CJ118-CI118</f>
        <v>-2751</v>
      </c>
    </row>
    <row r="119" spans="2:115" x14ac:dyDescent="0.2">
      <c r="B119" s="62" t="s">
        <v>310</v>
      </c>
      <c r="CA119" s="16">
        <v>-1470</v>
      </c>
      <c r="CE119" s="16">
        <v>-1955</v>
      </c>
      <c r="CF119" s="16">
        <f>-1965-CE119</f>
        <v>-10</v>
      </c>
      <c r="CG119" s="16">
        <f>-1969-CF119-CE119</f>
        <v>-4</v>
      </c>
      <c r="CH119" s="16">
        <f>-1972-CG119-CF119-CE119</f>
        <v>-3</v>
      </c>
      <c r="CI119" s="16">
        <v>-1324</v>
      </c>
      <c r="CJ119" s="16">
        <f>-1333-CI119</f>
        <v>-9</v>
      </c>
      <c r="CK119" s="16">
        <f>-1350-CJ119-CI119</f>
        <v>-17</v>
      </c>
    </row>
    <row r="120" spans="2:115" x14ac:dyDescent="0.2">
      <c r="B120" s="62" t="s">
        <v>311</v>
      </c>
      <c r="CA120" s="16">
        <v>128</v>
      </c>
      <c r="CE120" s="16">
        <v>65</v>
      </c>
      <c r="CF120" s="16">
        <f>113-CE120</f>
        <v>48</v>
      </c>
      <c r="CG120" s="16">
        <f>149-CF120-CE120</f>
        <v>36</v>
      </c>
      <c r="CH120" s="16">
        <f>180-CG120-CF120-CE120</f>
        <v>31</v>
      </c>
      <c r="CI120" s="16">
        <v>127</v>
      </c>
      <c r="CJ120" s="16">
        <f>137-CI120</f>
        <v>10</v>
      </c>
      <c r="CK120" s="16">
        <f>204-CJ120-CI120</f>
        <v>67</v>
      </c>
    </row>
    <row r="121" spans="2:115" x14ac:dyDescent="0.2">
      <c r="B121" s="62" t="s">
        <v>298</v>
      </c>
      <c r="CA121" s="16">
        <v>-246</v>
      </c>
      <c r="CE121" s="16">
        <v>-311</v>
      </c>
      <c r="CF121" s="16">
        <f>-641-CE121</f>
        <v>-330</v>
      </c>
      <c r="CG121" s="16">
        <f>-735-CF121-CE121</f>
        <v>-94</v>
      </c>
      <c r="CH121" s="16">
        <f>-752-CG121-CF121-CE121</f>
        <v>-17</v>
      </c>
      <c r="CI121" s="16">
        <v>0</v>
      </c>
      <c r="CJ121" s="2">
        <v>0</v>
      </c>
      <c r="CK121" s="2">
        <v>0</v>
      </c>
    </row>
    <row r="122" spans="2:115" x14ac:dyDescent="0.2">
      <c r="B122" s="62" t="s">
        <v>12</v>
      </c>
      <c r="CA122" s="16">
        <v>21</v>
      </c>
      <c r="CE122" s="16">
        <v>21</v>
      </c>
      <c r="CF122" s="16">
        <f>20-CE122</f>
        <v>-1</v>
      </c>
      <c r="CG122" s="16">
        <f>50-CF122-CE122</f>
        <v>30</v>
      </c>
      <c r="CH122" s="16">
        <f>48-CG122-CF122-CE122</f>
        <v>-2</v>
      </c>
      <c r="CI122" s="16">
        <v>24</v>
      </c>
      <c r="CJ122" s="16">
        <f>24-CI122</f>
        <v>0</v>
      </c>
      <c r="CK122" s="16">
        <f>56-CJ122-CI122</f>
        <v>32</v>
      </c>
    </row>
    <row r="123" spans="2:115" x14ac:dyDescent="0.2">
      <c r="B123" s="62" t="s">
        <v>309</v>
      </c>
      <c r="CA123" s="16">
        <f>SUM(CA117:CA122)</f>
        <v>-6972</v>
      </c>
      <c r="CE123" s="16">
        <f>SUM(CE117:CE122)</f>
        <v>-6192</v>
      </c>
      <c r="CF123" s="16">
        <f>SUM(CF117:CF122)</f>
        <v>-3920</v>
      </c>
      <c r="CG123" s="16">
        <f>SUM(CG117:CG122)</f>
        <v>-2661</v>
      </c>
      <c r="CH123" s="16">
        <f>SUM(CH117:CH122)</f>
        <v>-4449</v>
      </c>
      <c r="CI123" s="16">
        <f>SUM(CI117:CI122)</f>
        <v>10819</v>
      </c>
      <c r="CJ123" s="16">
        <f>SUM(CJ117:CJ122)</f>
        <v>-6097</v>
      </c>
      <c r="CK123" s="16">
        <f>SUM(CK117:CK122)</f>
        <v>-3072</v>
      </c>
    </row>
    <row r="124" spans="2:115" x14ac:dyDescent="0.2">
      <c r="B124" s="62" t="s">
        <v>308</v>
      </c>
      <c r="CA124" s="16">
        <v>7</v>
      </c>
      <c r="CE124" s="16">
        <v>8</v>
      </c>
      <c r="CF124" s="16">
        <f>-2-CE124</f>
        <v>-10</v>
      </c>
      <c r="CG124" s="16">
        <f>-18-CF124-CE124</f>
        <v>-16</v>
      </c>
      <c r="CH124" s="16">
        <f>5-CG124-CF124-CE124</f>
        <v>23</v>
      </c>
      <c r="CI124" s="2">
        <v>-18</v>
      </c>
      <c r="CJ124" s="2">
        <f>-27-CI124</f>
        <v>-9</v>
      </c>
      <c r="CK124" s="2">
        <f>-19-CJ124-CI124</f>
        <v>8</v>
      </c>
    </row>
    <row r="125" spans="2:115" x14ac:dyDescent="0.2">
      <c r="B125" s="62" t="s">
        <v>307</v>
      </c>
      <c r="CA125" s="16">
        <f>+CA124+CA123+CA115+CA110</f>
        <v>-3648</v>
      </c>
      <c r="CE125" s="16">
        <f>+CE124+CE123+CE115+CE110</f>
        <v>-2490</v>
      </c>
      <c r="CF125" s="16">
        <f>+CF124+CF123+CF115+CF110</f>
        <v>2048</v>
      </c>
      <c r="CG125" s="16">
        <f>+CG124+CG123+CG115+CG110</f>
        <v>4528</v>
      </c>
      <c r="CH125" s="16">
        <f>+CH124+CH123+CH115+CH110</f>
        <v>-473</v>
      </c>
      <c r="CI125" s="16">
        <f>+CI124+CI123+CI115+CI110</f>
        <v>5253</v>
      </c>
      <c r="CJ125" s="16">
        <f>+CJ124+CJ123+CJ115+CJ110</f>
        <v>-4937</v>
      </c>
      <c r="CK125" s="16">
        <f>+CK124+CK123+CK115+CK110</f>
        <v>-5873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  <c r="C2" s="102" t="s">
        <v>116</v>
      </c>
    </row>
    <row r="3" spans="1:3" x14ac:dyDescent="0.2">
      <c r="B3" s="102" t="s">
        <v>189</v>
      </c>
      <c r="C3" s="102" t="s">
        <v>262</v>
      </c>
    </row>
    <row r="4" spans="1:3" x14ac:dyDescent="0.2">
      <c r="B4" s="102" t="s">
        <v>27</v>
      </c>
      <c r="C4" s="104" t="s">
        <v>497</v>
      </c>
    </row>
    <row r="5" spans="1:3" x14ac:dyDescent="0.2">
      <c r="B5" s="102" t="s">
        <v>33</v>
      </c>
      <c r="C5" s="102" t="s">
        <v>160</v>
      </c>
    </row>
    <row r="6" spans="1:3" x14ac:dyDescent="0.2">
      <c r="B6" s="102" t="s">
        <v>53</v>
      </c>
      <c r="C6" s="102" t="s">
        <v>263</v>
      </c>
    </row>
    <row r="7" spans="1:3" x14ac:dyDescent="0.2">
      <c r="B7" s="104" t="s">
        <v>290</v>
      </c>
      <c r="C7" s="104" t="s">
        <v>501</v>
      </c>
    </row>
    <row r="8" spans="1:3" x14ac:dyDescent="0.2">
      <c r="B8" s="102" t="s">
        <v>36</v>
      </c>
      <c r="C8" s="102" t="s">
        <v>464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04" t="s">
        <v>490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225</v>
      </c>
      <c r="C4" s="45" t="s">
        <v>226</v>
      </c>
    </row>
    <row r="5" spans="1:3" x14ac:dyDescent="0.2">
      <c r="B5" s="26" t="s">
        <v>33</v>
      </c>
      <c r="C5" s="104" t="s">
        <v>491</v>
      </c>
    </row>
    <row r="6" spans="1:3" x14ac:dyDescent="0.2">
      <c r="B6" s="45" t="s">
        <v>53</v>
      </c>
      <c r="C6" s="104" t="s">
        <v>489</v>
      </c>
    </row>
    <row r="7" spans="1:3" x14ac:dyDescent="0.2">
      <c r="B7" s="104" t="s">
        <v>290</v>
      </c>
      <c r="C7" s="107" t="s">
        <v>493</v>
      </c>
    </row>
    <row r="8" spans="1:3" x14ac:dyDescent="0.2">
      <c r="B8" s="45" t="s">
        <v>36</v>
      </c>
      <c r="C8" s="104" t="s">
        <v>492</v>
      </c>
    </row>
    <row r="9" spans="1:3" x14ac:dyDescent="0.2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198</v>
      </c>
    </row>
    <row r="3" spans="1:3" x14ac:dyDescent="0.2">
      <c r="B3" s="41" t="s">
        <v>189</v>
      </c>
      <c r="C3" s="41" t="s">
        <v>199</v>
      </c>
    </row>
    <row r="4" spans="1:3" x14ac:dyDescent="0.2">
      <c r="B4" s="41" t="s">
        <v>33</v>
      </c>
      <c r="C4" s="56" t="s">
        <v>254</v>
      </c>
    </row>
    <row r="5" spans="1:3" ht="15" x14ac:dyDescent="0.25">
      <c r="B5" s="41" t="s">
        <v>27</v>
      </c>
      <c r="C5"/>
    </row>
    <row r="6" spans="1:3" x14ac:dyDescent="0.2">
      <c r="C6" s="41" t="s">
        <v>214</v>
      </c>
    </row>
    <row r="7" spans="1:3" x14ac:dyDescent="0.2">
      <c r="C7" s="89" t="s">
        <v>393</v>
      </c>
    </row>
    <row r="8" spans="1:3" x14ac:dyDescent="0.2">
      <c r="C8" s="41" t="s">
        <v>215</v>
      </c>
    </row>
    <row r="9" spans="1:3" x14ac:dyDescent="0.2">
      <c r="C9" s="41" t="s">
        <v>216</v>
      </c>
    </row>
    <row r="10" spans="1:3" x14ac:dyDescent="0.2">
      <c r="C10" s="41" t="s">
        <v>217</v>
      </c>
    </row>
    <row r="12" spans="1:3" x14ac:dyDescent="0.2">
      <c r="C12" s="56" t="s">
        <v>255</v>
      </c>
    </row>
    <row r="13" spans="1:3" x14ac:dyDescent="0.2">
      <c r="C13" s="56" t="s">
        <v>256</v>
      </c>
    </row>
    <row r="14" spans="1:3" x14ac:dyDescent="0.2">
      <c r="C14" s="56" t="s">
        <v>257</v>
      </c>
    </row>
    <row r="15" spans="1:3" x14ac:dyDescent="0.2">
      <c r="C15" s="56" t="s">
        <v>261</v>
      </c>
    </row>
    <row r="16" spans="1:3" x14ac:dyDescent="0.2">
      <c r="C16" s="56" t="s">
        <v>260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8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146</v>
      </c>
      <c r="C2" s="104" t="s">
        <v>495</v>
      </c>
    </row>
    <row r="3" spans="1:3" x14ac:dyDescent="0.2">
      <c r="B3" s="62" t="s">
        <v>189</v>
      </c>
      <c r="C3" s="104" t="s">
        <v>289</v>
      </c>
    </row>
    <row r="4" spans="1:3" x14ac:dyDescent="0.2">
      <c r="B4" s="62" t="s">
        <v>27</v>
      </c>
      <c r="C4" s="104" t="s">
        <v>496</v>
      </c>
    </row>
    <row r="5" spans="1:3" x14ac:dyDescent="0.2">
      <c r="C5" s="104" t="s">
        <v>494</v>
      </c>
    </row>
    <row r="6" spans="1:3" x14ac:dyDescent="0.2">
      <c r="B6" s="62" t="s">
        <v>290</v>
      </c>
      <c r="C6" s="63">
        <v>33581</v>
      </c>
    </row>
    <row r="7" spans="1:3" x14ac:dyDescent="0.2">
      <c r="B7" s="62" t="s">
        <v>33</v>
      </c>
      <c r="C7" s="62" t="s">
        <v>291</v>
      </c>
    </row>
    <row r="8" spans="1:3" x14ac:dyDescent="0.2">
      <c r="B8" s="62" t="s">
        <v>292</v>
      </c>
      <c r="C8" s="62" t="s">
        <v>293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221</v>
      </c>
    </row>
    <row r="3" spans="1:3" x14ac:dyDescent="0.2">
      <c r="B3" s="41" t="s">
        <v>189</v>
      </c>
      <c r="C3" s="104" t="s">
        <v>218</v>
      </c>
    </row>
    <row r="4" spans="1:3" x14ac:dyDescent="0.2">
      <c r="B4" s="41" t="s">
        <v>33</v>
      </c>
      <c r="C4" s="41" t="s">
        <v>222</v>
      </c>
    </row>
    <row r="5" spans="1:3" x14ac:dyDescent="0.2">
      <c r="B5" s="41" t="s">
        <v>27</v>
      </c>
      <c r="C5" s="104" t="s">
        <v>475</v>
      </c>
    </row>
    <row r="6" spans="1:3" x14ac:dyDescent="0.2">
      <c r="B6" s="89" t="s">
        <v>36</v>
      </c>
      <c r="C6" s="89" t="s">
        <v>392</v>
      </c>
    </row>
    <row r="7" spans="1:3" x14ac:dyDescent="0.2">
      <c r="B7" s="104" t="s">
        <v>290</v>
      </c>
      <c r="C7" s="104" t="s">
        <v>502</v>
      </c>
    </row>
    <row r="8" spans="1:3" x14ac:dyDescent="0.2">
      <c r="B8" s="89" t="s">
        <v>227</v>
      </c>
    </row>
    <row r="9" spans="1:3" x14ac:dyDescent="0.2">
      <c r="C9" s="86" t="s">
        <v>395</v>
      </c>
    </row>
    <row r="12" spans="1:3" x14ac:dyDescent="0.2">
      <c r="C12" s="86" t="s">
        <v>396</v>
      </c>
    </row>
    <row r="15" spans="1:3" x14ac:dyDescent="0.2">
      <c r="C15" s="86" t="s">
        <v>394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328</v>
      </c>
    </row>
    <row r="3" spans="1:3" x14ac:dyDescent="0.2">
      <c r="B3" s="85" t="s">
        <v>76</v>
      </c>
      <c r="C3" s="85" t="s">
        <v>341</v>
      </c>
    </row>
    <row r="4" spans="1:3" x14ac:dyDescent="0.2">
      <c r="B4" s="89" t="s">
        <v>27</v>
      </c>
      <c r="C4" s="102" t="s">
        <v>472</v>
      </c>
    </row>
    <row r="5" spans="1:3" x14ac:dyDescent="0.2">
      <c r="B5" s="102" t="s">
        <v>471</v>
      </c>
      <c r="C5" s="111" t="s">
        <v>565</v>
      </c>
    </row>
    <row r="6" spans="1:3" x14ac:dyDescent="0.2">
      <c r="B6" s="111" t="s">
        <v>36</v>
      </c>
      <c r="C6" s="111" t="s">
        <v>566</v>
      </c>
    </row>
    <row r="7" spans="1:3" x14ac:dyDescent="0.2">
      <c r="B7" s="111" t="s">
        <v>185</v>
      </c>
      <c r="C7" s="111" t="s">
        <v>466</v>
      </c>
    </row>
    <row r="8" spans="1:3" x14ac:dyDescent="0.2">
      <c r="B8" s="111" t="s">
        <v>33</v>
      </c>
      <c r="C8" s="111" t="s">
        <v>567</v>
      </c>
    </row>
    <row r="9" spans="1:3" x14ac:dyDescent="0.2">
      <c r="B9" s="85" t="s">
        <v>227</v>
      </c>
    </row>
    <row r="10" spans="1:3" x14ac:dyDescent="0.2">
      <c r="C10" s="86" t="s">
        <v>569</v>
      </c>
    </row>
    <row r="15" spans="1:3" x14ac:dyDescent="0.2">
      <c r="C15" s="86" t="s">
        <v>505</v>
      </c>
    </row>
    <row r="16" spans="1:3" x14ac:dyDescent="0.2">
      <c r="C16" s="89" t="s">
        <v>410</v>
      </c>
    </row>
    <row r="19" spans="3:3" x14ac:dyDescent="0.2">
      <c r="C19" s="86"/>
    </row>
    <row r="20" spans="3:3" x14ac:dyDescent="0.2">
      <c r="C20" s="86" t="s">
        <v>570</v>
      </c>
    </row>
    <row r="21" spans="3:3" x14ac:dyDescent="0.2">
      <c r="C21" s="111" t="s">
        <v>568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2025-01-13T20:18:32Z</dcterms:modified>
</cp:coreProperties>
</file>