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83C0AF1-CD59-4D22-A169-45FBF521FEE9}" xr6:coauthVersionLast="47" xr6:coauthVersionMax="47" xr10:uidLastSave="{00000000-0000-0000-0000-000000000000}"/>
  <bookViews>
    <workbookView xWindow="-25665" yWindow="510" windowWidth="25080" windowHeight="1975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4" i="1" l="1"/>
  <c r="R5" i="1" l="1"/>
  <c r="Q5" i="1"/>
  <c r="P5" i="1"/>
  <c r="R4" i="1"/>
  <c r="Q4" i="1"/>
  <c r="P4" i="1"/>
  <c r="N4" i="1"/>
  <c r="N5" i="1" l="1"/>
  <c r="O5" i="1" s="1"/>
  <c r="D463" i="1"/>
  <c r="O4" i="1" l="1"/>
  <c r="D5" i="1" l="1"/>
  <c r="D6" i="1" s="1"/>
  <c r="I431" i="1"/>
  <c r="L431" i="1"/>
  <c r="H431" i="1" s="1"/>
  <c r="I243" i="1"/>
  <c r="L243" i="1"/>
  <c r="H243" i="1" s="1"/>
  <c r="I438" i="1"/>
  <c r="L438" i="1"/>
  <c r="H438" i="1" s="1"/>
  <c r="J431" i="1" l="1"/>
  <c r="J243" i="1"/>
  <c r="J438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3" i="1" l="1"/>
  <c r="L83" i="1"/>
  <c r="H83" i="1" s="1"/>
  <c r="I368" i="1"/>
  <c r="L368" i="1"/>
  <c r="H368" i="1" s="1"/>
  <c r="I437" i="1"/>
  <c r="L437" i="1"/>
  <c r="H437" i="1" s="1"/>
  <c r="I430" i="1"/>
  <c r="L430" i="1"/>
  <c r="H430" i="1" s="1"/>
  <c r="L428" i="1"/>
  <c r="H428" i="1" s="1"/>
  <c r="I428" i="1"/>
  <c r="I441" i="1"/>
  <c r="L441" i="1"/>
  <c r="H441" i="1" s="1"/>
  <c r="I440" i="1"/>
  <c r="L440" i="1"/>
  <c r="H440" i="1" s="1"/>
  <c r="I436" i="1"/>
  <c r="L436" i="1"/>
  <c r="H436" i="1" s="1"/>
  <c r="I429" i="1"/>
  <c r="L429" i="1"/>
  <c r="H429" i="1" s="1"/>
  <c r="J440" i="1" l="1"/>
  <c r="J368" i="1"/>
  <c r="J83" i="1"/>
  <c r="J437" i="1"/>
  <c r="J430" i="1"/>
  <c r="J428" i="1"/>
  <c r="J441" i="1"/>
  <c r="J436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2" i="1" l="1"/>
  <c r="L432" i="1"/>
  <c r="H432" i="1" s="1"/>
  <c r="I435" i="1"/>
  <c r="L435" i="1"/>
  <c r="H435" i="1" s="1"/>
  <c r="I425" i="1"/>
  <c r="L425" i="1"/>
  <c r="H425" i="1" s="1"/>
  <c r="L108" i="1"/>
  <c r="J432" i="1" l="1"/>
  <c r="J435" i="1"/>
  <c r="J425" i="1"/>
  <c r="I115" i="1"/>
  <c r="L115" i="1"/>
  <c r="H115" i="1" s="1"/>
  <c r="J115" i="1" l="1"/>
  <c r="I88" i="1"/>
  <c r="L88" i="1"/>
  <c r="H88" i="1" s="1"/>
  <c r="J88" i="1" l="1"/>
  <c r="J6" i="12"/>
  <c r="I439" i="1" l="1"/>
  <c r="L439" i="1"/>
  <c r="H439" i="1" s="1"/>
  <c r="J439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4" i="1"/>
  <c r="L434" i="1"/>
  <c r="H434" i="1" s="1"/>
  <c r="I318" i="1"/>
  <c r="L318" i="1"/>
  <c r="H318" i="1" s="1"/>
  <c r="I112" i="1"/>
  <c r="L112" i="1"/>
  <c r="H112" i="1" s="1"/>
  <c r="J112" i="1" l="1"/>
  <c r="J318" i="1"/>
  <c r="J434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9" i="1"/>
  <c r="M119" i="1"/>
  <c r="J62" i="1" l="1"/>
  <c r="I120" i="1"/>
  <c r="L120" i="1"/>
  <c r="H120" i="1" s="1"/>
  <c r="J111" i="1"/>
  <c r="J120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6" i="1"/>
  <c r="Q6" i="1"/>
  <c r="N6" i="1"/>
  <c r="O6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3" i="1" l="1"/>
  <c r="H433" i="1" s="1"/>
  <c r="I433" i="1"/>
  <c r="J433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8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7" i="1" l="1"/>
  <c r="L117" i="1"/>
  <c r="H117" i="1" s="1"/>
  <c r="J117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7" i="1" l="1"/>
  <c r="D8" i="1" s="1"/>
  <c r="H46" i="1"/>
  <c r="J46" i="1" s="1"/>
  <c r="D9" i="1" l="1"/>
  <c r="D10" i="1" s="1"/>
  <c r="J64" i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6" i="1"/>
  <c r="H116" i="1" s="1"/>
  <c r="I116" i="1"/>
  <c r="I158" i="1"/>
  <c r="L158" i="1"/>
  <c r="H158" i="1" s="1"/>
  <c r="J217" i="1" l="1"/>
  <c r="J158" i="1"/>
  <c r="J116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2" i="1" l="1"/>
  <c r="L12" i="1" l="1"/>
  <c r="H12" i="1" s="1"/>
  <c r="L8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6" i="1"/>
  <c r="H246" i="1"/>
  <c r="J37" i="1" l="1"/>
  <c r="J246" i="1"/>
  <c r="I91" i="1"/>
  <c r="J91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0" i="1"/>
  <c r="J251" i="1"/>
  <c r="J253" i="1"/>
  <c r="J17" i="1"/>
  <c r="J23" i="1"/>
  <c r="J247" i="1"/>
  <c r="J15" i="1"/>
  <c r="J241" i="1"/>
  <c r="J245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0" i="1" s="1"/>
  <c r="D115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 l="1"/>
  <c r="D142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2" i="1"/>
  <c r="D455" i="1" l="1"/>
  <c r="D456" i="1" s="1"/>
  <c r="D457" i="1" s="1"/>
  <c r="D458" i="1" s="1"/>
  <c r="D459" i="1" s="1"/>
  <c r="D460" i="1" s="1"/>
  <c r="D437" i="1"/>
  <c r="D438" i="1" l="1"/>
  <c r="D461" i="1"/>
  <c r="D462" i="1" s="1"/>
  <c r="D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<sst xmlns="http://schemas.openxmlformats.org/spreadsheetml/2006/main" count="2416" uniqueCount="1684">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</sst>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sheetMetadata" Target="metadata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92" Type="http://schemas.microsoft.com/office/2017/10/relationships/person" Target="persons/person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93" Type="http://schemas.openxmlformats.org/officeDocument/2006/relationships/calcChain" Target="calcChain.xml"/><Relationship Id="rId13" Type="http://schemas.openxmlformats.org/officeDocument/2006/relationships/externalLink" Target="externalLinks/externalLink2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openxmlformats.org/officeDocument/2006/relationships/sharedStrings" Target="sharedStrings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externalLink" Target="externalLinks/externalLink175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externalLink" Target="externalLinks/externalLink176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 refreshError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916.31316618475853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1">
          <cell r="DT71">
            <v>0.06</v>
          </cell>
        </row>
        <row r="72">
          <cell r="DT72">
            <v>-0.01</v>
          </cell>
        </row>
        <row r="73">
          <cell r="DT73">
            <v>0</v>
          </cell>
        </row>
        <row r="75">
          <cell r="DT75">
            <v>169.67547465729629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380.70311080391036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 refreshError="1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0" Type="http://schemas.openxmlformats.org/officeDocument/2006/relationships/hyperlink" Target="../Downloads/BMR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04" Type="http://schemas.openxmlformats.org/officeDocument/2006/relationships/hyperlink" Target="ITCI.xlsx" TargetMode="External"/><Relationship Id="rId120" Type="http://schemas.openxmlformats.org/officeDocument/2006/relationships/hyperlink" Target="../Downloads/EVO.xlsx" TargetMode="External"/><Relationship Id="rId125" Type="http://schemas.openxmlformats.org/officeDocument/2006/relationships/hyperlink" Target="../Downloads/XNCR.xlsx" TargetMode="External"/><Relationship Id="rId141" Type="http://schemas.openxmlformats.org/officeDocument/2006/relationships/hyperlink" Target="../Downloads/RARE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../Downloads/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../Downloads/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../Downloads/DRUG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../Downloads/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../Downloads/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64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18</v>
      </c>
      <c r="H2" s="6">
        <f>SUM(H4:H455)-H6-H13-H10-H17-H23-H27-H47-H55</f>
        <v>4992459.0771867456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799</v>
      </c>
      <c r="H4" s="6">
        <f>+G4*L4</f>
        <v>758503.23950599995</v>
      </c>
      <c r="I4" s="6">
        <f>+[1]Main!$J$5-[1]Main!$J$6</f>
        <v>-24401</v>
      </c>
      <c r="J4" s="6">
        <f t="shared" ref="J4:J19" si="0">H4-I4</f>
        <v>782904.23950599995</v>
      </c>
      <c r="K4" s="3" t="s">
        <v>1280</v>
      </c>
      <c r="L4" s="6">
        <f>+[1]Main!$J$3</f>
        <v>949.31569400000001</v>
      </c>
      <c r="M4" s="9">
        <v>45670</v>
      </c>
      <c r="N4" s="7">
        <f>[1]Model!$FY$101</f>
        <v>916.31316618475853</v>
      </c>
      <c r="O4" s="10">
        <f>+N4/G4-1</f>
        <v>0.14682498896715712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>
        <f>+D4+1</f>
        <v>2</v>
      </c>
      <c r="E5" s="5" t="s">
        <v>17</v>
      </c>
      <c r="F5" t="s">
        <v>18</v>
      </c>
      <c r="G5" s="55">
        <v>174.54</v>
      </c>
      <c r="H5" s="30">
        <f>+G5*L5</f>
        <v>309284.88</v>
      </c>
      <c r="I5" s="30">
        <f>+[2]Main!$K$5-[2]Main!$K$6</f>
        <v>-63527</v>
      </c>
      <c r="J5" s="30">
        <f>H5-I5</f>
        <v>372811.88</v>
      </c>
      <c r="K5" s="28" t="s">
        <v>1280</v>
      </c>
      <c r="L5" s="30">
        <f>+[2]Main!$K$3</f>
        <v>1772</v>
      </c>
      <c r="M5" s="38">
        <v>45638</v>
      </c>
      <c r="N5" s="7">
        <f>[2]Model!$DT$75</f>
        <v>169.67547465729629</v>
      </c>
      <c r="O5" s="10">
        <f>+N5/G5-1</f>
        <v>-2.7870547397179424E-2</v>
      </c>
      <c r="P5" s="10">
        <f>[2]Model!$DT$73</f>
        <v>0</v>
      </c>
      <c r="Q5" s="10">
        <f>[2]Model!$DT$72</f>
        <v>-0.01</v>
      </c>
      <c r="R5" s="10">
        <f>[2]Model!$DT$71</f>
        <v>0.06</v>
      </c>
    </row>
    <row r="6" spans="1:32" x14ac:dyDescent="0.2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84.08</v>
      </c>
      <c r="H6" s="6">
        <f>+L6*G6</f>
        <v>375080.88</v>
      </c>
      <c r="I6" s="6">
        <f>([3]Main!$J$5-[3]Main!$J$6)/DKK</f>
        <v>2576.3072126966131</v>
      </c>
      <c r="J6" s="6">
        <f t="shared" si="0"/>
        <v>372504.57278730342</v>
      </c>
      <c r="K6" s="3" t="s">
        <v>1280</v>
      </c>
      <c r="L6" s="6">
        <f>+[3]Main!$J$3</f>
        <v>4461</v>
      </c>
      <c r="M6" s="9">
        <v>45623</v>
      </c>
      <c r="N6" s="7">
        <f>+[3]Model!$DG$53</f>
        <v>380.70311080391036</v>
      </c>
      <c r="O6" s="10">
        <f>N6/G6-1</f>
        <v>3.5278676356316652</v>
      </c>
      <c r="P6" s="10">
        <v>0</v>
      </c>
      <c r="Q6" s="10">
        <f>+[3]Model!$DG$50</f>
        <v>0.01</v>
      </c>
      <c r="R6" s="10">
        <f>+[3]Model!$DG$51</f>
        <v>0.08</v>
      </c>
      <c r="AE6" s="1">
        <v>1923</v>
      </c>
    </row>
    <row r="7" spans="1:32" x14ac:dyDescent="0.2">
      <c r="A7"/>
      <c r="B7"/>
      <c r="C7"/>
      <c r="D7" s="1">
        <f>+D6</f>
        <v>3</v>
      </c>
      <c r="E7" s="5" t="s">
        <v>25</v>
      </c>
      <c r="F7" t="s">
        <v>318</v>
      </c>
      <c r="G7" s="57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45623</v>
      </c>
      <c r="AE7" s="1">
        <v>1923</v>
      </c>
    </row>
    <row r="8" spans="1:32" x14ac:dyDescent="0.2">
      <c r="D8" s="1">
        <f>+D7+1</f>
        <v>4</v>
      </c>
      <c r="E8" s="5" t="s">
        <v>14</v>
      </c>
      <c r="F8" s="1" t="s">
        <v>15</v>
      </c>
      <c r="G8" s="7">
        <v>143.72</v>
      </c>
      <c r="H8" s="6">
        <f>G8*[4]Main!$R$3</f>
        <v>345934.04</v>
      </c>
      <c r="I8" s="6">
        <f>+[4]Main!$R$5-[4]Main!$R$6</f>
        <v>-15454</v>
      </c>
      <c r="J8" s="6">
        <f>H8-I8</f>
        <v>361388.04</v>
      </c>
      <c r="K8" s="3" t="s">
        <v>1280</v>
      </c>
      <c r="L8" s="6">
        <f>+[4]Main!$R$3</f>
        <v>2407</v>
      </c>
      <c r="M8" s="9">
        <v>45637</v>
      </c>
      <c r="N8" s="9"/>
      <c r="O8" s="9"/>
      <c r="P8" s="9"/>
      <c r="Q8" s="9"/>
      <c r="R8" s="9"/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99.76</v>
      </c>
      <c r="H9" s="6">
        <f>+G9*L9</f>
        <v>252872.57696512001</v>
      </c>
      <c r="I9" s="6">
        <f>+[5]Main!$J$5-[5]Main!$J$6</f>
        <v>-26077</v>
      </c>
      <c r="J9" s="6">
        <f t="shared" si="0"/>
        <v>278949.57696512004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-7.5659220480395639E-2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98.37</v>
      </c>
      <c r="H10" s="6">
        <f>+G10*L10</f>
        <v>201265.02000000002</v>
      </c>
      <c r="I10" s="6">
        <f>+[6]Main!$K$6-[6]Main!$K$7</f>
        <v>-18800</v>
      </c>
      <c r="J10" s="6">
        <f t="shared" ref="J10:J15" si="1">H10-I10</f>
        <v>220065.02000000002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1074</v>
      </c>
      <c r="L35" s="6">
        <f>+[28]Main!$M$3</f>
        <v>1133</v>
      </c>
      <c r="M35" s="9">
        <v>45542</v>
      </c>
    </row>
    <row r="36" spans="1:32" x14ac:dyDescent="0.2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35.880000000000003</v>
      </c>
      <c r="H71" s="6">
        <f>+G71*L71</f>
        <v>13807.263058680001</v>
      </c>
      <c r="I71" s="6">
        <f>+[62]Main!$K$5-[62]Main!$K$6</f>
        <v>9202</v>
      </c>
      <c r="J71" s="6">
        <f>H71-I71</f>
        <v>4605.2630586800005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84.24</v>
      </c>
      <c r="H76" s="6">
        <f t="shared" si="10"/>
        <v>8901.3817620000009</v>
      </c>
      <c r="I76" s="6">
        <f>+[67]Main!$L$5-[67]Main!$L$6</f>
        <v>1024.6570000000002</v>
      </c>
      <c r="J76" s="6">
        <f>+H76-I76</f>
        <v>7876.7247620000007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x14ac:dyDescent="0.2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">
      <c r="D115" s="1">
        <f>+D120+1</f>
        <v>109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1074</v>
      </c>
      <c r="L115" s="6">
        <f>+[106]Main!$I$3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105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1074</v>
      </c>
      <c r="L116" s="6">
        <f>+[107]Main!$K$3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106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7">+H117-I117</f>
        <v>989.6</v>
      </c>
      <c r="K117" s="3" t="s">
        <v>1044</v>
      </c>
      <c r="L117" s="6">
        <f>+[108]Main!$J$3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 t="shared" si="12"/>
        <v>107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6"/>
        <v>976.07546406410256</v>
      </c>
      <c r="K118" s="3" t="s">
        <v>1117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107</v>
      </c>
      <c r="E119" s="5" t="s">
        <v>370</v>
      </c>
      <c r="F119" t="s">
        <v>1187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 t="shared" si="12"/>
        <v>108</v>
      </c>
      <c r="E120" s="5" t="s">
        <v>110</v>
      </c>
      <c r="F120" s="1" t="s">
        <v>111</v>
      </c>
      <c r="G120" s="7">
        <v>20.25</v>
      </c>
      <c r="H120" s="6">
        <f>+G120*L120</f>
        <v>1252.1289825000001</v>
      </c>
      <c r="I120" s="6">
        <f>+[110]Main!$O$5-[110]Main!$O$6</f>
        <v>637.79299999999989</v>
      </c>
      <c r="J120" s="6">
        <f>+H120-I120</f>
        <v>614.33598250000023</v>
      </c>
      <c r="K120" s="3" t="s">
        <v>1074</v>
      </c>
      <c r="L120" s="6">
        <f>+[110]Main!$O$3</f>
        <v>61.833530000000003</v>
      </c>
      <c r="M120" s="9">
        <v>45563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">
      <c r="D141" s="1">
        <f t="shared" si="19"/>
        <v>125</v>
      </c>
      <c r="E141" t="s">
        <v>269</v>
      </c>
      <c r="F141" t="s">
        <v>270</v>
      </c>
    </row>
    <row r="142" spans="1:8" x14ac:dyDescent="0.2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">
      <c r="D143" s="1">
        <f>+D141+1</f>
        <v>126</v>
      </c>
      <c r="E143" t="s">
        <v>362</v>
      </c>
      <c r="F143" t="s">
        <v>363</v>
      </c>
    </row>
    <row r="144" spans="1:8" x14ac:dyDescent="0.2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">
      <c r="D167" s="1">
        <f t="shared" si="19"/>
        <v>150</v>
      </c>
      <c r="E167" t="s">
        <v>1126</v>
      </c>
      <c r="F167" t="s">
        <v>1127</v>
      </c>
    </row>
    <row r="168" spans="1:13" x14ac:dyDescent="0.2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x14ac:dyDescent="0.2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8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</row>
    <row r="189" spans="1:30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190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+[126]Main!$K$5-[126]Main!$K$6</f>
        <v>62.650000000000006</v>
      </c>
      <c r="J218" s="6">
        <f>+H218-I218</f>
        <v>429.00306866000005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+[130]Main!$L$5-[130]Main!$L$6</f>
        <v>10.994</v>
      </c>
      <c r="J228" s="6">
        <f>+H228-I228</f>
        <v>65.018537320000007</v>
      </c>
      <c r="K228" s="3" t="s">
        <v>1074</v>
      </c>
      <c r="L228" s="6">
        <f>+[130]Main!$L$3</f>
        <v>70.381979000000001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+[134]Main!$J$5-[134]Main!$J$6</f>
        <v>49.931000000000012</v>
      </c>
      <c r="J243" s="8">
        <f>+H243-I243</f>
        <v>441.65389229000004</v>
      </c>
      <c r="K243" s="3" t="s">
        <v>1280</v>
      </c>
      <c r="L243" s="6">
        <f>[134]Main!$J$3</f>
        <v>78.153401000000002</v>
      </c>
      <c r="M243" s="9">
        <v>45659</v>
      </c>
    </row>
    <row r="244" spans="1:31" x14ac:dyDescent="0.2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+[135]Main!$J$5-[135]Main!$J$6</f>
        <v>127.87499999999999</v>
      </c>
      <c r="J244" s="6">
        <f>+H244-I244</f>
        <v>392.86576875999992</v>
      </c>
      <c r="K244" s="3" t="s">
        <v>1280</v>
      </c>
      <c r="L244" s="6">
        <f>+[135]Main!$J$3</f>
        <v>42.199413999999997</v>
      </c>
      <c r="M244" s="9">
        <v>45631</v>
      </c>
    </row>
    <row r="245" spans="1:31" x14ac:dyDescent="0.2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G245*[136]Main!$L$3</f>
        <v>587.26396075999992</v>
      </c>
      <c r="I245" s="6">
        <f>[136]Main!$L$5-[136]Main!$L$6</f>
        <v>277.88299999999998</v>
      </c>
      <c r="J245" s="8">
        <f>+H245-I245</f>
        <v>309.38096075999994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G246*[137]Main!$J$3</f>
        <v>312.71415336000001</v>
      </c>
      <c r="I246" s="8">
        <f>+[137]Main!$J$5-[137]Main!$J$6</f>
        <v>92.317999999999998</v>
      </c>
      <c r="J246" s="8">
        <f>+H246-I246</f>
        <v>220.39615336000003</v>
      </c>
      <c r="K246" s="3" t="s">
        <v>16</v>
      </c>
    </row>
    <row r="247" spans="1:31" x14ac:dyDescent="0.2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ref="J247:J254" si="24">+H247-I247</f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+[145]Main!$J$5-[145]Main!$J$6</f>
        <v>115.78</v>
      </c>
      <c r="J254" s="8">
        <f t="shared" si="24"/>
        <v>523.42965000000004</v>
      </c>
      <c r="K254" s="3" t="s">
        <v>1074</v>
      </c>
      <c r="L254" s="6">
        <f>+[145]Main!$J$3</f>
        <v>127.84193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5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5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5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5"/>
        <v>250</v>
      </c>
      <c r="E272" t="s">
        <v>733</v>
      </c>
      <c r="F272" t="s">
        <v>734</v>
      </c>
    </row>
    <row r="273" spans="1:7" x14ac:dyDescent="0.2">
      <c r="D273" s="1">
        <f t="shared" si="25"/>
        <v>251</v>
      </c>
      <c r="E273" t="s">
        <v>729</v>
      </c>
      <c r="F273" t="s">
        <v>730</v>
      </c>
    </row>
    <row r="274" spans="1:7" x14ac:dyDescent="0.2">
      <c r="D274" s="1">
        <f t="shared" si="25"/>
        <v>252</v>
      </c>
      <c r="E274" s="1" t="s">
        <v>515</v>
      </c>
      <c r="F274" s="1" t="s">
        <v>516</v>
      </c>
    </row>
    <row r="275" spans="1:7" x14ac:dyDescent="0.2">
      <c r="D275" s="1">
        <f t="shared" si="25"/>
        <v>253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5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5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5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5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5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5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5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5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5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5"/>
        <v>263</v>
      </c>
      <c r="E285" s="34" t="s">
        <v>539</v>
      </c>
      <c r="F285" s="34" t="s">
        <v>540</v>
      </c>
    </row>
    <row r="286" spans="1:7" x14ac:dyDescent="0.2">
      <c r="D286" s="1">
        <f t="shared" si="25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5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5"/>
        <v>266</v>
      </c>
      <c r="E288" t="s">
        <v>547</v>
      </c>
      <c r="F288" t="s">
        <v>548</v>
      </c>
    </row>
    <row r="289" spans="1:7" x14ac:dyDescent="0.2">
      <c r="D289" s="1">
        <f t="shared" si="25"/>
        <v>267</v>
      </c>
      <c r="E289" t="s">
        <v>549</v>
      </c>
      <c r="F289" t="s">
        <v>550</v>
      </c>
      <c r="G289" s="3">
        <v>18.07</v>
      </c>
    </row>
    <row r="290" spans="1:7" x14ac:dyDescent="0.2">
      <c r="D290" s="1">
        <f t="shared" si="25"/>
        <v>268</v>
      </c>
      <c r="E290" t="s">
        <v>551</v>
      </c>
      <c r="F290" t="s">
        <v>552</v>
      </c>
      <c r="G290" s="3">
        <v>2.68</v>
      </c>
    </row>
    <row r="291" spans="1:7" x14ac:dyDescent="0.2">
      <c r="D291" s="1">
        <f t="shared" si="25"/>
        <v>269</v>
      </c>
      <c r="E291" t="s">
        <v>553</v>
      </c>
      <c r="F291" t="s">
        <v>554</v>
      </c>
      <c r="G291" s="7">
        <v>7</v>
      </c>
    </row>
    <row r="292" spans="1:7" x14ac:dyDescent="0.2">
      <c r="D292" s="1">
        <f t="shared" si="25"/>
        <v>270</v>
      </c>
      <c r="E292" t="s">
        <v>555</v>
      </c>
      <c r="F292" t="s">
        <v>556</v>
      </c>
      <c r="G292" s="3">
        <v>1.76</v>
      </c>
    </row>
    <row r="293" spans="1:7" x14ac:dyDescent="0.2">
      <c r="D293" s="1">
        <f t="shared" si="25"/>
        <v>271</v>
      </c>
      <c r="E293" t="s">
        <v>992</v>
      </c>
      <c r="F293" t="s">
        <v>993</v>
      </c>
    </row>
    <row r="294" spans="1:7" x14ac:dyDescent="0.2">
      <c r="D294" s="1">
        <f t="shared" si="25"/>
        <v>272</v>
      </c>
      <c r="E294" t="s">
        <v>557</v>
      </c>
      <c r="F294" t="s">
        <v>558</v>
      </c>
      <c r="G294" s="3">
        <v>0.61</v>
      </c>
    </row>
    <row r="295" spans="1:7" x14ac:dyDescent="0.2">
      <c r="D295" s="1">
        <f t="shared" si="25"/>
        <v>273</v>
      </c>
      <c r="E295" t="s">
        <v>559</v>
      </c>
      <c r="F295" t="s">
        <v>560</v>
      </c>
      <c r="G295" s="3">
        <v>0.68</v>
      </c>
    </row>
    <row r="296" spans="1:7" x14ac:dyDescent="0.2">
      <c r="D296" s="1">
        <f t="shared" si="25"/>
        <v>274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275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276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277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278</v>
      </c>
      <c r="E300" t="s">
        <v>802</v>
      </c>
      <c r="F300" t="s">
        <v>803</v>
      </c>
    </row>
    <row r="301" spans="1:7" x14ac:dyDescent="0.2">
      <c r="D301" s="1">
        <f t="shared" si="25"/>
        <v>279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280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281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282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283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284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285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286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287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288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289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">
      <c r="D324" s="1">
        <f t="shared" si="25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304</v>
      </c>
      <c r="E326" s="1" t="s">
        <v>589</v>
      </c>
      <c r="F326" s="1" t="s">
        <v>590</v>
      </c>
    </row>
    <row r="327" spans="1:31" x14ac:dyDescent="0.2">
      <c r="D327" s="1">
        <f t="shared" si="25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6"/>
        <v>308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312</v>
      </c>
      <c r="E334" t="s">
        <v>669</v>
      </c>
      <c r="F334" t="s">
        <v>670</v>
      </c>
    </row>
    <row r="335" spans="1:31" x14ac:dyDescent="0.2">
      <c r="D335" s="1">
        <f t="shared" si="26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314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315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316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317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318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319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320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321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322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332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333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335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336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337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338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339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340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341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342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343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344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345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348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349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350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351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352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353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354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355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356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357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358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359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360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361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362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363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364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365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366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367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368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369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64" si="27">+D391+1</f>
        <v>370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371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372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373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374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375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376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377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378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379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380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381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382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383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384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385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386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387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388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389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390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391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392</v>
      </c>
      <c r="E414" t="s">
        <v>956</v>
      </c>
      <c r="F414" t="s">
        <v>957</v>
      </c>
      <c r="G414" s="7">
        <v>2.19</v>
      </c>
    </row>
    <row r="415" spans="1:7" x14ac:dyDescent="0.2">
      <c r="A415"/>
      <c r="B415"/>
      <c r="C415"/>
      <c r="D415" s="1">
        <f t="shared" si="27"/>
        <v>393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394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395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396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397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398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399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400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401</v>
      </c>
      <c r="E423" t="s">
        <v>974</v>
      </c>
      <c r="F423" t="s">
        <v>975</v>
      </c>
    </row>
    <row r="424" spans="1:13" x14ac:dyDescent="0.2">
      <c r="D424" s="1">
        <f t="shared" si="27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403</v>
      </c>
      <c r="E425" s="5" t="s">
        <v>1611</v>
      </c>
      <c r="F425" t="s">
        <v>1612</v>
      </c>
      <c r="G425" s="7">
        <v>42.9</v>
      </c>
      <c r="H425" s="6">
        <f t="shared" ref="H425:H439" si="28">+G425*L425</f>
        <v>518.07807479999997</v>
      </c>
      <c r="I425" s="6">
        <f>+[159]Main!$K$5-[159]Main!$K$6</f>
        <v>89.078000000000003</v>
      </c>
      <c r="J425" s="6">
        <f t="shared" ref="J425:J439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">
      <c r="D426" s="1">
        <f t="shared" si="27"/>
        <v>404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">
      <c r="D427" s="1">
        <f t="shared" si="27"/>
        <v>405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406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">
      <c r="D429" s="1">
        <f t="shared" si="27"/>
        <v>407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">
      <c r="D430" s="1">
        <f t="shared" si="27"/>
        <v>408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">
      <c r="D431" s="1">
        <f>+D462+1</f>
        <v>438</v>
      </c>
      <c r="E431" s="5" t="s">
        <v>1672</v>
      </c>
      <c r="F431" t="s">
        <v>1673</v>
      </c>
      <c r="G431" s="3">
        <v>6.41</v>
      </c>
      <c r="H431" s="6">
        <f>+G431*L431</f>
        <v>226.21900856999997</v>
      </c>
      <c r="I431" s="6">
        <f>+[165]Main!$K$5-[165]Main!$K$6</f>
        <v>98.310918000000001</v>
      </c>
      <c r="J431" s="6">
        <f>+H431-I431</f>
        <v>127.90809056999997</v>
      </c>
      <c r="K431" s="3" t="s">
        <v>1280</v>
      </c>
      <c r="L431" s="6">
        <f>+[165]Main!$K$3</f>
        <v>35.291576999999997</v>
      </c>
      <c r="M431" s="9">
        <v>45660</v>
      </c>
    </row>
    <row r="432" spans="1:13" x14ac:dyDescent="0.2">
      <c r="D432" s="1">
        <f>+D430+1</f>
        <v>409</v>
      </c>
      <c r="E432" s="5" t="s">
        <v>1615</v>
      </c>
      <c r="F432" t="s">
        <v>1616</v>
      </c>
      <c r="G432" s="3">
        <v>1.53</v>
      </c>
      <c r="H432" s="6">
        <f t="shared" si="28"/>
        <v>192.47591862000002</v>
      </c>
      <c r="I432" s="6">
        <f>+[166]Main!$L$5-[166]Main!$L$6</f>
        <v>74.8</v>
      </c>
      <c r="J432" s="6">
        <f t="shared" si="29"/>
        <v>117.67591862000002</v>
      </c>
      <c r="K432" s="3" t="s">
        <v>1280</v>
      </c>
      <c r="L432" s="6">
        <f>+[166]Main!$L$3</f>
        <v>125.801254</v>
      </c>
      <c r="M432" s="9">
        <v>45608</v>
      </c>
    </row>
    <row r="433" spans="4:13" x14ac:dyDescent="0.2">
      <c r="D433" s="1">
        <f t="shared" si="27"/>
        <v>410</v>
      </c>
      <c r="E433" s="5" t="s">
        <v>1099</v>
      </c>
      <c r="F433" t="s">
        <v>1100</v>
      </c>
      <c r="G433" s="7">
        <v>5</v>
      </c>
      <c r="H433" s="6">
        <f t="shared" si="28"/>
        <v>216.57198499999998</v>
      </c>
      <c r="I433" s="6">
        <f>+[167]Main!$J$5-[167]Main!$J$6</f>
        <v>104.35299999999999</v>
      </c>
      <c r="J433" s="6">
        <f t="shared" si="29"/>
        <v>112.21898499999999</v>
      </c>
      <c r="K433" s="3" t="s">
        <v>1074</v>
      </c>
      <c r="L433" s="6">
        <f>+[167]Main!$J$3</f>
        <v>43.314397</v>
      </c>
      <c r="M433" s="9">
        <v>45525</v>
      </c>
    </row>
    <row r="434" spans="4:13" x14ac:dyDescent="0.2">
      <c r="D434" s="1">
        <f t="shared" si="27"/>
        <v>411</v>
      </c>
      <c r="E434" s="5" t="s">
        <v>1163</v>
      </c>
      <c r="F434" t="s">
        <v>1164</v>
      </c>
      <c r="G434" s="7">
        <v>3.6</v>
      </c>
      <c r="H434" s="6">
        <f t="shared" si="28"/>
        <v>132.55131599999999</v>
      </c>
      <c r="I434" s="6">
        <f>+[168]Main!$L$5-[168]Main!$L$6</f>
        <v>33.507724000000003</v>
      </c>
      <c r="J434" s="6">
        <f t="shared" si="29"/>
        <v>99.04359199999999</v>
      </c>
      <c r="K434" s="3" t="s">
        <v>1074</v>
      </c>
      <c r="L434" s="6">
        <f>+[168]Main!$L$3</f>
        <v>36.819809999999997</v>
      </c>
      <c r="M434" s="9">
        <v>45567</v>
      </c>
    </row>
    <row r="435" spans="4:13" x14ac:dyDescent="0.2">
      <c r="D435" s="1">
        <f t="shared" si="27"/>
        <v>412</v>
      </c>
      <c r="E435" s="5" t="s">
        <v>1613</v>
      </c>
      <c r="F435" t="s">
        <v>1614</v>
      </c>
      <c r="G435" s="7">
        <v>13.15</v>
      </c>
      <c r="H435" s="6">
        <f t="shared" si="28"/>
        <v>319.40466320000002</v>
      </c>
      <c r="I435" s="6">
        <f>+[169]Main!$K$5-[169]Main!$K$6</f>
        <v>199.59700000000001</v>
      </c>
      <c r="J435" s="6">
        <f t="shared" si="29"/>
        <v>119.80766320000001</v>
      </c>
      <c r="K435" s="3" t="s">
        <v>1280</v>
      </c>
      <c r="L435" s="6">
        <f>+[169]Main!$K$3</f>
        <v>24.289328000000001</v>
      </c>
      <c r="M435" s="9">
        <v>45608</v>
      </c>
    </row>
    <row r="436" spans="4:13" x14ac:dyDescent="0.2">
      <c r="D436" s="1">
        <f t="shared" si="27"/>
        <v>413</v>
      </c>
      <c r="E436" s="5" t="s">
        <v>1629</v>
      </c>
      <c r="F436" t="s">
        <v>1628</v>
      </c>
      <c r="G436" s="3">
        <v>2.83</v>
      </c>
      <c r="H436" s="6">
        <f>+G436*L436</f>
        <v>108.43964851000001</v>
      </c>
      <c r="I436" s="6">
        <f>+[170]Main!$K$5-[170]Main!$K$6</f>
        <v>62.823</v>
      </c>
      <c r="J436" s="6">
        <f>+H436-I436</f>
        <v>45.616648510000012</v>
      </c>
      <c r="K436" s="3" t="s">
        <v>1280</v>
      </c>
      <c r="L436" s="6">
        <f>+[170]Main!$K$3</f>
        <v>38.317897000000002</v>
      </c>
      <c r="M436" s="9">
        <v>45629</v>
      </c>
    </row>
    <row r="437" spans="4:13" x14ac:dyDescent="0.2">
      <c r="D437" s="1">
        <f>+D454+1</f>
        <v>430</v>
      </c>
      <c r="E437" s="5" t="s">
        <v>1646</v>
      </c>
      <c r="F437" t="s">
        <v>1647</v>
      </c>
      <c r="G437" s="7">
        <v>2.69</v>
      </c>
      <c r="H437" s="6">
        <f>+G437*L437</f>
        <v>89.956825309999985</v>
      </c>
      <c r="I437" s="6">
        <f>+[171]Main!$K$5-[171]Main!$K$6</f>
        <v>5.4758170000000002</v>
      </c>
      <c r="J437" s="6">
        <f>+H437-I437</f>
        <v>84.481008309999979</v>
      </c>
      <c r="K437" s="3" t="s">
        <v>1280</v>
      </c>
      <c r="L437" s="6">
        <f>+[171]Main!$K$3</f>
        <v>33.441198999999997</v>
      </c>
      <c r="M437" s="9">
        <v>45630</v>
      </c>
    </row>
    <row r="438" spans="4:13" x14ac:dyDescent="0.2">
      <c r="D438" s="1">
        <f>+D460+1</f>
        <v>436</v>
      </c>
      <c r="E438" s="5" t="s">
        <v>1667</v>
      </c>
      <c r="F438" t="s">
        <v>1666</v>
      </c>
      <c r="G438" s="3">
        <v>1.02</v>
      </c>
      <c r="H438" s="6">
        <f>+G438*L438</f>
        <v>103.2980316</v>
      </c>
      <c r="I438" s="6">
        <f>+[172]Main!$L$5-[172]Main!$L$6</f>
        <v>59.1</v>
      </c>
      <c r="J438" s="6">
        <f>+H438-I438</f>
        <v>44.1980316</v>
      </c>
      <c r="K438" s="3" t="s">
        <v>1280</v>
      </c>
      <c r="L438" s="6">
        <f>+[172]Main!$L$3</f>
        <v>101.27258</v>
      </c>
      <c r="M438" s="9">
        <v>45656</v>
      </c>
    </row>
    <row r="439" spans="4:13" x14ac:dyDescent="0.2">
      <c r="D439" s="1">
        <f>+D436+1</f>
        <v>414</v>
      </c>
      <c r="E439" s="5" t="s">
        <v>1437</v>
      </c>
      <c r="F439" s="1" t="s">
        <v>1438</v>
      </c>
      <c r="G439" s="3">
        <v>0.19</v>
      </c>
      <c r="H439" s="6">
        <f t="shared" si="28"/>
        <v>4.1807902100000005</v>
      </c>
      <c r="I439" s="6">
        <f>+[173]Main!$P$5-[173]Main!$P$6</f>
        <v>-4.3319999999999999</v>
      </c>
      <c r="J439" s="6">
        <f t="shared" si="29"/>
        <v>8.5127902100000004</v>
      </c>
      <c r="K439" s="3" t="s">
        <v>1074</v>
      </c>
      <c r="L439" s="6">
        <f>+[173]Main!$P$3</f>
        <v>22.004159000000001</v>
      </c>
      <c r="M439" s="9">
        <v>45587</v>
      </c>
    </row>
    <row r="440" spans="4:13" x14ac:dyDescent="0.2">
      <c r="D440" s="1">
        <f t="shared" si="27"/>
        <v>415</v>
      </c>
      <c r="E440" s="41" t="s">
        <v>1631</v>
      </c>
      <c r="F440" t="s">
        <v>1630</v>
      </c>
      <c r="G440" s="7">
        <v>3.71</v>
      </c>
      <c r="H440" s="6">
        <f>+G440*L440</f>
        <v>181.33427843999999</v>
      </c>
      <c r="I440" s="6">
        <f>+[174]Main!$K$5-[174]Main!$K$6</f>
        <v>183.012</v>
      </c>
      <c r="J440" s="6">
        <f>+H440-I440</f>
        <v>-1.677721560000009</v>
      </c>
      <c r="K440" s="3" t="s">
        <v>1280</v>
      </c>
      <c r="L440" s="6">
        <f>+[174]Main!$K$3</f>
        <v>48.877164</v>
      </c>
      <c r="M440" s="9">
        <v>45629</v>
      </c>
    </row>
    <row r="441" spans="4:13" x14ac:dyDescent="0.2">
      <c r="D441" s="1">
        <f t="shared" si="27"/>
        <v>416</v>
      </c>
      <c r="E441" s="5" t="s">
        <v>1634</v>
      </c>
      <c r="F441" s="1" t="s">
        <v>1635</v>
      </c>
      <c r="G441" s="7">
        <v>6</v>
      </c>
      <c r="H441" s="6">
        <f>+G441*L441</f>
        <v>327.199524</v>
      </c>
      <c r="I441" s="6">
        <f>+[175]Main!$L$5-[175]Main!$L$6</f>
        <v>371.02100000000002</v>
      </c>
      <c r="J441" s="6">
        <f>+H441-I441</f>
        <v>-43.821476000000018</v>
      </c>
      <c r="K441" s="3" t="s">
        <v>1074</v>
      </c>
      <c r="L441" s="6">
        <f>+[175]Main!$L$3</f>
        <v>54.533253999999999</v>
      </c>
      <c r="M441" s="9">
        <v>45629</v>
      </c>
    </row>
    <row r="442" spans="4:13" x14ac:dyDescent="0.2">
      <c r="D442" s="1">
        <f t="shared" si="27"/>
        <v>417</v>
      </c>
      <c r="E442" s="1" t="s">
        <v>1193</v>
      </c>
      <c r="F442" s="1" t="s">
        <v>1194</v>
      </c>
      <c r="G442" s="3">
        <v>0.28999999999999998</v>
      </c>
    </row>
    <row r="443" spans="4:13" x14ac:dyDescent="0.2">
      <c r="D443" s="1">
        <f t="shared" si="27"/>
        <v>418</v>
      </c>
      <c r="E443" s="1" t="s">
        <v>1275</v>
      </c>
      <c r="F443" t="s">
        <v>1276</v>
      </c>
    </row>
    <row r="444" spans="4:13" x14ac:dyDescent="0.2">
      <c r="D444" s="1">
        <f t="shared" si="27"/>
        <v>419</v>
      </c>
      <c r="E444" s="1" t="s">
        <v>1304</v>
      </c>
      <c r="F444" s="1" t="s">
        <v>1305</v>
      </c>
    </row>
    <row r="445" spans="4:13" x14ac:dyDescent="0.2">
      <c r="D445" s="1">
        <f t="shared" si="27"/>
        <v>420</v>
      </c>
      <c r="E445" t="s">
        <v>1306</v>
      </c>
      <c r="F445" t="s">
        <v>1307</v>
      </c>
    </row>
    <row r="446" spans="4:13" x14ac:dyDescent="0.2">
      <c r="D446" s="1">
        <f t="shared" si="27"/>
        <v>421</v>
      </c>
      <c r="E446" s="1" t="s">
        <v>1357</v>
      </c>
    </row>
    <row r="447" spans="4:13" x14ac:dyDescent="0.2">
      <c r="D447" s="1">
        <f t="shared" si="27"/>
        <v>422</v>
      </c>
      <c r="E447" s="5" t="s">
        <v>1442</v>
      </c>
      <c r="F447" s="1" t="s">
        <v>1443</v>
      </c>
      <c r="G447" s="7">
        <v>30</v>
      </c>
    </row>
    <row r="448" spans="4:13" x14ac:dyDescent="0.2">
      <c r="D448" s="1">
        <f t="shared" si="27"/>
        <v>423</v>
      </c>
      <c r="E448" t="s">
        <v>1505</v>
      </c>
    </row>
    <row r="449" spans="4:7" x14ac:dyDescent="0.2">
      <c r="D449" s="1">
        <f t="shared" si="27"/>
        <v>424</v>
      </c>
      <c r="E449" s="1" t="s">
        <v>1617</v>
      </c>
      <c r="F449" t="s">
        <v>1618</v>
      </c>
    </row>
    <row r="450" spans="4:7" x14ac:dyDescent="0.2">
      <c r="D450" s="1">
        <f t="shared" si="27"/>
        <v>425</v>
      </c>
      <c r="E450" t="s">
        <v>1622</v>
      </c>
      <c r="F450" s="1" t="s">
        <v>1623</v>
      </c>
    </row>
    <row r="451" spans="4:7" x14ac:dyDescent="0.2">
      <c r="D451" s="1">
        <f t="shared" si="27"/>
        <v>426</v>
      </c>
      <c r="E451" t="s">
        <v>1624</v>
      </c>
      <c r="F451" t="s">
        <v>1625</v>
      </c>
    </row>
    <row r="452" spans="4:7" x14ac:dyDescent="0.2">
      <c r="D452" s="1">
        <f t="shared" si="27"/>
        <v>427</v>
      </c>
      <c r="E452" t="s">
        <v>1632</v>
      </c>
      <c r="F452" t="s">
        <v>1633</v>
      </c>
    </row>
    <row r="453" spans="4:7" x14ac:dyDescent="0.2">
      <c r="D453" s="1">
        <f t="shared" si="27"/>
        <v>428</v>
      </c>
      <c r="E453" s="5" t="s">
        <v>1637</v>
      </c>
      <c r="F453" s="1" t="s">
        <v>1636</v>
      </c>
      <c r="G453" s="3">
        <v>26.71</v>
      </c>
    </row>
    <row r="454" spans="4:7" x14ac:dyDescent="0.2">
      <c r="D454" s="1">
        <f t="shared" si="27"/>
        <v>429</v>
      </c>
      <c r="E454" s="1" t="s">
        <v>1642</v>
      </c>
      <c r="F454" t="s">
        <v>1643</v>
      </c>
    </row>
    <row r="455" spans="4:7" x14ac:dyDescent="0.2">
      <c r="D455" s="1">
        <f t="shared" si="27"/>
        <v>430</v>
      </c>
      <c r="E455" t="s">
        <v>1648</v>
      </c>
      <c r="F455" s="1" t="s">
        <v>1649</v>
      </c>
    </row>
    <row r="456" spans="4:7" x14ac:dyDescent="0.2">
      <c r="D456" s="1">
        <f t="shared" si="27"/>
        <v>431</v>
      </c>
      <c r="E456" s="1" t="s">
        <v>1650</v>
      </c>
      <c r="F456" t="s">
        <v>1651</v>
      </c>
      <c r="G456" s="3">
        <v>4.1100000000000003</v>
      </c>
    </row>
    <row r="457" spans="4:7" x14ac:dyDescent="0.2">
      <c r="D457" s="1">
        <f t="shared" si="27"/>
        <v>432</v>
      </c>
      <c r="E457" t="s">
        <v>1656</v>
      </c>
      <c r="F457" t="s">
        <v>1657</v>
      </c>
    </row>
    <row r="458" spans="4:7" x14ac:dyDescent="0.2">
      <c r="D458" s="1">
        <f t="shared" si="27"/>
        <v>433</v>
      </c>
      <c r="E458" s="1" t="s">
        <v>1658</v>
      </c>
      <c r="F458" s="1" t="s">
        <v>1659</v>
      </c>
    </row>
    <row r="459" spans="4:7" x14ac:dyDescent="0.2">
      <c r="D459" s="1">
        <f t="shared" si="27"/>
        <v>434</v>
      </c>
      <c r="E459" t="s">
        <v>1660</v>
      </c>
      <c r="F459" t="s">
        <v>1661</v>
      </c>
    </row>
    <row r="460" spans="4:7" x14ac:dyDescent="0.2">
      <c r="D460" s="1">
        <f t="shared" si="27"/>
        <v>435</v>
      </c>
      <c r="E460" s="1" t="s">
        <v>1662</v>
      </c>
      <c r="F460" s="1" t="s">
        <v>1663</v>
      </c>
      <c r="G460" s="3">
        <v>0.61</v>
      </c>
    </row>
    <row r="461" spans="4:7" x14ac:dyDescent="0.2">
      <c r="D461" s="1">
        <f t="shared" si="27"/>
        <v>436</v>
      </c>
      <c r="E461" t="s">
        <v>1668</v>
      </c>
      <c r="F461" t="s">
        <v>1669</v>
      </c>
    </row>
    <row r="462" spans="4:7" x14ac:dyDescent="0.2">
      <c r="D462" s="1">
        <f t="shared" si="27"/>
        <v>437</v>
      </c>
      <c r="E462" s="1" t="s">
        <v>1671</v>
      </c>
      <c r="F462" s="1" t="s">
        <v>1670</v>
      </c>
      <c r="G462" s="3">
        <v>1.46</v>
      </c>
    </row>
    <row r="463" spans="4:7" x14ac:dyDescent="0.2">
      <c r="D463" s="1">
        <f t="shared" si="27"/>
        <v>438</v>
      </c>
      <c r="E463" s="61" t="s">
        <v>1676</v>
      </c>
      <c r="F463" s="61" t="s">
        <v>1677</v>
      </c>
    </row>
    <row r="464" spans="4:7" x14ac:dyDescent="0.2">
      <c r="D464" s="1">
        <f t="shared" si="27"/>
        <v>439</v>
      </c>
      <c r="E464" s="61" t="s">
        <v>1678</v>
      </c>
      <c r="F464" s="61" t="s">
        <v>1679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242" r:id="rId40" xr:uid="{6A576FDB-A573-4A00-8381-4BECF13B35A1}"/>
    <hyperlink ref="E158" r:id="rId41" xr:uid="{51C9506E-5D60-43F8-BADA-7F72A25DAFF6}"/>
    <hyperlink ref="E116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39" r:id="rId49" xr:uid="{76CA7CFE-7B9B-4C27-8561-3A158A30ED77}"/>
    <hyperlink ref="E46" r:id="rId50" xr:uid="{F5D5A68A-4783-46B8-B717-79A0E802B6C4}"/>
    <hyperlink ref="E36" r:id="rId51" xr:uid="{DD930D2F-20A9-46C3-8AA4-5E62A88271DB}"/>
    <hyperlink ref="E38" r:id="rId52" xr:uid="{E248BEED-DD02-463E-BFAC-D02D5521E787}"/>
    <hyperlink ref="E41" r:id="rId53" xr:uid="{01444C35-CEE7-41B7-B694-AE47417B7019}"/>
    <hyperlink ref="E43" r:id="rId54" xr:uid="{BC97A7B7-8716-48D0-BA90-60A75E6A24CE}"/>
    <hyperlink ref="E40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2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7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3" r:id="rId75" xr:uid="{CE56D1ED-1CAA-4667-A3D9-82426599D26C}"/>
    <hyperlink ref="E103" r:id="rId76" xr:uid="{ED810682-5208-4265-9E0E-6746A399EA34}"/>
    <hyperlink ref="E161" r:id="rId77" xr:uid="{44DEB74A-F098-4876-A279-D1E6237DF8DB}"/>
    <hyperlink ref="E69" r:id="rId78" xr:uid="{ADF59BEC-B8D8-4144-ADEB-041425B69409}"/>
    <hyperlink ref="E324" r:id="rId79" xr:uid="{69AB4316-2FED-44FC-B108-3CD00D6F57B9}"/>
    <hyperlink ref="E319" r:id="rId80" xr:uid="{172C358D-5501-4447-9FDE-DA046F6FED55}"/>
    <hyperlink ref="E113" r:id="rId81" xr:uid="{D181F941-FF02-423B-9F90-890B434046DD}"/>
    <hyperlink ref="E159" r:id="rId82" xr:uid="{1924D31B-B6B9-4CB2-936E-0F68E40FA2F5}"/>
    <hyperlink ref="E160" r:id="rId83" xr:uid="{8E97DA51-E6CD-4B11-B6F8-BD0A3CC93541}"/>
    <hyperlink ref="E95" r:id="rId84" xr:uid="{BACD6400-1341-654E-A5B2-576C65F8052B}"/>
    <hyperlink ref="E358" r:id="rId85" xr:uid="{C4CF7488-CAF7-4516-AB24-0FC50F0916A3}"/>
    <hyperlink ref="E98" r:id="rId86" xr:uid="{2B6C4E35-2657-4D1A-8D80-C54F892964F4}"/>
    <hyperlink ref="E13" r:id="rId87" xr:uid="{D4CC8F9A-CC3B-EE41-860B-629E01D90BFD}"/>
    <hyperlink ref="E433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6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6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4" r:id="rId110" xr:uid="{8068ED1A-3B17-4C79-9022-B1BEE306CC58}"/>
    <hyperlink ref="E102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0" r:id="rId118" xr:uid="{4A53B476-D8D4-4433-B5B3-B626DD5ECAA5}"/>
    <hyperlink ref="E323" r:id="rId119" xr:uid="{0E69FC1D-F608-42EA-B683-C53C409C70F7}"/>
    <hyperlink ref="E162" r:id="rId120" xr:uid="{058DC54B-6F58-47B5-B00D-CB85499F0661}"/>
    <hyperlink ref="E163" r:id="rId121" xr:uid="{E3F91124-A68C-481A-9F88-5F0B403E12FC}"/>
    <hyperlink ref="E228" r:id="rId122" xr:uid="{879666A1-6AD0-495B-B29D-1523E9F3BF37}"/>
    <hyperlink ref="E54" r:id="rId123" xr:uid="{3E4416C1-24BA-4833-B8A9-810255675E01}"/>
    <hyperlink ref="E122" r:id="rId124" xr:uid="{CEEF1ECE-36B3-482E-AA72-8B9DAE4D2730}"/>
    <hyperlink ref="E120" r:id="rId125" xr:uid="{80739158-DB58-4D0E-8015-4407904D5E4C}"/>
    <hyperlink ref="E62" r:id="rId126" xr:uid="{FAC64BC1-A38C-4704-8DED-7AC1F6D784BD}"/>
    <hyperlink ref="E325" r:id="rId127" xr:uid="{B8FF6BDF-ECF2-42BA-996C-B33320BF3BB8}"/>
    <hyperlink ref="E121" r:id="rId128" xr:uid="{3C9F7D37-C376-486A-BD65-0A06F1A1BA4E}"/>
    <hyperlink ref="E75" r:id="rId129" xr:uid="{A739B306-7AF4-4BC1-B603-405E1AD42DA9}"/>
    <hyperlink ref="E68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18" r:id="rId134" xr:uid="{F79A5FA4-445D-4428-8347-8E6CA8EBA325}"/>
    <hyperlink ref="E434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6" r:id="rId141" xr:uid="{05112419-511E-40D9-B365-E7FC8328F3E3}"/>
    <hyperlink ref="E399" r:id="rId142" xr:uid="{42ED5909-2E52-452C-9738-284A43C46BA0}"/>
    <hyperlink ref="E111" r:id="rId143" xr:uid="{7B9292BF-8007-4C13-92AA-E4F48B407B78}"/>
    <hyperlink ref="E97" r:id="rId144" xr:uid="{4455E1D2-0A06-49CD-B578-A39396AB2276}"/>
    <hyperlink ref="E100" r:id="rId145" xr:uid="{9DBA9CB6-4FFE-4633-8913-39BE132E7E63}"/>
    <hyperlink ref="E15" r:id="rId146" xr:uid="{60368EA6-8CB5-4BF4-AD11-2511F2B2CC10}"/>
    <hyperlink ref="E248" r:id="rId147" xr:uid="{909F79D0-EDBD-44C4-8C45-548124C5C81A}"/>
    <hyperlink ref="E173" r:id="rId148" xr:uid="{0A7AB162-5181-4ECD-BE39-067356A9A255}"/>
    <hyperlink ref="E101" r:id="rId149" xr:uid="{A780315D-7EE1-43B1-808B-CA1A9B40DACC}"/>
    <hyperlink ref="E108" r:id="rId150" xr:uid="{6EE007AF-F0B0-4EED-9CDD-3FC2319822A5}"/>
    <hyperlink ref="E254" r:id="rId151" xr:uid="{ED761473-51F4-41BF-8401-76685055518C}"/>
    <hyperlink ref="E79" r:id="rId152" xr:uid="{7F559409-F96D-4010-8F92-37C722C2B828}"/>
    <hyperlink ref="E93" r:id="rId153" xr:uid="{C48A4FCA-0630-EF43-9EEC-B6CAB37EFE4F}"/>
    <hyperlink ref="E89" r:id="rId154" xr:uid="{96899701-8AB6-4B30-9017-19357666F340}"/>
    <hyperlink ref="E81" r:id="rId155" xr:uid="{CFB41F62-0690-4C3D-B6CD-811E3E94C4EE}"/>
    <hyperlink ref="E128" r:id="rId156" xr:uid="{82A44C16-0029-4130-9750-D08BCC5182B4}"/>
    <hyperlink ref="E57" r:id="rId157" xr:uid="{C35461B3-E679-4CC0-9362-2A53FE04533B}"/>
    <hyperlink ref="E84" r:id="rId158" xr:uid="{31B2FC14-DD5D-4E0C-A012-B1FDA85DBE36}"/>
    <hyperlink ref="E67" r:id="rId159" xr:uid="{96AAF9F5-B005-400B-B62E-90DC1A7E8852}"/>
    <hyperlink ref="E142" r:id="rId160" xr:uid="{5BE55498-D8ED-41C4-A33E-57BE28B07449}"/>
    <hyperlink ref="E439" r:id="rId161" xr:uid="{2B1AAFD9-D8D6-4616-841E-10108CC8192B}"/>
    <hyperlink ref="E447" r:id="rId162" xr:uid="{D4B5A9D9-65BB-430A-A731-1152EA8D5DED}"/>
    <hyperlink ref="E88" r:id="rId163" xr:uid="{67670CCE-8D41-4404-8F2B-F79243E31585}"/>
    <hyperlink ref="E115" r:id="rId164" xr:uid="{C904B992-93FD-497A-93CC-2FE800E3CDD4}"/>
    <hyperlink ref="E425" r:id="rId165" xr:uid="{B24388CE-B704-4189-8171-2A7C078385AA}"/>
    <hyperlink ref="E435" r:id="rId166" xr:uid="{107ACC16-1AF2-463F-97B2-B3329D313681}"/>
    <hyperlink ref="E432" r:id="rId167" xr:uid="{C40615BB-48F8-4AB1-92A6-E4710DC43430}"/>
    <hyperlink ref="E356" r:id="rId168" xr:uid="{0695F03B-1E3F-0E41-B1ED-4F68787EFC35}"/>
    <hyperlink ref="E427" r:id="rId169" xr:uid="{0152517F-3480-4755-804B-768910043082}"/>
    <hyperlink ref="E110" r:id="rId170" xr:uid="{F0EE4F6E-0A2F-4906-8143-739E8257E38C}"/>
    <hyperlink ref="E429" r:id="rId171" xr:uid="{0F9B63DB-3B35-4E51-BD36-EC943559BF1E}"/>
    <hyperlink ref="E436" r:id="rId172" xr:uid="{7592EF22-0CF5-48F3-8744-24868E314045}"/>
    <hyperlink ref="E440" r:id="rId173" xr:uid="{66F30E61-4E4B-47C8-8D49-028CC77AA4C6}"/>
    <hyperlink ref="E441" r:id="rId174" xr:uid="{778D749F-0610-418A-A963-ADCD5A226677}"/>
    <hyperlink ref="E453" r:id="rId175" xr:uid="{8E820BFC-E26B-4A27-A962-89FF7A10589B}"/>
    <hyperlink ref="E428" r:id="rId176" xr:uid="{3DD5CDF4-E650-429E-97DF-ABC116C3584D}"/>
    <hyperlink ref="E347" r:id="rId177" xr:uid="{1292FD9E-BA4F-4B20-AD44-4B752114EEEF}"/>
    <hyperlink ref="E430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7" r:id="rId192" xr:uid="{51D052A4-1B75-48F3-93AF-E8B1B96076CE}"/>
    <hyperlink ref="E438" r:id="rId193" xr:uid="{FD546B4F-FF4A-4365-A9F1-25C43D119A98}"/>
    <hyperlink ref="E431" r:id="rId194" xr:uid="{FA2E0702-7573-4035-93EA-A0CE71143105}"/>
  </hyperlinks>
  <pageMargins left="0.7" right="0.7" top="0.75" bottom="0.75" header="0.3" footer="0.3"/>
  <pageSetup paperSize="9" orientation="portrait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x14ac:dyDescent="0.2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x14ac:dyDescent="0.2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0"/>
  <sheetViews>
    <sheetView zoomScale="145" zoomScaleNormal="145" workbookViewId="0">
      <pane xSplit="2" ySplit="2" topLeftCell="C128" activePane="bottomRight" state="frozen"/>
      <selection pane="topRight" activeCell="C1" sqref="C1"/>
      <selection pane="bottomLeft" activeCell="A3" sqref="A3"/>
      <selection pane="bottomRight" activeCell="B131" sqref="B131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7" spans="2:9" x14ac:dyDescent="0.2">
      <c r="B127" t="s">
        <v>1674</v>
      </c>
      <c r="I127" t="s">
        <v>1675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  <row r="129" spans="2:2" x14ac:dyDescent="0.2">
      <c r="B129" t="s">
        <v>1680</v>
      </c>
    </row>
    <row r="130" spans="2:2" x14ac:dyDescent="0.2">
      <c r="B130" t="s">
        <v>1681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6"/>
  <sheetViews>
    <sheetView zoomScale="205" zoomScaleNormal="205" workbookViewId="0">
      <pane xSplit="2" ySplit="2" topLeftCell="C93" activePane="bottomRight" state="frozen"/>
      <selection pane="topRight" activeCell="C1" sqref="C1"/>
      <selection pane="bottomLeft" activeCell="A3" sqref="A3"/>
      <selection pane="bottomRight" activeCell="B116" sqref="B116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([176]Main!$J$5-[176]Main!$J$6)/HKD</f>
        <v>991.71512820512828</v>
      </c>
      <c r="G76" s="6">
        <f>+E76-F76</f>
        <v>23523.572694544873</v>
      </c>
      <c r="H76" s="3" t="s">
        <v>301</v>
      </c>
      <c r="I76" s="6">
        <f>+[176]Main!$J$3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1411</v>
      </c>
      <c r="C101" t="s">
        <v>1410</v>
      </c>
      <c r="D101">
        <v>7000</v>
      </c>
      <c r="E101">
        <v>2001</v>
      </c>
    </row>
    <row r="102" spans="2:5" x14ac:dyDescent="0.2">
      <c r="B102" t="s">
        <v>1359</v>
      </c>
      <c r="C102" t="s">
        <v>1205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1369</v>
      </c>
      <c r="C104" t="s">
        <v>34</v>
      </c>
      <c r="D104">
        <v>1600</v>
      </c>
      <c r="E104">
        <v>2021</v>
      </c>
    </row>
    <row r="105" spans="2:5" x14ac:dyDescent="0.2">
      <c r="B105" t="s">
        <v>1664</v>
      </c>
      <c r="C105" t="s">
        <v>37</v>
      </c>
      <c r="D105">
        <v>1300</v>
      </c>
      <c r="E105">
        <v>2006</v>
      </c>
    </row>
    <row r="106" spans="2:5" x14ac:dyDescent="0.2">
      <c r="B106" t="s">
        <v>1367</v>
      </c>
      <c r="C106" t="s">
        <v>34</v>
      </c>
      <c r="D106">
        <v>993</v>
      </c>
      <c r="E106">
        <v>2021</v>
      </c>
    </row>
    <row r="107" spans="2:5" x14ac:dyDescent="0.2">
      <c r="B107" t="s">
        <v>1358</v>
      </c>
      <c r="C107" t="s">
        <v>32</v>
      </c>
    </row>
    <row r="108" spans="2:5" x14ac:dyDescent="0.2">
      <c r="B108" t="s">
        <v>1366</v>
      </c>
      <c r="C108" t="s">
        <v>34</v>
      </c>
    </row>
    <row r="109" spans="2:5" x14ac:dyDescent="0.2">
      <c r="B109" t="s">
        <v>1368</v>
      </c>
      <c r="C109" t="s">
        <v>34</v>
      </c>
    </row>
    <row r="110" spans="2:5" x14ac:dyDescent="0.2">
      <c r="B110" t="s">
        <v>1439</v>
      </c>
      <c r="C110" t="s">
        <v>1440</v>
      </c>
    </row>
    <row r="111" spans="2:5" x14ac:dyDescent="0.2">
      <c r="B111" t="s">
        <v>1441</v>
      </c>
      <c r="C111" t="s">
        <v>14</v>
      </c>
    </row>
    <row r="112" spans="2:5" x14ac:dyDescent="0.2">
      <c r="B112" t="s">
        <v>673</v>
      </c>
      <c r="C112" t="s">
        <v>1255</v>
      </c>
      <c r="E112" s="13">
        <v>45520</v>
      </c>
    </row>
    <row r="113" spans="2:3" x14ac:dyDescent="0.2">
      <c r="B113" t="s">
        <v>1654</v>
      </c>
      <c r="C113" t="s">
        <v>1655</v>
      </c>
    </row>
    <row r="114" spans="2:3" x14ac:dyDescent="0.2">
      <c r="B114" t="s">
        <v>1665</v>
      </c>
      <c r="C114" t="s">
        <v>39</v>
      </c>
    </row>
    <row r="115" spans="2:3" x14ac:dyDescent="0.2">
      <c r="B115" t="s">
        <v>1682</v>
      </c>
      <c r="C115" t="s">
        <v>18</v>
      </c>
    </row>
    <row r="116" spans="2:3" x14ac:dyDescent="0.2">
      <c r="B116" t="s">
        <v>1683</v>
      </c>
      <c r="C116" t="s">
        <v>18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2025-01-13T20:07:54Z</dcterms:modified>
</cp:coreProperties>
</file>