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EA97BDC-B5D5-4C26-A46C-D495086C4885}" xr6:coauthVersionLast="47" xr6:coauthVersionMax="47" xr10:uidLastSave="{00000000-0000-0000-0000-000000000000}"/>
  <bookViews>
    <workbookView xWindow="-50010" yWindow="1380" windowWidth="25080" windowHeight="18540" activeTab="2" xr2:uid="{AB3C49AB-D501-4FD3-A043-98BB663A0B7E}"/>
  </bookViews>
  <sheets>
    <sheet name="Main" sheetId="1" r:id="rId1"/>
    <sheet name="Sheet1" sheetId="3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2" l="1"/>
  <c r="Z5" i="2"/>
  <c r="Z6" i="2"/>
  <c r="Y6" i="2"/>
  <c r="AA5" i="2"/>
  <c r="Y4" i="2"/>
  <c r="Y3" i="2"/>
  <c r="W13" i="2"/>
  <c r="W9" i="2"/>
  <c r="X13" i="2"/>
  <c r="X9" i="2"/>
  <c r="X14" i="2" l="1"/>
  <c r="X16" i="2" s="1"/>
  <c r="X18" i="2" s="1"/>
  <c r="X19" i="2" s="1"/>
  <c r="W14" i="2"/>
  <c r="W16" i="2" s="1"/>
  <c r="W18" i="2" s="1"/>
  <c r="W19" i="2" s="1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R7" i="2"/>
  <c r="AA17" i="2"/>
  <c r="R11" i="2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R10" i="2"/>
  <c r="AA10" i="2" s="1"/>
  <c r="R12" i="2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R20" i="2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Z20" i="2"/>
  <c r="Z13" i="2"/>
  <c r="Y13" i="2"/>
  <c r="N12" i="2"/>
  <c r="N11" i="2"/>
  <c r="N10" i="2"/>
  <c r="N8" i="2"/>
  <c r="N7" i="2"/>
  <c r="N9" i="2" s="1"/>
  <c r="K13" i="2"/>
  <c r="K9" i="2"/>
  <c r="O9" i="2"/>
  <c r="L13" i="2"/>
  <c r="L9" i="2"/>
  <c r="O13" i="2"/>
  <c r="M13" i="2"/>
  <c r="P13" i="2"/>
  <c r="P9" i="2"/>
  <c r="Q15" i="2"/>
  <c r="M9" i="2"/>
  <c r="Q13" i="2"/>
  <c r="Q9" i="2"/>
  <c r="Q43" i="2"/>
  <c r="Q42" i="2"/>
  <c r="Q41" i="2"/>
  <c r="Q35" i="2"/>
  <c r="Q30" i="2"/>
  <c r="I17" i="1"/>
  <c r="AA2" i="2"/>
  <c r="J4" i="1"/>
  <c r="J7" i="1" s="1"/>
  <c r="Z9" i="2"/>
  <c r="Y9" i="2"/>
  <c r="M14" i="2" l="1"/>
  <c r="M16" i="2" s="1"/>
  <c r="M18" i="2" s="1"/>
  <c r="M19" i="2" s="1"/>
  <c r="P14" i="2"/>
  <c r="P16" i="2" s="1"/>
  <c r="P18" i="2" s="1"/>
  <c r="P19" i="2" s="1"/>
  <c r="AB10" i="2"/>
  <c r="AA13" i="2"/>
  <c r="R13" i="2"/>
  <c r="R15" i="2"/>
  <c r="AA15" i="2" s="1"/>
  <c r="L14" i="2"/>
  <c r="L16" i="2" s="1"/>
  <c r="L18" i="2" s="1"/>
  <c r="L19" i="2" s="1"/>
  <c r="AA7" i="2"/>
  <c r="AB7" i="2" s="1"/>
  <c r="R8" i="2"/>
  <c r="AA8" i="2" s="1"/>
  <c r="K14" i="2"/>
  <c r="K16" i="2" s="1"/>
  <c r="K18" i="2" s="1"/>
  <c r="K19" i="2" s="1"/>
  <c r="N13" i="2"/>
  <c r="N14" i="2" s="1"/>
  <c r="N16" i="2" s="1"/>
  <c r="N18" i="2" s="1"/>
  <c r="N19" i="2" s="1"/>
  <c r="Y14" i="2"/>
  <c r="Y16" i="2" s="1"/>
  <c r="Y18" i="2" s="1"/>
  <c r="Z14" i="2"/>
  <c r="Z16" i="2" s="1"/>
  <c r="Z18" i="2" s="1"/>
  <c r="Z19" i="2" s="1"/>
  <c r="O14" i="2"/>
  <c r="O16" i="2" s="1"/>
  <c r="O18" i="2" s="1"/>
  <c r="O19" i="2" s="1"/>
  <c r="Q14" i="2"/>
  <c r="Q16" i="2" s="1"/>
  <c r="Q18" i="2" s="1"/>
  <c r="Q19" i="2" s="1"/>
  <c r="Q37" i="2"/>
  <c r="Q47" i="2"/>
  <c r="AC7" i="2" l="1"/>
  <c r="AB9" i="2"/>
  <c r="AB8" i="2" s="1"/>
  <c r="AC10" i="2"/>
  <c r="AB13" i="2"/>
  <c r="AB14" i="2" s="1"/>
  <c r="AB16" i="2" s="1"/>
  <c r="AB18" i="2" s="1"/>
  <c r="AA9" i="2"/>
  <c r="AA14" i="2" s="1"/>
  <c r="AA16" i="2" s="1"/>
  <c r="AA18" i="2" s="1"/>
  <c r="AA19" i="2" s="1"/>
  <c r="R9" i="2"/>
  <c r="R14" i="2" s="1"/>
  <c r="R16" i="2" s="1"/>
  <c r="R18" i="2" s="1"/>
  <c r="R19" i="2" s="1"/>
  <c r="AB19" i="2" l="1"/>
  <c r="AD10" i="2"/>
  <c r="AC13" i="2"/>
  <c r="AC9" i="2"/>
  <c r="AC8" i="2" s="1"/>
  <c r="AD7" i="2"/>
  <c r="AE7" i="2" l="1"/>
  <c r="AD9" i="2"/>
  <c r="AD8" i="2" s="1"/>
  <c r="AC14" i="2"/>
  <c r="AC16" i="2" s="1"/>
  <c r="AC18" i="2" s="1"/>
  <c r="AE10" i="2"/>
  <c r="AD13" i="2"/>
  <c r="AD14" i="2" s="1"/>
  <c r="AD16" i="2" s="1"/>
  <c r="AD18" i="2" s="1"/>
  <c r="AD19" i="2" s="1"/>
  <c r="AF10" i="2" l="1"/>
  <c r="AE13" i="2"/>
  <c r="AC19" i="2"/>
  <c r="AF7" i="2"/>
  <c r="AE9" i="2"/>
  <c r="AE8" i="2" s="1"/>
  <c r="AG7" i="2" l="1"/>
  <c r="AF9" i="2"/>
  <c r="AF8" i="2" s="1"/>
  <c r="AE14" i="2"/>
  <c r="AE16" i="2" s="1"/>
  <c r="AG10" i="2"/>
  <c r="AF13" i="2"/>
  <c r="AF14" i="2" s="1"/>
  <c r="AF16" i="2" s="1"/>
  <c r="AH10" i="2" l="1"/>
  <c r="AG13" i="2"/>
  <c r="AF17" i="2"/>
  <c r="AF18" i="2"/>
  <c r="AF19" i="2" s="1"/>
  <c r="AE17" i="2"/>
  <c r="AE18" i="2" s="1"/>
  <c r="AH7" i="2"/>
  <c r="AG9" i="2"/>
  <c r="AG8" i="2" l="1"/>
  <c r="AG14" i="2"/>
  <c r="AG16" i="2" s="1"/>
  <c r="AI7" i="2"/>
  <c r="AH9" i="2"/>
  <c r="AH8" i="2"/>
  <c r="AE19" i="2"/>
  <c r="AI10" i="2"/>
  <c r="AH13" i="2"/>
  <c r="AJ10" i="2" l="1"/>
  <c r="AI13" i="2"/>
  <c r="AH14" i="2"/>
  <c r="AH16" i="2" s="1"/>
  <c r="AJ7" i="2"/>
  <c r="AI9" i="2"/>
  <c r="AI14" i="2" s="1"/>
  <c r="AI16" i="2" s="1"/>
  <c r="AI8" i="2"/>
  <c r="AG17" i="2"/>
  <c r="AG18" i="2"/>
  <c r="AG19" i="2" l="1"/>
  <c r="AK7" i="2"/>
  <c r="AJ9" i="2"/>
  <c r="AJ8" i="2"/>
  <c r="AI17" i="2"/>
  <c r="AI18" i="2"/>
  <c r="AI19" i="2" s="1"/>
  <c r="AH17" i="2"/>
  <c r="AH18" i="2" s="1"/>
  <c r="AH19" i="2" s="1"/>
  <c r="AK10" i="2"/>
  <c r="AJ13" i="2"/>
  <c r="AL10" i="2" l="1"/>
  <c r="AL13" i="2" s="1"/>
  <c r="AK13" i="2"/>
  <c r="AJ14" i="2"/>
  <c r="AJ16" i="2" s="1"/>
  <c r="AL7" i="2"/>
  <c r="AK9" i="2"/>
  <c r="AK14" i="2" s="1"/>
  <c r="AK16" i="2" s="1"/>
  <c r="AK8" i="2"/>
  <c r="AK17" i="2" l="1"/>
  <c r="AK18" i="2" s="1"/>
  <c r="AK19" i="2" s="1"/>
  <c r="AL9" i="2"/>
  <c r="AL14" i="2" s="1"/>
  <c r="AL16" i="2" s="1"/>
  <c r="AL8" i="2"/>
  <c r="AJ17" i="2"/>
  <c r="AJ18" i="2"/>
  <c r="AJ19" i="2" s="1"/>
  <c r="AL17" i="2" l="1"/>
  <c r="AL18" i="2" s="1"/>
  <c r="AL19" i="2" l="1"/>
  <c r="AM18" i="2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AM24" i="2" s="1"/>
  <c r="AM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tc={6FD4C426-31B6-4D62-943F-4388146ADBBE}</author>
    <author>tc={1A0A1B49-65D0-4998-B407-2792C10D6299}</author>
    <author>tc={A6E9DABB-1376-4112-A26B-944B948407A8}</author>
  </authors>
  <commentList>
    <comment ref="X7" authorId="0" shapeId="0" xr:uid="{6FD4C426-31B6-4D62-943F-4388146ADBBE}">
      <text>
        <t>[Threaded comment]
Your version of Excel allows you to read this threaded comment; however, any edits to it will get removed if the file is opened in a newer version of Excel. Learn more: https://go.microsoft.com/fwlink/?linkid=870924
Comment:
    4 contracts
2 significant customers</t>
      </text>
    </comment>
    <comment ref="Y7" authorId="1" shapeId="0" xr:uid="{1A0A1B49-65D0-4998-B407-2792C10D6299}">
      <text>
        <t>[Threaded comment]
Your version of Excel allows you to read this threaded comment; however, any edits to it will get removed if the file is opened in a newer version of Excel. Learn more: https://go.microsoft.com/fwlink/?linkid=870924
Comment:
    30.5m RPO, 60% in the next 12 months
3 significant customers = 70%</t>
      </text>
    </comment>
    <comment ref="Z7" authorId="2" shapeId="0" xr:uid="{A6E9DABB-1376-4112-A26B-944B948407A8}">
      <text>
        <t>[Threaded comment]
Your version of Excel allows you to read this threaded comment; however, any edits to it will get removed if the file is opened in a newer version of Excel. Learn more: https://go.microsoft.com/fwlink/?linkid=870924
Comment:
    69.1m RPO
2 customers = 58%</t>
      </text>
    </comment>
  </commentList>
</comments>
</file>

<file path=xl/sharedStrings.xml><?xml version="1.0" encoding="utf-8"?>
<sst xmlns="http://schemas.openxmlformats.org/spreadsheetml/2006/main" count="93" uniqueCount="87">
  <si>
    <t>Price</t>
  </si>
  <si>
    <t>Shares</t>
  </si>
  <si>
    <t>MC</t>
  </si>
  <si>
    <t>Cash</t>
  </si>
  <si>
    <t>Debt</t>
  </si>
  <si>
    <t>EV</t>
  </si>
  <si>
    <t>Employees</t>
  </si>
  <si>
    <t>Founded</t>
  </si>
  <si>
    <t>Main</t>
  </si>
  <si>
    <t>Revenue</t>
  </si>
  <si>
    <t>COGS</t>
  </si>
  <si>
    <t>Gross Margin</t>
  </si>
  <si>
    <t>R&amp;D</t>
  </si>
  <si>
    <t>S&amp;M</t>
  </si>
  <si>
    <t>G&amp;A</t>
  </si>
  <si>
    <t>Q423</t>
  </si>
  <si>
    <t>AD</t>
  </si>
  <si>
    <t>CFFO</t>
  </si>
  <si>
    <t>CapEx</t>
  </si>
  <si>
    <t>25 qubits</t>
  </si>
  <si>
    <t>36 qubits</t>
  </si>
  <si>
    <t>Q122</t>
  </si>
  <si>
    <t>Q222</t>
  </si>
  <si>
    <t>Q322</t>
  </si>
  <si>
    <t>Q422</t>
  </si>
  <si>
    <t>Q123</t>
  </si>
  <si>
    <t>Q223</t>
  </si>
  <si>
    <t>Q323</t>
  </si>
  <si>
    <t>Q124</t>
  </si>
  <si>
    <t>Q224</t>
  </si>
  <si>
    <t>Q324</t>
  </si>
  <si>
    <t>Q424</t>
  </si>
  <si>
    <t>Tempo</t>
  </si>
  <si>
    <t>YE2025: 100 qubits</t>
  </si>
  <si>
    <t>Aria-1 - AWS - OFFLINE</t>
  </si>
  <si>
    <t>Aria-2 - AWS - OFFLINE</t>
  </si>
  <si>
    <t>AWS - RESERVATION ONLY</t>
  </si>
  <si>
    <t>Aria - produced 2 in 2021</t>
  </si>
  <si>
    <t>Harmony - produced 2 in 2019</t>
  </si>
  <si>
    <t>Forte - produced 1 in 2023</t>
  </si>
  <si>
    <t>Assets</t>
  </si>
  <si>
    <t>AR</t>
  </si>
  <si>
    <t>Prepaids</t>
  </si>
  <si>
    <t>PP&amp;E</t>
  </si>
  <si>
    <t>Leases</t>
  </si>
  <si>
    <t>Goodwill</t>
  </si>
  <si>
    <t>ONCA</t>
  </si>
  <si>
    <t>AP</t>
  </si>
  <si>
    <t>AE</t>
  </si>
  <si>
    <t>Lease</t>
  </si>
  <si>
    <t>DR</t>
  </si>
  <si>
    <t>ESOP</t>
  </si>
  <si>
    <t>L+SE</t>
  </si>
  <si>
    <t>SE</t>
  </si>
  <si>
    <t>ONCL</t>
  </si>
  <si>
    <t>Warrants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</si>
  <si>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</si>
  <si>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</si>
  <si>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</si>
  <si>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</si>
  <si>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</si>
  <si>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</si>
  <si>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</si>
  <si>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Discount</t>
  </si>
  <si>
    <t>Terminal</t>
  </si>
  <si>
    <t>NPV</t>
  </si>
  <si>
    <t>Share</t>
  </si>
  <si>
    <t>11 qubit computer mentioned in S-1</t>
  </si>
  <si>
    <t>CEO: Peter Chapman since 2019</t>
  </si>
  <si>
    <t>Q121</t>
  </si>
  <si>
    <t>Q221</t>
  </si>
  <si>
    <t>Q321</t>
  </si>
  <si>
    <t>Q421</t>
  </si>
  <si>
    <t>20-qubit mentioned in 2021 10-K</t>
  </si>
  <si>
    <t>Net new business</t>
  </si>
  <si>
    <t>Customer 1</t>
  </si>
  <si>
    <t>Customer 2</t>
  </si>
  <si>
    <t>Air Force</t>
  </si>
  <si>
    <t>Customers</t>
  </si>
  <si>
    <t>Airbus</t>
  </si>
  <si>
    <t>General Dynamics</t>
  </si>
  <si>
    <t>Oak Ridge</t>
  </si>
  <si>
    <t>AFRL</t>
  </si>
  <si>
    <t>Lockheed</t>
  </si>
  <si>
    <t>Caterpillar</t>
  </si>
  <si>
    <t>Nvidia</t>
  </si>
  <si>
    <t>Hyundai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</si>
</sst>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5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0" fontId="1" fillId="0" borderId="0" xfId="1"/>
    <xf numFmtId="1" fontId="0" fillId="0" borderId="0" xfId="0" applyNumberFormat="1"/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42C1F70-08F8-494F-B5C2-A556F3429D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325257</xdr:colOff>
      <xdr:row>24</xdr:row>
      <xdr:rowOff>29121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31F580-096B-7288-456E-7CCCE1058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78857" cy="3915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0</xdr:row>
      <xdr:rowOff>54429</xdr:rowOff>
    </xdr:from>
    <xdr:to>
      <xdr:col>17</xdr:col>
      <xdr:colOff>38100</xdr:colOff>
      <xdr:row>43</xdr:row>
      <xdr:rowOff>136071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99861B-7DFA-3122-0B6E-B8BEAAAA8103}"/>
            </a:ext>
          </a:extLst>
        </xdr:cNvPr>
        <xdr:cNvCxnSpPr/>
      </xdr:nvCxnSpPr>
      <xdr:spPr>
        <a:xfrm>
          <a:off x="8284029" y="54429"/>
          <a:ext cx="0" cy="595992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27214</xdr:colOff>
      <xdr:row>0</xdr:row>
      <xdr:rowOff>0</xdr:rowOff>
    </xdr:from>
    <xdr:to>
      <xdr:col>26</xdr:col>
      <xdr:colOff>27214</xdr:colOff>
      <xdr:row>43</xdr:row>
      <xdr:rowOff>81642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9E8BEAA-6B35-453F-9186-E231749DFDAD}"/>
            </a:ext>
          </a:extLst>
        </xdr:cNvPr>
        <xdr:cNvCxnSpPr/>
      </xdr:nvCxnSpPr>
      <xdr:spPr>
        <a:xfrm>
          <a:off x="11321143" y="0"/>
          <a:ext cx="0" cy="67763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FE8731E-1419-4CF8-BDB7-325E36ECD730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7" dT="2025-01-07T19:48:39.04" personId="{8FE8731E-1419-4CF8-BDB7-325E36ECD730}" id="{6FD4C426-31B6-4D62-943F-4388146ADBBE}">
    <text>4 contracts
2 significant customers</text>
  </threadedComment>
  <threadedComment ref="Y7" dT="2025-01-07T19:59:59.56" personId="{8FE8731E-1419-4CF8-BDB7-325E36ECD730}" id="{1A0A1B49-65D0-4998-B407-2792C10D6299}">
    <text>30.5m RPO, 60% in the next 12 months
3 significant customers = 70%</text>
  </threadedComment>
  <threadedComment ref="Z7" dT="2025-01-07T20:05:37.94" personId="{8FE8731E-1419-4CF8-BDB7-325E36ECD730}" id="{A6E9DABB-1376-4112-A26B-944B948407A8}">
    <text>69.1m RPO
2 customers = 58%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9629-62F1-4661-9953-74545B1C68EA}">
  <dimension ref="B2:K30"/>
  <sheetViews>
    <sheetView zoomScale="175" zoomScaleNormal="175" workbookViewId="0">
      <selection activeCell="B17" sqref="B17"/>
    </sheetView>
  </sheetViews>
  <sheetFormatPr defaultRowHeight="12.75" x14ac:dyDescent="0.2"/>
  <cols>
    <col min="9" max="9" width="10.28515625" bestFit="1" customWidth="1"/>
    <col min="11" max="11" width="10.42578125" bestFit="1" customWidth="1"/>
  </cols>
  <sheetData>
    <row r="2" spans="2:11" x14ac:dyDescent="0.2">
      <c r="B2" s="5" t="s">
        <v>37</v>
      </c>
      <c r="I2" t="s">
        <v>0</v>
      </c>
      <c r="J2" s="1">
        <v>50</v>
      </c>
    </row>
    <row r="3" spans="2:11" x14ac:dyDescent="0.2">
      <c r="B3" t="s">
        <v>19</v>
      </c>
      <c r="I3" t="s">
        <v>1</v>
      </c>
      <c r="J3" s="4">
        <v>214.30505299999999</v>
      </c>
      <c r="K3" s="3" t="s">
        <v>30</v>
      </c>
    </row>
    <row r="4" spans="2:11" x14ac:dyDescent="0.2">
      <c r="B4" t="s">
        <v>34</v>
      </c>
      <c r="I4" t="s">
        <v>2</v>
      </c>
      <c r="J4" s="4">
        <f>+J2*J3</f>
        <v>10715.252649999999</v>
      </c>
    </row>
    <row r="5" spans="2:11" x14ac:dyDescent="0.2">
      <c r="B5" t="s">
        <v>35</v>
      </c>
      <c r="I5" t="s">
        <v>3</v>
      </c>
      <c r="J5" s="4">
        <v>383</v>
      </c>
      <c r="K5" s="3" t="s">
        <v>30</v>
      </c>
    </row>
    <row r="6" spans="2:11" x14ac:dyDescent="0.2">
      <c r="I6" t="s">
        <v>4</v>
      </c>
      <c r="J6" s="4">
        <v>0</v>
      </c>
      <c r="K6" s="3" t="s">
        <v>30</v>
      </c>
    </row>
    <row r="7" spans="2:11" x14ac:dyDescent="0.2">
      <c r="B7" s="5" t="s">
        <v>39</v>
      </c>
      <c r="I7" t="s">
        <v>5</v>
      </c>
      <c r="J7" s="4">
        <f>+J4-J5+J6</f>
        <v>10332.252649999999</v>
      </c>
    </row>
    <row r="8" spans="2:11" x14ac:dyDescent="0.2">
      <c r="B8" t="s">
        <v>20</v>
      </c>
    </row>
    <row r="9" spans="2:11" x14ac:dyDescent="0.2">
      <c r="B9" t="s">
        <v>36</v>
      </c>
      <c r="I9" t="s">
        <v>6</v>
      </c>
      <c r="J9">
        <v>324</v>
      </c>
      <c r="K9" s="2">
        <v>45291</v>
      </c>
    </row>
    <row r="10" spans="2:11" x14ac:dyDescent="0.2">
      <c r="I10" t="s">
        <v>7</v>
      </c>
      <c r="J10">
        <v>2015</v>
      </c>
    </row>
    <row r="11" spans="2:11" x14ac:dyDescent="0.2">
      <c r="B11" s="5" t="s">
        <v>32</v>
      </c>
    </row>
    <row r="12" spans="2:11" x14ac:dyDescent="0.2">
      <c r="B12" t="s">
        <v>33</v>
      </c>
      <c r="I12" t="s">
        <v>16</v>
      </c>
      <c r="J12" s="4">
        <v>352.20729999999998</v>
      </c>
      <c r="K12" s="3" t="s">
        <v>15</v>
      </c>
    </row>
    <row r="14" spans="2:11" x14ac:dyDescent="0.2">
      <c r="B14" t="s">
        <v>67</v>
      </c>
    </row>
    <row r="15" spans="2:11" x14ac:dyDescent="0.2">
      <c r="B15" t="s">
        <v>73</v>
      </c>
    </row>
    <row r="17" spans="2:9" x14ac:dyDescent="0.2">
      <c r="B17" s="5" t="s">
        <v>38</v>
      </c>
      <c r="I17">
        <f>100*2^14</f>
        <v>1638400</v>
      </c>
    </row>
    <row r="20" spans="2:9" x14ac:dyDescent="0.2">
      <c r="I20" t="s">
        <v>68</v>
      </c>
    </row>
    <row r="22" spans="2:9" x14ac:dyDescent="0.2">
      <c r="B22" s="5" t="s">
        <v>78</v>
      </c>
    </row>
    <row r="23" spans="2:9" x14ac:dyDescent="0.2">
      <c r="B23" t="s">
        <v>79</v>
      </c>
    </row>
    <row r="24" spans="2:9" x14ac:dyDescent="0.2">
      <c r="B24" t="s">
        <v>80</v>
      </c>
    </row>
    <row r="25" spans="2:9" x14ac:dyDescent="0.2">
      <c r="B25" t="s">
        <v>81</v>
      </c>
    </row>
    <row r="26" spans="2:9" x14ac:dyDescent="0.2">
      <c r="B26" t="s">
        <v>82</v>
      </c>
    </row>
    <row r="27" spans="2:9" x14ac:dyDescent="0.2">
      <c r="B27" t="s">
        <v>83</v>
      </c>
    </row>
    <row r="28" spans="2:9" x14ac:dyDescent="0.2">
      <c r="B28" t="s">
        <v>84</v>
      </c>
    </row>
    <row r="29" spans="2:9" x14ac:dyDescent="0.2">
      <c r="B29" t="s">
        <v>85</v>
      </c>
    </row>
    <row r="30" spans="2:9" x14ac:dyDescent="0.2">
      <c r="B30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2FAF-F034-4DC1-A333-3CF2A6D6F2AB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3554-7BDA-444D-A237-3389B1272280}">
  <dimension ref="A1:BW47"/>
  <sheetViews>
    <sheetView tabSelected="1" zoomScale="175" zoomScaleNormal="175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M7" sqref="AM7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3"/>
    <col min="39" max="39" width="10" bestFit="1" customWidth="1"/>
  </cols>
  <sheetData>
    <row r="1" spans="1:46" x14ac:dyDescent="0.2">
      <c r="A1" s="6" t="s">
        <v>8</v>
      </c>
    </row>
    <row r="2" spans="1:46" x14ac:dyDescent="0.2">
      <c r="C2" s="3" t="s">
        <v>69</v>
      </c>
      <c r="D2" s="3" t="s">
        <v>70</v>
      </c>
      <c r="E2" s="3" t="s">
        <v>71</v>
      </c>
      <c r="F2" s="3" t="s">
        <v>72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15</v>
      </c>
      <c r="O2" s="3" t="s">
        <v>28</v>
      </c>
      <c r="P2" s="3" t="s">
        <v>29</v>
      </c>
      <c r="Q2" s="3" t="s">
        <v>30</v>
      </c>
      <c r="R2" s="3" t="s">
        <v>31</v>
      </c>
      <c r="V2">
        <v>2019</v>
      </c>
      <c r="W2">
        <v>2020</v>
      </c>
      <c r="X2">
        <v>2021</v>
      </c>
      <c r="Y2">
        <v>2022</v>
      </c>
      <c r="Z2">
        <v>2023</v>
      </c>
      <c r="AA2">
        <f>+Z2+1</f>
        <v>2024</v>
      </c>
      <c r="AB2">
        <v>2025</v>
      </c>
      <c r="AC2">
        <f>+AB2+1</f>
        <v>2026</v>
      </c>
      <c r="AD2">
        <f t="shared" ref="AD2:AT2" si="0">+AC2+1</f>
        <v>2027</v>
      </c>
      <c r="AE2">
        <f t="shared" si="0"/>
        <v>2028</v>
      </c>
      <c r="AF2">
        <f t="shared" si="0"/>
        <v>2029</v>
      </c>
      <c r="AG2">
        <f t="shared" si="0"/>
        <v>2030</v>
      </c>
      <c r="AH2">
        <f t="shared" si="0"/>
        <v>2031</v>
      </c>
      <c r="AI2">
        <f t="shared" si="0"/>
        <v>2032</v>
      </c>
      <c r="AJ2">
        <f t="shared" si="0"/>
        <v>2033</v>
      </c>
      <c r="AK2">
        <f t="shared" si="0"/>
        <v>2034</v>
      </c>
      <c r="AL2">
        <f t="shared" si="0"/>
        <v>2035</v>
      </c>
      <c r="AM2">
        <f t="shared" si="0"/>
        <v>2036</v>
      </c>
      <c r="AN2">
        <f t="shared" si="0"/>
        <v>2037</v>
      </c>
      <c r="AO2">
        <f t="shared" si="0"/>
        <v>2038</v>
      </c>
      <c r="AP2">
        <f t="shared" si="0"/>
        <v>2039</v>
      </c>
      <c r="AQ2">
        <f t="shared" si="0"/>
        <v>2040</v>
      </c>
      <c r="AR2">
        <f t="shared" si="0"/>
        <v>2041</v>
      </c>
      <c r="AS2">
        <f t="shared" si="0"/>
        <v>2042</v>
      </c>
      <c r="AT2">
        <f t="shared" si="0"/>
        <v>2043</v>
      </c>
    </row>
    <row r="3" spans="1:46" x14ac:dyDescent="0.2">
      <c r="B3" t="s">
        <v>75</v>
      </c>
      <c r="Y3" s="10">
        <f>+Y7*0.1</f>
        <v>1.1131</v>
      </c>
    </row>
    <row r="4" spans="1:46" x14ac:dyDescent="0.2">
      <c r="B4" t="s">
        <v>76</v>
      </c>
      <c r="Y4" s="10">
        <f>+Y7*0.1</f>
        <v>1.1131</v>
      </c>
    </row>
    <row r="5" spans="1:46" x14ac:dyDescent="0.2">
      <c r="B5" t="s">
        <v>74</v>
      </c>
      <c r="Z5" s="10">
        <f>+Z7-Z6</f>
        <v>3.7420000000000009</v>
      </c>
      <c r="AA5" s="10">
        <f>+AA7-AA6</f>
        <v>16.122999999999998</v>
      </c>
    </row>
    <row r="6" spans="1:46" x14ac:dyDescent="0.2">
      <c r="B6" t="s">
        <v>77</v>
      </c>
      <c r="Y6" s="10">
        <f>+Y7-Y4-Y3-3.3</f>
        <v>5.6048000000000018</v>
      </c>
      <c r="Z6">
        <f>30.5*0.6</f>
        <v>18.3</v>
      </c>
      <c r="AA6" s="10">
        <f>69.1*0.4</f>
        <v>27.64</v>
      </c>
    </row>
    <row r="7" spans="1:46" s="13" customFormat="1" x14ac:dyDescent="0.2">
      <c r="B7" s="13" t="s">
        <v>9</v>
      </c>
      <c r="C7" s="14"/>
      <c r="D7" s="14"/>
      <c r="E7" s="14">
        <v>0.23300000000000001</v>
      </c>
      <c r="F7" s="14"/>
      <c r="G7" s="14"/>
      <c r="H7" s="14"/>
      <c r="I7" s="14"/>
      <c r="J7" s="14">
        <v>3.8</v>
      </c>
      <c r="K7" s="14">
        <v>4.3</v>
      </c>
      <c r="L7" s="14">
        <v>5.5</v>
      </c>
      <c r="M7" s="14">
        <v>6.1360000000000001</v>
      </c>
      <c r="N7" s="14">
        <f>+Z7-M7-L7-K7</f>
        <v>6.1060000000000025</v>
      </c>
      <c r="O7" s="14">
        <v>7.5819999999999999</v>
      </c>
      <c r="P7" s="14">
        <v>11.381</v>
      </c>
      <c r="Q7" s="14">
        <v>12.4</v>
      </c>
      <c r="R7" s="14">
        <f>+Q7</f>
        <v>12.4</v>
      </c>
      <c r="V7" s="13">
        <v>0.2</v>
      </c>
      <c r="W7" s="13">
        <v>0</v>
      </c>
      <c r="X7" s="13">
        <v>2.0990000000000002</v>
      </c>
      <c r="Y7" s="13">
        <v>11.131</v>
      </c>
      <c r="Z7" s="13">
        <v>22.042000000000002</v>
      </c>
      <c r="AA7" s="13">
        <f>SUM(O7:R7)</f>
        <v>43.762999999999998</v>
      </c>
      <c r="AB7" s="13">
        <f>+AA7*1.9</f>
        <v>83.149699999999996</v>
      </c>
      <c r="AC7" s="13">
        <f>+AB7*1.9</f>
        <v>157.98442999999997</v>
      </c>
      <c r="AD7" s="13">
        <f>+AC7*1.9</f>
        <v>300.17041699999993</v>
      </c>
      <c r="AE7" s="13">
        <f>+AD7*1.9</f>
        <v>570.32379229999981</v>
      </c>
      <c r="AF7" s="13">
        <f>+AE7*1.9</f>
        <v>1083.6152053699996</v>
      </c>
      <c r="AG7" s="13">
        <f>+AF7*1.1</f>
        <v>1191.9767259069997</v>
      </c>
      <c r="AH7" s="13">
        <f t="shared" ref="AH7:AL7" si="1">+AG7*1.1</f>
        <v>1311.1743984976997</v>
      </c>
      <c r="AI7" s="13">
        <f t="shared" si="1"/>
        <v>1442.2918383474698</v>
      </c>
      <c r="AJ7" s="13">
        <f t="shared" si="1"/>
        <v>1586.5210221822169</v>
      </c>
      <c r="AK7" s="13">
        <f t="shared" si="1"/>
        <v>1745.1731244004388</v>
      </c>
      <c r="AL7" s="13">
        <f t="shared" si="1"/>
        <v>1919.6904368404828</v>
      </c>
    </row>
    <row r="8" spans="1:46" s="10" customFormat="1" x14ac:dyDescent="0.2">
      <c r="B8" s="10" t="s">
        <v>10</v>
      </c>
      <c r="C8" s="11"/>
      <c r="D8" s="11"/>
      <c r="E8" s="11"/>
      <c r="F8" s="11"/>
      <c r="G8" s="11"/>
      <c r="H8" s="11"/>
      <c r="I8" s="11"/>
      <c r="J8" s="11"/>
      <c r="K8" s="11">
        <v>1.036</v>
      </c>
      <c r="L8" s="11">
        <v>1.901</v>
      </c>
      <c r="M8" s="11">
        <v>2.008</v>
      </c>
      <c r="N8" s="11">
        <f>+Z8-M8-L8-K8</f>
        <v>3.1630000000000007</v>
      </c>
      <c r="O8" s="11">
        <v>3.4140000000000001</v>
      </c>
      <c r="P8" s="11">
        <v>5.6230000000000002</v>
      </c>
      <c r="Q8" s="11">
        <v>6.5149999999999997</v>
      </c>
      <c r="R8" s="11">
        <f>+R7*0.5</f>
        <v>6.2</v>
      </c>
      <c r="W8" s="10">
        <v>0.14299999999999999</v>
      </c>
      <c r="X8" s="10">
        <v>1.04</v>
      </c>
      <c r="Y8" s="10">
        <v>2.944</v>
      </c>
      <c r="Z8" s="10">
        <v>8.1080000000000005</v>
      </c>
      <c r="AA8" s="10">
        <f>SUM(O8:R8)</f>
        <v>21.751999999999999</v>
      </c>
      <c r="AB8" s="10">
        <f>+AB7-AB9</f>
        <v>24.94491</v>
      </c>
      <c r="AC8" s="10">
        <f t="shared" ref="AC8:AL8" si="2">+AC7-AC9</f>
        <v>47.395329000000004</v>
      </c>
      <c r="AD8" s="10">
        <f t="shared" si="2"/>
        <v>90.051125099999979</v>
      </c>
      <c r="AE8" s="10">
        <f t="shared" si="2"/>
        <v>171.09713768999995</v>
      </c>
      <c r="AF8" s="10">
        <f t="shared" si="2"/>
        <v>325.08456161099991</v>
      </c>
      <c r="AG8" s="10">
        <f t="shared" si="2"/>
        <v>357.59301777209998</v>
      </c>
      <c r="AH8" s="10">
        <f t="shared" si="2"/>
        <v>393.35231954930998</v>
      </c>
      <c r="AI8" s="10">
        <f t="shared" si="2"/>
        <v>432.68755150424101</v>
      </c>
      <c r="AJ8" s="10">
        <f t="shared" si="2"/>
        <v>475.95630665466524</v>
      </c>
      <c r="AK8" s="10">
        <f t="shared" si="2"/>
        <v>523.55193732013163</v>
      </c>
      <c r="AL8" s="10">
        <f t="shared" si="2"/>
        <v>575.9071310521449</v>
      </c>
    </row>
    <row r="9" spans="1:46" s="10" customFormat="1" x14ac:dyDescent="0.2">
      <c r="B9" s="10" t="s">
        <v>11</v>
      </c>
      <c r="C9" s="11"/>
      <c r="D9" s="11"/>
      <c r="E9" s="11"/>
      <c r="F9" s="11"/>
      <c r="G9" s="11"/>
      <c r="H9" s="11"/>
      <c r="I9" s="11"/>
      <c r="J9" s="11"/>
      <c r="K9" s="11">
        <f t="shared" ref="K9:R9" si="3">+K7-K8</f>
        <v>3.2639999999999998</v>
      </c>
      <c r="L9" s="11">
        <f t="shared" si="3"/>
        <v>3.5990000000000002</v>
      </c>
      <c r="M9" s="11">
        <f t="shared" si="3"/>
        <v>4.1280000000000001</v>
      </c>
      <c r="N9" s="11">
        <f t="shared" si="3"/>
        <v>2.9430000000000018</v>
      </c>
      <c r="O9" s="11">
        <f t="shared" si="3"/>
        <v>4.1679999999999993</v>
      </c>
      <c r="P9" s="11">
        <f t="shared" si="3"/>
        <v>5.758</v>
      </c>
      <c r="Q9" s="11">
        <f t="shared" si="3"/>
        <v>5.8850000000000007</v>
      </c>
      <c r="R9" s="11">
        <f t="shared" si="3"/>
        <v>6.2</v>
      </c>
      <c r="W9" s="10">
        <f>+W7-W8</f>
        <v>-0.14299999999999999</v>
      </c>
      <c r="X9" s="10">
        <f>+X7-X8</f>
        <v>1.0590000000000002</v>
      </c>
      <c r="Y9" s="10">
        <f>+Y7-Y8</f>
        <v>8.1870000000000012</v>
      </c>
      <c r="Z9" s="10">
        <f>+Z7-Z8</f>
        <v>13.934000000000001</v>
      </c>
      <c r="AA9" s="10">
        <f>+AA7-AA8</f>
        <v>22.010999999999999</v>
      </c>
      <c r="AB9" s="10">
        <f>+AB7*0.7</f>
        <v>58.204789999999996</v>
      </c>
      <c r="AC9" s="10">
        <f t="shared" ref="AC9:AL9" si="4">+AC7*0.7</f>
        <v>110.58910099999997</v>
      </c>
      <c r="AD9" s="10">
        <f t="shared" si="4"/>
        <v>210.11929189999995</v>
      </c>
      <c r="AE9" s="10">
        <f t="shared" si="4"/>
        <v>399.22665460999985</v>
      </c>
      <c r="AF9" s="10">
        <f t="shared" si="4"/>
        <v>758.53064375899964</v>
      </c>
      <c r="AG9" s="10">
        <f t="shared" si="4"/>
        <v>834.38370813489973</v>
      </c>
      <c r="AH9" s="10">
        <f t="shared" si="4"/>
        <v>917.82207894838973</v>
      </c>
      <c r="AI9" s="10">
        <f t="shared" si="4"/>
        <v>1009.6042868432288</v>
      </c>
      <c r="AJ9" s="10">
        <f t="shared" si="4"/>
        <v>1110.5647155275517</v>
      </c>
      <c r="AK9" s="10">
        <f t="shared" si="4"/>
        <v>1221.6211870803072</v>
      </c>
      <c r="AL9" s="10">
        <f t="shared" si="4"/>
        <v>1343.7833057883379</v>
      </c>
    </row>
    <row r="10" spans="1:46" s="10" customFormat="1" x14ac:dyDescent="0.2">
      <c r="B10" s="10" t="s">
        <v>12</v>
      </c>
      <c r="C10" s="11"/>
      <c r="D10" s="11"/>
      <c r="E10" s="11"/>
      <c r="F10" s="11"/>
      <c r="G10" s="11"/>
      <c r="H10" s="11"/>
      <c r="I10" s="11"/>
      <c r="J10" s="11"/>
      <c r="K10" s="11">
        <v>16.233000000000001</v>
      </c>
      <c r="L10" s="11">
        <v>19.869</v>
      </c>
      <c r="M10" s="11">
        <v>24.599</v>
      </c>
      <c r="N10" s="11">
        <f>+Z10-M10-L10-K10</f>
        <v>31.619999999999994</v>
      </c>
      <c r="O10" s="11">
        <v>32.368000000000002</v>
      </c>
      <c r="P10" s="11">
        <v>31.204000000000001</v>
      </c>
      <c r="Q10" s="11">
        <v>33.177999999999997</v>
      </c>
      <c r="R10" s="11">
        <f t="shared" ref="R10:R11" si="5">+Q10</f>
        <v>33.177999999999997</v>
      </c>
      <c r="W10" s="10">
        <v>10.157</v>
      </c>
      <c r="X10" s="10">
        <v>20.228000000000002</v>
      </c>
      <c r="Y10" s="10">
        <v>43.978000000000002</v>
      </c>
      <c r="Z10" s="10">
        <v>92.320999999999998</v>
      </c>
      <c r="AA10" s="10">
        <f t="shared" ref="AA10:AA12" si="6">SUM(O10:R10)</f>
        <v>129.928</v>
      </c>
      <c r="AB10" s="10">
        <f>+AA10*1.05</f>
        <v>136.42439999999999</v>
      </c>
      <c r="AC10" s="10">
        <f t="shared" ref="AC10:AL10" si="7">+AB10*1.05</f>
        <v>143.24562</v>
      </c>
      <c r="AD10" s="10">
        <f t="shared" si="7"/>
        <v>150.40790100000001</v>
      </c>
      <c r="AE10" s="10">
        <f t="shared" si="7"/>
        <v>157.92829605000003</v>
      </c>
      <c r="AF10" s="10">
        <f t="shared" si="7"/>
        <v>165.82471085250003</v>
      </c>
      <c r="AG10" s="10">
        <f t="shared" si="7"/>
        <v>174.11594639512504</v>
      </c>
      <c r="AH10" s="10">
        <f t="shared" si="7"/>
        <v>182.82174371488131</v>
      </c>
      <c r="AI10" s="10">
        <f t="shared" si="7"/>
        <v>191.96283090062539</v>
      </c>
      <c r="AJ10" s="10">
        <f t="shared" si="7"/>
        <v>201.56097244565666</v>
      </c>
      <c r="AK10" s="10">
        <f t="shared" si="7"/>
        <v>211.6390210679395</v>
      </c>
      <c r="AL10" s="10">
        <f t="shared" si="7"/>
        <v>222.22097212133647</v>
      </c>
    </row>
    <row r="11" spans="1:46" s="10" customFormat="1" x14ac:dyDescent="0.2">
      <c r="B11" s="10" t="s">
        <v>13</v>
      </c>
      <c r="C11" s="11"/>
      <c r="D11" s="11"/>
      <c r="E11" s="11"/>
      <c r="F11" s="11"/>
      <c r="G11" s="11"/>
      <c r="H11" s="11"/>
      <c r="I11" s="11"/>
      <c r="J11" s="11"/>
      <c r="K11" s="11">
        <v>2.6669999999999998</v>
      </c>
      <c r="L11" s="11">
        <v>3.5750000000000002</v>
      </c>
      <c r="M11" s="11">
        <v>5.0469999999999997</v>
      </c>
      <c r="N11" s="11">
        <f>+Z11-M11-L11-K11</f>
        <v>6.9809999999999999</v>
      </c>
      <c r="O11" s="11">
        <v>6.7009999999999996</v>
      </c>
      <c r="P11" s="11">
        <v>6.1369999999999996</v>
      </c>
      <c r="Q11" s="11">
        <v>6.63</v>
      </c>
      <c r="R11" s="11">
        <f t="shared" si="5"/>
        <v>6.63</v>
      </c>
      <c r="W11" s="10">
        <v>0.48599999999999999</v>
      </c>
      <c r="X11" s="10">
        <v>3.2330000000000001</v>
      </c>
      <c r="Y11" s="10">
        <v>8.3849999999999998</v>
      </c>
      <c r="Z11" s="10">
        <v>18.27</v>
      </c>
      <c r="AA11" s="10">
        <f t="shared" si="6"/>
        <v>26.097999999999999</v>
      </c>
      <c r="AB11" s="10">
        <f t="shared" ref="AB11:AL11" si="8">+AA11*1.05</f>
        <v>27.402899999999999</v>
      </c>
      <c r="AC11" s="10">
        <f t="shared" si="8"/>
        <v>28.773045</v>
      </c>
      <c r="AD11" s="10">
        <f t="shared" si="8"/>
        <v>30.21169725</v>
      </c>
      <c r="AE11" s="10">
        <f t="shared" si="8"/>
        <v>31.7222821125</v>
      </c>
      <c r="AF11" s="10">
        <f t="shared" si="8"/>
        <v>33.308396218125004</v>
      </c>
      <c r="AG11" s="10">
        <f t="shared" si="8"/>
        <v>34.973816029031255</v>
      </c>
      <c r="AH11" s="10">
        <f t="shared" si="8"/>
        <v>36.722506830482821</v>
      </c>
      <c r="AI11" s="10">
        <f t="shared" si="8"/>
        <v>38.558632172006966</v>
      </c>
      <c r="AJ11" s="10">
        <f t="shared" si="8"/>
        <v>40.48656378060732</v>
      </c>
      <c r="AK11" s="10">
        <f t="shared" si="8"/>
        <v>42.51089196963769</v>
      </c>
      <c r="AL11" s="10">
        <f t="shared" si="8"/>
        <v>44.636436568119578</v>
      </c>
    </row>
    <row r="12" spans="1:46" s="10" customFormat="1" x14ac:dyDescent="0.2">
      <c r="B12" s="10" t="s">
        <v>14</v>
      </c>
      <c r="C12" s="11"/>
      <c r="D12" s="11"/>
      <c r="E12" s="11"/>
      <c r="F12" s="11"/>
      <c r="G12" s="11"/>
      <c r="H12" s="11"/>
      <c r="I12" s="11"/>
      <c r="J12" s="11"/>
      <c r="K12" s="11">
        <v>10.581</v>
      </c>
      <c r="L12" s="11">
        <v>10.93</v>
      </c>
      <c r="M12" s="11">
        <v>13.927</v>
      </c>
      <c r="N12" s="11">
        <f>+Z12-M12-L12-K12</f>
        <v>15.284000000000002</v>
      </c>
      <c r="O12" s="11">
        <v>14.02</v>
      </c>
      <c r="P12" s="11">
        <v>14.321999999999999</v>
      </c>
      <c r="Q12" s="11">
        <v>14.321999999999999</v>
      </c>
      <c r="R12" s="11">
        <f>+Q12</f>
        <v>14.321999999999999</v>
      </c>
      <c r="W12" s="10">
        <v>3.5470000000000002</v>
      </c>
      <c r="X12" s="10">
        <v>13.737</v>
      </c>
      <c r="Y12" s="10">
        <v>35.966000000000001</v>
      </c>
      <c r="Z12" s="10">
        <v>50.722000000000001</v>
      </c>
      <c r="AA12" s="10">
        <f t="shared" si="6"/>
        <v>56.986000000000004</v>
      </c>
      <c r="AB12" s="10">
        <f t="shared" ref="AB12:AL12" si="9">+AA12*1.05</f>
        <v>59.835300000000004</v>
      </c>
      <c r="AC12" s="10">
        <f t="shared" si="9"/>
        <v>62.827065000000005</v>
      </c>
      <c r="AD12" s="10">
        <f t="shared" si="9"/>
        <v>65.968418250000013</v>
      </c>
      <c r="AE12" s="10">
        <f t="shared" si="9"/>
        <v>69.26683916250002</v>
      </c>
      <c r="AF12" s="10">
        <f t="shared" si="9"/>
        <v>72.730181120625019</v>
      </c>
      <c r="AG12" s="10">
        <f t="shared" si="9"/>
        <v>76.366690176656277</v>
      </c>
      <c r="AH12" s="10">
        <f t="shared" si="9"/>
        <v>80.185024685489097</v>
      </c>
      <c r="AI12" s="10">
        <f t="shared" si="9"/>
        <v>84.194275919763555</v>
      </c>
      <c r="AJ12" s="10">
        <f t="shared" si="9"/>
        <v>88.403989715751734</v>
      </c>
      <c r="AK12" s="10">
        <f t="shared" si="9"/>
        <v>92.824189201539326</v>
      </c>
      <c r="AL12" s="10">
        <f t="shared" si="9"/>
        <v>97.465398661616291</v>
      </c>
    </row>
    <row r="13" spans="1:46" s="10" customFormat="1" x14ac:dyDescent="0.2">
      <c r="B13" s="10" t="s">
        <v>56</v>
      </c>
      <c r="C13" s="11"/>
      <c r="D13" s="11"/>
      <c r="E13" s="11"/>
      <c r="F13" s="11"/>
      <c r="G13" s="11"/>
      <c r="H13" s="11"/>
      <c r="I13" s="11"/>
      <c r="J13" s="11"/>
      <c r="K13" s="11">
        <f t="shared" ref="K13" si="10">SUM(K10:K12)</f>
        <v>29.480999999999998</v>
      </c>
      <c r="L13" s="11">
        <f t="shared" ref="L13" si="11">SUM(L10:L12)</f>
        <v>34.373999999999995</v>
      </c>
      <c r="M13" s="11">
        <f t="shared" ref="M13:O13" si="12">SUM(M10:M12)</f>
        <v>43.573</v>
      </c>
      <c r="N13" s="11">
        <f t="shared" si="12"/>
        <v>53.884999999999991</v>
      </c>
      <c r="O13" s="11">
        <f t="shared" si="12"/>
        <v>53.088999999999999</v>
      </c>
      <c r="P13" s="11">
        <f>SUM(P10:P12)</f>
        <v>51.662999999999997</v>
      </c>
      <c r="Q13" s="11">
        <f>SUM(Q10:Q12)</f>
        <v>54.129999999999995</v>
      </c>
      <c r="R13" s="11">
        <f>SUM(R10:R12)</f>
        <v>54.129999999999995</v>
      </c>
      <c r="S13" s="11"/>
      <c r="T13" s="11"/>
      <c r="U13" s="11"/>
      <c r="V13" s="11"/>
      <c r="W13" s="11">
        <f t="shared" ref="W13:X13" si="13">SUM(W10:W12)</f>
        <v>14.190000000000001</v>
      </c>
      <c r="X13" s="11">
        <f t="shared" si="13"/>
        <v>37.198</v>
      </c>
      <c r="Y13" s="11">
        <f t="shared" ref="Y13:AA13" si="14">SUM(Y10:Y12)</f>
        <v>88.329000000000008</v>
      </c>
      <c r="Z13" s="11">
        <f t="shared" si="14"/>
        <v>161.31299999999999</v>
      </c>
      <c r="AA13" s="11">
        <f t="shared" si="14"/>
        <v>213.012</v>
      </c>
      <c r="AB13" s="11">
        <f t="shared" ref="AB13" si="15">SUM(AB10:AB12)</f>
        <v>223.6626</v>
      </c>
      <c r="AC13" s="11">
        <f t="shared" ref="AC13" si="16">SUM(AC10:AC12)</f>
        <v>234.84573</v>
      </c>
      <c r="AD13" s="11">
        <f t="shared" ref="AD13" si="17">SUM(AD10:AD12)</f>
        <v>246.58801650000004</v>
      </c>
      <c r="AE13" s="11">
        <f t="shared" ref="AE13" si="18">SUM(AE10:AE12)</f>
        <v>258.91741732500009</v>
      </c>
      <c r="AF13" s="11">
        <f t="shared" ref="AF13" si="19">SUM(AF10:AF12)</f>
        <v>271.86328819125004</v>
      </c>
      <c r="AG13" s="11">
        <f t="shared" ref="AG13" si="20">SUM(AG10:AG12)</f>
        <v>285.45645260081255</v>
      </c>
      <c r="AH13" s="11">
        <f t="shared" ref="AH13" si="21">SUM(AH10:AH12)</f>
        <v>299.7292752308532</v>
      </c>
      <c r="AI13" s="11">
        <f t="shared" ref="AI13" si="22">SUM(AI10:AI12)</f>
        <v>314.71573899239593</v>
      </c>
      <c r="AJ13" s="11">
        <f t="shared" ref="AJ13" si="23">SUM(AJ10:AJ12)</f>
        <v>330.45152594201573</v>
      </c>
      <c r="AK13" s="11">
        <f t="shared" ref="AK13" si="24">SUM(AK10:AK12)</f>
        <v>346.97410223911652</v>
      </c>
      <c r="AL13" s="11">
        <f t="shared" ref="AL13" si="25">SUM(AL10:AL12)</f>
        <v>364.32280735107236</v>
      </c>
    </row>
    <row r="14" spans="1:46" s="10" customFormat="1" x14ac:dyDescent="0.2">
      <c r="B14" s="10" t="s">
        <v>57</v>
      </c>
      <c r="C14" s="11"/>
      <c r="D14" s="11"/>
      <c r="E14" s="11"/>
      <c r="F14" s="11"/>
      <c r="G14" s="11"/>
      <c r="H14" s="11"/>
      <c r="I14" s="11"/>
      <c r="J14" s="11"/>
      <c r="K14" s="11">
        <f t="shared" ref="K14" si="26">+K9-K13</f>
        <v>-26.216999999999999</v>
      </c>
      <c r="L14" s="11">
        <f t="shared" ref="L14" si="27">+L9-L13</f>
        <v>-30.774999999999995</v>
      </c>
      <c r="M14" s="11">
        <f t="shared" ref="M14:P14" si="28">+M9-M13</f>
        <v>-39.445</v>
      </c>
      <c r="N14" s="11">
        <f t="shared" si="28"/>
        <v>-50.941999999999986</v>
      </c>
      <c r="O14" s="11">
        <f t="shared" si="28"/>
        <v>-48.920999999999999</v>
      </c>
      <c r="P14" s="11">
        <f t="shared" si="28"/>
        <v>-45.904999999999994</v>
      </c>
      <c r="Q14" s="11">
        <f>+Q9-Q13</f>
        <v>-48.244999999999997</v>
      </c>
      <c r="R14" s="11">
        <f>+R9-R13</f>
        <v>-47.929999999999993</v>
      </c>
      <c r="S14" s="11"/>
      <c r="T14" s="11"/>
      <c r="U14" s="11"/>
      <c r="V14" s="11"/>
      <c r="W14" s="11">
        <f t="shared" ref="W14:X14" si="29">+W9-W13</f>
        <v>-14.333000000000002</v>
      </c>
      <c r="X14" s="11">
        <f t="shared" si="29"/>
        <v>-36.139000000000003</v>
      </c>
      <c r="Y14" s="11">
        <f t="shared" ref="Y14:AA14" si="30">+Y9-Y13</f>
        <v>-80.14200000000001</v>
      </c>
      <c r="Z14" s="11">
        <f t="shared" si="30"/>
        <v>-147.37899999999999</v>
      </c>
      <c r="AA14" s="11">
        <f t="shared" si="30"/>
        <v>-191.001</v>
      </c>
      <c r="AB14" s="11">
        <f t="shared" ref="AB14" si="31">+AB9-AB13</f>
        <v>-165.45780999999999</v>
      </c>
      <c r="AC14" s="11">
        <f t="shared" ref="AC14" si="32">+AC9-AC13</f>
        <v>-124.25662900000003</v>
      </c>
      <c r="AD14" s="11">
        <f t="shared" ref="AD14" si="33">+AD9-AD13</f>
        <v>-36.468724600000087</v>
      </c>
      <c r="AE14" s="11">
        <f t="shared" ref="AE14" si="34">+AE9-AE13</f>
        <v>140.30923728499977</v>
      </c>
      <c r="AF14" s="11">
        <f t="shared" ref="AF14" si="35">+AF9-AF13</f>
        <v>486.66735556774961</v>
      </c>
      <c r="AG14" s="11">
        <f t="shared" ref="AG14" si="36">+AG9-AG13</f>
        <v>548.92725553408718</v>
      </c>
      <c r="AH14" s="11">
        <f t="shared" ref="AH14" si="37">+AH9-AH13</f>
        <v>618.09280371753653</v>
      </c>
      <c r="AI14" s="11">
        <f t="shared" ref="AI14" si="38">+AI9-AI13</f>
        <v>694.88854785083288</v>
      </c>
      <c r="AJ14" s="11">
        <f t="shared" ref="AJ14" si="39">+AJ9-AJ13</f>
        <v>780.11318958553602</v>
      </c>
      <c r="AK14" s="11">
        <f t="shared" ref="AK14" si="40">+AK9-AK13</f>
        <v>874.64708484119069</v>
      </c>
      <c r="AL14" s="11">
        <f t="shared" ref="AL14" si="41">+AL9-AL13</f>
        <v>979.46049843726553</v>
      </c>
    </row>
    <row r="15" spans="1:46" s="10" customFormat="1" x14ac:dyDescent="0.2">
      <c r="B15" s="10" t="s">
        <v>58</v>
      </c>
      <c r="C15" s="11"/>
      <c r="D15" s="11"/>
      <c r="E15" s="11"/>
      <c r="F15" s="11"/>
      <c r="G15" s="11"/>
      <c r="H15" s="11"/>
      <c r="I15" s="11"/>
      <c r="J15" s="11"/>
      <c r="K15" s="11">
        <v>4.2309999999999999</v>
      </c>
      <c r="L15" s="11">
        <v>4.8769999999999998</v>
      </c>
      <c r="M15" s="11">
        <v>5.0069999999999997</v>
      </c>
      <c r="N15" s="11"/>
      <c r="O15" s="11">
        <v>4.7990000000000004</v>
      </c>
      <c r="P15" s="11">
        <v>4.8010000000000002</v>
      </c>
      <c r="Q15" s="11">
        <f>4.508+0.015</f>
        <v>4.5229999999999997</v>
      </c>
      <c r="R15" s="11">
        <f>+Q15</f>
        <v>4.5229999999999997</v>
      </c>
      <c r="AA15" s="10">
        <f t="shared" ref="AA15" si="42">SUM(O15:R15)</f>
        <v>18.646000000000001</v>
      </c>
    </row>
    <row r="16" spans="1:46" x14ac:dyDescent="0.2">
      <c r="B16" s="10" t="s">
        <v>59</v>
      </c>
      <c r="K16" s="11">
        <f t="shared" ref="K16:L16" si="43">+K14+K15</f>
        <v>-21.985999999999997</v>
      </c>
      <c r="L16" s="11">
        <f t="shared" si="43"/>
        <v>-25.897999999999996</v>
      </c>
      <c r="M16" s="11">
        <f>+M14+M15</f>
        <v>-34.438000000000002</v>
      </c>
      <c r="N16" s="11">
        <f t="shared" ref="N16:P16" si="44">+N14+N15</f>
        <v>-50.941999999999986</v>
      </c>
      <c r="O16" s="11">
        <f t="shared" si="44"/>
        <v>-44.122</v>
      </c>
      <c r="P16" s="11">
        <f t="shared" si="44"/>
        <v>-41.103999999999992</v>
      </c>
      <c r="Q16" s="11">
        <f>+Q14+Q15</f>
        <v>-43.721999999999994</v>
      </c>
      <c r="R16" s="11">
        <f>+R14+R15</f>
        <v>-43.406999999999996</v>
      </c>
      <c r="S16" s="11"/>
      <c r="T16" s="11"/>
      <c r="U16" s="11"/>
      <c r="V16" s="11"/>
      <c r="W16" s="11">
        <f t="shared" ref="W16:AA16" si="45">+W14+W15</f>
        <v>-14.333000000000002</v>
      </c>
      <c r="X16" s="11">
        <f t="shared" si="45"/>
        <v>-36.139000000000003</v>
      </c>
      <c r="Y16" s="11">
        <f t="shared" si="45"/>
        <v>-80.14200000000001</v>
      </c>
      <c r="Z16" s="11">
        <f t="shared" si="45"/>
        <v>-147.37899999999999</v>
      </c>
      <c r="AA16" s="11">
        <f t="shared" si="45"/>
        <v>-172.35500000000002</v>
      </c>
      <c r="AB16" s="11">
        <f t="shared" ref="AB16" si="46">+AB14+AB15</f>
        <v>-165.45780999999999</v>
      </c>
      <c r="AC16" s="11">
        <f t="shared" ref="AC16" si="47">+AC14+AC15</f>
        <v>-124.25662900000003</v>
      </c>
      <c r="AD16" s="11">
        <f t="shared" ref="AD16" si="48">+AD14+AD15</f>
        <v>-36.468724600000087</v>
      </c>
      <c r="AE16" s="11">
        <f t="shared" ref="AE16" si="49">+AE14+AE15</f>
        <v>140.30923728499977</v>
      </c>
      <c r="AF16" s="11">
        <f t="shared" ref="AF16" si="50">+AF14+AF15</f>
        <v>486.66735556774961</v>
      </c>
      <c r="AG16" s="11">
        <f t="shared" ref="AG16" si="51">+AG14+AG15</f>
        <v>548.92725553408718</v>
      </c>
      <c r="AH16" s="11">
        <f t="shared" ref="AH16" si="52">+AH14+AH15</f>
        <v>618.09280371753653</v>
      </c>
      <c r="AI16" s="11">
        <f t="shared" ref="AI16" si="53">+AI14+AI15</f>
        <v>694.88854785083288</v>
      </c>
      <c r="AJ16" s="11">
        <f t="shared" ref="AJ16" si="54">+AJ14+AJ15</f>
        <v>780.11318958553602</v>
      </c>
      <c r="AK16" s="11">
        <f t="shared" ref="AK16" si="55">+AK14+AK15</f>
        <v>874.64708484119069</v>
      </c>
      <c r="AL16" s="11">
        <f t="shared" ref="AL16" si="56">+AL14+AL15</f>
        <v>979.46049843726553</v>
      </c>
    </row>
    <row r="17" spans="2:75" s="10" customFormat="1" x14ac:dyDescent="0.2">
      <c r="B17" s="10" t="s">
        <v>60</v>
      </c>
      <c r="C17" s="11"/>
      <c r="D17" s="11"/>
      <c r="E17" s="11"/>
      <c r="F17" s="11"/>
      <c r="G17" s="11"/>
      <c r="H17" s="11"/>
      <c r="I17" s="11"/>
      <c r="J17" s="11"/>
      <c r="K17" s="11">
        <v>0</v>
      </c>
      <c r="L17" s="11">
        <v>0</v>
      </c>
      <c r="M17" s="11">
        <v>0</v>
      </c>
      <c r="N17" s="11"/>
      <c r="O17" s="11">
        <v>0</v>
      </c>
      <c r="P17" s="11">
        <v>0</v>
      </c>
      <c r="Q17" s="11">
        <v>0</v>
      </c>
      <c r="R17" s="11">
        <v>0</v>
      </c>
      <c r="AA17" s="10">
        <f t="shared" ref="AA17" si="57">SUM(O17:R17)</f>
        <v>0</v>
      </c>
      <c r="AE17" s="10">
        <f>+AE16*0.1</f>
        <v>14.030923728499978</v>
      </c>
      <c r="AF17" s="10">
        <f t="shared" ref="AF17:AL17" si="58">+AF16*0.1</f>
        <v>48.666735556774967</v>
      </c>
      <c r="AG17" s="10">
        <f t="shared" si="58"/>
        <v>54.892725553408724</v>
      </c>
      <c r="AH17" s="10">
        <f t="shared" si="58"/>
        <v>61.809280371753658</v>
      </c>
      <c r="AI17" s="10">
        <f t="shared" si="58"/>
        <v>69.488854785083291</v>
      </c>
      <c r="AJ17" s="10">
        <f t="shared" si="58"/>
        <v>78.011318958553602</v>
      </c>
      <c r="AK17" s="10">
        <f t="shared" si="58"/>
        <v>87.464708484119072</v>
      </c>
      <c r="AL17" s="10">
        <f t="shared" si="58"/>
        <v>97.946049843726556</v>
      </c>
    </row>
    <row r="18" spans="2:75" x14ac:dyDescent="0.2">
      <c r="B18" s="10" t="s">
        <v>61</v>
      </c>
      <c r="K18" s="11">
        <f>+K16-K17</f>
        <v>-21.985999999999997</v>
      </c>
      <c r="L18" s="11">
        <f t="shared" ref="L18" si="59">+L16-L17</f>
        <v>-25.897999999999996</v>
      </c>
      <c r="M18" s="11">
        <f t="shared" ref="M18:R18" si="60">+M16-M17</f>
        <v>-34.438000000000002</v>
      </c>
      <c r="N18" s="11">
        <f t="shared" si="60"/>
        <v>-50.941999999999986</v>
      </c>
      <c r="O18" s="11">
        <f t="shared" si="60"/>
        <v>-44.122</v>
      </c>
      <c r="P18" s="11">
        <f t="shared" si="60"/>
        <v>-41.103999999999992</v>
      </c>
      <c r="Q18" s="11">
        <f t="shared" si="60"/>
        <v>-43.721999999999994</v>
      </c>
      <c r="R18" s="11">
        <f t="shared" si="60"/>
        <v>-43.406999999999996</v>
      </c>
      <c r="S18" s="11"/>
      <c r="T18" s="11"/>
      <c r="U18" s="11"/>
      <c r="V18" s="11"/>
      <c r="W18" s="11">
        <f t="shared" ref="W18:AA18" si="61">+W16-W17</f>
        <v>-14.333000000000002</v>
      </c>
      <c r="X18" s="11">
        <f t="shared" si="61"/>
        <v>-36.139000000000003</v>
      </c>
      <c r="Y18" s="11">
        <f t="shared" si="61"/>
        <v>-80.14200000000001</v>
      </c>
      <c r="Z18" s="11">
        <f t="shared" si="61"/>
        <v>-147.37899999999999</v>
      </c>
      <c r="AA18" s="11">
        <f t="shared" si="61"/>
        <v>-172.35500000000002</v>
      </c>
      <c r="AB18" s="11">
        <f t="shared" ref="AB18" si="62">+AB16-AB17</f>
        <v>-165.45780999999999</v>
      </c>
      <c r="AC18" s="11">
        <f t="shared" ref="AC18" si="63">+AC16-AC17</f>
        <v>-124.25662900000003</v>
      </c>
      <c r="AD18" s="11">
        <f t="shared" ref="AD18" si="64">+AD16-AD17</f>
        <v>-36.468724600000087</v>
      </c>
      <c r="AE18" s="11">
        <f t="shared" ref="AE18" si="65">+AE16-AE17</f>
        <v>126.2783135564998</v>
      </c>
      <c r="AF18" s="11">
        <f t="shared" ref="AF18" si="66">+AF16-AF17</f>
        <v>438.00062001097467</v>
      </c>
      <c r="AG18" s="11">
        <f t="shared" ref="AG18" si="67">+AG16-AG17</f>
        <v>494.03452998067849</v>
      </c>
      <c r="AH18" s="11">
        <f t="shared" ref="AH18" si="68">+AH16-AH17</f>
        <v>556.2835233457829</v>
      </c>
      <c r="AI18" s="11">
        <f t="shared" ref="AI18" si="69">+AI16-AI17</f>
        <v>625.3996930657496</v>
      </c>
      <c r="AJ18" s="11">
        <f t="shared" ref="AJ18" si="70">+AJ16-AJ17</f>
        <v>702.10187062698242</v>
      </c>
      <c r="AK18" s="11">
        <f t="shared" ref="AK18" si="71">+AK16-AK17</f>
        <v>787.18237635707158</v>
      </c>
      <c r="AL18" s="11">
        <f t="shared" ref="AL18" si="72">+AL16-AL17</f>
        <v>881.51444859353899</v>
      </c>
      <c r="AM18" s="11">
        <f>+AL18*(1+$AM$23)</f>
        <v>872.69930410760355</v>
      </c>
      <c r="AN18" s="11">
        <f t="shared" ref="AN18:BW18" si="73">+AM18*(1+$AM$23)</f>
        <v>863.97231106652748</v>
      </c>
      <c r="AO18" s="11">
        <f t="shared" si="73"/>
        <v>855.33258795586221</v>
      </c>
      <c r="AP18" s="11">
        <f t="shared" si="73"/>
        <v>846.77926207630355</v>
      </c>
      <c r="AQ18" s="11">
        <f t="shared" si="73"/>
        <v>838.31146945554053</v>
      </c>
      <c r="AR18" s="11">
        <f t="shared" si="73"/>
        <v>829.92835476098514</v>
      </c>
      <c r="AS18" s="11">
        <f t="shared" si="73"/>
        <v>821.62907121337525</v>
      </c>
      <c r="AT18" s="11">
        <f t="shared" si="73"/>
        <v>813.41278050124151</v>
      </c>
      <c r="AU18" s="11">
        <f t="shared" si="73"/>
        <v>805.27865269622907</v>
      </c>
      <c r="AV18" s="11">
        <f t="shared" si="73"/>
        <v>797.22586616926674</v>
      </c>
      <c r="AW18" s="11">
        <f t="shared" si="73"/>
        <v>789.25360750757409</v>
      </c>
      <c r="AX18" s="11">
        <f t="shared" si="73"/>
        <v>781.36107143249831</v>
      </c>
      <c r="AY18" s="11">
        <f t="shared" si="73"/>
        <v>773.54746071817328</v>
      </c>
      <c r="AZ18" s="11">
        <f t="shared" si="73"/>
        <v>765.8119861109916</v>
      </c>
      <c r="BA18" s="11">
        <f t="shared" si="73"/>
        <v>758.15386624988173</v>
      </c>
      <c r="BB18" s="11">
        <f t="shared" si="73"/>
        <v>750.57232758738292</v>
      </c>
      <c r="BC18" s="11">
        <f t="shared" si="73"/>
        <v>743.06660431150908</v>
      </c>
      <c r="BD18" s="11">
        <f t="shared" si="73"/>
        <v>735.63593826839394</v>
      </c>
      <c r="BE18" s="11">
        <f t="shared" si="73"/>
        <v>728.27957888570995</v>
      </c>
      <c r="BF18" s="11">
        <f t="shared" si="73"/>
        <v>720.99678309685282</v>
      </c>
      <c r="BG18" s="11">
        <f t="shared" si="73"/>
        <v>713.78681526588434</v>
      </c>
      <c r="BH18" s="11">
        <f t="shared" si="73"/>
        <v>706.64894711322552</v>
      </c>
      <c r="BI18" s="11">
        <f t="shared" si="73"/>
        <v>699.58245764209323</v>
      </c>
      <c r="BJ18" s="11">
        <f t="shared" si="73"/>
        <v>692.58663306567234</v>
      </c>
      <c r="BK18" s="11">
        <f t="shared" si="73"/>
        <v>685.66076673501561</v>
      </c>
      <c r="BL18" s="11">
        <f t="shared" si="73"/>
        <v>678.80415906766541</v>
      </c>
      <c r="BM18" s="11">
        <f t="shared" si="73"/>
        <v>672.01611747698871</v>
      </c>
      <c r="BN18" s="11">
        <f t="shared" si="73"/>
        <v>665.29595630221877</v>
      </c>
      <c r="BO18" s="11">
        <f t="shared" si="73"/>
        <v>658.64299673919652</v>
      </c>
      <c r="BP18" s="11">
        <f t="shared" si="73"/>
        <v>652.05656677180457</v>
      </c>
      <c r="BQ18" s="11">
        <f t="shared" si="73"/>
        <v>645.53600110408649</v>
      </c>
      <c r="BR18" s="11">
        <f t="shared" si="73"/>
        <v>639.08064109304564</v>
      </c>
      <c r="BS18" s="11">
        <f t="shared" si="73"/>
        <v>632.68983468211513</v>
      </c>
      <c r="BT18" s="11">
        <f t="shared" si="73"/>
        <v>626.36293633529397</v>
      </c>
      <c r="BU18" s="11">
        <f t="shared" si="73"/>
        <v>620.09930697194102</v>
      </c>
      <c r="BV18" s="11">
        <f t="shared" si="73"/>
        <v>613.89831390222162</v>
      </c>
      <c r="BW18" s="11">
        <f t="shared" si="73"/>
        <v>607.75933076319939</v>
      </c>
    </row>
    <row r="19" spans="2:75" x14ac:dyDescent="0.2">
      <c r="B19" s="10" t="s">
        <v>62</v>
      </c>
      <c r="F19" s="12"/>
      <c r="J19" s="12"/>
      <c r="K19" s="12">
        <f t="shared" ref="K19:R19" si="74">+K18/K20</f>
        <v>-0.10986800423191202</v>
      </c>
      <c r="L19" s="12">
        <f t="shared" si="74"/>
        <v>-0.12856976575867524</v>
      </c>
      <c r="M19" s="12">
        <f t="shared" si="74"/>
        <v>-0.16931970672379332</v>
      </c>
      <c r="N19" s="12" t="e">
        <f t="shared" si="74"/>
        <v>#DIV/0!</v>
      </c>
      <c r="O19" s="12">
        <f t="shared" si="74"/>
        <v>-0.21196252359231235</v>
      </c>
      <c r="P19" s="12">
        <f t="shared" si="74"/>
        <v>-0.19421890770112599</v>
      </c>
      <c r="Q19" s="12">
        <f t="shared" si="74"/>
        <v>-0.2040175879567338</v>
      </c>
      <c r="R19" s="12">
        <f t="shared" si="74"/>
        <v>-0.20254772060834234</v>
      </c>
      <c r="W19" s="1">
        <f t="shared" ref="W19:Z19" si="75">W18/W20</f>
        <v>-0.12458592650845435</v>
      </c>
      <c r="X19" s="1">
        <f t="shared" si="75"/>
        <v>-0.26261972091776725</v>
      </c>
      <c r="Y19" s="1"/>
      <c r="Z19" s="1">
        <f t="shared" si="75"/>
        <v>-0.73088380714764445</v>
      </c>
      <c r="AA19" s="1">
        <f>AA18/AA20</f>
        <v>-0.81260524783208299</v>
      </c>
      <c r="AB19" s="1">
        <f>AB18/AB20</f>
        <v>-0.78008694091151221</v>
      </c>
      <c r="AC19" s="1">
        <f t="shared" ref="AC19:AL19" si="76">AC18/AC20</f>
        <v>-0.58583498478909346</v>
      </c>
      <c r="AD19" s="1">
        <f t="shared" si="76"/>
        <v>-0.17193975800935887</v>
      </c>
      <c r="AE19" s="1">
        <f t="shared" si="76"/>
        <v>0.59536665767396935</v>
      </c>
      <c r="AF19" s="1">
        <f t="shared" si="76"/>
        <v>2.0650494756440141</v>
      </c>
      <c r="AG19" s="1">
        <f t="shared" si="76"/>
        <v>2.3292335683476306</v>
      </c>
      <c r="AH19" s="1">
        <f t="shared" si="76"/>
        <v>2.6227200275785685</v>
      </c>
      <c r="AI19" s="1">
        <f t="shared" si="76"/>
        <v>2.9485832878524096</v>
      </c>
      <c r="AJ19" s="1">
        <f t="shared" si="76"/>
        <v>3.3102124370294339</v>
      </c>
      <c r="AK19" s="1">
        <f t="shared" si="76"/>
        <v>3.7113430421437505</v>
      </c>
      <c r="AL19" s="1">
        <f t="shared" si="76"/>
        <v>4.1560921758400662</v>
      </c>
    </row>
    <row r="20" spans="2:75" s="10" customFormat="1" x14ac:dyDescent="0.2">
      <c r="B20" s="10" t="s">
        <v>1</v>
      </c>
      <c r="C20" s="11"/>
      <c r="D20" s="11"/>
      <c r="E20" s="11"/>
      <c r="F20" s="11"/>
      <c r="G20" s="11"/>
      <c r="H20" s="11"/>
      <c r="I20" s="11"/>
      <c r="J20" s="11"/>
      <c r="K20" s="11">
        <v>200.112855</v>
      </c>
      <c r="L20" s="11">
        <v>201.43149399999999</v>
      </c>
      <c r="M20" s="11">
        <v>203.39038300000001</v>
      </c>
      <c r="N20" s="11"/>
      <c r="O20" s="11">
        <v>208.15943899999999</v>
      </c>
      <c r="P20" s="11">
        <v>211.63747900000001</v>
      </c>
      <c r="Q20" s="11">
        <v>214.30505299999999</v>
      </c>
      <c r="R20" s="11">
        <f>+Q20</f>
        <v>214.30505299999999</v>
      </c>
      <c r="W20" s="10">
        <v>115.045097</v>
      </c>
      <c r="X20" s="10">
        <v>137.60962000000001</v>
      </c>
      <c r="Z20" s="10">
        <f>AVERAGE(K20:N20)</f>
        <v>201.64491066666668</v>
      </c>
      <c r="AA20" s="10">
        <f>AVERAGE(O20:R20)</f>
        <v>212.10175600000002</v>
      </c>
      <c r="AB20" s="10">
        <f>+AA20</f>
        <v>212.10175600000002</v>
      </c>
      <c r="AC20" s="10">
        <f t="shared" ref="AC20:AL20" si="77">+AB20</f>
        <v>212.10175600000002</v>
      </c>
      <c r="AD20" s="10">
        <f t="shared" si="77"/>
        <v>212.10175600000002</v>
      </c>
      <c r="AE20" s="10">
        <f t="shared" si="77"/>
        <v>212.10175600000002</v>
      </c>
      <c r="AF20" s="10">
        <f t="shared" si="77"/>
        <v>212.10175600000002</v>
      </c>
      <c r="AG20" s="10">
        <f t="shared" si="77"/>
        <v>212.10175600000002</v>
      </c>
      <c r="AH20" s="10">
        <f t="shared" si="77"/>
        <v>212.10175600000002</v>
      </c>
      <c r="AI20" s="10">
        <f t="shared" si="77"/>
        <v>212.10175600000002</v>
      </c>
      <c r="AJ20" s="10">
        <f t="shared" si="77"/>
        <v>212.10175600000002</v>
      </c>
      <c r="AK20" s="10">
        <f t="shared" si="77"/>
        <v>212.10175600000002</v>
      </c>
      <c r="AL20" s="10">
        <f t="shared" si="77"/>
        <v>212.10175600000002</v>
      </c>
    </row>
    <row r="21" spans="2:75" x14ac:dyDescent="0.2">
      <c r="B21" s="10"/>
      <c r="M21" s="11"/>
      <c r="Q21" s="11"/>
      <c r="Y21" s="4"/>
      <c r="Z21" s="4"/>
    </row>
    <row r="22" spans="2:75" x14ac:dyDescent="0.2">
      <c r="Y22" s="4"/>
      <c r="Z22" s="4"/>
      <c r="AL22" t="s">
        <v>63</v>
      </c>
      <c r="AM22" s="15">
        <v>0.15</v>
      </c>
    </row>
    <row r="23" spans="2:75" x14ac:dyDescent="0.2">
      <c r="B23" t="s">
        <v>17</v>
      </c>
      <c r="Y23" s="4">
        <v>-44698</v>
      </c>
      <c r="Z23" s="4">
        <v>-78811</v>
      </c>
      <c r="AL23" t="s">
        <v>64</v>
      </c>
      <c r="AM23" s="15">
        <v>-0.01</v>
      </c>
    </row>
    <row r="24" spans="2:75" x14ac:dyDescent="0.2">
      <c r="B24" t="s">
        <v>18</v>
      </c>
      <c r="Y24" s="4">
        <v>-9336</v>
      </c>
      <c r="Z24" s="4">
        <v>-13703</v>
      </c>
      <c r="AL24" t="s">
        <v>65</v>
      </c>
      <c r="AM24" s="4">
        <f>NPV(AM22,AB18:BW18)</f>
        <v>2406.7362013427078</v>
      </c>
    </row>
    <row r="25" spans="2:75" x14ac:dyDescent="0.2">
      <c r="AL25" t="s">
        <v>66</v>
      </c>
      <c r="AM25" s="1">
        <f>AM24/Main!J3</f>
        <v>11.230422090620085</v>
      </c>
    </row>
    <row r="30" spans="2:75" s="7" customFormat="1" x14ac:dyDescent="0.2">
      <c r="B30" s="7" t="s">
        <v>3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>
        <f>30.172+335.538+17.131</f>
        <v>382.84100000000001</v>
      </c>
      <c r="R30" s="8"/>
    </row>
    <row r="31" spans="2:75" s="7" customFormat="1" x14ac:dyDescent="0.2">
      <c r="B31" s="7" t="s">
        <v>41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>
        <v>4.1369999999999996</v>
      </c>
      <c r="R31" s="8"/>
    </row>
    <row r="32" spans="2:75" s="7" customFormat="1" x14ac:dyDescent="0.2">
      <c r="B32" s="7" t="s">
        <v>42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>
        <v>25.553000000000001</v>
      </c>
      <c r="R32" s="8"/>
    </row>
    <row r="33" spans="2:18" s="7" customFormat="1" x14ac:dyDescent="0.2">
      <c r="B33" s="7" t="s">
        <v>43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>
        <v>49.454000000000001</v>
      </c>
      <c r="R33" s="8"/>
    </row>
    <row r="34" spans="2:18" s="7" customFormat="1" x14ac:dyDescent="0.2">
      <c r="B34" s="7" t="s">
        <v>44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>
        <v>10.029</v>
      </c>
      <c r="R34" s="8"/>
    </row>
    <row r="35" spans="2:18" s="7" customFormat="1" x14ac:dyDescent="0.2">
      <c r="B35" s="7" t="s">
        <v>45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>
        <f>17.487+0.727</f>
        <v>18.213999999999999</v>
      </c>
      <c r="R35" s="8"/>
    </row>
    <row r="36" spans="2:18" s="7" customFormat="1" x14ac:dyDescent="0.2">
      <c r="B36" s="7" t="s">
        <v>46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>
        <v>7.6829999999999998</v>
      </c>
      <c r="R36" s="8"/>
    </row>
    <row r="37" spans="2:18" s="7" customFormat="1" x14ac:dyDescent="0.2">
      <c r="B37" s="7" t="s">
        <v>40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>
        <f>SUM(Q30:Q36)</f>
        <v>497.911</v>
      </c>
      <c r="R37" s="8"/>
    </row>
    <row r="39" spans="2:18" s="4" customFormat="1" x14ac:dyDescent="0.2">
      <c r="B39" s="4" t="s">
        <v>47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>
        <v>4.8540000000000001</v>
      </c>
      <c r="R39" s="9"/>
    </row>
    <row r="40" spans="2:18" s="4" customFormat="1" x14ac:dyDescent="0.2">
      <c r="B40" s="4" t="s">
        <v>48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>
        <v>15.657</v>
      </c>
      <c r="R40" s="9"/>
    </row>
    <row r="41" spans="2:18" s="4" customFormat="1" x14ac:dyDescent="0.2">
      <c r="B41" s="4" t="s">
        <v>49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>
        <f>3.089+15.214</f>
        <v>18.303000000000001</v>
      </c>
      <c r="R41" s="9"/>
    </row>
    <row r="42" spans="2:18" s="4" customFormat="1" x14ac:dyDescent="0.2">
      <c r="B42" s="4" t="s">
        <v>50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>
        <f>8.332+0.06</f>
        <v>8.3920000000000012</v>
      </c>
      <c r="R42" s="9"/>
    </row>
    <row r="43" spans="2:18" s="4" customFormat="1" x14ac:dyDescent="0.2">
      <c r="B43" s="4" t="s">
        <v>51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>
        <f>0.392+0.154</f>
        <v>0.54600000000000004</v>
      </c>
      <c r="R43" s="9"/>
    </row>
    <row r="44" spans="2:18" s="4" customFormat="1" x14ac:dyDescent="0.2">
      <c r="B44" s="4" t="s">
        <v>55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>
        <v>11.606999999999999</v>
      </c>
      <c r="R44" s="9"/>
    </row>
    <row r="45" spans="2:18" s="4" customFormat="1" x14ac:dyDescent="0.2">
      <c r="B45" s="4" t="s">
        <v>54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>
        <v>2.8690000000000002</v>
      </c>
      <c r="R45" s="9"/>
    </row>
    <row r="46" spans="2:18" s="4" customFormat="1" x14ac:dyDescent="0.2">
      <c r="B46" s="4" t="s">
        <v>53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>
        <v>435.68299999999999</v>
      </c>
      <c r="R46" s="9"/>
    </row>
    <row r="47" spans="2:18" s="4" customFormat="1" x14ac:dyDescent="0.2">
      <c r="B47" s="4" t="s">
        <v>52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>
        <f>SUM(Q39:Q46)</f>
        <v>497.911</v>
      </c>
      <c r="R47" s="9"/>
    </row>
  </sheetData>
  <hyperlinks>
    <hyperlink ref="A1" location="Main!A1" display="Main" xr:uid="{201ADA92-3B0C-4733-B33B-9ACA8A94F4C9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2024-08-30T17:12:45Z</dcterms:created>
  <dcterms:modified xsi:type="dcterms:W3CDTF">2025-01-10T13:02:37Z</dcterms:modified>
</cp:coreProperties>
</file>