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76F1351-4D22-49BE-AC55-4F061DC04295}" xr6:coauthVersionLast="47" xr6:coauthVersionMax="47" xr10:uidLastSave="{00000000-0000-0000-0000-000000000000}"/>
  <bookViews>
    <workbookView xWindow="66180" yWindow="2430" windowWidth="27720" windowHeight="16485" xr2:uid="{1A28BDC2-CB33-447E-AED0-8D4C76155960}"/>
  </bookViews>
  <sheets>
    <sheet name="Main" sheetId="1" r:id="rId1"/>
    <sheet name="valrox" sheetId="4" r:id="rId2"/>
    <sheet name="Matrix" sheetId="3" r:id="rId3"/>
    <sheet name="Mode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F19" i="4"/>
  <c r="F18" i="4"/>
  <c r="F21" i="4"/>
  <c r="D30" i="4"/>
  <c r="AC9" i="2"/>
  <c r="H10" i="3"/>
  <c r="H5" i="3"/>
  <c r="H4" i="3" s="1"/>
  <c r="H8" i="3" s="1"/>
  <c r="G5" i="3"/>
  <c r="G4" i="3"/>
  <c r="G9" i="3"/>
  <c r="G8" i="3"/>
  <c r="G10" i="3"/>
  <c r="Z9" i="2"/>
  <c r="AA9" i="2" s="1"/>
  <c r="AB9" i="2" s="1"/>
  <c r="AC16" i="2" s="1"/>
  <c r="D28" i="4"/>
  <c r="C28" i="4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5" i="4"/>
  <c r="D25" i="4" s="1"/>
  <c r="E25" i="4" s="1"/>
  <c r="E26" i="4" s="1"/>
  <c r="F10" i="3"/>
  <c r="E10" i="3"/>
  <c r="D10" i="3"/>
  <c r="C10" i="3"/>
  <c r="F9" i="3"/>
  <c r="E9" i="3"/>
  <c r="D9" i="3"/>
  <c r="C9" i="3"/>
  <c r="E8" i="3"/>
  <c r="D8" i="3"/>
  <c r="C8" i="3"/>
  <c r="F4" i="3"/>
  <c r="F8" i="3" s="1"/>
  <c r="E4" i="3"/>
  <c r="D4" i="3"/>
  <c r="F5" i="3"/>
  <c r="E5" i="3"/>
  <c r="D5" i="3"/>
  <c r="Y14" i="2"/>
  <c r="Z14" i="2" s="1"/>
  <c r="AA14" i="2" s="1"/>
  <c r="AB14" i="2" s="1"/>
  <c r="AC14" i="2" s="1"/>
  <c r="X14" i="2"/>
  <c r="V8" i="2"/>
  <c r="V10" i="2"/>
  <c r="W10" i="2" s="1"/>
  <c r="X10" i="2" s="1"/>
  <c r="Y10" i="2" s="1"/>
  <c r="Z10" i="2" s="1"/>
  <c r="AA10" i="2" s="1"/>
  <c r="AB10" i="2" s="1"/>
  <c r="AC10" i="2" s="1"/>
  <c r="R25" i="2"/>
  <c r="R23" i="2"/>
  <c r="R16" i="2"/>
  <c r="R18" i="2" s="1"/>
  <c r="R20" i="2" s="1"/>
  <c r="R33" i="2" s="1"/>
  <c r="S35" i="2"/>
  <c r="S25" i="2"/>
  <c r="S23" i="2"/>
  <c r="S34" i="2"/>
  <c r="T34" i="2"/>
  <c r="S16" i="2"/>
  <c r="S18" i="2" s="1"/>
  <c r="U8" i="2"/>
  <c r="T27" i="2"/>
  <c r="T30" i="2"/>
  <c r="T22" i="2"/>
  <c r="T23" i="2" s="1"/>
  <c r="T21" i="2"/>
  <c r="T19" i="2"/>
  <c r="T17" i="2"/>
  <c r="T15" i="2"/>
  <c r="T14" i="2"/>
  <c r="T13" i="2"/>
  <c r="T12" i="2"/>
  <c r="T11" i="2"/>
  <c r="T10" i="2"/>
  <c r="T8" i="2"/>
  <c r="U21" i="2"/>
  <c r="U14" i="2"/>
  <c r="U10" i="2"/>
  <c r="M30" i="2"/>
  <c r="N30" i="2" s="1"/>
  <c r="U30" i="2" s="1"/>
  <c r="V30" i="2" s="1"/>
  <c r="W30" i="2" s="1"/>
  <c r="X30" i="2" s="1"/>
  <c r="Y30" i="2" s="1"/>
  <c r="Z30" i="2" s="1"/>
  <c r="AA30" i="2" s="1"/>
  <c r="AB30" i="2" s="1"/>
  <c r="AC30" i="2" s="1"/>
  <c r="M32" i="2"/>
  <c r="N22" i="2"/>
  <c r="N23" i="2" s="1"/>
  <c r="M22" i="2"/>
  <c r="N34" i="2"/>
  <c r="M34" i="2"/>
  <c r="K34" i="2"/>
  <c r="J34" i="2"/>
  <c r="I34" i="2"/>
  <c r="L34" i="2"/>
  <c r="M15" i="2"/>
  <c r="M13" i="2"/>
  <c r="M12" i="2"/>
  <c r="M11" i="2"/>
  <c r="M17" i="2"/>
  <c r="M16" i="2"/>
  <c r="M18" i="2" s="1"/>
  <c r="L16" i="2"/>
  <c r="L18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E25" i="2"/>
  <c r="E23" i="2"/>
  <c r="I25" i="2"/>
  <c r="I23" i="2"/>
  <c r="E16" i="2"/>
  <c r="E18" i="2" s="1"/>
  <c r="I16" i="2"/>
  <c r="I18" i="2" s="1"/>
  <c r="I20" i="2" s="1"/>
  <c r="I33" i="2" s="1"/>
  <c r="F25" i="2"/>
  <c r="F23" i="2"/>
  <c r="J25" i="2"/>
  <c r="J23" i="2"/>
  <c r="F16" i="2"/>
  <c r="F18" i="2" s="1"/>
  <c r="F20" i="2" s="1"/>
  <c r="J16" i="2"/>
  <c r="J18" i="2" s="1"/>
  <c r="J20" i="2" s="1"/>
  <c r="J24" i="2" s="1"/>
  <c r="G25" i="2"/>
  <c r="G23" i="2"/>
  <c r="K25" i="2"/>
  <c r="K23" i="2"/>
  <c r="K16" i="2"/>
  <c r="K18" i="2" s="1"/>
  <c r="K20" i="2" s="1"/>
  <c r="K33" i="2" s="1"/>
  <c r="G16" i="2"/>
  <c r="G18" i="2" s="1"/>
  <c r="G20" i="2" s="1"/>
  <c r="H16" i="2"/>
  <c r="H18" i="2" s="1"/>
  <c r="H20" i="2" s="1"/>
  <c r="H25" i="2"/>
  <c r="L23" i="2"/>
  <c r="L25" i="2"/>
  <c r="M25" i="2" s="1"/>
  <c r="N25" i="2" s="1"/>
  <c r="H23" i="2"/>
  <c r="L5" i="1"/>
  <c r="L37" i="2" s="1"/>
  <c r="L4" i="1"/>
  <c r="L7" i="1" l="1"/>
  <c r="E28" i="4"/>
  <c r="H9" i="3"/>
  <c r="S32" i="2"/>
  <c r="S20" i="2"/>
  <c r="S33" i="2" s="1"/>
  <c r="V35" i="2"/>
  <c r="W8" i="2"/>
  <c r="U22" i="2"/>
  <c r="M23" i="2"/>
  <c r="U35" i="2"/>
  <c r="M20" i="2"/>
  <c r="M33" i="2" s="1"/>
  <c r="U25" i="2"/>
  <c r="N17" i="2"/>
  <c r="U17" i="2" s="1"/>
  <c r="V17" i="2" s="1"/>
  <c r="W17" i="2" s="1"/>
  <c r="X17" i="2" s="1"/>
  <c r="Y17" i="2" s="1"/>
  <c r="N11" i="2"/>
  <c r="N16" i="2" s="1"/>
  <c r="N18" i="2" s="1"/>
  <c r="T35" i="2"/>
  <c r="T16" i="2"/>
  <c r="T18" i="2" s="1"/>
  <c r="T20" i="2" s="1"/>
  <c r="N12" i="2"/>
  <c r="U12" i="2" s="1"/>
  <c r="V12" i="2" s="1"/>
  <c r="W12" i="2" s="1"/>
  <c r="X12" i="2" s="1"/>
  <c r="Y12" i="2" s="1"/>
  <c r="U13" i="2"/>
  <c r="V13" i="2" s="1"/>
  <c r="W13" i="2" s="1"/>
  <c r="X13" i="2" s="1"/>
  <c r="Y13" i="2" s="1"/>
  <c r="Z13" i="2" s="1"/>
  <c r="AA13" i="2" s="1"/>
  <c r="AB13" i="2" s="1"/>
  <c r="AC13" i="2" s="1"/>
  <c r="T25" i="2"/>
  <c r="U15" i="2"/>
  <c r="V15" i="2" s="1"/>
  <c r="W15" i="2" s="1"/>
  <c r="X15" i="2" s="1"/>
  <c r="Y15" i="2" s="1"/>
  <c r="Z15" i="2" s="1"/>
  <c r="AA15" i="2" s="1"/>
  <c r="AB15" i="2" s="1"/>
  <c r="AC15" i="2" s="1"/>
  <c r="N13" i="2"/>
  <c r="N15" i="2"/>
  <c r="R24" i="2"/>
  <c r="R26" i="2" s="1"/>
  <c r="R28" i="2" s="1"/>
  <c r="R29" i="2" s="1"/>
  <c r="S24" i="2"/>
  <c r="S26" i="2" s="1"/>
  <c r="S28" i="2" s="1"/>
  <c r="S29" i="2" s="1"/>
  <c r="G24" i="2"/>
  <c r="G26" i="2" s="1"/>
  <c r="G28" i="2" s="1"/>
  <c r="G29" i="2" s="1"/>
  <c r="G33" i="2"/>
  <c r="I32" i="2"/>
  <c r="E20" i="2"/>
  <c r="E33" i="2" s="1"/>
  <c r="J32" i="2"/>
  <c r="J33" i="2"/>
  <c r="I24" i="2"/>
  <c r="I26" i="2" s="1"/>
  <c r="I28" i="2" s="1"/>
  <c r="I29" i="2" s="1"/>
  <c r="F33" i="2"/>
  <c r="F24" i="2"/>
  <c r="F26" i="2" s="1"/>
  <c r="F28" i="2" s="1"/>
  <c r="F29" i="2" s="1"/>
  <c r="J26" i="2"/>
  <c r="J28" i="2" s="1"/>
  <c r="J29" i="2" s="1"/>
  <c r="K32" i="2"/>
  <c r="K24" i="2"/>
  <c r="K26" i="2" s="1"/>
  <c r="K28" i="2" s="1"/>
  <c r="K29" i="2" s="1"/>
  <c r="L32" i="2"/>
  <c r="H33" i="2"/>
  <c r="H24" i="2"/>
  <c r="H26" i="2" s="1"/>
  <c r="H28" i="2" s="1"/>
  <c r="H29" i="2" s="1"/>
  <c r="L20" i="2"/>
  <c r="F25" i="4" l="1"/>
  <c r="E30" i="4"/>
  <c r="N20" i="2"/>
  <c r="N32" i="2"/>
  <c r="T24" i="2"/>
  <c r="T26" i="2" s="1"/>
  <c r="T28" i="2" s="1"/>
  <c r="T29" i="2" s="1"/>
  <c r="T33" i="2"/>
  <c r="U11" i="2"/>
  <c r="T32" i="2"/>
  <c r="M19" i="2"/>
  <c r="M24" i="2"/>
  <c r="M26" i="2" s="1"/>
  <c r="U34" i="2"/>
  <c r="V22" i="2"/>
  <c r="U23" i="2"/>
  <c r="W35" i="2"/>
  <c r="X8" i="2"/>
  <c r="E24" i="2"/>
  <c r="E26" i="2" s="1"/>
  <c r="E28" i="2" s="1"/>
  <c r="E29" i="2" s="1"/>
  <c r="Z12" i="2"/>
  <c r="Z17" i="2"/>
  <c r="L33" i="2"/>
  <c r="L24" i="2"/>
  <c r="L26" i="2" s="1"/>
  <c r="L28" i="2" s="1"/>
  <c r="L29" i="2" s="1"/>
  <c r="F26" i="4" l="1"/>
  <c r="G25" i="4" s="1"/>
  <c r="G26" i="4" s="1"/>
  <c r="G28" i="4" s="1"/>
  <c r="X35" i="2"/>
  <c r="Y8" i="2"/>
  <c r="V23" i="2"/>
  <c r="V34" i="2"/>
  <c r="W22" i="2"/>
  <c r="M27" i="2"/>
  <c r="V11" i="2"/>
  <c r="U16" i="2"/>
  <c r="U18" i="2" s="1"/>
  <c r="N33" i="2"/>
  <c r="N24" i="2"/>
  <c r="N26" i="2" s="1"/>
  <c r="N19" i="2"/>
  <c r="U19" i="2" s="1"/>
  <c r="AA12" i="2"/>
  <c r="AA17" i="2"/>
  <c r="F28" i="4" l="1"/>
  <c r="F30" i="4"/>
  <c r="G30" i="4"/>
  <c r="H25" i="4"/>
  <c r="H26" i="4" s="1"/>
  <c r="N27" i="2"/>
  <c r="N28" i="2"/>
  <c r="N29" i="2" s="1"/>
  <c r="U20" i="2"/>
  <c r="U32" i="2"/>
  <c r="W11" i="2"/>
  <c r="V16" i="2"/>
  <c r="V18" i="2" s="1"/>
  <c r="U27" i="2"/>
  <c r="M28" i="2"/>
  <c r="W34" i="2"/>
  <c r="W23" i="2"/>
  <c r="X22" i="2"/>
  <c r="Z8" i="2"/>
  <c r="Y35" i="2"/>
  <c r="AB12" i="2"/>
  <c r="AB17" i="2"/>
  <c r="H28" i="4" l="1"/>
  <c r="AA8" i="2"/>
  <c r="Z35" i="2"/>
  <c r="X34" i="2"/>
  <c r="Y22" i="2"/>
  <c r="X23" i="2"/>
  <c r="M29" i="2"/>
  <c r="M37" i="2"/>
  <c r="N37" i="2" s="1"/>
  <c r="U37" i="2" s="1"/>
  <c r="V32" i="2"/>
  <c r="V19" i="2"/>
  <c r="V20" i="2" s="1"/>
  <c r="X11" i="2"/>
  <c r="W16" i="2"/>
  <c r="W18" i="2" s="1"/>
  <c r="U33" i="2"/>
  <c r="U24" i="2"/>
  <c r="U26" i="2" s="1"/>
  <c r="U28" i="2" s="1"/>
  <c r="U29" i="2" s="1"/>
  <c r="AC12" i="2"/>
  <c r="AC17" i="2"/>
  <c r="H30" i="4" l="1"/>
  <c r="I25" i="4"/>
  <c r="I26" i="4" s="1"/>
  <c r="V33" i="2"/>
  <c r="V24" i="2"/>
  <c r="W32" i="2"/>
  <c r="W19" i="2"/>
  <c r="W20" i="2" s="1"/>
  <c r="Y11" i="2"/>
  <c r="X16" i="2"/>
  <c r="X18" i="2" s="1"/>
  <c r="V25" i="2"/>
  <c r="Y34" i="2"/>
  <c r="Z22" i="2"/>
  <c r="Y23" i="2"/>
  <c r="AB8" i="2"/>
  <c r="AA35" i="2"/>
  <c r="I28" i="4" l="1"/>
  <c r="W33" i="2"/>
  <c r="W24" i="2"/>
  <c r="AC8" i="2"/>
  <c r="AB35" i="2"/>
  <c r="Z34" i="2"/>
  <c r="AA22" i="2"/>
  <c r="Z23" i="2"/>
  <c r="X32" i="2"/>
  <c r="X19" i="2"/>
  <c r="X20" i="2" s="1"/>
  <c r="Z11" i="2"/>
  <c r="Y16" i="2"/>
  <c r="Y18" i="2" s="1"/>
  <c r="V26" i="2"/>
  <c r="V27" i="2" s="1"/>
  <c r="V28" i="2" s="1"/>
  <c r="I30" i="4" l="1"/>
  <c r="J25" i="4"/>
  <c r="J26" i="4" s="1"/>
  <c r="X33" i="2"/>
  <c r="X24" i="2"/>
  <c r="V29" i="2"/>
  <c r="V37" i="2"/>
  <c r="Y32" i="2"/>
  <c r="Y19" i="2"/>
  <c r="Y20" i="2" s="1"/>
  <c r="AA11" i="2"/>
  <c r="Z16" i="2"/>
  <c r="Z18" i="2" s="1"/>
  <c r="AB22" i="2"/>
  <c r="AA34" i="2"/>
  <c r="AA23" i="2"/>
  <c r="AC35" i="2"/>
  <c r="J28" i="4" l="1"/>
  <c r="Y33" i="2"/>
  <c r="Y24" i="2"/>
  <c r="AC22" i="2"/>
  <c r="AB23" i="2"/>
  <c r="AB34" i="2"/>
  <c r="Z32" i="2"/>
  <c r="Z19" i="2"/>
  <c r="Z20" i="2" s="1"/>
  <c r="AB11" i="2"/>
  <c r="AA16" i="2"/>
  <c r="AA18" i="2" s="1"/>
  <c r="W25" i="2"/>
  <c r="W26" i="2" s="1"/>
  <c r="W27" i="2" s="1"/>
  <c r="W28" i="2" s="1"/>
  <c r="W29" i="2" s="1"/>
  <c r="J30" i="4" l="1"/>
  <c r="K25" i="4"/>
  <c r="K26" i="4" s="1"/>
  <c r="W37" i="2"/>
  <c r="Z33" i="2"/>
  <c r="Z24" i="2"/>
  <c r="X25" i="2"/>
  <c r="X26" i="2" s="1"/>
  <c r="AA19" i="2"/>
  <c r="AA20" i="2" s="1"/>
  <c r="AA32" i="2"/>
  <c r="AC11" i="2"/>
  <c r="AC18" i="2" s="1"/>
  <c r="AB16" i="2"/>
  <c r="AB18" i="2" s="1"/>
  <c r="AC23" i="2"/>
  <c r="AC34" i="2"/>
  <c r="K28" i="4" l="1"/>
  <c r="AA33" i="2"/>
  <c r="AA24" i="2"/>
  <c r="AB19" i="2"/>
  <c r="AB20" i="2" s="1"/>
  <c r="AB32" i="2"/>
  <c r="AC19" i="2"/>
  <c r="AC20" i="2" s="1"/>
  <c r="AC32" i="2"/>
  <c r="X27" i="2"/>
  <c r="X28" i="2" s="1"/>
  <c r="K30" i="4" l="1"/>
  <c r="L25" i="4"/>
  <c r="L26" i="4" s="1"/>
  <c r="AC33" i="2"/>
  <c r="AC24" i="2"/>
  <c r="AB33" i="2"/>
  <c r="AB24" i="2"/>
  <c r="X29" i="2"/>
  <c r="X37" i="2"/>
  <c r="L28" i="4" l="1"/>
  <c r="Y25" i="2"/>
  <c r="Y26" i="2" s="1"/>
  <c r="Y27" i="2" s="1"/>
  <c r="Y28" i="2" s="1"/>
  <c r="Y29" i="2" s="1"/>
  <c r="L30" i="4" l="1"/>
  <c r="M25" i="4"/>
  <c r="M26" i="4" s="1"/>
  <c r="Y37" i="2"/>
  <c r="Z25" i="2" s="1"/>
  <c r="Z26" i="2" s="1"/>
  <c r="Z27" i="2" s="1"/>
  <c r="Z28" i="2" s="1"/>
  <c r="M28" i="4" l="1"/>
  <c r="Z29" i="2"/>
  <c r="Z37" i="2"/>
  <c r="AA25" i="2" s="1"/>
  <c r="AA26" i="2" s="1"/>
  <c r="AA27" i="2" s="1"/>
  <c r="AA28" i="2" s="1"/>
  <c r="AA29" i="2" s="1"/>
  <c r="N25" i="4" l="1"/>
  <c r="AA37" i="2"/>
  <c r="AB25" i="2"/>
  <c r="AB26" i="2" s="1"/>
  <c r="N26" i="4" l="1"/>
  <c r="N28" i="4" s="1"/>
  <c r="AB27" i="2"/>
  <c r="AB28" i="2"/>
  <c r="AB29" i="2" l="1"/>
  <c r="AB37" i="2"/>
  <c r="AC25" i="2" l="1"/>
  <c r="AC26" i="2" s="1"/>
  <c r="AC27" i="2" l="1"/>
  <c r="AC28" i="2" s="1"/>
  <c r="AC29" i="2" l="1"/>
  <c r="AD28" i="2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AF36" i="2" s="1"/>
  <c r="AF37" i="2" s="1"/>
  <c r="AC37" i="2"/>
  <c r="AF38" i="2" l="1"/>
</calcChain>
</file>

<file path=xl/sharedStrings.xml><?xml version="1.0" encoding="utf-8"?>
<sst xmlns="http://schemas.openxmlformats.org/spreadsheetml/2006/main" count="156" uniqueCount="136">
  <si>
    <t>Price</t>
  </si>
  <si>
    <t>Shares</t>
  </si>
  <si>
    <t>MC</t>
  </si>
  <si>
    <t>Cash</t>
  </si>
  <si>
    <t>Debt</t>
  </si>
  <si>
    <t>EV</t>
  </si>
  <si>
    <t>Q222</t>
  </si>
  <si>
    <t>Name</t>
  </si>
  <si>
    <t>Voxzogo (vosoritide)</t>
  </si>
  <si>
    <t>Palynziq (pegvaliase)</t>
  </si>
  <si>
    <t>Brineura (cerliponase)</t>
  </si>
  <si>
    <t>Vimizim (elosulfase)</t>
  </si>
  <si>
    <t>Kuvan (sapropterin)</t>
  </si>
  <si>
    <t>Naglazyme (galsulfase)</t>
  </si>
  <si>
    <t>Aldurazyme (laronidase)</t>
  </si>
  <si>
    <t>Indication</t>
  </si>
  <si>
    <t>Achondroplasia</t>
  </si>
  <si>
    <t>PKU</t>
  </si>
  <si>
    <t>Batten</t>
  </si>
  <si>
    <t>MPS IVA</t>
  </si>
  <si>
    <t>MPS VI</t>
  </si>
  <si>
    <t>MPS I</t>
  </si>
  <si>
    <t>Approved</t>
  </si>
  <si>
    <t>Economics</t>
  </si>
  <si>
    <t>SNY</t>
  </si>
  <si>
    <t>MRK GY</t>
  </si>
  <si>
    <t>Admin</t>
  </si>
  <si>
    <t>IP</t>
  </si>
  <si>
    <t>Oral</t>
  </si>
  <si>
    <t>valoctogene roxaparvovec</t>
  </si>
  <si>
    <t>Phase</t>
  </si>
  <si>
    <t>III</t>
  </si>
  <si>
    <t>Hemophilia A</t>
  </si>
  <si>
    <t>IV</t>
  </si>
  <si>
    <t>MOA</t>
  </si>
  <si>
    <t>ERT</t>
  </si>
  <si>
    <t>AAV F8</t>
  </si>
  <si>
    <t>BMN 331</t>
  </si>
  <si>
    <t>I</t>
  </si>
  <si>
    <t>HAE</t>
  </si>
  <si>
    <t>BMN 307</t>
  </si>
  <si>
    <t>PC</t>
  </si>
  <si>
    <t>BMN 255</t>
  </si>
  <si>
    <t>Hyperoxaluria</t>
  </si>
  <si>
    <t>BMN 349</t>
  </si>
  <si>
    <t>A1AT</t>
  </si>
  <si>
    <t>BMN 351</t>
  </si>
  <si>
    <t>DMD</t>
  </si>
  <si>
    <t>BMN 293/DINA-001</t>
  </si>
  <si>
    <t>HCM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</si>
  <si>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</si>
  <si>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</si>
  <si>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</si>
  <si>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</si>
  <si>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</si>
  <si>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</si>
  <si>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</si>
  <si>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</si>
  <si>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</si>
  <si>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</si>
  <si>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</si>
  <si>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</si>
  <si>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</si>
  <si>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Royalty</t>
  </si>
  <si>
    <t>Products</t>
  </si>
  <si>
    <t>COGS</t>
  </si>
  <si>
    <t>Gross Profit</t>
  </si>
  <si>
    <t>Operating Income</t>
  </si>
  <si>
    <t>Operating Expenses</t>
  </si>
  <si>
    <t>R&amp;D</t>
  </si>
  <si>
    <t>SG&amp;A</t>
  </si>
  <si>
    <t>EPS</t>
  </si>
  <si>
    <t>Net Profit</t>
  </si>
  <si>
    <t>Interest Expense</t>
  </si>
  <si>
    <t>Pretax Income</t>
  </si>
  <si>
    <t>Taxes</t>
  </si>
  <si>
    <t>Revenue y/y</t>
  </si>
  <si>
    <t>Gross Margin</t>
  </si>
  <si>
    <t>Vimizim</t>
  </si>
  <si>
    <t>Naglazyme</t>
  </si>
  <si>
    <t>Palynziq</t>
  </si>
  <si>
    <t>Kuvan</t>
  </si>
  <si>
    <t>Brineura</t>
  </si>
  <si>
    <t>Voxzogo</t>
  </si>
  <si>
    <t>Aldurazyme</t>
  </si>
  <si>
    <t>US</t>
  </si>
  <si>
    <t>EU</t>
  </si>
  <si>
    <t>ROW</t>
  </si>
  <si>
    <t>LatAm</t>
  </si>
  <si>
    <t>SG&amp;A y/y</t>
  </si>
  <si>
    <t>Vimizim y/y</t>
  </si>
  <si>
    <t>Discount</t>
  </si>
  <si>
    <t>Maturity</t>
  </si>
  <si>
    <t>NPV</t>
  </si>
  <si>
    <t>Share</t>
  </si>
  <si>
    <t>THREE KEY QUESTIONS</t>
  </si>
  <si>
    <t>1. How big can Voxzogo get? $400m? $600m? $800m?</t>
  </si>
  <si>
    <t>2. What will valrox do? Zero? $500m? $1B+?</t>
  </si>
  <si>
    <t>3. What is the base business growth, if any?</t>
  </si>
  <si>
    <t>4. Is the rest of the pipeline worth anything?</t>
  </si>
  <si>
    <t>Net Cash</t>
  </si>
  <si>
    <t>ROIC</t>
  </si>
  <si>
    <t>Val/Vox</t>
  </si>
  <si>
    <t>ValRox</t>
  </si>
  <si>
    <t>Delta</t>
  </si>
  <si>
    <t>Brand</t>
  </si>
  <si>
    <t>Generic</t>
  </si>
  <si>
    <t>Clinical Trials</t>
  </si>
  <si>
    <t>Regulatory</t>
  </si>
  <si>
    <t>BLA accepted 10/12/2022, PDUFA 3/31/2023</t>
  </si>
  <si>
    <t>No participants have developed inhibitors to Factor VIII, thromboembolic events or malignancy associated with valoctocogene roxaparvovec.</t>
  </si>
  <si>
    <t>ValRox Treated</t>
  </si>
  <si>
    <t>US Patient Pool</t>
  </si>
  <si>
    <t>AAV5 Factor VIII gene therapy</t>
  </si>
  <si>
    <t>Hemophilia A. 1:10,000 people have hemophilia A</t>
  </si>
  <si>
    <t>Roctavian (valoctogene roxaparvovec)</t>
  </si>
  <si>
    <t>CCO: Jeff Ajer</t>
  </si>
  <si>
    <t>EU approved 8/24/22, sales start in Q422</t>
  </si>
  <si>
    <t>20,000 in 70 countries in Europe, 8,000 in "footprint", 3,200 "indicated"</t>
  </si>
  <si>
    <t>Cumulative</t>
  </si>
  <si>
    <t>Manufacturing</t>
  </si>
  <si>
    <t>Baculovirus</t>
  </si>
  <si>
    <t>Phase III "GENEr8-1" n=134 Hemophilia A</t>
  </si>
  <si>
    <t>PE at 104 weeks F8 activity</t>
  </si>
  <si>
    <t>6 months</t>
  </si>
  <si>
    <t>12 months</t>
  </si>
  <si>
    <t>18 months</t>
  </si>
  <si>
    <t>24 months</t>
  </si>
  <si>
    <t>36 months</t>
  </si>
  <si>
    <t>CSA</t>
  </si>
  <si>
    <t>OSA</t>
  </si>
  <si>
    <t>&lt;=5 IU/dL</t>
  </si>
  <si>
    <t>6E13 - 74% of patients had 0 bleeds at 2 years</t>
  </si>
  <si>
    <t>Competition</t>
  </si>
  <si>
    <t xml:space="preserve">  2a. Who else is pursuing hemophilia</t>
  </si>
  <si>
    <t>Belief Biomed BBM 002, DTX201/BAY2599023, ASC Therapeutics ASC 618, SPK-8011 (Roche), PF-07055480, Expression Therapeutics, LLC, SPK-8016 (Roche), Freeline Therapeutics, CSL AMT-061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</si>
</sst>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7" xfId="0" applyBorder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3" fillId="0" borderId="0" xfId="0" applyFont="1"/>
    <xf numFmtId="4" fontId="0" fillId="0" borderId="4" xfId="0" applyNumberFormat="1" applyBorder="1"/>
    <xf numFmtId="4" fontId="0" fillId="0" borderId="6" xfId="0" applyNumberFormat="1" applyBorder="1"/>
    <xf numFmtId="4" fontId="0" fillId="0" borderId="10" xfId="0" applyNumberFormat="1" applyBorder="1"/>
    <xf numFmtId="4" fontId="0" fillId="2" borderId="9" xfId="0" applyNumberFormat="1" applyFill="1" applyBorder="1"/>
    <xf numFmtId="9" fontId="1" fillId="2" borderId="0" xfId="0" applyNumberFormat="1" applyFont="1" applyFill="1"/>
    <xf numFmtId="9" fontId="0" fillId="3" borderId="0" xfId="0" applyNumberFormat="1" applyFill="1"/>
    <xf numFmtId="9" fontId="0" fillId="4" borderId="0" xfId="0" applyNumberFormat="1" applyFill="1"/>
    <xf numFmtId="4" fontId="1" fillId="4" borderId="0" xfId="0" applyNumberFormat="1" applyFont="1" applyFill="1"/>
    <xf numFmtId="4" fontId="0" fillId="4" borderId="10" xfId="0" applyNumberFormat="1" applyFill="1" applyBorder="1"/>
    <xf numFmtId="4" fontId="0" fillId="4" borderId="0" xfId="0" applyNumberFormat="1" applyFill="1"/>
    <xf numFmtId="4" fontId="0" fillId="4" borderId="8" xfId="0" applyNumberFormat="1" applyFill="1" applyBorder="1"/>
    <xf numFmtId="9" fontId="1" fillId="3" borderId="0" xfId="0" applyNumberFormat="1" applyFont="1" applyFill="1"/>
    <xf numFmtId="4" fontId="1" fillId="0" borderId="10" xfId="0" applyNumberFormat="1" applyFont="1" applyBorder="1"/>
    <xf numFmtId="4" fontId="1" fillId="0" borderId="0" xfId="0" applyNumberFormat="1" applyFont="1"/>
    <xf numFmtId="4" fontId="1" fillId="0" borderId="7" xfId="0" applyNumberFormat="1" applyFont="1" applyBorder="1"/>
    <xf numFmtId="0" fontId="2" fillId="0" borderId="4" xfId="1" applyBorder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9649</xdr:colOff>
      <xdr:row>0</xdr:row>
      <xdr:rowOff>32410</xdr:rowOff>
    </xdr:from>
    <xdr:to>
      <xdr:col>12</xdr:col>
      <xdr:colOff>9649</xdr:colOff>
      <xdr:row>44</xdr:row>
      <xdr:rowOff>65484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948877-654B-BFB3-1647-625114A49D41}"/>
            </a:ext>
          </a:extLst>
        </xdr:cNvPr>
        <xdr:cNvCxnSpPr/>
      </xdr:nvCxnSpPr>
      <xdr:spPr>
        <a:xfrm>
          <a:off x="7623696" y="32410"/>
          <a:ext cx="0" cy="69446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31421</xdr:colOff>
      <xdr:row>0</xdr:row>
      <xdr:rowOff>0</xdr:rowOff>
    </xdr:from>
    <xdr:to>
      <xdr:col>20</xdr:col>
      <xdr:colOff>31421</xdr:colOff>
      <xdr:row>45</xdr:row>
      <xdr:rowOff>71437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B76C57-8012-4D5F-8D3D-257B1CBEBF90}"/>
            </a:ext>
          </a:extLst>
        </xdr:cNvPr>
        <xdr:cNvCxnSpPr/>
      </xdr:nvCxnSpPr>
      <xdr:spPr>
        <a:xfrm>
          <a:off x="12503218" y="0"/>
          <a:ext cx="0" cy="714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D52D-8D10-4D01-9D30-7F79A6792282}">
  <dimension ref="B2:M26"/>
  <sheetViews>
    <sheetView tabSelected="1" zoomScale="160" zoomScaleNormal="160" workbookViewId="0">
      <selection activeCell="K4" sqref="K4"/>
    </sheetView>
  </sheetViews>
  <sheetFormatPr defaultRowHeight="12.75" x14ac:dyDescent="0.2"/>
  <cols>
    <col min="1" max="1" width="2.7109375" customWidth="1"/>
    <col min="2" max="2" width="23.140625" customWidth="1"/>
    <col min="3" max="3" width="13.5703125" customWidth="1"/>
    <col min="4" max="4" width="11.140625" customWidth="1"/>
    <col min="5" max="6" width="12.5703125" customWidth="1"/>
    <col min="9" max="10" width="4.85546875" customWidth="1"/>
    <col min="13" max="13" width="8.42578125" customWidth="1"/>
  </cols>
  <sheetData>
    <row r="2" spans="2:13" x14ac:dyDescent="0.2">
      <c r="B2" s="5" t="s">
        <v>7</v>
      </c>
      <c r="C2" s="6" t="s">
        <v>15</v>
      </c>
      <c r="D2" s="13" t="s">
        <v>22</v>
      </c>
      <c r="E2" s="13" t="s">
        <v>23</v>
      </c>
      <c r="F2" s="13" t="s">
        <v>34</v>
      </c>
      <c r="G2" s="13" t="s">
        <v>26</v>
      </c>
      <c r="H2" s="17" t="s">
        <v>27</v>
      </c>
      <c r="K2" t="s">
        <v>0</v>
      </c>
      <c r="L2" s="1">
        <v>90</v>
      </c>
      <c r="M2" s="30"/>
    </row>
    <row r="3" spans="2:13" x14ac:dyDescent="0.2">
      <c r="B3" s="8" t="s">
        <v>8</v>
      </c>
      <c r="C3" t="s">
        <v>16</v>
      </c>
      <c r="D3" s="14">
        <v>44519</v>
      </c>
      <c r="E3" s="16">
        <v>1</v>
      </c>
      <c r="F3" s="16"/>
      <c r="G3" s="3"/>
      <c r="H3" s="18"/>
      <c r="K3" t="s">
        <v>1</v>
      </c>
      <c r="L3" s="2">
        <v>185.47386700000001</v>
      </c>
      <c r="M3" s="3" t="s">
        <v>6</v>
      </c>
    </row>
    <row r="4" spans="2:13" x14ac:dyDescent="0.2">
      <c r="B4" s="8" t="s">
        <v>9</v>
      </c>
      <c r="C4" t="s">
        <v>17</v>
      </c>
      <c r="D4" s="14">
        <v>43244</v>
      </c>
      <c r="E4" s="16">
        <v>1</v>
      </c>
      <c r="F4" s="16"/>
      <c r="G4" s="3"/>
      <c r="H4" s="18"/>
      <c r="K4" t="s">
        <v>2</v>
      </c>
      <c r="L4" s="2">
        <f>+L2*L3</f>
        <v>16692.64803</v>
      </c>
    </row>
    <row r="5" spans="2:13" x14ac:dyDescent="0.2">
      <c r="B5" s="8" t="s">
        <v>10</v>
      </c>
      <c r="C5" t="s">
        <v>18</v>
      </c>
      <c r="D5" s="14">
        <v>42852</v>
      </c>
      <c r="E5" s="16">
        <v>1</v>
      </c>
      <c r="F5" s="16"/>
      <c r="G5" s="3"/>
      <c r="H5" s="18"/>
      <c r="K5" t="s">
        <v>3</v>
      </c>
      <c r="L5" s="2">
        <f>619.802+489.945+412.503</f>
        <v>1522.25</v>
      </c>
      <c r="M5" s="3" t="s">
        <v>6</v>
      </c>
    </row>
    <row r="6" spans="2:13" x14ac:dyDescent="0.2">
      <c r="B6" s="8" t="s">
        <v>11</v>
      </c>
      <c r="C6" t="s">
        <v>19</v>
      </c>
      <c r="D6" s="14">
        <v>41684</v>
      </c>
      <c r="E6" s="16">
        <v>1</v>
      </c>
      <c r="F6" s="16" t="s">
        <v>35</v>
      </c>
      <c r="G6" s="3"/>
      <c r="H6" s="18"/>
      <c r="K6" t="s">
        <v>4</v>
      </c>
      <c r="L6" s="2">
        <v>1081.047</v>
      </c>
      <c r="M6" s="3" t="s">
        <v>6</v>
      </c>
    </row>
    <row r="7" spans="2:13" x14ac:dyDescent="0.2">
      <c r="B7" s="8" t="s">
        <v>12</v>
      </c>
      <c r="C7" t="s">
        <v>17</v>
      </c>
      <c r="D7" s="14">
        <v>39429</v>
      </c>
      <c r="E7" s="3" t="s">
        <v>25</v>
      </c>
      <c r="F7" s="3"/>
      <c r="G7" s="3" t="s">
        <v>28</v>
      </c>
      <c r="H7" s="18"/>
      <c r="K7" t="s">
        <v>5</v>
      </c>
      <c r="L7" s="2">
        <f>+L4-L5+L6</f>
        <v>16251.445030000001</v>
      </c>
    </row>
    <row r="8" spans="2:13" x14ac:dyDescent="0.2">
      <c r="B8" s="8" t="s">
        <v>13</v>
      </c>
      <c r="C8" t="s">
        <v>20</v>
      </c>
      <c r="D8" s="14">
        <v>38503</v>
      </c>
      <c r="E8" s="16">
        <v>1</v>
      </c>
      <c r="F8" s="16" t="s">
        <v>35</v>
      </c>
      <c r="G8" s="3"/>
      <c r="H8" s="18"/>
    </row>
    <row r="9" spans="2:13" x14ac:dyDescent="0.2">
      <c r="B9" s="8" t="s">
        <v>14</v>
      </c>
      <c r="C9" t="s">
        <v>21</v>
      </c>
      <c r="D9" s="14">
        <v>37741</v>
      </c>
      <c r="E9" s="3" t="s">
        <v>24</v>
      </c>
      <c r="F9" s="3" t="s">
        <v>35</v>
      </c>
      <c r="G9" s="3"/>
      <c r="H9" s="18"/>
    </row>
    <row r="10" spans="2:13" x14ac:dyDescent="0.2">
      <c r="B10" s="10"/>
      <c r="C10" s="11"/>
      <c r="D10" s="15"/>
      <c r="E10" s="11"/>
      <c r="F10" s="15"/>
      <c r="G10" s="11"/>
      <c r="H10" s="12"/>
      <c r="K10" t="s">
        <v>116</v>
      </c>
    </row>
    <row r="11" spans="2:13" x14ac:dyDescent="0.2">
      <c r="B11" s="5"/>
      <c r="C11" s="6"/>
      <c r="D11" s="19" t="s">
        <v>30</v>
      </c>
      <c r="E11" s="6"/>
      <c r="F11" s="13"/>
      <c r="G11" s="13"/>
      <c r="H11" s="7"/>
    </row>
    <row r="12" spans="2:13" x14ac:dyDescent="0.2">
      <c r="B12" s="47" t="s">
        <v>115</v>
      </c>
      <c r="C12" t="s">
        <v>32</v>
      </c>
      <c r="D12" s="20" t="s">
        <v>31</v>
      </c>
      <c r="E12" s="30">
        <v>1</v>
      </c>
      <c r="F12" s="16" t="s">
        <v>36</v>
      </c>
      <c r="G12" s="3" t="s">
        <v>33</v>
      </c>
      <c r="H12" s="9"/>
    </row>
    <row r="13" spans="2:13" x14ac:dyDescent="0.2">
      <c r="B13" s="8" t="s">
        <v>37</v>
      </c>
      <c r="C13" t="s">
        <v>39</v>
      </c>
      <c r="D13" s="20" t="s">
        <v>38</v>
      </c>
      <c r="F13" s="3"/>
      <c r="G13" s="3"/>
      <c r="H13" s="9"/>
    </row>
    <row r="14" spans="2:13" x14ac:dyDescent="0.2">
      <c r="B14" s="8" t="s">
        <v>40</v>
      </c>
      <c r="C14" t="s">
        <v>17</v>
      </c>
      <c r="D14" s="20" t="s">
        <v>41</v>
      </c>
      <c r="F14" s="3"/>
      <c r="G14" s="3"/>
      <c r="H14" s="9"/>
    </row>
    <row r="15" spans="2:13" x14ac:dyDescent="0.2">
      <c r="B15" s="8" t="s">
        <v>42</v>
      </c>
      <c r="C15" t="s">
        <v>43</v>
      </c>
      <c r="D15" s="20" t="s">
        <v>41</v>
      </c>
      <c r="F15" s="3"/>
      <c r="G15" s="3"/>
      <c r="H15" s="9"/>
    </row>
    <row r="16" spans="2:13" x14ac:dyDescent="0.2">
      <c r="B16" s="8" t="s">
        <v>44</v>
      </c>
      <c r="C16" t="s">
        <v>45</v>
      </c>
      <c r="D16" s="20" t="s">
        <v>41</v>
      </c>
      <c r="F16" s="3"/>
      <c r="G16" s="3"/>
      <c r="H16" s="9"/>
    </row>
    <row r="17" spans="2:8" x14ac:dyDescent="0.2">
      <c r="B17" s="8" t="s">
        <v>46</v>
      </c>
      <c r="C17" t="s">
        <v>47</v>
      </c>
      <c r="D17" s="20" t="s">
        <v>41</v>
      </c>
      <c r="F17" s="3"/>
      <c r="G17" s="3"/>
      <c r="H17" s="9"/>
    </row>
    <row r="18" spans="2:8" x14ac:dyDescent="0.2">
      <c r="B18" s="10" t="s">
        <v>48</v>
      </c>
      <c r="C18" s="11" t="s">
        <v>49</v>
      </c>
      <c r="D18" s="21" t="s">
        <v>41</v>
      </c>
      <c r="E18" s="11"/>
      <c r="F18" s="15"/>
      <c r="G18" s="15"/>
      <c r="H18" s="12"/>
    </row>
    <row r="20" spans="2:8" x14ac:dyDescent="0.2">
      <c r="B20" s="31" t="s">
        <v>95</v>
      </c>
    </row>
    <row r="21" spans="2:8" x14ac:dyDescent="0.2">
      <c r="B21" t="s">
        <v>96</v>
      </c>
    </row>
    <row r="22" spans="2:8" x14ac:dyDescent="0.2">
      <c r="B22" s="23" t="s">
        <v>97</v>
      </c>
    </row>
    <row r="23" spans="2:8" x14ac:dyDescent="0.2">
      <c r="B23" s="23" t="s">
        <v>134</v>
      </c>
    </row>
    <row r="24" spans="2:8" x14ac:dyDescent="0.2">
      <c r="B24" s="23"/>
    </row>
    <row r="25" spans="2:8" x14ac:dyDescent="0.2">
      <c r="B25" t="s">
        <v>98</v>
      </c>
    </row>
    <row r="26" spans="2:8" x14ac:dyDescent="0.2">
      <c r="B26" t="s">
        <v>99</v>
      </c>
    </row>
  </sheetData>
  <hyperlinks>
    <hyperlink ref="B12" location="valrox!A1" display="Roctavian (valoctogene roxaparvovec)" xr:uid="{E70517BA-A69B-4419-96B8-40614DF47CFE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E64F-F7F4-44D8-89AE-BB5BF258514B}">
  <dimension ref="A1:N30"/>
  <sheetViews>
    <sheetView zoomScale="160" zoomScaleNormal="160" workbookViewId="0">
      <selection activeCell="D17" sqref="D17"/>
    </sheetView>
  </sheetViews>
  <sheetFormatPr defaultRowHeight="12.75" x14ac:dyDescent="0.2"/>
  <cols>
    <col min="1" max="1" width="5" bestFit="1" customWidth="1"/>
    <col min="2" max="2" width="14.42578125" customWidth="1"/>
    <col min="3" max="9" width="9.7109375" customWidth="1"/>
    <col min="10" max="11" width="9.85546875" customWidth="1"/>
    <col min="12" max="12" width="10.28515625" customWidth="1"/>
    <col min="13" max="13" width="9.85546875" customWidth="1"/>
    <col min="14" max="14" width="10.42578125" customWidth="1"/>
  </cols>
  <sheetData>
    <row r="1" spans="1:9" x14ac:dyDescent="0.2">
      <c r="A1" s="22" t="s">
        <v>50</v>
      </c>
    </row>
    <row r="2" spans="1:9" x14ac:dyDescent="0.2">
      <c r="B2" t="s">
        <v>105</v>
      </c>
    </row>
    <row r="3" spans="1:9" x14ac:dyDescent="0.2">
      <c r="B3" t="s">
        <v>106</v>
      </c>
      <c r="C3" t="s">
        <v>29</v>
      </c>
    </row>
    <row r="4" spans="1:9" x14ac:dyDescent="0.2">
      <c r="B4" t="s">
        <v>15</v>
      </c>
      <c r="C4" t="s">
        <v>114</v>
      </c>
    </row>
    <row r="5" spans="1:9" x14ac:dyDescent="0.2">
      <c r="C5" t="s">
        <v>118</v>
      </c>
    </row>
    <row r="6" spans="1:9" x14ac:dyDescent="0.2">
      <c r="B6" t="s">
        <v>34</v>
      </c>
      <c r="C6" t="s">
        <v>113</v>
      </c>
      <c r="I6" s="2"/>
    </row>
    <row r="7" spans="1:9" x14ac:dyDescent="0.2">
      <c r="B7" t="s">
        <v>108</v>
      </c>
      <c r="C7" t="s">
        <v>109</v>
      </c>
    </row>
    <row r="8" spans="1:9" x14ac:dyDescent="0.2">
      <c r="C8" t="s">
        <v>117</v>
      </c>
    </row>
    <row r="9" spans="1:9" x14ac:dyDescent="0.2">
      <c r="B9" t="s">
        <v>133</v>
      </c>
      <c r="C9" t="s">
        <v>135</v>
      </c>
    </row>
    <row r="10" spans="1:9" x14ac:dyDescent="0.2">
      <c r="B10" t="s">
        <v>120</v>
      </c>
      <c r="C10" t="s">
        <v>121</v>
      </c>
    </row>
    <row r="11" spans="1:9" x14ac:dyDescent="0.2">
      <c r="B11" t="s">
        <v>107</v>
      </c>
    </row>
    <row r="12" spans="1:9" x14ac:dyDescent="0.2">
      <c r="C12" s="31" t="s">
        <v>122</v>
      </c>
    </row>
    <row r="13" spans="1:9" x14ac:dyDescent="0.2">
      <c r="C13" t="s">
        <v>110</v>
      </c>
    </row>
    <row r="14" spans="1:9" x14ac:dyDescent="0.2">
      <c r="C14" s="48" t="s">
        <v>132</v>
      </c>
    </row>
    <row r="15" spans="1:9" x14ac:dyDescent="0.2">
      <c r="C15" t="s">
        <v>123</v>
      </c>
    </row>
    <row r="16" spans="1:9" x14ac:dyDescent="0.2">
      <c r="D16" s="3" t="s">
        <v>129</v>
      </c>
      <c r="E16" s="3" t="s">
        <v>130</v>
      </c>
      <c r="G16" t="s">
        <v>131</v>
      </c>
      <c r="H16" s="3" t="s">
        <v>129</v>
      </c>
      <c r="I16" s="3" t="s">
        <v>130</v>
      </c>
    </row>
    <row r="17" spans="2:14" x14ac:dyDescent="0.2">
      <c r="C17" t="s">
        <v>124</v>
      </c>
      <c r="D17" s="3">
        <v>52.6</v>
      </c>
      <c r="E17" s="3">
        <v>80.8</v>
      </c>
      <c r="H17" s="3"/>
      <c r="I17" s="3"/>
    </row>
    <row r="18" spans="2:14" x14ac:dyDescent="0.2">
      <c r="C18" t="s">
        <v>125</v>
      </c>
      <c r="D18" s="3">
        <v>42.4</v>
      </c>
      <c r="E18" s="3">
        <v>63.4</v>
      </c>
      <c r="F18" s="30">
        <f t="shared" ref="F18:F20" si="0">+E18/E17-1</f>
        <v>-0.21534653465346532</v>
      </c>
      <c r="H18" s="16">
        <v>0.12</v>
      </c>
      <c r="I18" s="16">
        <v>7.0000000000000007E-2</v>
      </c>
    </row>
    <row r="19" spans="2:14" x14ac:dyDescent="0.2">
      <c r="C19" t="s">
        <v>126</v>
      </c>
      <c r="D19" s="3">
        <v>26.1</v>
      </c>
      <c r="E19" s="3">
        <v>38.6</v>
      </c>
      <c r="F19" s="30">
        <f t="shared" si="0"/>
        <v>-0.39116719242902209</v>
      </c>
      <c r="H19" s="3"/>
      <c r="I19" s="3"/>
    </row>
    <row r="20" spans="2:14" x14ac:dyDescent="0.2">
      <c r="C20" t="s">
        <v>127</v>
      </c>
      <c r="D20" s="3">
        <v>22.7</v>
      </c>
      <c r="E20" s="3">
        <v>35.6</v>
      </c>
      <c r="F20" s="30">
        <f t="shared" si="0"/>
        <v>-7.7720207253885953E-2</v>
      </c>
      <c r="H20" s="16">
        <v>0.25</v>
      </c>
      <c r="I20" s="16">
        <v>0.15</v>
      </c>
    </row>
    <row r="21" spans="2:14" x14ac:dyDescent="0.2">
      <c r="C21" t="s">
        <v>128</v>
      </c>
      <c r="D21" s="3">
        <v>15.2</v>
      </c>
      <c r="E21" s="3">
        <v>24.6</v>
      </c>
      <c r="F21" s="30">
        <f>+E21/E20-1</f>
        <v>-0.3089887640449438</v>
      </c>
      <c r="H21" s="16">
        <v>0.37</v>
      </c>
      <c r="I21" s="16">
        <v>0.27</v>
      </c>
    </row>
    <row r="24" spans="2:14" x14ac:dyDescent="0.2">
      <c r="C24">
        <v>2023</v>
      </c>
      <c r="D24">
        <f>+C24+1</f>
        <v>2024</v>
      </c>
      <c r="E24">
        <f t="shared" ref="E24:N24" si="1">+D24+1</f>
        <v>2025</v>
      </c>
      <c r="F24">
        <f t="shared" si="1"/>
        <v>2026</v>
      </c>
      <c r="G24">
        <f t="shared" si="1"/>
        <v>2027</v>
      </c>
      <c r="H24">
        <f t="shared" si="1"/>
        <v>2028</v>
      </c>
      <c r="I24">
        <f t="shared" si="1"/>
        <v>2029</v>
      </c>
      <c r="J24">
        <f t="shared" si="1"/>
        <v>2030</v>
      </c>
      <c r="K24">
        <f t="shared" si="1"/>
        <v>2031</v>
      </c>
      <c r="L24">
        <f t="shared" si="1"/>
        <v>2032</v>
      </c>
      <c r="M24">
        <f t="shared" si="1"/>
        <v>2033</v>
      </c>
      <c r="N24">
        <f t="shared" si="1"/>
        <v>2034</v>
      </c>
    </row>
    <row r="25" spans="2:14" x14ac:dyDescent="0.2">
      <c r="B25" t="s">
        <v>112</v>
      </c>
      <c r="C25" s="2">
        <f>330000000/10000</f>
        <v>33000</v>
      </c>
      <c r="D25" s="2">
        <f>+C25-C26</f>
        <v>32700</v>
      </c>
      <c r="E25" s="2">
        <f>+D25-D26</f>
        <v>32100</v>
      </c>
      <c r="F25" s="2">
        <f t="shared" ref="F25:G25" si="2">+E25-E26</f>
        <v>31137</v>
      </c>
      <c r="G25" s="2">
        <f t="shared" si="2"/>
        <v>30202.89</v>
      </c>
      <c r="H25" s="2">
        <f t="shared" ref="H25:I25" si="3">+G25-G26</f>
        <v>29296.8033</v>
      </c>
      <c r="I25" s="2">
        <f t="shared" si="3"/>
        <v>28417.899201</v>
      </c>
      <c r="J25" s="2">
        <f t="shared" ref="J25:L25" si="4">+I25-I26</f>
        <v>27565.362224969998</v>
      </c>
      <c r="K25" s="2">
        <f t="shared" si="4"/>
        <v>26738.401358220897</v>
      </c>
      <c r="L25" s="2">
        <f t="shared" si="4"/>
        <v>25936.24931747427</v>
      </c>
      <c r="M25" s="2">
        <f t="shared" ref="M25:N25" si="5">+L25-L26</f>
        <v>25158.161837950043</v>
      </c>
      <c r="N25" s="2">
        <f t="shared" si="5"/>
        <v>24403.416982811541</v>
      </c>
    </row>
    <row r="26" spans="2:14" x14ac:dyDescent="0.2">
      <c r="B26" t="s">
        <v>111</v>
      </c>
      <c r="C26" s="2">
        <v>300</v>
      </c>
      <c r="D26" s="2">
        <v>600</v>
      </c>
      <c r="E26" s="2">
        <f>+E25*0.03</f>
        <v>963</v>
      </c>
      <c r="F26" s="2">
        <f t="shared" ref="F26:N26" si="6">+F25*0.03</f>
        <v>934.11</v>
      </c>
      <c r="G26" s="2">
        <f t="shared" si="6"/>
        <v>906.08669999999995</v>
      </c>
      <c r="H26" s="2">
        <f t="shared" si="6"/>
        <v>878.90409899999997</v>
      </c>
      <c r="I26" s="2">
        <f t="shared" si="6"/>
        <v>852.53697603000001</v>
      </c>
      <c r="J26" s="2">
        <f t="shared" si="6"/>
        <v>826.96086674909986</v>
      </c>
      <c r="K26" s="2">
        <f t="shared" si="6"/>
        <v>802.15204074662688</v>
      </c>
      <c r="L26" s="2">
        <f t="shared" si="6"/>
        <v>778.08747952422812</v>
      </c>
      <c r="M26" s="2">
        <f t="shared" si="6"/>
        <v>754.74485513850129</v>
      </c>
      <c r="N26" s="2">
        <f t="shared" si="6"/>
        <v>732.10250948434623</v>
      </c>
    </row>
    <row r="27" spans="2:14" x14ac:dyDescent="0.2">
      <c r="B27" t="s">
        <v>0</v>
      </c>
      <c r="C27" s="2">
        <v>2000</v>
      </c>
      <c r="D27" s="2">
        <v>2000</v>
      </c>
      <c r="E27" s="2">
        <v>2000</v>
      </c>
      <c r="F27" s="2">
        <v>2000</v>
      </c>
      <c r="G27" s="2">
        <v>2000</v>
      </c>
      <c r="H27" s="2">
        <v>2000</v>
      </c>
      <c r="I27" s="2">
        <v>2000</v>
      </c>
      <c r="J27" s="2">
        <v>2000</v>
      </c>
      <c r="K27" s="2">
        <v>2000</v>
      </c>
      <c r="L27" s="2">
        <v>2000</v>
      </c>
      <c r="M27" s="2">
        <v>2000</v>
      </c>
      <c r="N27" s="2">
        <v>2000</v>
      </c>
    </row>
    <row r="28" spans="2:14" s="23" customFormat="1" x14ac:dyDescent="0.2">
      <c r="B28" s="23" t="s">
        <v>51</v>
      </c>
      <c r="C28" s="4">
        <f>+C26*C27</f>
        <v>600000</v>
      </c>
      <c r="D28" s="4">
        <f t="shared" ref="D28:I28" si="7">+D26*D27</f>
        <v>1200000</v>
      </c>
      <c r="E28" s="4">
        <f t="shared" si="7"/>
        <v>1926000</v>
      </c>
      <c r="F28" s="4">
        <f t="shared" si="7"/>
        <v>1868220</v>
      </c>
      <c r="G28" s="4">
        <f t="shared" si="7"/>
        <v>1812173.4</v>
      </c>
      <c r="H28" s="4">
        <f t="shared" si="7"/>
        <v>1757808.1979999999</v>
      </c>
      <c r="I28" s="4">
        <f t="shared" si="7"/>
        <v>1705073.95206</v>
      </c>
      <c r="J28" s="4">
        <f t="shared" ref="J28" si="8">+J26*J27</f>
        <v>1653921.7334981998</v>
      </c>
      <c r="K28" s="4">
        <f t="shared" ref="K28" si="9">+K26*K27</f>
        <v>1604304.0814932538</v>
      </c>
      <c r="L28" s="4">
        <f t="shared" ref="L28" si="10">+L26*L27</f>
        <v>1556174.9590484563</v>
      </c>
      <c r="M28" s="4">
        <f t="shared" ref="M28" si="11">+M26*M27</f>
        <v>1509489.7102770025</v>
      </c>
      <c r="N28" s="4">
        <f t="shared" ref="N28" si="12">+N26*N27</f>
        <v>1464205.0189686925</v>
      </c>
    </row>
    <row r="30" spans="2:14" x14ac:dyDescent="0.2">
      <c r="B30" t="s">
        <v>119</v>
      </c>
      <c r="D30" s="2">
        <f>D26+C26</f>
        <v>900</v>
      </c>
      <c r="E30" s="2">
        <f>+D30+E26</f>
        <v>1863</v>
      </c>
      <c r="F30" s="2">
        <f t="shared" ref="F30:L30" si="13">+E30+F26</f>
        <v>2797.11</v>
      </c>
      <c r="G30" s="2">
        <f t="shared" si="13"/>
        <v>3703.1967</v>
      </c>
      <c r="H30" s="2">
        <f t="shared" si="13"/>
        <v>4582.1007989999998</v>
      </c>
      <c r="I30" s="2">
        <f t="shared" si="13"/>
        <v>5434.6377750299998</v>
      </c>
      <c r="J30" s="2">
        <f t="shared" si="13"/>
        <v>6261.5986417791</v>
      </c>
      <c r="K30" s="2">
        <f t="shared" si="13"/>
        <v>7063.7506825257269</v>
      </c>
      <c r="L30" s="2">
        <f t="shared" si="13"/>
        <v>7841.8381620499549</v>
      </c>
    </row>
  </sheetData>
  <hyperlinks>
    <hyperlink ref="A1" location="Main!A1" display="Main" xr:uid="{C51FEB2E-034C-40F6-8038-95D6F02F18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0A15-29A8-4F13-9FCA-9B377E9F471D}">
  <dimension ref="A1:H10"/>
  <sheetViews>
    <sheetView zoomScale="250" zoomScaleNormal="250" workbookViewId="0">
      <selection activeCell="D5" sqref="D5"/>
    </sheetView>
  </sheetViews>
  <sheetFormatPr defaultRowHeight="12.75" x14ac:dyDescent="0.2"/>
  <cols>
    <col min="1" max="1" width="5" bestFit="1" customWidth="1"/>
  </cols>
  <sheetData>
    <row r="1" spans="1:8" x14ac:dyDescent="0.2">
      <c r="A1" s="22" t="s">
        <v>50</v>
      </c>
    </row>
    <row r="3" spans="1:8" x14ac:dyDescent="0.2">
      <c r="B3" s="3" t="s">
        <v>102</v>
      </c>
      <c r="C3">
        <v>0</v>
      </c>
      <c r="D3" s="4">
        <v>500</v>
      </c>
      <c r="E3" s="2">
        <v>1000</v>
      </c>
      <c r="F3" s="2">
        <v>2000</v>
      </c>
      <c r="G3" s="2">
        <v>3000</v>
      </c>
      <c r="H3" s="2">
        <v>4000</v>
      </c>
    </row>
    <row r="4" spans="1:8" x14ac:dyDescent="0.2">
      <c r="B4">
        <v>400</v>
      </c>
      <c r="C4" s="35">
        <v>68</v>
      </c>
      <c r="D4" s="44">
        <f>+D5-7</f>
        <v>86</v>
      </c>
      <c r="E4" s="34">
        <f t="shared" ref="E4:F4" si="0">+E5-7</f>
        <v>104</v>
      </c>
      <c r="F4" s="40">
        <f t="shared" si="0"/>
        <v>141</v>
      </c>
      <c r="G4" s="40">
        <f t="shared" ref="G4" si="1">+G5-7</f>
        <v>167</v>
      </c>
      <c r="H4" s="40">
        <f t="shared" ref="H4" si="2">+H5-7</f>
        <v>196</v>
      </c>
    </row>
    <row r="5" spans="1:8" x14ac:dyDescent="0.2">
      <c r="B5">
        <v>600</v>
      </c>
      <c r="C5" s="32">
        <v>75</v>
      </c>
      <c r="D5" s="45">
        <f>+D6-6</f>
        <v>93</v>
      </c>
      <c r="E5" s="1">
        <f t="shared" ref="E5:F5" si="3">+E6-6</f>
        <v>111</v>
      </c>
      <c r="F5" s="41">
        <f t="shared" si="3"/>
        <v>148</v>
      </c>
      <c r="G5" s="41">
        <f t="shared" ref="G5" si="4">+G6-6</f>
        <v>174</v>
      </c>
      <c r="H5" s="41">
        <f t="shared" ref="H5" si="5">+H6-6</f>
        <v>203</v>
      </c>
    </row>
    <row r="6" spans="1:8" x14ac:dyDescent="0.2">
      <c r="B6">
        <v>800</v>
      </c>
      <c r="C6" s="33">
        <v>81</v>
      </c>
      <c r="D6" s="46">
        <v>99</v>
      </c>
      <c r="E6" s="42">
        <v>117</v>
      </c>
      <c r="F6" s="39">
        <v>154</v>
      </c>
      <c r="G6" s="39">
        <v>180</v>
      </c>
      <c r="H6" s="39">
        <v>209</v>
      </c>
    </row>
    <row r="7" spans="1:8" x14ac:dyDescent="0.2">
      <c r="D7" s="23"/>
    </row>
    <row r="8" spans="1:8" x14ac:dyDescent="0.2">
      <c r="B8" s="3" t="s">
        <v>104</v>
      </c>
      <c r="C8" s="36">
        <f>+C4/90-1</f>
        <v>-0.24444444444444446</v>
      </c>
      <c r="D8" s="43">
        <f t="shared" ref="D8:F8" si="6">+D4/90-1</f>
        <v>-4.4444444444444398E-2</v>
      </c>
      <c r="E8" s="30">
        <f t="shared" si="6"/>
        <v>0.15555555555555545</v>
      </c>
      <c r="F8" s="38">
        <f t="shared" si="6"/>
        <v>0.56666666666666665</v>
      </c>
      <c r="G8" s="38">
        <f t="shared" ref="G8:H8" si="7">+G4/90-1</f>
        <v>0.85555555555555562</v>
      </c>
      <c r="H8" s="38">
        <f t="shared" si="7"/>
        <v>1.1777777777777776</v>
      </c>
    </row>
    <row r="9" spans="1:8" x14ac:dyDescent="0.2">
      <c r="C9" s="37">
        <f t="shared" ref="C9:F9" si="8">+C5/90-1</f>
        <v>-0.16666666666666663</v>
      </c>
      <c r="D9" s="29">
        <f t="shared" si="8"/>
        <v>3.3333333333333437E-2</v>
      </c>
      <c r="E9" s="30">
        <f t="shared" si="8"/>
        <v>0.23333333333333339</v>
      </c>
      <c r="F9" s="38">
        <f t="shared" si="8"/>
        <v>0.64444444444444438</v>
      </c>
      <c r="G9" s="38">
        <f t="shared" ref="G9:H9" si="9">+G5/90-1</f>
        <v>0.93333333333333335</v>
      </c>
      <c r="H9" s="38">
        <f t="shared" si="9"/>
        <v>1.2555555555555555</v>
      </c>
    </row>
    <row r="10" spans="1:8" x14ac:dyDescent="0.2">
      <c r="C10" s="37">
        <f t="shared" ref="C10:G10" si="10">+C6/90-1</f>
        <v>-9.9999999999999978E-2</v>
      </c>
      <c r="D10" s="29">
        <f t="shared" si="10"/>
        <v>0.10000000000000009</v>
      </c>
      <c r="E10" s="38">
        <f t="shared" si="10"/>
        <v>0.30000000000000004</v>
      </c>
      <c r="F10" s="38">
        <f t="shared" si="10"/>
        <v>0.71111111111111103</v>
      </c>
      <c r="G10" s="38">
        <f t="shared" si="10"/>
        <v>1</v>
      </c>
      <c r="H10" s="38">
        <f t="shared" ref="H10" si="11">+H6/90-1</f>
        <v>1.3222222222222224</v>
      </c>
    </row>
  </sheetData>
  <hyperlinks>
    <hyperlink ref="A1" location="Main!A1" display="Main" xr:uid="{6A390398-FFC2-4430-9FE1-6766737CC2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7BFD-C986-43B5-AFE7-A2D1E0EBF425}">
  <dimension ref="A1:DF38"/>
  <sheetViews>
    <sheetView zoomScale="160" zoomScaleNormal="160"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AG3" sqref="AG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  <col min="31" max="31" width="11.140625" bestFit="1" customWidth="1"/>
  </cols>
  <sheetData>
    <row r="1" spans="1:29" x14ac:dyDescent="0.2">
      <c r="A1" s="22" t="s">
        <v>50</v>
      </c>
    </row>
    <row r="2" spans="1:29" x14ac:dyDescent="0.2">
      <c r="C2" s="3" t="s">
        <v>52</v>
      </c>
      <c r="D2" s="3" t="s">
        <v>53</v>
      </c>
      <c r="E2" s="3" t="s">
        <v>54</v>
      </c>
      <c r="F2" s="3" t="s">
        <v>55</v>
      </c>
      <c r="G2" s="3" t="s">
        <v>56</v>
      </c>
      <c r="H2" s="3" t="s">
        <v>57</v>
      </c>
      <c r="I2" s="3" t="s">
        <v>58</v>
      </c>
      <c r="J2" s="3" t="s">
        <v>59</v>
      </c>
      <c r="K2" s="3" t="s">
        <v>60</v>
      </c>
      <c r="L2" s="3" t="s">
        <v>6</v>
      </c>
      <c r="M2" s="3" t="s">
        <v>61</v>
      </c>
      <c r="N2" s="3" t="s">
        <v>62</v>
      </c>
      <c r="Q2">
        <v>2018</v>
      </c>
      <c r="R2">
        <f>+Q2+1</f>
        <v>2019</v>
      </c>
      <c r="S2">
        <f>+R2+1</f>
        <v>2020</v>
      </c>
      <c r="T2">
        <f>+S2+1</f>
        <v>2021</v>
      </c>
      <c r="U2">
        <f t="shared" ref="U2:AC2" si="0">+T2+1</f>
        <v>2022</v>
      </c>
      <c r="V2">
        <f t="shared" si="0"/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</row>
    <row r="3" spans="1:29" s="2" customFormat="1" x14ac:dyDescent="0.2">
      <c r="B3" s="2" t="s">
        <v>85</v>
      </c>
      <c r="C3" s="25"/>
      <c r="D3" s="25"/>
      <c r="E3" s="25"/>
      <c r="F3" s="25"/>
      <c r="G3" s="25"/>
      <c r="H3" s="25">
        <v>169.411</v>
      </c>
      <c r="I3" s="25"/>
      <c r="J3" s="25"/>
      <c r="K3" s="25"/>
      <c r="L3" s="25">
        <v>169.83799999999999</v>
      </c>
      <c r="M3" s="25"/>
      <c r="N3" s="25"/>
    </row>
    <row r="4" spans="1:29" s="2" customFormat="1" x14ac:dyDescent="0.2">
      <c r="B4" s="2" t="s">
        <v>86</v>
      </c>
      <c r="C4" s="25"/>
      <c r="D4" s="25"/>
      <c r="E4" s="25"/>
      <c r="F4" s="25"/>
      <c r="G4" s="25"/>
      <c r="H4" s="25">
        <v>166.70400000000001</v>
      </c>
      <c r="I4" s="25"/>
      <c r="J4" s="25"/>
      <c r="K4" s="25"/>
      <c r="L4" s="25">
        <v>161.22999999999999</v>
      </c>
      <c r="M4" s="25"/>
      <c r="N4" s="25"/>
    </row>
    <row r="5" spans="1:29" s="2" customFormat="1" x14ac:dyDescent="0.2">
      <c r="B5" s="2" t="s">
        <v>88</v>
      </c>
      <c r="C5" s="25"/>
      <c r="D5" s="25"/>
      <c r="E5" s="25"/>
      <c r="F5" s="25"/>
      <c r="G5" s="25"/>
      <c r="H5" s="25">
        <v>42.247999999999998</v>
      </c>
      <c r="I5" s="25"/>
      <c r="J5" s="25"/>
      <c r="K5" s="25"/>
      <c r="L5" s="25">
        <v>89.911000000000001</v>
      </c>
      <c r="M5" s="25"/>
      <c r="N5" s="25"/>
    </row>
    <row r="6" spans="1:29" s="2" customFormat="1" x14ac:dyDescent="0.2">
      <c r="B6" s="2" t="s">
        <v>87</v>
      </c>
      <c r="C6" s="25"/>
      <c r="D6" s="25"/>
      <c r="E6" s="25"/>
      <c r="F6" s="25"/>
      <c r="G6" s="25"/>
      <c r="H6" s="25">
        <v>80.179000000000002</v>
      </c>
      <c r="I6" s="25"/>
      <c r="J6" s="25"/>
      <c r="K6" s="25"/>
      <c r="L6" s="25">
        <v>59.353999999999999</v>
      </c>
      <c r="M6" s="25"/>
      <c r="N6" s="25"/>
    </row>
    <row r="7" spans="1:29" x14ac:dyDescent="0.2">
      <c r="H7" s="25"/>
      <c r="I7" s="25"/>
      <c r="J7" s="25"/>
      <c r="K7" s="25"/>
      <c r="L7" s="25"/>
    </row>
    <row r="8" spans="1:29" s="2" customFormat="1" x14ac:dyDescent="0.2">
      <c r="B8" s="2" t="s">
        <v>78</v>
      </c>
      <c r="C8" s="25"/>
      <c r="D8" s="25"/>
      <c r="E8" s="25">
        <v>147.9</v>
      </c>
      <c r="F8" s="25">
        <v>142.5</v>
      </c>
      <c r="G8" s="25">
        <v>158.4</v>
      </c>
      <c r="H8" s="25">
        <v>171.655</v>
      </c>
      <c r="I8" s="25">
        <v>136.9</v>
      </c>
      <c r="J8" s="25">
        <v>156.30000000000001</v>
      </c>
      <c r="K8" s="25">
        <v>183</v>
      </c>
      <c r="L8" s="25">
        <v>173.20599999999999</v>
      </c>
      <c r="M8" s="25">
        <v>165</v>
      </c>
      <c r="N8" s="25">
        <v>165</v>
      </c>
      <c r="R8" s="2">
        <v>544.29999999999995</v>
      </c>
      <c r="S8" s="2">
        <v>544.4</v>
      </c>
      <c r="T8" s="2">
        <f>SUM(G8:J8)</f>
        <v>623.25500000000011</v>
      </c>
      <c r="U8" s="2">
        <f>SUM(K8:N8)</f>
        <v>686.20600000000002</v>
      </c>
      <c r="V8" s="2">
        <f>+U8*1.07</f>
        <v>734.24042000000009</v>
      </c>
      <c r="W8" s="2">
        <f t="shared" ref="W8" si="1">+V8*1.07</f>
        <v>785.63724940000009</v>
      </c>
      <c r="X8" s="2">
        <f>+W8*1.04</f>
        <v>817.06273937600008</v>
      </c>
      <c r="Y8" s="2">
        <f t="shared" ref="Y8:AC8" si="2">+X8*1.04</f>
        <v>849.74524895104014</v>
      </c>
      <c r="Z8" s="2">
        <f t="shared" si="2"/>
        <v>883.73505890908177</v>
      </c>
      <c r="AA8" s="2">
        <f t="shared" si="2"/>
        <v>919.08446126544504</v>
      </c>
      <c r="AB8" s="2">
        <f t="shared" si="2"/>
        <v>955.84783971606282</v>
      </c>
      <c r="AC8" s="2">
        <f t="shared" si="2"/>
        <v>994.08175330470533</v>
      </c>
    </row>
    <row r="9" spans="1:29" s="2" customFormat="1" x14ac:dyDescent="0.2">
      <c r="B9" s="2" t="s">
        <v>103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T9" s="2">
        <v>0</v>
      </c>
      <c r="U9" s="2">
        <v>0</v>
      </c>
      <c r="V9" s="2">
        <v>500</v>
      </c>
      <c r="W9" s="2">
        <v>1000</v>
      </c>
      <c r="X9" s="2">
        <v>1500</v>
      </c>
      <c r="Y9" s="2">
        <v>2000</v>
      </c>
      <c r="Z9" s="2">
        <f>+Y9*1.2</f>
        <v>2400</v>
      </c>
      <c r="AA9" s="2">
        <f>+Z9*1.2</f>
        <v>2880</v>
      </c>
      <c r="AB9" s="2">
        <f>+AA9*1.2</f>
        <v>3456</v>
      </c>
      <c r="AC9" s="2">
        <f>+AB9*1.15</f>
        <v>3974.3999999999996</v>
      </c>
    </row>
    <row r="10" spans="1:29" s="2" customFormat="1" x14ac:dyDescent="0.2">
      <c r="B10" s="2" t="s">
        <v>79</v>
      </c>
      <c r="C10" s="25"/>
      <c r="D10" s="25"/>
      <c r="E10" s="25">
        <v>76.3</v>
      </c>
      <c r="F10" s="25">
        <v>119.7</v>
      </c>
      <c r="G10" s="25">
        <v>107.3</v>
      </c>
      <c r="H10" s="25">
        <v>118.813</v>
      </c>
      <c r="I10" s="25">
        <v>71.2</v>
      </c>
      <c r="J10" s="25">
        <v>83.1</v>
      </c>
      <c r="K10" s="25">
        <v>128</v>
      </c>
      <c r="L10" s="25">
        <v>115.783</v>
      </c>
      <c r="M10" s="25">
        <v>100</v>
      </c>
      <c r="N10" s="25">
        <v>100</v>
      </c>
      <c r="R10" s="2">
        <v>374.3</v>
      </c>
      <c r="S10" s="2">
        <v>391.3</v>
      </c>
      <c r="T10" s="2">
        <f t="shared" ref="T10:T22" si="3">SUM(G10:J10)</f>
        <v>380.41300000000001</v>
      </c>
      <c r="U10" s="2">
        <f t="shared" ref="U10:U22" si="4">SUM(K10:N10)</f>
        <v>443.78300000000002</v>
      </c>
      <c r="V10" s="2">
        <f>+U10*1.04</f>
        <v>461.53432000000004</v>
      </c>
      <c r="W10" s="2">
        <f t="shared" ref="W10:AC10" si="5">+V10*1.04</f>
        <v>479.99569280000003</v>
      </c>
      <c r="X10" s="2">
        <f t="shared" si="5"/>
        <v>499.19552051200003</v>
      </c>
      <c r="Y10" s="2">
        <f t="shared" si="5"/>
        <v>519.16334133248006</v>
      </c>
      <c r="Z10" s="2">
        <f t="shared" si="5"/>
        <v>539.92987498577929</v>
      </c>
      <c r="AA10" s="2">
        <f t="shared" si="5"/>
        <v>561.52706998521046</v>
      </c>
      <c r="AB10" s="2">
        <f t="shared" si="5"/>
        <v>583.98815278461893</v>
      </c>
      <c r="AC10" s="2">
        <f t="shared" si="5"/>
        <v>607.34767889600369</v>
      </c>
    </row>
    <row r="11" spans="1:29" s="2" customFormat="1" x14ac:dyDescent="0.2">
      <c r="B11" s="2" t="s">
        <v>80</v>
      </c>
      <c r="C11" s="25"/>
      <c r="D11" s="25"/>
      <c r="E11" s="25">
        <v>46.1</v>
      </c>
      <c r="F11" s="25">
        <v>49.6</v>
      </c>
      <c r="G11" s="25">
        <v>54</v>
      </c>
      <c r="H11" s="25">
        <v>58.935000000000002</v>
      </c>
      <c r="I11" s="25">
        <v>60.7</v>
      </c>
      <c r="J11" s="25">
        <v>63.8</v>
      </c>
      <c r="K11" s="25">
        <v>54.9</v>
      </c>
      <c r="L11" s="25">
        <v>61.643000000000001</v>
      </c>
      <c r="M11" s="25">
        <f>+L11+1</f>
        <v>62.643000000000001</v>
      </c>
      <c r="N11" s="25">
        <f>+M11+1</f>
        <v>63.643000000000001</v>
      </c>
      <c r="R11" s="2">
        <v>86.9</v>
      </c>
      <c r="S11" s="2">
        <v>171</v>
      </c>
      <c r="T11" s="2">
        <f t="shared" si="3"/>
        <v>237.435</v>
      </c>
      <c r="U11" s="2">
        <f t="shared" si="4"/>
        <v>242.82900000000001</v>
      </c>
      <c r="V11" s="2">
        <f>+U11*1.05</f>
        <v>254.97045000000003</v>
      </c>
      <c r="W11" s="2">
        <f t="shared" ref="W11:AC11" si="6">+V11*1.05</f>
        <v>267.71897250000006</v>
      </c>
      <c r="X11" s="2">
        <f t="shared" si="6"/>
        <v>281.10492112500009</v>
      </c>
      <c r="Y11" s="2">
        <f t="shared" si="6"/>
        <v>295.16016718125013</v>
      </c>
      <c r="Z11" s="2">
        <f t="shared" si="6"/>
        <v>309.91817554031263</v>
      </c>
      <c r="AA11" s="2">
        <f t="shared" si="6"/>
        <v>325.41408431732827</v>
      </c>
      <c r="AB11" s="2">
        <f t="shared" si="6"/>
        <v>341.68478853319471</v>
      </c>
      <c r="AC11" s="2">
        <f t="shared" si="6"/>
        <v>358.76902795985444</v>
      </c>
    </row>
    <row r="12" spans="1:29" s="2" customFormat="1" x14ac:dyDescent="0.2">
      <c r="B12" s="2" t="s">
        <v>81</v>
      </c>
      <c r="C12" s="25"/>
      <c r="D12" s="25"/>
      <c r="E12" s="25">
        <v>124.1</v>
      </c>
      <c r="F12" s="25">
        <v>89</v>
      </c>
      <c r="G12" s="25">
        <v>70.8</v>
      </c>
      <c r="H12" s="25">
        <v>78.807000000000002</v>
      </c>
      <c r="I12" s="25">
        <v>67.7</v>
      </c>
      <c r="J12" s="25">
        <v>68.5</v>
      </c>
      <c r="K12" s="25">
        <v>59.3</v>
      </c>
      <c r="L12" s="25">
        <v>57.601999999999997</v>
      </c>
      <c r="M12" s="25">
        <f>+L12-3</f>
        <v>54.601999999999997</v>
      </c>
      <c r="N12" s="25">
        <f>+M12-3</f>
        <v>51.601999999999997</v>
      </c>
      <c r="R12" s="2">
        <v>463.4</v>
      </c>
      <c r="S12" s="2">
        <v>457.7</v>
      </c>
      <c r="T12" s="2">
        <f t="shared" si="3"/>
        <v>285.80700000000002</v>
      </c>
      <c r="U12" s="2">
        <f t="shared" si="4"/>
        <v>223.10599999999999</v>
      </c>
      <c r="V12" s="2">
        <f>+U12*0.9</f>
        <v>200.7954</v>
      </c>
      <c r="W12" s="2">
        <f t="shared" ref="W12:AC12" si="7">+V12*0.9</f>
        <v>180.71585999999999</v>
      </c>
      <c r="X12" s="2">
        <f t="shared" si="7"/>
        <v>162.644274</v>
      </c>
      <c r="Y12" s="2">
        <f t="shared" si="7"/>
        <v>146.37984660000001</v>
      </c>
      <c r="Z12" s="2">
        <f t="shared" si="7"/>
        <v>131.74186194000001</v>
      </c>
      <c r="AA12" s="2">
        <f t="shared" si="7"/>
        <v>118.56767574600001</v>
      </c>
      <c r="AB12" s="2">
        <f t="shared" si="7"/>
        <v>106.71090817140001</v>
      </c>
      <c r="AC12" s="2">
        <f t="shared" si="7"/>
        <v>96.039817354260009</v>
      </c>
    </row>
    <row r="13" spans="1:29" s="2" customFormat="1" x14ac:dyDescent="0.2">
      <c r="B13" s="2" t="s">
        <v>82</v>
      </c>
      <c r="C13" s="25"/>
      <c r="D13" s="25"/>
      <c r="E13" s="25">
        <v>25.4</v>
      </c>
      <c r="F13" s="25">
        <v>35</v>
      </c>
      <c r="G13" s="25">
        <v>27.3</v>
      </c>
      <c r="H13" s="25">
        <v>30.332000000000001</v>
      </c>
      <c r="I13" s="25">
        <v>32.9</v>
      </c>
      <c r="J13" s="25">
        <v>37.4</v>
      </c>
      <c r="K13" s="25">
        <v>36.200000000000003</v>
      </c>
      <c r="L13" s="25">
        <v>37.725000000000001</v>
      </c>
      <c r="M13" s="25">
        <f>+L13+1</f>
        <v>38.725000000000001</v>
      </c>
      <c r="N13" s="25">
        <f>+M13+1</f>
        <v>39.725000000000001</v>
      </c>
      <c r="R13" s="2">
        <v>72</v>
      </c>
      <c r="S13" s="2">
        <v>110.2</v>
      </c>
      <c r="T13" s="2">
        <f t="shared" si="3"/>
        <v>127.93200000000002</v>
      </c>
      <c r="U13" s="2">
        <f t="shared" si="4"/>
        <v>152.375</v>
      </c>
      <c r="V13" s="2">
        <f>+U13*1.1</f>
        <v>167.61250000000001</v>
      </c>
      <c r="W13" s="2">
        <f>+V13*1.1</f>
        <v>184.37375000000003</v>
      </c>
      <c r="X13" s="2">
        <f>+W13*1.05</f>
        <v>193.59243750000005</v>
      </c>
      <c r="Y13" s="2">
        <f t="shared" ref="Y13:AC13" si="8">+X13*1.05</f>
        <v>203.27205937500005</v>
      </c>
      <c r="Z13" s="2">
        <f t="shared" si="8"/>
        <v>213.43566234375007</v>
      </c>
      <c r="AA13" s="2">
        <f t="shared" si="8"/>
        <v>224.10744546093758</v>
      </c>
      <c r="AB13" s="2">
        <f t="shared" si="8"/>
        <v>235.31281773398447</v>
      </c>
      <c r="AC13" s="2">
        <f t="shared" si="8"/>
        <v>247.0784586206837</v>
      </c>
    </row>
    <row r="14" spans="1:29" s="2" customFormat="1" x14ac:dyDescent="0.2">
      <c r="B14" s="2" t="s">
        <v>83</v>
      </c>
      <c r="C14" s="25"/>
      <c r="D14" s="25"/>
      <c r="E14" s="25">
        <v>0</v>
      </c>
      <c r="F14" s="25">
        <v>0</v>
      </c>
      <c r="G14" s="25">
        <v>0</v>
      </c>
      <c r="H14" s="25">
        <v>0</v>
      </c>
      <c r="I14" s="25">
        <v>0.1</v>
      </c>
      <c r="J14" s="25">
        <v>5.8</v>
      </c>
      <c r="K14" s="25">
        <v>19.7</v>
      </c>
      <c r="L14" s="25">
        <v>34.374000000000002</v>
      </c>
      <c r="M14" s="25">
        <v>40</v>
      </c>
      <c r="N14" s="25">
        <v>60</v>
      </c>
      <c r="R14" s="2">
        <v>0</v>
      </c>
      <c r="S14" s="2">
        <v>0</v>
      </c>
      <c r="T14" s="2">
        <f t="shared" si="3"/>
        <v>5.8999999999999995</v>
      </c>
      <c r="U14" s="2">
        <f t="shared" si="4"/>
        <v>154.07400000000001</v>
      </c>
      <c r="V14" s="2">
        <v>320</v>
      </c>
      <c r="W14" s="2">
        <v>500</v>
      </c>
      <c r="X14" s="2">
        <f>+W14*1.08</f>
        <v>540</v>
      </c>
      <c r="Y14" s="2">
        <f t="shared" ref="Y14:AC14" si="9">+X14*1.08</f>
        <v>583.20000000000005</v>
      </c>
      <c r="Z14" s="2">
        <f t="shared" si="9"/>
        <v>629.85600000000011</v>
      </c>
      <c r="AA14" s="2">
        <f t="shared" si="9"/>
        <v>680.24448000000018</v>
      </c>
      <c r="AB14" s="2">
        <f t="shared" si="9"/>
        <v>734.66403840000021</v>
      </c>
      <c r="AC14" s="2">
        <f t="shared" si="9"/>
        <v>793.4371614720003</v>
      </c>
    </row>
    <row r="15" spans="1:29" s="2" customFormat="1" x14ac:dyDescent="0.2">
      <c r="B15" s="2" t="s">
        <v>84</v>
      </c>
      <c r="C15" s="25"/>
      <c r="D15" s="25"/>
      <c r="E15" s="25">
        <v>40.9</v>
      </c>
      <c r="F15" s="25">
        <v>1.2</v>
      </c>
      <c r="G15" s="25">
        <v>50</v>
      </c>
      <c r="H15" s="25">
        <v>28.128</v>
      </c>
      <c r="I15" s="25">
        <v>24.4</v>
      </c>
      <c r="J15" s="25">
        <v>20.3</v>
      </c>
      <c r="K15" s="25">
        <v>24.4</v>
      </c>
      <c r="L15" s="25">
        <v>37.326999999999998</v>
      </c>
      <c r="M15" s="25">
        <f>AVERAGE(E15:L15)</f>
        <v>28.331875</v>
      </c>
      <c r="N15" s="25">
        <f>AVERAGE(F15:M15)</f>
        <v>26.760859374999999</v>
      </c>
      <c r="R15" s="2">
        <v>97.8</v>
      </c>
      <c r="S15" s="2">
        <v>130.1</v>
      </c>
      <c r="T15" s="2">
        <f t="shared" si="3"/>
        <v>122.82799999999999</v>
      </c>
      <c r="U15" s="2">
        <f t="shared" si="4"/>
        <v>116.819734375</v>
      </c>
      <c r="V15" s="2">
        <f>+U15*1.03</f>
        <v>120.32432640624999</v>
      </c>
      <c r="W15" s="2">
        <f t="shared" ref="W15:AC15" si="10">+V15*1.03</f>
        <v>123.9340561984375</v>
      </c>
      <c r="X15" s="2">
        <f t="shared" si="10"/>
        <v>127.65207788439064</v>
      </c>
      <c r="Y15" s="2">
        <f t="shared" si="10"/>
        <v>131.48164022092234</v>
      </c>
      <c r="Z15" s="2">
        <f t="shared" si="10"/>
        <v>135.42608942755001</v>
      </c>
      <c r="AA15" s="2">
        <f t="shared" si="10"/>
        <v>139.48887211037652</v>
      </c>
      <c r="AB15" s="2">
        <f t="shared" si="10"/>
        <v>143.67353827368783</v>
      </c>
      <c r="AC15" s="2">
        <f t="shared" si="10"/>
        <v>147.98374442189845</v>
      </c>
    </row>
    <row r="16" spans="1:29" s="2" customFormat="1" x14ac:dyDescent="0.2">
      <c r="B16" s="2" t="s">
        <v>64</v>
      </c>
      <c r="C16" s="25"/>
      <c r="D16" s="25"/>
      <c r="E16" s="25">
        <f t="shared" ref="E16:L16" si="11">SUM(E8:E15)</f>
        <v>460.69999999999993</v>
      </c>
      <c r="F16" s="25">
        <f t="shared" si="11"/>
        <v>437</v>
      </c>
      <c r="G16" s="25">
        <f t="shared" si="11"/>
        <v>467.8</v>
      </c>
      <c r="H16" s="25">
        <f t="shared" si="11"/>
        <v>486.67</v>
      </c>
      <c r="I16" s="25">
        <f t="shared" si="11"/>
        <v>393.9</v>
      </c>
      <c r="J16" s="25">
        <f t="shared" si="11"/>
        <v>435.2</v>
      </c>
      <c r="K16" s="25">
        <f t="shared" si="11"/>
        <v>505.49999999999994</v>
      </c>
      <c r="L16" s="25">
        <f t="shared" si="11"/>
        <v>517.66</v>
      </c>
      <c r="M16" s="25">
        <f t="shared" ref="M16:N16" si="12">SUM(M8:M15)</f>
        <v>489.30187500000005</v>
      </c>
      <c r="N16" s="25">
        <f t="shared" si="12"/>
        <v>506.73085937500002</v>
      </c>
      <c r="R16" s="2">
        <f>SUM(R8:R15)</f>
        <v>1638.6999999999998</v>
      </c>
      <c r="S16" s="2">
        <f>SUM(S8:S15)</f>
        <v>1804.7</v>
      </c>
      <c r="T16" s="2">
        <f>SUM(T8:T15)</f>
        <v>1783.5700000000002</v>
      </c>
      <c r="U16" s="2">
        <f>SUM(U8:U15)</f>
        <v>2019.1927343750001</v>
      </c>
      <c r="V16" s="2">
        <f t="shared" ref="V16:AB16" si="13">SUM(V8:V15)</f>
        <v>2759.4774164062501</v>
      </c>
      <c r="W16" s="2">
        <f t="shared" si="13"/>
        <v>3522.3755808984383</v>
      </c>
      <c r="X16" s="2">
        <f t="shared" si="13"/>
        <v>4121.2519703973912</v>
      </c>
      <c r="Y16" s="2">
        <f t="shared" si="13"/>
        <v>4728.4023036606932</v>
      </c>
      <c r="Z16" s="2">
        <f t="shared" si="13"/>
        <v>5244.0427231464737</v>
      </c>
      <c r="AA16" s="2">
        <f t="shared" si="13"/>
        <v>5848.4340888852976</v>
      </c>
      <c r="AB16" s="2">
        <f t="shared" si="13"/>
        <v>6557.882083612948</v>
      </c>
      <c r="AC16" s="2">
        <f>SUM(AC8:AC15)</f>
        <v>7219.1376420294055</v>
      </c>
    </row>
    <row r="17" spans="2:110" s="2" customFormat="1" x14ac:dyDescent="0.2">
      <c r="B17" s="2" t="s">
        <v>63</v>
      </c>
      <c r="C17" s="25"/>
      <c r="D17" s="25"/>
      <c r="E17" s="25">
        <v>16.042999999999999</v>
      </c>
      <c r="F17" s="25">
        <v>15.071999999999999</v>
      </c>
      <c r="G17" s="25">
        <v>18.260999999999999</v>
      </c>
      <c r="H17" s="25">
        <v>15.023</v>
      </c>
      <c r="I17" s="25">
        <v>14.901999999999999</v>
      </c>
      <c r="J17" s="25">
        <v>14.590999999999999</v>
      </c>
      <c r="K17" s="25">
        <v>13.834</v>
      </c>
      <c r="L17" s="25">
        <v>16.138000000000002</v>
      </c>
      <c r="M17" s="25">
        <f>AVERAGE(E17:L17)</f>
        <v>15.483000000000001</v>
      </c>
      <c r="N17" s="25">
        <f>AVERAGE(F17:M17)</f>
        <v>15.413</v>
      </c>
      <c r="R17" s="2">
        <v>43.005000000000003</v>
      </c>
      <c r="S17" s="2">
        <v>54.594000000000001</v>
      </c>
      <c r="T17" s="2">
        <f t="shared" si="3"/>
        <v>62.777000000000001</v>
      </c>
      <c r="U17" s="2">
        <f t="shared" si="4"/>
        <v>60.867999999999995</v>
      </c>
      <c r="V17" s="2">
        <f>+U17</f>
        <v>60.867999999999995</v>
      </c>
      <c r="W17" s="2">
        <f t="shared" ref="W17:AC17" si="14">+V17</f>
        <v>60.867999999999995</v>
      </c>
      <c r="X17" s="2">
        <f t="shared" si="14"/>
        <v>60.867999999999995</v>
      </c>
      <c r="Y17" s="2">
        <f t="shared" si="14"/>
        <v>60.867999999999995</v>
      </c>
      <c r="Z17" s="2">
        <f t="shared" si="14"/>
        <v>60.867999999999995</v>
      </c>
      <c r="AA17" s="2">
        <f t="shared" si="14"/>
        <v>60.867999999999995</v>
      </c>
      <c r="AB17" s="2">
        <f t="shared" si="14"/>
        <v>60.867999999999995</v>
      </c>
      <c r="AC17" s="2">
        <f t="shared" si="14"/>
        <v>60.867999999999995</v>
      </c>
    </row>
    <row r="18" spans="2:110" s="4" customFormat="1" x14ac:dyDescent="0.2">
      <c r="B18" s="4" t="s">
        <v>51</v>
      </c>
      <c r="C18" s="26"/>
      <c r="D18" s="26"/>
      <c r="E18" s="26">
        <f t="shared" ref="E18:L18" si="15">+E16+E17</f>
        <v>476.74299999999994</v>
      </c>
      <c r="F18" s="26">
        <f t="shared" si="15"/>
        <v>452.072</v>
      </c>
      <c r="G18" s="26">
        <f t="shared" si="15"/>
        <v>486.06100000000004</v>
      </c>
      <c r="H18" s="26">
        <f t="shared" si="15"/>
        <v>501.69300000000004</v>
      </c>
      <c r="I18" s="26">
        <f t="shared" si="15"/>
        <v>408.80199999999996</v>
      </c>
      <c r="J18" s="26">
        <f t="shared" si="15"/>
        <v>449.791</v>
      </c>
      <c r="K18" s="26">
        <f t="shared" si="15"/>
        <v>519.33399999999995</v>
      </c>
      <c r="L18" s="26">
        <f t="shared" si="15"/>
        <v>533.798</v>
      </c>
      <c r="M18" s="26">
        <f t="shared" ref="M18:N18" si="16">+M16+M17</f>
        <v>504.78487500000006</v>
      </c>
      <c r="N18" s="26">
        <f t="shared" si="16"/>
        <v>522.14385937500003</v>
      </c>
      <c r="R18" s="4">
        <f>+R16+R17</f>
        <v>1681.7049999999999</v>
      </c>
      <c r="S18" s="4">
        <f>+S16+S17</f>
        <v>1859.2940000000001</v>
      </c>
      <c r="T18" s="4">
        <f>+T16+T17</f>
        <v>1846.3470000000002</v>
      </c>
      <c r="U18" s="4">
        <f>+U16+U17</f>
        <v>2080.0607343750003</v>
      </c>
      <c r="V18" s="4">
        <f t="shared" ref="V18:AC18" si="17">+V16+V17</f>
        <v>2820.34541640625</v>
      </c>
      <c r="W18" s="4">
        <f t="shared" si="17"/>
        <v>3583.2435808984383</v>
      </c>
      <c r="X18" s="4">
        <f t="shared" si="17"/>
        <v>4182.1199703973916</v>
      </c>
      <c r="Y18" s="4">
        <f t="shared" si="17"/>
        <v>4789.2703036606936</v>
      </c>
      <c r="Z18" s="4">
        <f t="shared" si="17"/>
        <v>5304.9107231464741</v>
      </c>
      <c r="AA18" s="4">
        <f t="shared" si="17"/>
        <v>5909.302088885298</v>
      </c>
      <c r="AB18" s="4">
        <f t="shared" si="17"/>
        <v>6618.7500836129484</v>
      </c>
      <c r="AC18" s="4">
        <f t="shared" si="17"/>
        <v>7280.0056420294059</v>
      </c>
    </row>
    <row r="19" spans="2:110" s="2" customFormat="1" x14ac:dyDescent="0.2">
      <c r="B19" s="2" t="s">
        <v>65</v>
      </c>
      <c r="C19" s="25"/>
      <c r="D19" s="25"/>
      <c r="E19" s="25">
        <v>188.79300000000001</v>
      </c>
      <c r="F19" s="25">
        <v>126.13800000000001</v>
      </c>
      <c r="G19" s="25">
        <v>120.166</v>
      </c>
      <c r="H19" s="25">
        <v>127.062</v>
      </c>
      <c r="I19" s="25">
        <v>103.53700000000001</v>
      </c>
      <c r="J19" s="25">
        <v>119.75</v>
      </c>
      <c r="K19" s="25">
        <v>116.965</v>
      </c>
      <c r="L19" s="25">
        <v>123.126</v>
      </c>
      <c r="M19" s="25">
        <f>+M18-M20</f>
        <v>111.05267249999997</v>
      </c>
      <c r="N19" s="25">
        <f>+N18-N20</f>
        <v>114.87164906250001</v>
      </c>
      <c r="R19" s="2">
        <v>359.46600000000001</v>
      </c>
      <c r="S19" s="2">
        <v>524.27200000000005</v>
      </c>
      <c r="T19" s="2">
        <f t="shared" si="3"/>
        <v>470.51499999999999</v>
      </c>
      <c r="U19" s="2">
        <f t="shared" si="4"/>
        <v>466.01532156249999</v>
      </c>
      <c r="V19" s="2">
        <f>+V18*0.21</f>
        <v>592.27253744531254</v>
      </c>
      <c r="W19" s="2">
        <f t="shared" ref="W19:AC19" si="18">+W18*0.21</f>
        <v>752.48115198867197</v>
      </c>
      <c r="X19" s="2">
        <f t="shared" si="18"/>
        <v>878.24519378345224</v>
      </c>
      <c r="Y19" s="2">
        <f t="shared" si="18"/>
        <v>1005.7467637687456</v>
      </c>
      <c r="Z19" s="2">
        <f t="shared" si="18"/>
        <v>1114.0312518607595</v>
      </c>
      <c r="AA19" s="2">
        <f t="shared" si="18"/>
        <v>1240.9534386659125</v>
      </c>
      <c r="AB19" s="2">
        <f t="shared" si="18"/>
        <v>1389.937517558719</v>
      </c>
      <c r="AC19" s="2">
        <f t="shared" si="18"/>
        <v>1528.8011848261751</v>
      </c>
    </row>
    <row r="20" spans="2:110" s="2" customFormat="1" x14ac:dyDescent="0.2">
      <c r="B20" s="2" t="s">
        <v>66</v>
      </c>
      <c r="C20" s="25"/>
      <c r="D20" s="25"/>
      <c r="E20" s="25">
        <f t="shared" ref="E20:L20" si="19">+E18-E19</f>
        <v>287.94999999999993</v>
      </c>
      <c r="F20" s="25">
        <f t="shared" si="19"/>
        <v>325.93399999999997</v>
      </c>
      <c r="G20" s="25">
        <f t="shared" si="19"/>
        <v>365.89500000000004</v>
      </c>
      <c r="H20" s="25">
        <f t="shared" si="19"/>
        <v>374.63100000000003</v>
      </c>
      <c r="I20" s="25">
        <f t="shared" si="19"/>
        <v>305.26499999999999</v>
      </c>
      <c r="J20" s="25">
        <f t="shared" si="19"/>
        <v>330.041</v>
      </c>
      <c r="K20" s="25">
        <f t="shared" si="19"/>
        <v>402.36899999999991</v>
      </c>
      <c r="L20" s="25">
        <f t="shared" si="19"/>
        <v>410.67200000000003</v>
      </c>
      <c r="M20" s="25">
        <f>+M18*0.78</f>
        <v>393.73220250000008</v>
      </c>
      <c r="N20" s="25">
        <f>+N18*0.78</f>
        <v>407.27221031250002</v>
      </c>
      <c r="R20" s="2">
        <f>+R18-R19</f>
        <v>1322.239</v>
      </c>
      <c r="S20" s="2">
        <f>+S18-S19</f>
        <v>1335.0219999999999</v>
      </c>
      <c r="T20" s="2">
        <f>+T18-T19</f>
        <v>1375.8320000000003</v>
      </c>
      <c r="U20" s="2">
        <f>+U18-U19</f>
        <v>1614.0454128125002</v>
      </c>
      <c r="V20" s="2">
        <f>+V18-V19</f>
        <v>2228.0728789609375</v>
      </c>
      <c r="W20" s="2">
        <f t="shared" ref="W20:AC20" si="20">+W18-W19</f>
        <v>2830.7624289097662</v>
      </c>
      <c r="X20" s="2">
        <f t="shared" si="20"/>
        <v>3303.8747766139395</v>
      </c>
      <c r="Y20" s="2">
        <f t="shared" si="20"/>
        <v>3783.5235398919481</v>
      </c>
      <c r="Z20" s="2">
        <f t="shared" si="20"/>
        <v>4190.8794712857143</v>
      </c>
      <c r="AA20" s="2">
        <f t="shared" si="20"/>
        <v>4668.3486502193855</v>
      </c>
      <c r="AB20" s="2">
        <f t="shared" si="20"/>
        <v>5228.8125660542291</v>
      </c>
      <c r="AC20" s="2">
        <f t="shared" si="20"/>
        <v>5751.204457203231</v>
      </c>
    </row>
    <row r="21" spans="2:110" s="2" customFormat="1" x14ac:dyDescent="0.2">
      <c r="B21" s="2" t="s">
        <v>69</v>
      </c>
      <c r="C21" s="25"/>
      <c r="D21" s="25"/>
      <c r="E21" s="25">
        <v>147.053</v>
      </c>
      <c r="F21" s="25">
        <v>156.667</v>
      </c>
      <c r="G21" s="25">
        <v>148.72499999999999</v>
      </c>
      <c r="H21" s="25">
        <v>161.107</v>
      </c>
      <c r="I21" s="25">
        <v>157.869</v>
      </c>
      <c r="J21" s="25">
        <v>161.09200000000001</v>
      </c>
      <c r="K21" s="25">
        <v>160.83600000000001</v>
      </c>
      <c r="L21" s="25">
        <v>158.19</v>
      </c>
      <c r="M21" s="25"/>
      <c r="N21" s="25"/>
      <c r="R21" s="2">
        <v>715.00699999999995</v>
      </c>
      <c r="S21" s="2">
        <v>628.11599999999999</v>
      </c>
      <c r="T21" s="2">
        <f t="shared" si="3"/>
        <v>628.79300000000001</v>
      </c>
      <c r="U21" s="2">
        <f t="shared" si="4"/>
        <v>319.02600000000001</v>
      </c>
    </row>
    <row r="22" spans="2:110" s="2" customFormat="1" x14ac:dyDescent="0.2">
      <c r="B22" s="2" t="s">
        <v>70</v>
      </c>
      <c r="C22" s="25"/>
      <c r="D22" s="25"/>
      <c r="E22" s="25">
        <v>179.45</v>
      </c>
      <c r="F22" s="25">
        <v>195.512</v>
      </c>
      <c r="G22" s="25">
        <v>174.31800000000001</v>
      </c>
      <c r="H22" s="25">
        <v>184.161</v>
      </c>
      <c r="I22" s="25">
        <v>183.333</v>
      </c>
      <c r="J22" s="25">
        <v>217.56299999999999</v>
      </c>
      <c r="K22" s="25">
        <v>194.619</v>
      </c>
      <c r="L22" s="25">
        <v>196.83500000000001</v>
      </c>
      <c r="M22" s="25">
        <f>+I22*1.05</f>
        <v>192.49965</v>
      </c>
      <c r="N22" s="25">
        <f>+J22*1.05</f>
        <v>228.44114999999999</v>
      </c>
      <c r="R22" s="2">
        <v>680.92399999999998</v>
      </c>
      <c r="S22" s="2">
        <v>737.66899999999998</v>
      </c>
      <c r="T22" s="2">
        <f t="shared" si="3"/>
        <v>759.375</v>
      </c>
      <c r="U22" s="2">
        <f t="shared" si="4"/>
        <v>812.39480000000003</v>
      </c>
      <c r="V22" s="2">
        <f>+U22*1.04</f>
        <v>844.89059200000008</v>
      </c>
      <c r="W22" s="2">
        <f t="shared" ref="W22:AC22" si="21">+V22*1.04</f>
        <v>878.68621568000015</v>
      </c>
      <c r="X22" s="2">
        <f t="shared" si="21"/>
        <v>913.83366430720014</v>
      </c>
      <c r="Y22" s="2">
        <f t="shared" si="21"/>
        <v>950.38701087948823</v>
      </c>
      <c r="Z22" s="2">
        <f t="shared" si="21"/>
        <v>988.40249131466783</v>
      </c>
      <c r="AA22" s="2">
        <f t="shared" si="21"/>
        <v>1027.9385909672546</v>
      </c>
      <c r="AB22" s="2">
        <f t="shared" si="21"/>
        <v>1069.0561346059449</v>
      </c>
      <c r="AC22" s="2">
        <f t="shared" si="21"/>
        <v>1111.8183799901826</v>
      </c>
    </row>
    <row r="23" spans="2:110" s="2" customFormat="1" x14ac:dyDescent="0.2">
      <c r="B23" s="2" t="s">
        <v>68</v>
      </c>
      <c r="C23" s="25"/>
      <c r="D23" s="25"/>
      <c r="E23" s="25">
        <f t="shared" ref="E23:L23" si="22">+E21+E22</f>
        <v>326.50299999999999</v>
      </c>
      <c r="F23" s="25">
        <f t="shared" si="22"/>
        <v>352.17899999999997</v>
      </c>
      <c r="G23" s="25">
        <f t="shared" si="22"/>
        <v>323.04300000000001</v>
      </c>
      <c r="H23" s="25">
        <f t="shared" si="22"/>
        <v>345.26800000000003</v>
      </c>
      <c r="I23" s="25">
        <f t="shared" si="22"/>
        <v>341.202</v>
      </c>
      <c r="J23" s="25">
        <f t="shared" si="22"/>
        <v>378.65499999999997</v>
      </c>
      <c r="K23" s="25">
        <f t="shared" si="22"/>
        <v>355.45500000000004</v>
      </c>
      <c r="L23" s="25">
        <f t="shared" si="22"/>
        <v>355.02499999999998</v>
      </c>
      <c r="M23" s="25">
        <f t="shared" ref="M23:N23" si="23">+M21+M22</f>
        <v>192.49965</v>
      </c>
      <c r="N23" s="25">
        <f t="shared" si="23"/>
        <v>228.44114999999999</v>
      </c>
      <c r="R23" s="2">
        <f>+R22+R21</f>
        <v>1395.931</v>
      </c>
      <c r="S23" s="2">
        <f>+S22+S21</f>
        <v>1365.7849999999999</v>
      </c>
      <c r="T23" s="2">
        <f>+T22+T21</f>
        <v>1388.1680000000001</v>
      </c>
      <c r="U23" s="2">
        <f>+U22+U21</f>
        <v>1131.4208000000001</v>
      </c>
      <c r="V23" s="2">
        <f t="shared" ref="V23:AC23" si="24">+V22+V21</f>
        <v>844.89059200000008</v>
      </c>
      <c r="W23" s="2">
        <f t="shared" si="24"/>
        <v>878.68621568000015</v>
      </c>
      <c r="X23" s="2">
        <f t="shared" si="24"/>
        <v>913.83366430720014</v>
      </c>
      <c r="Y23" s="2">
        <f t="shared" si="24"/>
        <v>950.38701087948823</v>
      </c>
      <c r="Z23" s="2">
        <f t="shared" si="24"/>
        <v>988.40249131466783</v>
      </c>
      <c r="AA23" s="2">
        <f t="shared" si="24"/>
        <v>1027.9385909672546</v>
      </c>
      <c r="AB23" s="2">
        <f t="shared" si="24"/>
        <v>1069.0561346059449</v>
      </c>
      <c r="AC23" s="2">
        <f t="shared" si="24"/>
        <v>1111.8183799901826</v>
      </c>
    </row>
    <row r="24" spans="2:110" s="2" customFormat="1" x14ac:dyDescent="0.2">
      <c r="B24" s="2" t="s">
        <v>67</v>
      </c>
      <c r="C24" s="25"/>
      <c r="D24" s="25"/>
      <c r="E24" s="25">
        <f t="shared" ref="E24:L24" si="25">+E20-E23</f>
        <v>-38.553000000000054</v>
      </c>
      <c r="F24" s="25">
        <f t="shared" si="25"/>
        <v>-26.245000000000005</v>
      </c>
      <c r="G24" s="25">
        <f t="shared" si="25"/>
        <v>42.852000000000032</v>
      </c>
      <c r="H24" s="25">
        <f t="shared" si="25"/>
        <v>29.363</v>
      </c>
      <c r="I24" s="25">
        <f t="shared" si="25"/>
        <v>-35.937000000000012</v>
      </c>
      <c r="J24" s="25">
        <f t="shared" si="25"/>
        <v>-48.613999999999976</v>
      </c>
      <c r="K24" s="25">
        <f t="shared" si="25"/>
        <v>46.913999999999874</v>
      </c>
      <c r="L24" s="25">
        <f t="shared" si="25"/>
        <v>55.647000000000048</v>
      </c>
      <c r="M24" s="25">
        <f t="shared" ref="M24:N24" si="26">+M20-M23</f>
        <v>201.23255250000008</v>
      </c>
      <c r="N24" s="25">
        <f t="shared" si="26"/>
        <v>178.83106031250003</v>
      </c>
      <c r="R24" s="2">
        <f>+R20-R23</f>
        <v>-73.692000000000007</v>
      </c>
      <c r="S24" s="2">
        <f>+S20-S23</f>
        <v>-30.76299999999992</v>
      </c>
      <c r="T24" s="2">
        <f>+T20-T23</f>
        <v>-12.335999999999785</v>
      </c>
      <c r="U24" s="2">
        <f>+U20-U23</f>
        <v>482.62461281250012</v>
      </c>
      <c r="V24" s="2">
        <f t="shared" ref="V24:AC24" si="27">+V20-V23</f>
        <v>1383.1822869609373</v>
      </c>
      <c r="W24" s="2">
        <f t="shared" si="27"/>
        <v>1952.0762132297659</v>
      </c>
      <c r="X24" s="2">
        <f t="shared" si="27"/>
        <v>2390.0411123067393</v>
      </c>
      <c r="Y24" s="2">
        <f t="shared" si="27"/>
        <v>2833.13652901246</v>
      </c>
      <c r="Z24" s="2">
        <f t="shared" si="27"/>
        <v>3202.4769799710466</v>
      </c>
      <c r="AA24" s="2">
        <f t="shared" si="27"/>
        <v>3640.4100592521308</v>
      </c>
      <c r="AB24" s="2">
        <f t="shared" si="27"/>
        <v>4159.7564314482843</v>
      </c>
      <c r="AC24" s="2">
        <f t="shared" si="27"/>
        <v>4639.3860772130483</v>
      </c>
    </row>
    <row r="25" spans="2:110" s="2" customFormat="1" x14ac:dyDescent="0.2">
      <c r="B25" s="2" t="s">
        <v>73</v>
      </c>
      <c r="C25" s="25"/>
      <c r="D25" s="25"/>
      <c r="E25" s="25">
        <f>-0.921+4.004-9.597+1.239</f>
        <v>-5.2750000000000004</v>
      </c>
      <c r="F25" s="25">
        <f>3.071-4.749+6.333</f>
        <v>4.6550000000000011</v>
      </c>
      <c r="G25" s="25">
        <f>2.439-3.804-0.493</f>
        <v>-1.8579999999999997</v>
      </c>
      <c r="H25" s="25">
        <f>4.471-3.817+1.83</f>
        <v>2.484</v>
      </c>
      <c r="I25" s="25">
        <f>0.177+1.827-3.87+8.925</f>
        <v>7.0590000000000011</v>
      </c>
      <c r="J25" s="25">
        <f>1.745-3.846+1.407</f>
        <v>-0.69399999999999995</v>
      </c>
      <c r="K25" s="25">
        <f>1.82-3.806-1.154</f>
        <v>-3.1399999999999997</v>
      </c>
      <c r="L25" s="25">
        <f>2.505-3.859-2.947</f>
        <v>-4.3010000000000002</v>
      </c>
      <c r="M25" s="25">
        <f>+L25</f>
        <v>-4.3010000000000002</v>
      </c>
      <c r="N25" s="25">
        <f>+M25</f>
        <v>-4.3010000000000002</v>
      </c>
      <c r="R25" s="2">
        <f>-0.587+22.748-23.46+6.945</f>
        <v>5.6460000000000008</v>
      </c>
      <c r="S25" s="2">
        <f>16.61-29.309+7.142</f>
        <v>-5.5570000000000013</v>
      </c>
      <c r="T25" s="2">
        <f t="shared" ref="T25" si="28">SUM(G25:J25)</f>
        <v>6.9910000000000014</v>
      </c>
      <c r="U25" s="2">
        <f t="shared" ref="U25:U27" si="29">SUM(K25:N25)</f>
        <v>-16.042999999999999</v>
      </c>
      <c r="V25" s="2">
        <f>+U37*$AF$35</f>
        <v>15.138907417812502</v>
      </c>
      <c r="W25" s="2">
        <f t="shared" ref="W25:AC25" si="30">+V37*$AF$35</f>
        <v>43.105331305387502</v>
      </c>
      <c r="X25" s="2">
        <f t="shared" si="30"/>
        <v>83.008962196090579</v>
      </c>
      <c r="Y25" s="2">
        <f t="shared" si="30"/>
        <v>127.52386353714152</v>
      </c>
      <c r="Z25" s="2">
        <f t="shared" si="30"/>
        <v>174.89442981793516</v>
      </c>
      <c r="AA25" s="2">
        <f t="shared" si="30"/>
        <v>228.93237237455887</v>
      </c>
      <c r="AB25" s="2">
        <f t="shared" si="30"/>
        <v>290.8418512805859</v>
      </c>
      <c r="AC25" s="2">
        <f t="shared" si="30"/>
        <v>362.0514238042478</v>
      </c>
    </row>
    <row r="26" spans="2:110" s="2" customFormat="1" x14ac:dyDescent="0.2">
      <c r="B26" s="2" t="s">
        <v>74</v>
      </c>
      <c r="C26" s="25"/>
      <c r="D26" s="25"/>
      <c r="E26" s="25">
        <f t="shared" ref="E26:N26" si="31">+E24+E25</f>
        <v>-43.828000000000053</v>
      </c>
      <c r="F26" s="25">
        <f t="shared" si="31"/>
        <v>-21.590000000000003</v>
      </c>
      <c r="G26" s="25">
        <f t="shared" si="31"/>
        <v>40.994000000000035</v>
      </c>
      <c r="H26" s="25">
        <f t="shared" si="31"/>
        <v>31.847000000000001</v>
      </c>
      <c r="I26" s="25">
        <f t="shared" si="31"/>
        <v>-28.878000000000011</v>
      </c>
      <c r="J26" s="25">
        <f t="shared" si="31"/>
        <v>-49.307999999999979</v>
      </c>
      <c r="K26" s="25">
        <f t="shared" si="31"/>
        <v>43.773999999999873</v>
      </c>
      <c r="L26" s="25">
        <f t="shared" si="31"/>
        <v>51.346000000000046</v>
      </c>
      <c r="M26" s="25">
        <f t="shared" si="31"/>
        <v>196.93155250000009</v>
      </c>
      <c r="N26" s="25">
        <f t="shared" si="31"/>
        <v>174.53006031250004</v>
      </c>
      <c r="R26" s="2">
        <f>+R24+R25</f>
        <v>-68.046000000000006</v>
      </c>
      <c r="S26" s="2">
        <f>+S24+S25</f>
        <v>-36.319999999999922</v>
      </c>
      <c r="T26" s="2">
        <f>+T24+T25</f>
        <v>-5.3449999999997839</v>
      </c>
      <c r="U26" s="2">
        <f>+U24+U25</f>
        <v>466.58161281250011</v>
      </c>
      <c r="V26" s="2">
        <f t="shared" ref="V26:AC26" si="32">+V24+V25</f>
        <v>1398.3211943787499</v>
      </c>
      <c r="W26" s="2">
        <f t="shared" si="32"/>
        <v>1995.1815445351535</v>
      </c>
      <c r="X26" s="2">
        <f t="shared" si="32"/>
        <v>2473.0500745028298</v>
      </c>
      <c r="Y26" s="2">
        <f t="shared" si="32"/>
        <v>2960.6603925496015</v>
      </c>
      <c r="Z26" s="2">
        <f t="shared" si="32"/>
        <v>3377.371409788982</v>
      </c>
      <c r="AA26" s="2">
        <f t="shared" si="32"/>
        <v>3869.3424316266896</v>
      </c>
      <c r="AB26" s="2">
        <f t="shared" si="32"/>
        <v>4450.5982827288699</v>
      </c>
      <c r="AC26" s="2">
        <f t="shared" si="32"/>
        <v>5001.4375010172962</v>
      </c>
    </row>
    <row r="27" spans="2:110" s="2" customFormat="1" x14ac:dyDescent="0.2">
      <c r="B27" s="2" t="s">
        <v>75</v>
      </c>
      <c r="C27" s="25"/>
      <c r="D27" s="25"/>
      <c r="E27" s="25">
        <v>0</v>
      </c>
      <c r="F27" s="25">
        <v>0</v>
      </c>
      <c r="G27" s="25">
        <v>5.8570000000000002</v>
      </c>
      <c r="H27" s="25">
        <v>1.2150000000000001</v>
      </c>
      <c r="I27" s="25">
        <v>-9.6660000000000004</v>
      </c>
      <c r="J27" s="25">
        <v>-8.6760000000000002</v>
      </c>
      <c r="K27" s="25">
        <v>13.388999999999999</v>
      </c>
      <c r="L27" s="25">
        <v>7.1870000000000003</v>
      </c>
      <c r="M27" s="25">
        <f>+M26*0.15</f>
        <v>29.539732875000013</v>
      </c>
      <c r="N27" s="25">
        <f>+N26*0.15</f>
        <v>26.179509046875005</v>
      </c>
      <c r="R27" s="2">
        <v>0</v>
      </c>
      <c r="S27" s="2">
        <v>0</v>
      </c>
      <c r="T27" s="2">
        <f t="shared" ref="T27" si="33">SUM(G27:J27)</f>
        <v>-11.27</v>
      </c>
      <c r="U27" s="2">
        <f t="shared" si="29"/>
        <v>76.295241921875018</v>
      </c>
      <c r="V27" s="2">
        <f>+V26*0</f>
        <v>0</v>
      </c>
      <c r="W27" s="2">
        <f>+W26*0</f>
        <v>0</v>
      </c>
      <c r="X27" s="2">
        <f>+X26*0.1</f>
        <v>247.305007450283</v>
      </c>
      <c r="Y27" s="2">
        <f>+Y26*0.2</f>
        <v>592.13207850992035</v>
      </c>
      <c r="Z27" s="2">
        <f t="shared" ref="Z27:AC27" si="34">+Z26*0.2</f>
        <v>675.47428195779639</v>
      </c>
      <c r="AA27" s="2">
        <f t="shared" si="34"/>
        <v>773.86848632533793</v>
      </c>
      <c r="AB27" s="2">
        <f t="shared" si="34"/>
        <v>890.11965654577398</v>
      </c>
      <c r="AC27" s="2">
        <f t="shared" si="34"/>
        <v>1000.2875002034593</v>
      </c>
    </row>
    <row r="28" spans="2:110" s="2" customFormat="1" x14ac:dyDescent="0.2">
      <c r="B28" s="2" t="s">
        <v>72</v>
      </c>
      <c r="C28" s="25"/>
      <c r="D28" s="25"/>
      <c r="E28" s="25">
        <f t="shared" ref="E28:N28" si="35">+E26-E27</f>
        <v>-43.828000000000053</v>
      </c>
      <c r="F28" s="25">
        <f t="shared" si="35"/>
        <v>-21.590000000000003</v>
      </c>
      <c r="G28" s="25">
        <f t="shared" si="35"/>
        <v>35.137000000000036</v>
      </c>
      <c r="H28" s="25">
        <f t="shared" si="35"/>
        <v>30.632000000000001</v>
      </c>
      <c r="I28" s="25">
        <f t="shared" si="35"/>
        <v>-19.21200000000001</v>
      </c>
      <c r="J28" s="25">
        <f t="shared" si="35"/>
        <v>-40.631999999999977</v>
      </c>
      <c r="K28" s="25">
        <f t="shared" si="35"/>
        <v>30.384999999999874</v>
      </c>
      <c r="L28" s="25">
        <f t="shared" si="35"/>
        <v>44.159000000000049</v>
      </c>
      <c r="M28" s="25">
        <f t="shared" si="35"/>
        <v>167.3918196250001</v>
      </c>
      <c r="N28" s="25">
        <f t="shared" si="35"/>
        <v>148.35055126562503</v>
      </c>
      <c r="R28" s="2">
        <f>+R26-R27</f>
        <v>-68.046000000000006</v>
      </c>
      <c r="S28" s="2">
        <f>+S26-S27</f>
        <v>-36.319999999999922</v>
      </c>
      <c r="T28" s="2">
        <f>+T26-T27</f>
        <v>5.9250000000002156</v>
      </c>
      <c r="U28" s="2">
        <f>+U26-U27</f>
        <v>390.28637089062511</v>
      </c>
      <c r="V28" s="2">
        <f t="shared" ref="V28:AC28" si="36">+V26-V27</f>
        <v>1398.3211943787499</v>
      </c>
      <c r="W28" s="2">
        <f t="shared" si="36"/>
        <v>1995.1815445351535</v>
      </c>
      <c r="X28" s="2">
        <f t="shared" si="36"/>
        <v>2225.7450670525468</v>
      </c>
      <c r="Y28" s="2">
        <f t="shared" si="36"/>
        <v>2368.5283140396814</v>
      </c>
      <c r="Z28" s="2">
        <f t="shared" si="36"/>
        <v>2701.8971278311856</v>
      </c>
      <c r="AA28" s="2">
        <f t="shared" si="36"/>
        <v>3095.4739453013517</v>
      </c>
      <c r="AB28" s="2">
        <f t="shared" si="36"/>
        <v>3560.4786261830959</v>
      </c>
      <c r="AC28" s="2">
        <f t="shared" si="36"/>
        <v>4001.1500008138369</v>
      </c>
      <c r="AD28" s="2">
        <f>+AC28*(1+$AF$34)</f>
        <v>3961.1385008056986</v>
      </c>
      <c r="AE28" s="2">
        <f t="shared" ref="AE28:CP28" si="37">+AD28*(1+$AF$34)</f>
        <v>3921.5271157976417</v>
      </c>
      <c r="AF28" s="2">
        <f t="shared" si="37"/>
        <v>3882.3118446396652</v>
      </c>
      <c r="AG28" s="2">
        <f t="shared" si="37"/>
        <v>3843.4887261932686</v>
      </c>
      <c r="AH28" s="2">
        <f t="shared" si="37"/>
        <v>3805.053838931336</v>
      </c>
      <c r="AI28" s="2">
        <f t="shared" si="37"/>
        <v>3767.0033005420228</v>
      </c>
      <c r="AJ28" s="2">
        <f t="shared" si="37"/>
        <v>3729.3332675366023</v>
      </c>
      <c r="AK28" s="2">
        <f t="shared" si="37"/>
        <v>3692.0399348612364</v>
      </c>
      <c r="AL28" s="2">
        <f t="shared" si="37"/>
        <v>3655.1195355126238</v>
      </c>
      <c r="AM28" s="2">
        <f t="shared" si="37"/>
        <v>3618.5683401574975</v>
      </c>
      <c r="AN28" s="2">
        <f t="shared" si="37"/>
        <v>3582.3826567559227</v>
      </c>
      <c r="AO28" s="2">
        <f t="shared" si="37"/>
        <v>3546.5588301883636</v>
      </c>
      <c r="AP28" s="2">
        <f t="shared" si="37"/>
        <v>3511.09324188648</v>
      </c>
      <c r="AQ28" s="2">
        <f t="shared" si="37"/>
        <v>3475.9823094676153</v>
      </c>
      <c r="AR28" s="2">
        <f t="shared" si="37"/>
        <v>3441.2224863729393</v>
      </c>
      <c r="AS28" s="2">
        <f t="shared" si="37"/>
        <v>3406.8102615092098</v>
      </c>
      <c r="AT28" s="2">
        <f t="shared" si="37"/>
        <v>3372.7421588941179</v>
      </c>
      <c r="AU28" s="2">
        <f t="shared" si="37"/>
        <v>3339.0147373051768</v>
      </c>
      <c r="AV28" s="2">
        <f t="shared" si="37"/>
        <v>3305.6245899321252</v>
      </c>
      <c r="AW28" s="2">
        <f t="shared" si="37"/>
        <v>3272.5683440328039</v>
      </c>
      <c r="AX28" s="2">
        <f t="shared" si="37"/>
        <v>3239.842660592476</v>
      </c>
      <c r="AY28" s="2">
        <f t="shared" si="37"/>
        <v>3207.4442339865514</v>
      </c>
      <c r="AZ28" s="2">
        <f t="shared" si="37"/>
        <v>3175.3697916466858</v>
      </c>
      <c r="BA28" s="2">
        <f t="shared" si="37"/>
        <v>3143.6160937302188</v>
      </c>
      <c r="BB28" s="2">
        <f t="shared" si="37"/>
        <v>3112.1799327929166</v>
      </c>
      <c r="BC28" s="2">
        <f t="shared" si="37"/>
        <v>3081.0581334649873</v>
      </c>
      <c r="BD28" s="2">
        <f t="shared" si="37"/>
        <v>3050.2475521303372</v>
      </c>
      <c r="BE28" s="2">
        <f t="shared" si="37"/>
        <v>3019.7450766090337</v>
      </c>
      <c r="BF28" s="2">
        <f t="shared" si="37"/>
        <v>2989.5476258429435</v>
      </c>
      <c r="BG28" s="2">
        <f t="shared" si="37"/>
        <v>2959.6521495845141</v>
      </c>
      <c r="BH28" s="2">
        <f t="shared" si="37"/>
        <v>2930.055628088669</v>
      </c>
      <c r="BI28" s="2">
        <f t="shared" si="37"/>
        <v>2900.7550718077823</v>
      </c>
      <c r="BJ28" s="2">
        <f t="shared" si="37"/>
        <v>2871.7475210897046</v>
      </c>
      <c r="BK28" s="2">
        <f t="shared" si="37"/>
        <v>2843.0300458788074</v>
      </c>
      <c r="BL28" s="2">
        <f t="shared" si="37"/>
        <v>2814.5997454200192</v>
      </c>
      <c r="BM28" s="2">
        <f t="shared" si="37"/>
        <v>2786.4537479658188</v>
      </c>
      <c r="BN28" s="2">
        <f t="shared" si="37"/>
        <v>2758.5892104861605</v>
      </c>
      <c r="BO28" s="2">
        <f t="shared" si="37"/>
        <v>2731.0033183812989</v>
      </c>
      <c r="BP28" s="2">
        <f t="shared" si="37"/>
        <v>2703.6932851974857</v>
      </c>
      <c r="BQ28" s="2">
        <f t="shared" si="37"/>
        <v>2676.6563523455106</v>
      </c>
      <c r="BR28" s="2">
        <f t="shared" si="37"/>
        <v>2649.8897888220554</v>
      </c>
      <c r="BS28" s="2">
        <f t="shared" si="37"/>
        <v>2623.3908909338347</v>
      </c>
      <c r="BT28" s="2">
        <f t="shared" si="37"/>
        <v>2597.1569820244963</v>
      </c>
      <c r="BU28" s="2">
        <f t="shared" si="37"/>
        <v>2571.1854122042514</v>
      </c>
      <c r="BV28" s="2">
        <f t="shared" si="37"/>
        <v>2545.4735580822089</v>
      </c>
      <c r="BW28" s="2">
        <f t="shared" si="37"/>
        <v>2520.0188225013867</v>
      </c>
      <c r="BX28" s="2">
        <f t="shared" si="37"/>
        <v>2494.8186342763729</v>
      </c>
      <c r="BY28" s="2">
        <f t="shared" si="37"/>
        <v>2469.8704479336093</v>
      </c>
      <c r="BZ28" s="2">
        <f t="shared" si="37"/>
        <v>2445.1717434542734</v>
      </c>
      <c r="CA28" s="2">
        <f t="shared" si="37"/>
        <v>2420.7200260197305</v>
      </c>
      <c r="CB28" s="2">
        <f t="shared" si="37"/>
        <v>2396.5128257595334</v>
      </c>
      <c r="CC28" s="2">
        <f t="shared" si="37"/>
        <v>2372.5476975019378</v>
      </c>
      <c r="CD28" s="2">
        <f t="shared" si="37"/>
        <v>2348.8222205269185</v>
      </c>
      <c r="CE28" s="2">
        <f t="shared" si="37"/>
        <v>2325.3339983216492</v>
      </c>
      <c r="CF28" s="2">
        <f t="shared" si="37"/>
        <v>2302.0806583384328</v>
      </c>
      <c r="CG28" s="2">
        <f t="shared" si="37"/>
        <v>2279.0598517550484</v>
      </c>
      <c r="CH28" s="2">
        <f t="shared" si="37"/>
        <v>2256.2692532374981</v>
      </c>
      <c r="CI28" s="2">
        <f t="shared" si="37"/>
        <v>2233.7065607051231</v>
      </c>
      <c r="CJ28" s="2">
        <f t="shared" si="37"/>
        <v>2211.3694950980721</v>
      </c>
      <c r="CK28" s="2">
        <f t="shared" si="37"/>
        <v>2189.2558001470916</v>
      </c>
      <c r="CL28" s="2">
        <f t="shared" si="37"/>
        <v>2167.3632421456205</v>
      </c>
      <c r="CM28" s="2">
        <f t="shared" si="37"/>
        <v>2145.6896097241643</v>
      </c>
      <c r="CN28" s="2">
        <f t="shared" si="37"/>
        <v>2124.2327136269228</v>
      </c>
      <c r="CO28" s="2">
        <f t="shared" si="37"/>
        <v>2102.9903864906537</v>
      </c>
      <c r="CP28" s="2">
        <f t="shared" si="37"/>
        <v>2081.9604826257473</v>
      </c>
      <c r="CQ28" s="2">
        <f t="shared" ref="CQ28:DF28" si="38">+CP28*(1+$AF$34)</f>
        <v>2061.1408777994898</v>
      </c>
      <c r="CR28" s="2">
        <f t="shared" si="38"/>
        <v>2040.5294690214948</v>
      </c>
      <c r="CS28" s="2">
        <f t="shared" si="38"/>
        <v>2020.1241743312798</v>
      </c>
      <c r="CT28" s="2">
        <f t="shared" si="38"/>
        <v>1999.9229325879671</v>
      </c>
      <c r="CU28" s="2">
        <f t="shared" si="38"/>
        <v>1979.9237032620874</v>
      </c>
      <c r="CV28" s="2">
        <f t="shared" si="38"/>
        <v>1960.1244662294666</v>
      </c>
      <c r="CW28" s="2">
        <f t="shared" si="38"/>
        <v>1940.523221567172</v>
      </c>
      <c r="CX28" s="2">
        <f t="shared" si="38"/>
        <v>1921.1179893515002</v>
      </c>
      <c r="CY28" s="2">
        <f t="shared" si="38"/>
        <v>1901.9068094579852</v>
      </c>
      <c r="CZ28" s="2">
        <f t="shared" si="38"/>
        <v>1882.8877413634054</v>
      </c>
      <c r="DA28" s="2">
        <f t="shared" si="38"/>
        <v>1864.0588639497714</v>
      </c>
      <c r="DB28" s="2">
        <f t="shared" si="38"/>
        <v>1845.4182753102737</v>
      </c>
      <c r="DC28" s="2">
        <f t="shared" si="38"/>
        <v>1826.9640925571709</v>
      </c>
      <c r="DD28" s="2">
        <f t="shared" si="38"/>
        <v>1808.6944516315991</v>
      </c>
      <c r="DE28" s="2">
        <f t="shared" si="38"/>
        <v>1790.6075071152832</v>
      </c>
      <c r="DF28" s="2">
        <f t="shared" si="38"/>
        <v>1772.7014320441303</v>
      </c>
    </row>
    <row r="29" spans="2:110" x14ac:dyDescent="0.2">
      <c r="B29" t="s">
        <v>71</v>
      </c>
      <c r="E29" s="27">
        <f t="shared" ref="E29:N29" si="39">+E28/E30</f>
        <v>-0.22171858716877307</v>
      </c>
      <c r="F29" s="27">
        <f t="shared" si="39"/>
        <v>-0.11703419414991655</v>
      </c>
      <c r="G29" s="27">
        <f t="shared" si="39"/>
        <v>0.19058389607571954</v>
      </c>
      <c r="H29" s="27">
        <f t="shared" si="39"/>
        <v>0.16519708564556404</v>
      </c>
      <c r="I29" s="27">
        <f t="shared" si="39"/>
        <v>-0.10486098223934857</v>
      </c>
      <c r="J29" s="27">
        <f t="shared" si="39"/>
        <v>-0.22136265077306938</v>
      </c>
      <c r="K29" s="27">
        <f t="shared" si="39"/>
        <v>0.15591166117627678</v>
      </c>
      <c r="L29" s="27">
        <f t="shared" si="39"/>
        <v>0.23558000085357031</v>
      </c>
      <c r="M29" s="27">
        <f t="shared" si="39"/>
        <v>0.89300403111796389</v>
      </c>
      <c r="N29" s="27">
        <f t="shared" si="39"/>
        <v>0.79142242790333861</v>
      </c>
      <c r="R29" s="1">
        <f>+R28/R30</f>
        <v>-0.3800624444953335</v>
      </c>
      <c r="S29" s="1">
        <f>+S28/S30</f>
        <v>-0.18948444787612517</v>
      </c>
      <c r="T29" s="1">
        <f>+T28/T30</f>
        <v>3.2176604757251086E-2</v>
      </c>
      <c r="U29" s="1">
        <f>+U28/U30</f>
        <v>2.0616529767210761</v>
      </c>
      <c r="V29" s="1">
        <f t="shared" ref="V29:AC29" si="40">+V28/V30</f>
        <v>7.3865071081639648</v>
      </c>
      <c r="W29" s="1">
        <f t="shared" si="40"/>
        <v>10.539368723030801</v>
      </c>
      <c r="X29" s="1">
        <f t="shared" si="40"/>
        <v>11.757299985750944</v>
      </c>
      <c r="Y29" s="1">
        <f t="shared" si="40"/>
        <v>12.511539764878208</v>
      </c>
      <c r="Z29" s="1">
        <f t="shared" si="40"/>
        <v>14.272530818014001</v>
      </c>
      <c r="AA29" s="1">
        <f t="shared" si="40"/>
        <v>16.35156528558748</v>
      </c>
      <c r="AB29" s="1">
        <f t="shared" si="40"/>
        <v>18.807911076862226</v>
      </c>
      <c r="AC29" s="1">
        <f t="shared" si="40"/>
        <v>21.135718346150242</v>
      </c>
    </row>
    <row r="30" spans="2:110" x14ac:dyDescent="0.2">
      <c r="B30" t="s">
        <v>1</v>
      </c>
      <c r="E30" s="25">
        <v>197.67400000000001</v>
      </c>
      <c r="F30" s="25">
        <v>184.476</v>
      </c>
      <c r="G30" s="25">
        <v>184.36500000000001</v>
      </c>
      <c r="H30" s="25">
        <v>185.42699999999999</v>
      </c>
      <c r="I30" s="25">
        <v>183.214</v>
      </c>
      <c r="J30" s="25">
        <v>183.554</v>
      </c>
      <c r="K30" s="25">
        <v>194.886</v>
      </c>
      <c r="L30" s="25">
        <v>187.44800000000001</v>
      </c>
      <c r="M30" s="25">
        <f>+L30</f>
        <v>187.44800000000001</v>
      </c>
      <c r="N30" s="25">
        <f>+M30</f>
        <v>187.44800000000001</v>
      </c>
      <c r="R30" s="2">
        <v>179.03899999999999</v>
      </c>
      <c r="S30" s="2">
        <v>191.678</v>
      </c>
      <c r="T30" s="2">
        <f>AVERAGE(G30:J30)</f>
        <v>184.14000000000001</v>
      </c>
      <c r="U30" s="2">
        <f>AVERAGE(K30:N30)</f>
        <v>189.3075</v>
      </c>
      <c r="V30" s="2">
        <f>+U30</f>
        <v>189.3075</v>
      </c>
      <c r="W30" s="2">
        <f t="shared" ref="W30:AC30" si="41">+V30</f>
        <v>189.3075</v>
      </c>
      <c r="X30" s="2">
        <f t="shared" si="41"/>
        <v>189.3075</v>
      </c>
      <c r="Y30" s="2">
        <f t="shared" si="41"/>
        <v>189.3075</v>
      </c>
      <c r="Z30" s="2">
        <f t="shared" si="41"/>
        <v>189.3075</v>
      </c>
      <c r="AA30" s="2">
        <f t="shared" si="41"/>
        <v>189.3075</v>
      </c>
      <c r="AB30" s="2">
        <f t="shared" si="41"/>
        <v>189.3075</v>
      </c>
      <c r="AC30" s="2">
        <f t="shared" si="41"/>
        <v>189.3075</v>
      </c>
    </row>
    <row r="32" spans="2:110" s="23" customFormat="1" x14ac:dyDescent="0.2">
      <c r="B32" s="23" t="s">
        <v>76</v>
      </c>
      <c r="C32" s="24"/>
      <c r="D32" s="24"/>
      <c r="E32" s="24"/>
      <c r="F32" s="24"/>
      <c r="G32" s="24"/>
      <c r="H32" s="24"/>
      <c r="I32" s="28">
        <f t="shared" ref="I32:N32" si="42">+I18/E18-1</f>
        <v>-0.14251074478282844</v>
      </c>
      <c r="J32" s="28">
        <f t="shared" si="42"/>
        <v>-5.0456564441062612E-3</v>
      </c>
      <c r="K32" s="28">
        <f t="shared" si="42"/>
        <v>6.8454370953439758E-2</v>
      </c>
      <c r="L32" s="28">
        <f t="shared" si="42"/>
        <v>6.3993318623142059E-2</v>
      </c>
      <c r="M32" s="28">
        <f t="shared" si="42"/>
        <v>0.23479061990890471</v>
      </c>
      <c r="N32" s="28">
        <f t="shared" si="42"/>
        <v>0.16085884193992328</v>
      </c>
      <c r="S32" s="29">
        <f>+S18/R18-1</f>
        <v>0.10560056609215063</v>
      </c>
      <c r="T32" s="29">
        <f>+T18/S18-1</f>
        <v>-6.9633957835607552E-3</v>
      </c>
      <c r="U32" s="29">
        <f>+U18/T18-1</f>
        <v>0.12658169584319734</v>
      </c>
      <c r="V32" s="29">
        <f t="shared" ref="V32:AC32" si="43">+V18/U18-1</f>
        <v>0.3558957052538585</v>
      </c>
      <c r="W32" s="29">
        <f t="shared" si="43"/>
        <v>0.27049813120560628</v>
      </c>
      <c r="X32" s="29">
        <f t="shared" si="43"/>
        <v>0.16713248094308875</v>
      </c>
      <c r="Y32" s="29">
        <f t="shared" si="43"/>
        <v>0.14517764616054518</v>
      </c>
      <c r="Z32" s="29">
        <f t="shared" si="43"/>
        <v>0.10766575841243475</v>
      </c>
      <c r="AA32" s="29">
        <f t="shared" si="43"/>
        <v>0.11393054422230575</v>
      </c>
      <c r="AB32" s="29">
        <f t="shared" si="43"/>
        <v>0.12005613929638814</v>
      </c>
      <c r="AC32" s="29">
        <f t="shared" si="43"/>
        <v>9.9906409830102128E-2</v>
      </c>
    </row>
    <row r="33" spans="2:32" x14ac:dyDescent="0.2">
      <c r="B33" t="s">
        <v>77</v>
      </c>
      <c r="E33" s="16">
        <f t="shared" ref="E33:L33" si="44">+E20/E18</f>
        <v>0.6039941855465103</v>
      </c>
      <c r="F33" s="16">
        <f t="shared" si="44"/>
        <v>0.72097807428905125</v>
      </c>
      <c r="G33" s="16">
        <f t="shared" si="44"/>
        <v>0.75277588615420699</v>
      </c>
      <c r="H33" s="16">
        <f t="shared" si="44"/>
        <v>0.74673356016528036</v>
      </c>
      <c r="I33" s="16">
        <f t="shared" si="44"/>
        <v>0.74673069114143276</v>
      </c>
      <c r="J33" s="16">
        <f t="shared" si="44"/>
        <v>0.73376523763258938</v>
      </c>
      <c r="K33" s="16">
        <f t="shared" si="44"/>
        <v>0.77477885137503022</v>
      </c>
      <c r="L33" s="16">
        <f t="shared" si="44"/>
        <v>0.7693397127752446</v>
      </c>
      <c r="M33" s="16">
        <f t="shared" ref="M33:N33" si="45">+M20/M18</f>
        <v>0.78</v>
      </c>
      <c r="N33" s="16">
        <f t="shared" si="45"/>
        <v>0.78</v>
      </c>
      <c r="R33" s="16">
        <f>+R20/R18</f>
        <v>0.78624907459988524</v>
      </c>
      <c r="S33" s="16">
        <f>+S20/S18</f>
        <v>0.71802630460809314</v>
      </c>
      <c r="T33" s="16">
        <f>+T20/T18</f>
        <v>0.74516437051106876</v>
      </c>
      <c r="U33" s="16">
        <f>+U20/U18</f>
        <v>0.77596071409783884</v>
      </c>
      <c r="V33" s="16">
        <f t="shared" ref="V33:AC33" si="46">+V20/V18</f>
        <v>0.79</v>
      </c>
      <c r="W33" s="16">
        <f t="shared" si="46"/>
        <v>0.79</v>
      </c>
      <c r="X33" s="16">
        <f t="shared" si="46"/>
        <v>0.79</v>
      </c>
      <c r="Y33" s="16">
        <f t="shared" si="46"/>
        <v>0.79</v>
      </c>
      <c r="Z33" s="16">
        <f t="shared" si="46"/>
        <v>0.78999999999999992</v>
      </c>
      <c r="AA33" s="16">
        <f t="shared" si="46"/>
        <v>0.79</v>
      </c>
      <c r="AB33" s="16">
        <f t="shared" si="46"/>
        <v>0.79</v>
      </c>
      <c r="AC33" s="16">
        <f t="shared" si="46"/>
        <v>0.79</v>
      </c>
      <c r="AE33" t="s">
        <v>91</v>
      </c>
      <c r="AF33" s="30">
        <v>0.08</v>
      </c>
    </row>
    <row r="34" spans="2:32" x14ac:dyDescent="0.2">
      <c r="B34" t="s">
        <v>89</v>
      </c>
      <c r="H34" s="16"/>
      <c r="I34" s="16">
        <f t="shared" ref="I34:K34" si="47">+I22/E22-1</f>
        <v>2.1638339370298132E-2</v>
      </c>
      <c r="J34" s="16">
        <f t="shared" si="47"/>
        <v>0.11278591595400789</v>
      </c>
      <c r="K34" s="16">
        <f t="shared" si="47"/>
        <v>0.11645957388221517</v>
      </c>
      <c r="L34" s="16">
        <f>+L22/H22-1</f>
        <v>6.8820217092652625E-2</v>
      </c>
      <c r="M34" s="16">
        <f t="shared" ref="M34:N34" si="48">+M22/I22-1</f>
        <v>5.0000000000000044E-2</v>
      </c>
      <c r="N34" s="16">
        <f t="shared" si="48"/>
        <v>5.0000000000000044E-2</v>
      </c>
      <c r="O34" s="16"/>
      <c r="S34" s="16">
        <f>+S22/R22-1</f>
        <v>8.3335291456902771E-2</v>
      </c>
      <c r="T34" s="16">
        <f>+T22/S22-1</f>
        <v>2.9425121565363366E-2</v>
      </c>
      <c r="U34" s="16">
        <f>+U22/T22-1</f>
        <v>6.9820312757201686E-2</v>
      </c>
      <c r="V34" s="16">
        <f t="shared" ref="V34:AC34" si="49">+V22/U22-1</f>
        <v>4.0000000000000036E-2</v>
      </c>
      <c r="W34" s="16">
        <f t="shared" si="49"/>
        <v>4.0000000000000036E-2</v>
      </c>
      <c r="X34" s="16">
        <f t="shared" si="49"/>
        <v>4.0000000000000036E-2</v>
      </c>
      <c r="Y34" s="16">
        <f t="shared" si="49"/>
        <v>4.0000000000000036E-2</v>
      </c>
      <c r="Z34" s="16">
        <f t="shared" si="49"/>
        <v>4.0000000000000036E-2</v>
      </c>
      <c r="AA34" s="16">
        <f t="shared" si="49"/>
        <v>4.0000000000000036E-2</v>
      </c>
      <c r="AB34" s="16">
        <f t="shared" si="49"/>
        <v>4.0000000000000036E-2</v>
      </c>
      <c r="AC34" s="16">
        <f t="shared" si="49"/>
        <v>4.0000000000000036E-2</v>
      </c>
      <c r="AE34" t="s">
        <v>92</v>
      </c>
      <c r="AF34" s="30">
        <v>-0.01</v>
      </c>
    </row>
    <row r="35" spans="2:32" x14ac:dyDescent="0.2">
      <c r="B35" t="s">
        <v>90</v>
      </c>
      <c r="S35" s="30">
        <f>+S8/R8-1</f>
        <v>1.8372221201556904E-4</v>
      </c>
      <c r="T35" s="30">
        <f>+T8/S8-1</f>
        <v>0.14484753857457777</v>
      </c>
      <c r="U35" s="30">
        <f>+U8/T8-1</f>
        <v>0.10100360205694292</v>
      </c>
      <c r="V35" s="30">
        <f t="shared" ref="V35:AC35" si="50">+V8/U8-1</f>
        <v>7.0000000000000062E-2</v>
      </c>
      <c r="W35" s="30">
        <f t="shared" si="50"/>
        <v>7.0000000000000062E-2</v>
      </c>
      <c r="X35" s="30">
        <f t="shared" si="50"/>
        <v>4.0000000000000036E-2</v>
      </c>
      <c r="Y35" s="30">
        <f t="shared" si="50"/>
        <v>4.0000000000000036E-2</v>
      </c>
      <c r="Z35" s="30">
        <f t="shared" si="50"/>
        <v>4.0000000000000036E-2</v>
      </c>
      <c r="AA35" s="30">
        <f t="shared" si="50"/>
        <v>4.0000000000000036E-2</v>
      </c>
      <c r="AB35" s="30">
        <f t="shared" si="50"/>
        <v>4.0000000000000036E-2</v>
      </c>
      <c r="AC35" s="30">
        <f t="shared" si="50"/>
        <v>4.0000000000000036E-2</v>
      </c>
      <c r="AE35" t="s">
        <v>101</v>
      </c>
      <c r="AF35" s="30">
        <v>0.02</v>
      </c>
    </row>
    <row r="36" spans="2:32" x14ac:dyDescent="0.2">
      <c r="AE36" t="s">
        <v>93</v>
      </c>
      <c r="AF36" s="2">
        <f>NPV(AF33,V28:DF28)+Main!L5-Main!L6</f>
        <v>38741.036608287031</v>
      </c>
    </row>
    <row r="37" spans="2:32" x14ac:dyDescent="0.2">
      <c r="B37" t="s">
        <v>100</v>
      </c>
      <c r="L37" s="25">
        <f>+Main!L5-Main!L6</f>
        <v>441.20299999999997</v>
      </c>
      <c r="M37" s="25">
        <f>+L37+M28</f>
        <v>608.59481962500013</v>
      </c>
      <c r="N37" s="25">
        <f>+M37+N28</f>
        <v>756.9453708906251</v>
      </c>
      <c r="U37" s="2">
        <f>+N37</f>
        <v>756.9453708906251</v>
      </c>
      <c r="V37" s="2">
        <f>+U37+V28</f>
        <v>2155.266565269375</v>
      </c>
      <c r="W37" s="2">
        <f t="shared" ref="W37:AC37" si="51">+V37+W28</f>
        <v>4150.4481098045289</v>
      </c>
      <c r="X37" s="2">
        <f t="shared" si="51"/>
        <v>6376.1931768570757</v>
      </c>
      <c r="Y37" s="2">
        <f t="shared" si="51"/>
        <v>8744.721490896758</v>
      </c>
      <c r="Z37" s="2">
        <f t="shared" si="51"/>
        <v>11446.618618727944</v>
      </c>
      <c r="AA37" s="2">
        <f t="shared" si="51"/>
        <v>14542.092564029295</v>
      </c>
      <c r="AB37" s="2">
        <f t="shared" si="51"/>
        <v>18102.571190212391</v>
      </c>
      <c r="AC37" s="2">
        <f t="shared" si="51"/>
        <v>22103.721191026227</v>
      </c>
      <c r="AE37" t="s">
        <v>94</v>
      </c>
      <c r="AF37" s="1">
        <f>+AF36/Main!L3</f>
        <v>208.87598471372266</v>
      </c>
    </row>
    <row r="38" spans="2:32" x14ac:dyDescent="0.2">
      <c r="AF38" s="30">
        <f>+AF37/Main!L2-1</f>
        <v>1.3208442745969182</v>
      </c>
    </row>
  </sheetData>
  <hyperlinks>
    <hyperlink ref="A1" location="Main!A1" display="Main" xr:uid="{A55303B1-EC0E-4753-B9F5-82325FA3A6D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valrox</vt:lpstr>
      <vt:lpstr>Matrix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2022-10-24T19:25:36Z</dcterms:created>
  <dcterms:modified xsi:type="dcterms:W3CDTF">2022-10-24T21:29:23Z</dcterms:modified>
</cp:coreProperties>
</file>