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474E85F-250F-481F-B54B-47888CD87413}" xr6:coauthVersionLast="47" xr6:coauthVersionMax="47" xr10:uidLastSave="{00000000-0000-0000-0000-000000000000}"/>
  <bookViews>
    <workbookView xWindow="-49260" yWindow="2340" windowWidth="38700" windowHeight="15345" activeTab="2" xr2:uid="{00000000-000D-0000-FFFF-FFFF00000000}"/>
  </bookViews>
  <sheets>
    <sheet name="Master" sheetId="27" r:id="rId1"/>
    <sheet name="Main" sheetId="1" r:id="rId2"/>
    <sheet name="Model" sheetId="2" r:id="rId3"/>
    <sheet name="Zyprexa" sheetId="3" r:id="rId4"/>
    <sheet name="Cymbalta" sheetId="4" r:id="rId5"/>
    <sheet name="Strattera" sheetId="5" r:id="rId6"/>
    <sheet name="Forteo" sheetId="6" r:id="rId7"/>
    <sheet name="Evista" sheetId="7" r:id="rId8"/>
    <sheet name="Cialis" sheetId="9" r:id="rId9"/>
    <sheet name="Gemzar" sheetId="23" r:id="rId10"/>
    <sheet name="Alimta" sheetId="10" r:id="rId11"/>
    <sheet name="Exenatide" sheetId="11" r:id="rId12"/>
    <sheet name="Effient" sheetId="14" r:id="rId13"/>
    <sheet name="Enzastaurin" sheetId="15" r:id="rId14"/>
    <sheet name="Arzoxifene" sheetId="16" r:id="rId15"/>
    <sheet name="LY2062430" sheetId="26" r:id="rId16"/>
    <sheet name="LY2140023" sheetId="24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2" l="1"/>
  <c r="F51" i="2"/>
  <c r="F14" i="2"/>
  <c r="F58" i="2" s="1"/>
  <c r="F48" i="2"/>
  <c r="F40" i="2"/>
  <c r="F50" i="2"/>
  <c r="F9" i="2"/>
  <c r="F11" i="2"/>
  <c r="C58" i="2"/>
  <c r="D58" i="2"/>
  <c r="E58" i="2"/>
  <c r="G58" i="2"/>
  <c r="H58" i="2"/>
  <c r="I58" i="2"/>
  <c r="AP55" i="2"/>
  <c r="AQ65" i="2"/>
  <c r="AQ55" i="2"/>
  <c r="AR55" i="2"/>
  <c r="AS55" i="2"/>
  <c r="AT55" i="2"/>
  <c r="AU63" i="2"/>
  <c r="AU55" i="2"/>
  <c r="AY55" i="2"/>
  <c r="AY58" i="2" s="1"/>
  <c r="AV63" i="2"/>
  <c r="AV55" i="2"/>
  <c r="AZ55" i="2"/>
  <c r="AZ58" i="2" s="1"/>
  <c r="AW63" i="2"/>
  <c r="AW55" i="2"/>
  <c r="BA55" i="2"/>
  <c r="BA58" i="2" s="1"/>
  <c r="BB73" i="2"/>
  <c r="BG76" i="2"/>
  <c r="BF76" i="2"/>
  <c r="BE76" i="2"/>
  <c r="BD76" i="2"/>
  <c r="BC76" i="2"/>
  <c r="BG73" i="2"/>
  <c r="BF73" i="2"/>
  <c r="BE73" i="2"/>
  <c r="BD73" i="2"/>
  <c r="BC73" i="2"/>
  <c r="AX55" i="2"/>
  <c r="AX58" i="2" s="1"/>
  <c r="AX63" i="2"/>
  <c r="BB55" i="2"/>
  <c r="BB58" i="2" s="1"/>
  <c r="AY63" i="2"/>
  <c r="BC63" i="2"/>
  <c r="BC55" i="2"/>
  <c r="BC58" i="2" s="1"/>
  <c r="BH76" i="2"/>
  <c r="BH74" i="2"/>
  <c r="BH73" i="2"/>
  <c r="AZ63" i="2"/>
  <c r="BD63" i="2"/>
  <c r="BD55" i="2"/>
  <c r="BD58" i="2" s="1"/>
  <c r="BA63" i="2"/>
  <c r="BI76" i="2"/>
  <c r="BI74" i="2"/>
  <c r="BI73" i="2"/>
  <c r="BE63" i="2"/>
  <c r="BE55" i="2"/>
  <c r="BE58" i="2" s="1"/>
  <c r="BB63" i="2"/>
  <c r="BJ76" i="2"/>
  <c r="BJ74" i="2"/>
  <c r="BJ73" i="2"/>
  <c r="BF63" i="2"/>
  <c r="BF55" i="2"/>
  <c r="BF58" i="2"/>
  <c r="BF60" i="2" s="1"/>
  <c r="BF79" i="2" s="1"/>
  <c r="BO76" i="2"/>
  <c r="BN76" i="2"/>
  <c r="BM76" i="2"/>
  <c r="BL76" i="2"/>
  <c r="BK76" i="2"/>
  <c r="BO75" i="2"/>
  <c r="BN75" i="2"/>
  <c r="BO74" i="2"/>
  <c r="BN74" i="2"/>
  <c r="BM74" i="2"/>
  <c r="BL74" i="2"/>
  <c r="BK74" i="2"/>
  <c r="BO73" i="2"/>
  <c r="BN73" i="2"/>
  <c r="BM73" i="2"/>
  <c r="BL73" i="2"/>
  <c r="BK73" i="2"/>
  <c r="BG63" i="2"/>
  <c r="BK63" i="2"/>
  <c r="BG55" i="2"/>
  <c r="BG58" i="2" s="1"/>
  <c r="BG80" i="2" s="1"/>
  <c r="BK55" i="2"/>
  <c r="BH63" i="2"/>
  <c r="BL63" i="2"/>
  <c r="BP76" i="2"/>
  <c r="BP75" i="2"/>
  <c r="BP74" i="2"/>
  <c r="BP73" i="2"/>
  <c r="BL55" i="2"/>
  <c r="BL58" i="2" s="1"/>
  <c r="BL60" i="2" s="1"/>
  <c r="BL79" i="2" s="1"/>
  <c r="BM55" i="2"/>
  <c r="BM58" i="2" s="1"/>
  <c r="BM81" i="2" s="1"/>
  <c r="BH55" i="2"/>
  <c r="BH58" i="2" s="1"/>
  <c r="BQ76" i="2"/>
  <c r="BQ75" i="2"/>
  <c r="BQ74" i="2"/>
  <c r="BQ73" i="2"/>
  <c r="BI65" i="2"/>
  <c r="BI63" i="2"/>
  <c r="BM65" i="2"/>
  <c r="BM63" i="2"/>
  <c r="BI55" i="2"/>
  <c r="BI58" i="2" s="1"/>
  <c r="BI81" i="2" s="1"/>
  <c r="BJ55" i="2"/>
  <c r="BJ58" i="2" s="1"/>
  <c r="BJ81" i="2" s="1"/>
  <c r="BJ65" i="2"/>
  <c r="BJ63" i="2"/>
  <c r="BN65" i="2"/>
  <c r="BN63" i="2"/>
  <c r="BR76" i="2"/>
  <c r="BR75" i="2"/>
  <c r="BR74" i="2"/>
  <c r="BR73" i="2"/>
  <c r="BS58" i="2"/>
  <c r="BR58" i="2"/>
  <c r="BQ58" i="2"/>
  <c r="BP58" i="2"/>
  <c r="BO58" i="2"/>
  <c r="BK58" i="2"/>
  <c r="BK81" i="2" s="1"/>
  <c r="BN55" i="2"/>
  <c r="BN58" i="2" s="1"/>
  <c r="CE59" i="2"/>
  <c r="CE65" i="2"/>
  <c r="CX21" i="2"/>
  <c r="CY58" i="2"/>
  <c r="CZ21" i="2"/>
  <c r="CZ58" i="2" s="1"/>
  <c r="DA58" i="2"/>
  <c r="DH4" i="2"/>
  <c r="CB65" i="2"/>
  <c r="CB19" i="2"/>
  <c r="CB17" i="2"/>
  <c r="CD17" i="2" s="1"/>
  <c r="CC25" i="2"/>
  <c r="CB107" i="2"/>
  <c r="CB99" i="2"/>
  <c r="CB92" i="2"/>
  <c r="CB86" i="2"/>
  <c r="CB84" i="2" s="1"/>
  <c r="DB32" i="2"/>
  <c r="DD21" i="2"/>
  <c r="DC21" i="2"/>
  <c r="DB21" i="2"/>
  <c r="DD26" i="2"/>
  <c r="DC26" i="2"/>
  <c r="DB26" i="2"/>
  <c r="DD19" i="2"/>
  <c r="DC19" i="2"/>
  <c r="DB19" i="2"/>
  <c r="DB17" i="2"/>
  <c r="DC17" i="2"/>
  <c r="DD17" i="2"/>
  <c r="DG4" i="2"/>
  <c r="DF70" i="2"/>
  <c r="DM4" i="2"/>
  <c r="DN4" i="2" s="1"/>
  <c r="DO4" i="2" s="1"/>
  <c r="DF62" i="2"/>
  <c r="DE62" i="2"/>
  <c r="DF61" i="2"/>
  <c r="DE61" i="2"/>
  <c r="DF59" i="2"/>
  <c r="DE59" i="2"/>
  <c r="DH46" i="2"/>
  <c r="DG46" i="2"/>
  <c r="DF46" i="2"/>
  <c r="DE46" i="2"/>
  <c r="DH32" i="2"/>
  <c r="DG32" i="2"/>
  <c r="DF32" i="2"/>
  <c r="DE32" i="2"/>
  <c r="DH31" i="2"/>
  <c r="DG31" i="2"/>
  <c r="DF31" i="2"/>
  <c r="DE31" i="2"/>
  <c r="DH30" i="2"/>
  <c r="DG30" i="2"/>
  <c r="DF30" i="2"/>
  <c r="DE30" i="2"/>
  <c r="DE29" i="2"/>
  <c r="DF28" i="2"/>
  <c r="DE28" i="2"/>
  <c r="DF27" i="2"/>
  <c r="DE27" i="2"/>
  <c r="DF26" i="2"/>
  <c r="DE26" i="2"/>
  <c r="DF25" i="2"/>
  <c r="DE25" i="2"/>
  <c r="DF23" i="2"/>
  <c r="DE23" i="2"/>
  <c r="DF21" i="2"/>
  <c r="DE21" i="2"/>
  <c r="DF20" i="2"/>
  <c r="DE20" i="2"/>
  <c r="DF19" i="2"/>
  <c r="DE19" i="2"/>
  <c r="DF17" i="2"/>
  <c r="DE17" i="2"/>
  <c r="DF16" i="2"/>
  <c r="DE16" i="2"/>
  <c r="DF15" i="2"/>
  <c r="DE15" i="2"/>
  <c r="DF13" i="2"/>
  <c r="DE13" i="2"/>
  <c r="DF12" i="2"/>
  <c r="DE12" i="2"/>
  <c r="DE11" i="2"/>
  <c r="DF10" i="2"/>
  <c r="DE10" i="2"/>
  <c r="DF8" i="2"/>
  <c r="DE8" i="2"/>
  <c r="DF7" i="2"/>
  <c r="DE7" i="2"/>
  <c r="DF6" i="2"/>
  <c r="DE6" i="2"/>
  <c r="DE9" i="2"/>
  <c r="DH5" i="2"/>
  <c r="DG5" i="2"/>
  <c r="DF5" i="2"/>
  <c r="DE5" i="2"/>
  <c r="DE3" i="2"/>
  <c r="CC70" i="2"/>
  <c r="CD70" i="2" s="1"/>
  <c r="CF70" i="2" s="1"/>
  <c r="CG70" i="2" s="1"/>
  <c r="CH70" i="2" s="1"/>
  <c r="CD62" i="2"/>
  <c r="CH62" i="2" s="1"/>
  <c r="CC62" i="2"/>
  <c r="CG62" i="2" s="1"/>
  <c r="CF62" i="2"/>
  <c r="CD61" i="2"/>
  <c r="CH61" i="2" s="1"/>
  <c r="CC61" i="2"/>
  <c r="CG61" i="2" s="1"/>
  <c r="CB63" i="2"/>
  <c r="CB28" i="2"/>
  <c r="CD28" i="2" s="1"/>
  <c r="CD21" i="2"/>
  <c r="CD18" i="2"/>
  <c r="BU58" i="2"/>
  <c r="BT58" i="2"/>
  <c r="BS72" i="2" l="1"/>
  <c r="BF72" i="2"/>
  <c r="BF80" i="2"/>
  <c r="BF81" i="2"/>
  <c r="BG81" i="2"/>
  <c r="CG63" i="2"/>
  <c r="BD80" i="2"/>
  <c r="BD60" i="2"/>
  <c r="BD64" i="2" s="1"/>
  <c r="BD66" i="2" s="1"/>
  <c r="BD68" i="2" s="1"/>
  <c r="BD69" i="2" s="1"/>
  <c r="BD81" i="2"/>
  <c r="BH72" i="2"/>
  <c r="BG72" i="2"/>
  <c r="BC81" i="2"/>
  <c r="BC60" i="2"/>
  <c r="BC79" i="2" s="1"/>
  <c r="BC80" i="2"/>
  <c r="BD72" i="2"/>
  <c r="BP72" i="2"/>
  <c r="BN72" i="2"/>
  <c r="BJ72" i="2"/>
  <c r="BJ80" i="2"/>
  <c r="BE72" i="2"/>
  <c r="CB110" i="2"/>
  <c r="BC72" i="2"/>
  <c r="AY80" i="2"/>
  <c r="AY60" i="2"/>
  <c r="AY79" i="2" s="1"/>
  <c r="AY81" i="2"/>
  <c r="AZ81" i="2"/>
  <c r="BO72" i="2"/>
  <c r="BB72" i="2"/>
  <c r="AX80" i="2"/>
  <c r="AX81" i="2"/>
  <c r="BA81" i="2"/>
  <c r="BA60" i="2"/>
  <c r="BA79" i="2" s="1"/>
  <c r="AZ60" i="2"/>
  <c r="AZ79" i="2" s="1"/>
  <c r="AZ80" i="2"/>
  <c r="BI72" i="2"/>
  <c r="BE81" i="2"/>
  <c r="BE80" i="2"/>
  <c r="BE60" i="2"/>
  <c r="BE79" i="2" s="1"/>
  <c r="BA80" i="2"/>
  <c r="BB60" i="2"/>
  <c r="BB79" i="2" s="1"/>
  <c r="BB81" i="2"/>
  <c r="BB80" i="2"/>
  <c r="BF64" i="2"/>
  <c r="BF66" i="2" s="1"/>
  <c r="BK60" i="2"/>
  <c r="BG60" i="2"/>
  <c r="BG79" i="2" s="1"/>
  <c r="BM80" i="2"/>
  <c r="BK72" i="2"/>
  <c r="BL81" i="2"/>
  <c r="BK80" i="2"/>
  <c r="CH63" i="2"/>
  <c r="BL72" i="2"/>
  <c r="BL80" i="2"/>
  <c r="BQ72" i="2"/>
  <c r="BM72" i="2"/>
  <c r="BH80" i="2"/>
  <c r="BH60" i="2"/>
  <c r="BH79" i="2" s="1"/>
  <c r="BH81" i="2"/>
  <c r="BH64" i="2"/>
  <c r="BH66" i="2" s="1"/>
  <c r="BL64" i="2"/>
  <c r="BL66" i="2" s="1"/>
  <c r="BN80" i="2"/>
  <c r="BN60" i="2"/>
  <c r="BR72" i="2"/>
  <c r="BN81" i="2"/>
  <c r="BM60" i="2"/>
  <c r="BI60" i="2"/>
  <c r="BI79" i="2" s="1"/>
  <c r="BI80" i="2"/>
  <c r="BJ60" i="2"/>
  <c r="BJ79" i="2" s="1"/>
  <c r="BJ64" i="2"/>
  <c r="BJ66" i="2" s="1"/>
  <c r="BJ82" i="2" s="1"/>
  <c r="CD25" i="2"/>
  <c r="CB97" i="2"/>
  <c r="DC58" i="2"/>
  <c r="DC60" i="2" s="1"/>
  <c r="DD58" i="2"/>
  <c r="DD60" i="2" s="1"/>
  <c r="DG20" i="2"/>
  <c r="DH20" i="2"/>
  <c r="DI20" i="2" s="1"/>
  <c r="DJ20" i="2" s="1"/>
  <c r="DK20" i="2" s="1"/>
  <c r="DL20" i="2" s="1"/>
  <c r="DM20" i="2" s="1"/>
  <c r="DN20" i="2" s="1"/>
  <c r="DO20" i="2" s="1"/>
  <c r="CF61" i="2"/>
  <c r="CF63" i="2" s="1"/>
  <c r="DG70" i="2"/>
  <c r="DH70" i="2"/>
  <c r="DI70" i="2" s="1"/>
  <c r="DJ70" i="2" s="1"/>
  <c r="DK70" i="2" s="1"/>
  <c r="DL70" i="2" s="1"/>
  <c r="DM70" i="2" s="1"/>
  <c r="DN70" i="2" s="1"/>
  <c r="DO70" i="2" s="1"/>
  <c r="DG17" i="2"/>
  <c r="DG18" i="2"/>
  <c r="DF63" i="2"/>
  <c r="DE63" i="2"/>
  <c r="DH18" i="2"/>
  <c r="DI18" i="2" s="1"/>
  <c r="DJ18" i="2" s="1"/>
  <c r="DK18" i="2" s="1"/>
  <c r="DL18" i="2" s="1"/>
  <c r="DM18" i="2" s="1"/>
  <c r="DN18" i="2" s="1"/>
  <c r="DO18" i="2" s="1"/>
  <c r="DH62" i="2"/>
  <c r="CE63" i="2"/>
  <c r="DH28" i="2"/>
  <c r="DH21" i="2"/>
  <c r="DI21" i="2" s="1"/>
  <c r="DJ21" i="2" s="1"/>
  <c r="DK21" i="2" s="1"/>
  <c r="DL21" i="2" s="1"/>
  <c r="DM21" i="2" s="1"/>
  <c r="DN21" i="2" s="1"/>
  <c r="DO21" i="2" s="1"/>
  <c r="CD26" i="2"/>
  <c r="CF27" i="2"/>
  <c r="CG27" i="2" s="1"/>
  <c r="CH27" i="2" s="1"/>
  <c r="DG21" i="2"/>
  <c r="DG61" i="2"/>
  <c r="CD22" i="2"/>
  <c r="DG28" i="2"/>
  <c r="DG62" i="2"/>
  <c r="DG27" i="2"/>
  <c r="CD24" i="2"/>
  <c r="DG29" i="2"/>
  <c r="CC63" i="2"/>
  <c r="DH17" i="2"/>
  <c r="DI17" i="2" s="1"/>
  <c r="DJ17" i="2" s="1"/>
  <c r="DK17" i="2" s="1"/>
  <c r="DL17" i="2" s="1"/>
  <c r="DM17" i="2" s="1"/>
  <c r="DN17" i="2" s="1"/>
  <c r="DO17" i="2" s="1"/>
  <c r="CD63" i="2"/>
  <c r="CH16" i="2"/>
  <c r="CG16" i="2"/>
  <c r="DG15" i="2"/>
  <c r="BY58" i="2"/>
  <c r="BX58" i="2"/>
  <c r="BV24" i="2"/>
  <c r="DE24" i="2" s="1"/>
  <c r="BV22" i="2"/>
  <c r="DE22" i="2" s="1"/>
  <c r="BV18" i="2"/>
  <c r="DE18" i="2" s="1"/>
  <c r="BV14" i="2"/>
  <c r="BW133" i="2"/>
  <c r="BW125" i="2"/>
  <c r="BW124" i="2"/>
  <c r="BW127" i="2" s="1"/>
  <c r="BW121" i="2"/>
  <c r="BW107" i="2"/>
  <c r="BW99" i="2"/>
  <c r="BW92" i="2"/>
  <c r="BW86" i="2"/>
  <c r="BX107" i="2"/>
  <c r="BX99" i="2"/>
  <c r="BX92" i="2"/>
  <c r="BX86" i="2"/>
  <c r="BY107" i="2"/>
  <c r="BY99" i="2"/>
  <c r="BY92" i="2"/>
  <c r="BY86" i="2"/>
  <c r="CA19" i="2"/>
  <c r="BZ29" i="2"/>
  <c r="DF29" i="2" s="1"/>
  <c r="BZ107" i="2"/>
  <c r="BZ99" i="2"/>
  <c r="BZ92" i="2"/>
  <c r="BZ86" i="2"/>
  <c r="BZ24" i="2"/>
  <c r="DF24" i="2" s="1"/>
  <c r="BZ22" i="2"/>
  <c r="DF22" i="2" s="1"/>
  <c r="BZ18" i="2"/>
  <c r="DF18" i="2" s="1"/>
  <c r="BZ14" i="2"/>
  <c r="DF14" i="2" s="1"/>
  <c r="DF3" i="2"/>
  <c r="CF13" i="2"/>
  <c r="CH13" i="2"/>
  <c r="CH12" i="2"/>
  <c r="CG12" i="2"/>
  <c r="CH8" i="2"/>
  <c r="CH76" i="2" s="1"/>
  <c r="CC76" i="2"/>
  <c r="CE76" i="2"/>
  <c r="CH7" i="2"/>
  <c r="CH75" i="2" s="1"/>
  <c r="CG7" i="2"/>
  <c r="CG75" i="2" s="1"/>
  <c r="CA76" i="2"/>
  <c r="BZ76" i="2"/>
  <c r="BY76" i="2"/>
  <c r="BX76" i="2"/>
  <c r="BW76" i="2"/>
  <c r="BV76" i="2"/>
  <c r="BU76" i="2"/>
  <c r="BT76" i="2"/>
  <c r="BS76" i="2"/>
  <c r="CA75" i="2"/>
  <c r="BZ75" i="2"/>
  <c r="BY75" i="2"/>
  <c r="BX75" i="2"/>
  <c r="BW75" i="2"/>
  <c r="BV75" i="2"/>
  <c r="BU75" i="2"/>
  <c r="BT75" i="2"/>
  <c r="BS75" i="2"/>
  <c r="CH6" i="2"/>
  <c r="CH74" i="2" s="1"/>
  <c r="CG6" i="2"/>
  <c r="CG74" i="2" s="1"/>
  <c r="BZ74" i="2"/>
  <c r="BY74" i="2"/>
  <c r="BX74" i="2"/>
  <c r="BW74" i="2"/>
  <c r="BV74" i="2"/>
  <c r="BU74" i="2"/>
  <c r="BT74" i="2"/>
  <c r="BS74" i="2"/>
  <c r="CA74" i="2"/>
  <c r="BD82" i="2" l="1"/>
  <c r="BD79" i="2"/>
  <c r="BG64" i="2"/>
  <c r="BG66" i="2" s="1"/>
  <c r="BC64" i="2"/>
  <c r="BC66" i="2" s="1"/>
  <c r="BC82" i="2" s="1"/>
  <c r="AY64" i="2"/>
  <c r="AY66" i="2" s="1"/>
  <c r="BX110" i="2"/>
  <c r="BF68" i="2"/>
  <c r="BF69" i="2" s="1"/>
  <c r="BF82" i="2"/>
  <c r="BC68" i="2"/>
  <c r="BC69" i="2" s="1"/>
  <c r="BE64" i="2"/>
  <c r="BE66" i="2" s="1"/>
  <c r="BE68" i="2" s="1"/>
  <c r="BE69" i="2" s="1"/>
  <c r="BA64" i="2"/>
  <c r="BA66" i="2" s="1"/>
  <c r="AY68" i="2"/>
  <c r="AY69" i="2" s="1"/>
  <c r="AY82" i="2"/>
  <c r="AZ64" i="2"/>
  <c r="AZ66" i="2" s="1"/>
  <c r="AZ68" i="2" s="1"/>
  <c r="AZ69" i="2" s="1"/>
  <c r="BD77" i="2" s="1"/>
  <c r="BB64" i="2"/>
  <c r="BB66" i="2" s="1"/>
  <c r="AZ82" i="2"/>
  <c r="BE82" i="2"/>
  <c r="BA68" i="2"/>
  <c r="BA69" i="2" s="1"/>
  <c r="BA82" i="2"/>
  <c r="BB68" i="2"/>
  <c r="BB69" i="2" s="1"/>
  <c r="BB82" i="2"/>
  <c r="BM64" i="2"/>
  <c r="BM66" i="2" s="1"/>
  <c r="BM79" i="2"/>
  <c r="BL68" i="2"/>
  <c r="BL69" i="2" s="1"/>
  <c r="BL82" i="2"/>
  <c r="BG68" i="2"/>
  <c r="BG69" i="2" s="1"/>
  <c r="BG82" i="2"/>
  <c r="BK64" i="2"/>
  <c r="BK66" i="2" s="1"/>
  <c r="BK79" i="2"/>
  <c r="BH68" i="2"/>
  <c r="BH69" i="2" s="1"/>
  <c r="BH77" i="2" s="1"/>
  <c r="BH82" i="2"/>
  <c r="BI64" i="2"/>
  <c r="BI66" i="2" s="1"/>
  <c r="BI68" i="2" s="1"/>
  <c r="BI69" i="2" s="1"/>
  <c r="BN64" i="2"/>
  <c r="BN66" i="2" s="1"/>
  <c r="BN79" i="2"/>
  <c r="BI82" i="2"/>
  <c r="BJ68" i="2"/>
  <c r="BJ69" i="2" s="1"/>
  <c r="BJ77" i="2" s="1"/>
  <c r="DH27" i="2"/>
  <c r="DI27" i="2" s="1"/>
  <c r="DJ27" i="2" s="1"/>
  <c r="DK27" i="2" s="1"/>
  <c r="DL27" i="2" s="1"/>
  <c r="DM27" i="2" s="1"/>
  <c r="DN27" i="2" s="1"/>
  <c r="DO27" i="2" s="1"/>
  <c r="DH29" i="2"/>
  <c r="DI29" i="2" s="1"/>
  <c r="DJ29" i="2" s="1"/>
  <c r="DK29" i="2" s="1"/>
  <c r="DL29" i="2" s="1"/>
  <c r="DM29" i="2" s="1"/>
  <c r="DN29" i="2" s="1"/>
  <c r="DO29" i="2" s="1"/>
  <c r="DH25" i="2"/>
  <c r="DI25" i="2" s="1"/>
  <c r="DJ25" i="2" s="1"/>
  <c r="DK25" i="2" s="1"/>
  <c r="DL25" i="2" s="1"/>
  <c r="DM25" i="2" s="1"/>
  <c r="DN25" i="2" s="1"/>
  <c r="DO25" i="2" s="1"/>
  <c r="DG25" i="2"/>
  <c r="DG26" i="2"/>
  <c r="DG24" i="2"/>
  <c r="DH61" i="2"/>
  <c r="DG16" i="2"/>
  <c r="DH22" i="2"/>
  <c r="DI22" i="2" s="1"/>
  <c r="DJ22" i="2" s="1"/>
  <c r="DK22" i="2" s="1"/>
  <c r="DL22" i="2" s="1"/>
  <c r="DM22" i="2" s="1"/>
  <c r="DN22" i="2" s="1"/>
  <c r="DO22" i="2" s="1"/>
  <c r="DG23" i="2"/>
  <c r="CF23" i="2"/>
  <c r="CG23" i="2" s="1"/>
  <c r="CH23" i="2" s="1"/>
  <c r="CF16" i="2"/>
  <c r="DH16" i="2" s="1"/>
  <c r="DI16" i="2" s="1"/>
  <c r="DJ16" i="2" s="1"/>
  <c r="DK16" i="2" s="1"/>
  <c r="DL16" i="2" s="1"/>
  <c r="DM16" i="2" s="1"/>
  <c r="DN16" i="2" s="1"/>
  <c r="DO16" i="2" s="1"/>
  <c r="BZ58" i="2"/>
  <c r="DG22" i="2"/>
  <c r="CF6" i="2"/>
  <c r="CF74" i="2" s="1"/>
  <c r="DG6" i="2"/>
  <c r="CE74" i="2"/>
  <c r="DG63" i="2"/>
  <c r="CB75" i="2"/>
  <c r="DG7" i="2"/>
  <c r="CD19" i="2"/>
  <c r="CF8" i="2"/>
  <c r="CF76" i="2" s="1"/>
  <c r="DG8" i="2"/>
  <c r="BY84" i="2"/>
  <c r="BV58" i="2"/>
  <c r="DE14" i="2"/>
  <c r="CE75" i="2"/>
  <c r="CF12" i="2"/>
  <c r="DH12" i="2" s="1"/>
  <c r="DI12" i="2" s="1"/>
  <c r="DJ12" i="2" s="1"/>
  <c r="DK12" i="2" s="1"/>
  <c r="DL12" i="2" s="1"/>
  <c r="DM12" i="2" s="1"/>
  <c r="DN12" i="2" s="1"/>
  <c r="DO12" i="2" s="1"/>
  <c r="DG12" i="2"/>
  <c r="BX84" i="2"/>
  <c r="CG13" i="2"/>
  <c r="DH13" i="2" s="1"/>
  <c r="DI13" i="2" s="1"/>
  <c r="DJ13" i="2" s="1"/>
  <c r="DK13" i="2" s="1"/>
  <c r="DL13" i="2" s="1"/>
  <c r="DM13" i="2" s="1"/>
  <c r="DN13" i="2" s="1"/>
  <c r="DO13" i="2" s="1"/>
  <c r="DG13" i="2"/>
  <c r="DH15" i="2"/>
  <c r="DI15" i="2" s="1"/>
  <c r="DJ15" i="2" s="1"/>
  <c r="DK15" i="2" s="1"/>
  <c r="DL15" i="2" s="1"/>
  <c r="DM15" i="2" s="1"/>
  <c r="DN15" i="2" s="1"/>
  <c r="DO15" i="2" s="1"/>
  <c r="BZ84" i="2"/>
  <c r="CD76" i="2"/>
  <c r="BZ97" i="2"/>
  <c r="BW136" i="2"/>
  <c r="BZ110" i="2"/>
  <c r="BY97" i="2"/>
  <c r="CD75" i="2"/>
  <c r="BX97" i="2"/>
  <c r="CB76" i="2"/>
  <c r="CG8" i="2"/>
  <c r="CG76" i="2" s="1"/>
  <c r="BY110" i="2"/>
  <c r="CC74" i="2"/>
  <c r="CC75" i="2"/>
  <c r="BW110" i="2"/>
  <c r="BW84" i="2"/>
  <c r="BW97" i="2"/>
  <c r="CF7" i="2"/>
  <c r="CF75" i="2" s="1"/>
  <c r="CB74" i="2"/>
  <c r="CD74" i="2"/>
  <c r="BE77" i="2" l="1"/>
  <c r="BI77" i="2"/>
  <c r="BC77" i="2"/>
  <c r="BG77" i="2"/>
  <c r="DH23" i="2"/>
  <c r="DI23" i="2" s="1"/>
  <c r="DJ23" i="2" s="1"/>
  <c r="DK23" i="2" s="1"/>
  <c r="DL23" i="2" s="1"/>
  <c r="DM23" i="2" s="1"/>
  <c r="DN23" i="2" s="1"/>
  <c r="DO23" i="2" s="1"/>
  <c r="BF77" i="2"/>
  <c r="BK68" i="2"/>
  <c r="BK69" i="2" s="1"/>
  <c r="BK77" i="2" s="1"/>
  <c r="BK82" i="2"/>
  <c r="BL77" i="2"/>
  <c r="BM68" i="2"/>
  <c r="BM69" i="2" s="1"/>
  <c r="BM77" i="2" s="1"/>
  <c r="BM82" i="2"/>
  <c r="BN68" i="2"/>
  <c r="BN69" i="2" s="1"/>
  <c r="BN77" i="2" s="1"/>
  <c r="BN82" i="2"/>
  <c r="DH26" i="2"/>
  <c r="DI26" i="2" s="1"/>
  <c r="DJ26" i="2" s="1"/>
  <c r="DK26" i="2" s="1"/>
  <c r="DL26" i="2" s="1"/>
  <c r="DM26" i="2" s="1"/>
  <c r="DN26" i="2" s="1"/>
  <c r="DO26" i="2" s="1"/>
  <c r="DE58" i="2"/>
  <c r="DE60" i="2" s="1"/>
  <c r="DG19" i="2"/>
  <c r="DH6" i="2"/>
  <c r="DI6" i="2" s="1"/>
  <c r="DJ6" i="2" s="1"/>
  <c r="DK6" i="2" s="1"/>
  <c r="DL6" i="2" s="1"/>
  <c r="DM6" i="2" s="1"/>
  <c r="DN6" i="2" s="1"/>
  <c r="DO6" i="2" s="1"/>
  <c r="DH63" i="2"/>
  <c r="CF10" i="2"/>
  <c r="CG10" i="2" s="1"/>
  <c r="DG14" i="2"/>
  <c r="DH7" i="2"/>
  <c r="DI7" i="2" s="1"/>
  <c r="DJ7" i="2" s="1"/>
  <c r="DK7" i="2" s="1"/>
  <c r="DL7" i="2" s="1"/>
  <c r="DM7" i="2" s="1"/>
  <c r="DN7" i="2" s="1"/>
  <c r="DO7" i="2" s="1"/>
  <c r="DH8" i="2"/>
  <c r="DI8" i="2" s="1"/>
  <c r="DJ8" i="2" s="1"/>
  <c r="DK8" i="2" s="1"/>
  <c r="DL8" i="2" s="1"/>
  <c r="DM8" i="2" s="1"/>
  <c r="DN8" i="2" s="1"/>
  <c r="DO8" i="2" s="1"/>
  <c r="DG10" i="2"/>
  <c r="DH19" i="2"/>
  <c r="DI19" i="2" s="1"/>
  <c r="DJ19" i="2" s="1"/>
  <c r="DK19" i="2" s="1"/>
  <c r="DL19" i="2" s="1"/>
  <c r="DM19" i="2" s="1"/>
  <c r="DN19" i="2" s="1"/>
  <c r="DO19" i="2" s="1"/>
  <c r="DH24" i="2"/>
  <c r="DI24" i="2" s="1"/>
  <c r="DJ24" i="2" s="1"/>
  <c r="DK24" i="2" s="1"/>
  <c r="DL24" i="2" s="1"/>
  <c r="DM24" i="2" s="1"/>
  <c r="DN24" i="2" s="1"/>
  <c r="DO24" i="2" s="1"/>
  <c r="CH9" i="2"/>
  <c r="CG9" i="2"/>
  <c r="DG3" i="2"/>
  <c r="CA130" i="2"/>
  <c r="CA133" i="2" s="1"/>
  <c r="CA124" i="2"/>
  <c r="CA127" i="2" s="1"/>
  <c r="CA121" i="2"/>
  <c r="CA107" i="2"/>
  <c r="CA99" i="2"/>
  <c r="CA92" i="2"/>
  <c r="CA86" i="2"/>
  <c r="BZ73" i="2"/>
  <c r="BY73" i="2"/>
  <c r="BX73" i="2"/>
  <c r="BW73" i="2"/>
  <c r="BV73" i="2"/>
  <c r="BU73" i="2"/>
  <c r="BT73" i="2"/>
  <c r="BS73" i="2"/>
  <c r="CA73" i="2"/>
  <c r="BO63" i="2"/>
  <c r="BP63" i="2"/>
  <c r="BQ63" i="2"/>
  <c r="BR63" i="2"/>
  <c r="BS63" i="2"/>
  <c r="CA84" i="2" l="1"/>
  <c r="DE64" i="2"/>
  <c r="DE79" i="2"/>
  <c r="DH10" i="2"/>
  <c r="DI10" i="2" s="1"/>
  <c r="DJ10" i="2" s="1"/>
  <c r="DK10" i="2" s="1"/>
  <c r="DL10" i="2" s="1"/>
  <c r="DM10" i="2" s="1"/>
  <c r="DN10" i="2" s="1"/>
  <c r="DO10" i="2" s="1"/>
  <c r="CF9" i="2"/>
  <c r="CB58" i="2"/>
  <c r="CB60" i="2" s="1"/>
  <c r="CA97" i="2"/>
  <c r="CD58" i="2"/>
  <c r="CC58" i="2"/>
  <c r="CE73" i="2"/>
  <c r="CG3" i="2"/>
  <c r="CC73" i="2"/>
  <c r="CB73" i="2"/>
  <c r="CH3" i="2"/>
  <c r="CD73" i="2"/>
  <c r="CA136" i="2"/>
  <c r="CF3" i="2"/>
  <c r="CA110" i="2"/>
  <c r="BT63" i="2"/>
  <c r="BX63" i="2"/>
  <c r="BY80" i="2"/>
  <c r="BX80" i="2"/>
  <c r="AX60" i="2"/>
  <c r="AW58" i="2"/>
  <c r="AV58" i="2"/>
  <c r="AU58" i="2"/>
  <c r="AI57" i="2"/>
  <c r="AI58" i="2" s="1"/>
  <c r="AD57" i="2"/>
  <c r="AD58" i="2" s="1"/>
  <c r="AE57" i="2"/>
  <c r="AE58" i="2" s="1"/>
  <c r="Z57" i="2"/>
  <c r="Z58" i="2" s="1"/>
  <c r="BU63" i="2"/>
  <c r="BY63" i="2"/>
  <c r="BV63" i="2"/>
  <c r="BZ63" i="2"/>
  <c r="BW63" i="2"/>
  <c r="CA63" i="2"/>
  <c r="BZ80" i="2"/>
  <c r="BW9" i="2"/>
  <c r="CA9" i="2"/>
  <c r="DG9" i="2" s="1"/>
  <c r="BW11" i="2"/>
  <c r="DF11" i="2" s="1"/>
  <c r="CA11" i="2"/>
  <c r="AV81" i="2" l="1"/>
  <c r="AV60" i="2"/>
  <c r="AV80" i="2"/>
  <c r="AZ72" i="2"/>
  <c r="AW81" i="2"/>
  <c r="AW80" i="2"/>
  <c r="AW60" i="2"/>
  <c r="BA72" i="2"/>
  <c r="AU80" i="2"/>
  <c r="AU60" i="2"/>
  <c r="AU81" i="2"/>
  <c r="AY72" i="2"/>
  <c r="AX64" i="2"/>
  <c r="AX66" i="2" s="1"/>
  <c r="AX79" i="2"/>
  <c r="DH3" i="2"/>
  <c r="DI3" i="2" s="1"/>
  <c r="DJ3" i="2"/>
  <c r="DH14" i="2"/>
  <c r="DI14" i="2" s="1"/>
  <c r="DJ14" i="2" s="1"/>
  <c r="DK14" i="2" s="1"/>
  <c r="DL14" i="2" s="1"/>
  <c r="DM14" i="2" s="1"/>
  <c r="DN14" i="2" s="1"/>
  <c r="DO14" i="2" s="1"/>
  <c r="DH11" i="2"/>
  <c r="DI11" i="2" s="1"/>
  <c r="DJ11" i="2" s="1"/>
  <c r="DK11" i="2" s="1"/>
  <c r="DL11" i="2" s="1"/>
  <c r="DM11" i="2" s="1"/>
  <c r="DN11" i="2" s="1"/>
  <c r="DO11" i="2" s="1"/>
  <c r="DG11" i="2"/>
  <c r="DG58" i="2" s="1"/>
  <c r="CC60" i="2"/>
  <c r="CC59" i="2" s="1"/>
  <c r="CC81" i="2"/>
  <c r="CC80" i="2"/>
  <c r="CB81" i="2"/>
  <c r="CB80" i="2"/>
  <c r="DF9" i="2"/>
  <c r="BW58" i="2"/>
  <c r="CD81" i="2"/>
  <c r="CD60" i="2"/>
  <c r="CD80" i="2"/>
  <c r="CH58" i="2"/>
  <c r="CH73" i="2"/>
  <c r="CF58" i="2"/>
  <c r="CF73" i="2"/>
  <c r="CD72" i="2"/>
  <c r="CB72" i="2"/>
  <c r="CC72" i="2"/>
  <c r="CG58" i="2"/>
  <c r="CG73" i="2"/>
  <c r="CA58" i="2"/>
  <c r="BQ81" i="2"/>
  <c r="BQ80" i="2"/>
  <c r="BQ60" i="2"/>
  <c r="BZ81" i="2"/>
  <c r="BT60" i="2"/>
  <c r="BT79" i="2" s="1"/>
  <c r="BT72" i="2"/>
  <c r="BO81" i="2"/>
  <c r="BO60" i="2"/>
  <c r="BO80" i="2"/>
  <c r="BP81" i="2"/>
  <c r="BP80" i="2"/>
  <c r="BP60" i="2"/>
  <c r="BU60" i="2"/>
  <c r="BU64" i="2" s="1"/>
  <c r="BU66" i="2" s="1"/>
  <c r="BU68" i="2" s="1"/>
  <c r="BU69" i="2" s="1"/>
  <c r="BU72" i="2"/>
  <c r="BT81" i="2"/>
  <c r="BS80" i="2"/>
  <c r="BS60" i="2"/>
  <c r="BS81" i="2"/>
  <c r="BX72" i="2"/>
  <c r="BT80" i="2"/>
  <c r="BV72" i="2"/>
  <c r="BY72" i="2"/>
  <c r="BY81" i="2"/>
  <c r="BZ72" i="2"/>
  <c r="BV60" i="2"/>
  <c r="BV79" i="2" s="1"/>
  <c r="BU80" i="2"/>
  <c r="BR60" i="2"/>
  <c r="BR81" i="2"/>
  <c r="BR80" i="2"/>
  <c r="BU81" i="2"/>
  <c r="BV81" i="2"/>
  <c r="BX81" i="2"/>
  <c r="BV80" i="2"/>
  <c r="BZ60" i="2"/>
  <c r="BZ79" i="2" s="1"/>
  <c r="BY60" i="2"/>
  <c r="BY79" i="2" s="1"/>
  <c r="BX60" i="2"/>
  <c r="BX79" i="2" s="1"/>
  <c r="DC2" i="2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CU70" i="2"/>
  <c r="CU67" i="2"/>
  <c r="CU62" i="2"/>
  <c r="CU61" i="2"/>
  <c r="CU59" i="2"/>
  <c r="CV59" i="2"/>
  <c r="CV67" i="2"/>
  <c r="CT67" i="2"/>
  <c r="CS67" i="2"/>
  <c r="CV62" i="2"/>
  <c r="CV61" i="2"/>
  <c r="CW62" i="2"/>
  <c r="AL58" i="2"/>
  <c r="AL81" i="2" s="1"/>
  <c r="CW70" i="2"/>
  <c r="CV18" i="2"/>
  <c r="CU18" i="2"/>
  <c r="CW39" i="2"/>
  <c r="CV37" i="2"/>
  <c r="CV39" i="2"/>
  <c r="CV36" i="2"/>
  <c r="CV35" i="2"/>
  <c r="CV20" i="2"/>
  <c r="CV32" i="2"/>
  <c r="CV10" i="2"/>
  <c r="CV11" i="2"/>
  <c r="CV52" i="2"/>
  <c r="CV14" i="2"/>
  <c r="CV9" i="2"/>
  <c r="CV22" i="2"/>
  <c r="CV24" i="2"/>
  <c r="CW14" i="2"/>
  <c r="AJ121" i="2"/>
  <c r="AK121" i="2" s="1"/>
  <c r="AL121" i="2" s="1"/>
  <c r="AJ99" i="2"/>
  <c r="AJ110" i="2" s="1"/>
  <c r="AJ86" i="2"/>
  <c r="AJ63" i="2"/>
  <c r="AJ58" i="2"/>
  <c r="AJ60" i="2" s="1"/>
  <c r="AK99" i="2"/>
  <c r="AK110" i="2" s="1"/>
  <c r="AK86" i="2"/>
  <c r="AK97" i="2" s="1"/>
  <c r="AL99" i="2"/>
  <c r="AL110" i="2" s="1"/>
  <c r="AL86" i="2"/>
  <c r="AL97" i="2" s="1"/>
  <c r="AL63" i="2"/>
  <c r="AN58" i="2"/>
  <c r="AN60" i="2" s="1"/>
  <c r="AN79" i="2" s="1"/>
  <c r="AM58" i="2"/>
  <c r="AM80" i="2" s="1"/>
  <c r="AM99" i="2"/>
  <c r="AM110" i="2" s="1"/>
  <c r="AM86" i="2"/>
  <c r="AM97" i="2" s="1"/>
  <c r="AN121" i="2"/>
  <c r="AO121" i="2" s="1"/>
  <c r="AN99" i="2"/>
  <c r="AN110" i="2" s="1"/>
  <c r="AN86" i="2"/>
  <c r="AN97" i="2" s="1"/>
  <c r="AO99" i="2"/>
  <c r="AO110" i="2" s="1"/>
  <c r="AO86" i="2"/>
  <c r="AM65" i="2"/>
  <c r="AM63" i="2"/>
  <c r="AN65" i="2"/>
  <c r="AN63" i="2"/>
  <c r="AK65" i="2"/>
  <c r="CV65" i="2" s="1"/>
  <c r="AK63" i="2"/>
  <c r="T58" i="2"/>
  <c r="AH58" i="2"/>
  <c r="AO65" i="2"/>
  <c r="AO63" i="2"/>
  <c r="AO21" i="2"/>
  <c r="AO58" i="2" s="1"/>
  <c r="AV64" i="2" l="1"/>
  <c r="AV66" i="2" s="1"/>
  <c r="AV79" i="2"/>
  <c r="AU79" i="2"/>
  <c r="AU64" i="2"/>
  <c r="AU66" i="2" s="1"/>
  <c r="AW64" i="2"/>
  <c r="AW66" i="2" s="1"/>
  <c r="AW79" i="2"/>
  <c r="AX68" i="2"/>
  <c r="AX69" i="2" s="1"/>
  <c r="BB77" i="2" s="1"/>
  <c r="AX82" i="2"/>
  <c r="CW9" i="2"/>
  <c r="DF58" i="2"/>
  <c r="DF80" i="2" s="1"/>
  <c r="DG80" i="2"/>
  <c r="DK3" i="2"/>
  <c r="CH72" i="2"/>
  <c r="CH81" i="2"/>
  <c r="CH60" i="2"/>
  <c r="CH59" i="2" s="1"/>
  <c r="CH80" i="2"/>
  <c r="CF72" i="2"/>
  <c r="CF60" i="2"/>
  <c r="CF59" i="2" s="1"/>
  <c r="CF81" i="2"/>
  <c r="CF80" i="2"/>
  <c r="CD79" i="2"/>
  <c r="CD64" i="2"/>
  <c r="CD66" i="2" s="1"/>
  <c r="CD59" i="2"/>
  <c r="DG59" i="2" s="1"/>
  <c r="DG60" i="2" s="1"/>
  <c r="CE58" i="2"/>
  <c r="CE60" i="2" s="1"/>
  <c r="DH9" i="2"/>
  <c r="CC79" i="2"/>
  <c r="CC64" i="2"/>
  <c r="CC66" i="2" s="1"/>
  <c r="CG72" i="2"/>
  <c r="CG81" i="2"/>
  <c r="CG60" i="2"/>
  <c r="CG59" i="2" s="1"/>
  <c r="CG80" i="2"/>
  <c r="CB79" i="2"/>
  <c r="CB64" i="2"/>
  <c r="CB66" i="2" s="1"/>
  <c r="BY64" i="2"/>
  <c r="BY66" i="2" s="1"/>
  <c r="BY68" i="2" s="1"/>
  <c r="BY69" i="2" s="1"/>
  <c r="BX64" i="2"/>
  <c r="BX66" i="2" s="1"/>
  <c r="BX68" i="2" s="1"/>
  <c r="BX69" i="2" s="1"/>
  <c r="BT64" i="2"/>
  <c r="BT66" i="2" s="1"/>
  <c r="BT82" i="2" s="1"/>
  <c r="BU82" i="2"/>
  <c r="BP79" i="2"/>
  <c r="BP64" i="2"/>
  <c r="BP66" i="2" s="1"/>
  <c r="BO79" i="2"/>
  <c r="BO64" i="2"/>
  <c r="BO66" i="2" s="1"/>
  <c r="BQ79" i="2"/>
  <c r="BQ64" i="2"/>
  <c r="BQ66" i="2" s="1"/>
  <c r="BU79" i="2"/>
  <c r="BZ64" i="2"/>
  <c r="BZ66" i="2" s="1"/>
  <c r="BZ68" i="2" s="1"/>
  <c r="BZ69" i="2" s="1"/>
  <c r="BR79" i="2"/>
  <c r="BR64" i="2"/>
  <c r="BR66" i="2" s="1"/>
  <c r="BV64" i="2"/>
  <c r="BV66" i="2" s="1"/>
  <c r="CA81" i="2"/>
  <c r="CA80" i="2"/>
  <c r="BS79" i="2"/>
  <c r="BS64" i="2"/>
  <c r="BS66" i="2" s="1"/>
  <c r="BW60" i="2"/>
  <c r="BW72" i="2"/>
  <c r="BW80" i="2"/>
  <c r="BW81" i="2"/>
  <c r="CA60" i="2"/>
  <c r="CA72" i="2"/>
  <c r="CU63" i="2"/>
  <c r="AR63" i="2"/>
  <c r="CV63" i="2"/>
  <c r="CW61" i="2"/>
  <c r="CW63" i="2" s="1"/>
  <c r="CW65" i="2"/>
  <c r="CW22" i="2"/>
  <c r="CW18" i="2"/>
  <c r="AN84" i="2"/>
  <c r="AL60" i="2"/>
  <c r="AL64" i="2" s="1"/>
  <c r="AT58" i="2"/>
  <c r="AX72" i="2" s="1"/>
  <c r="CW52" i="2"/>
  <c r="CW35" i="2"/>
  <c r="AO84" i="2"/>
  <c r="CW24" i="2"/>
  <c r="CW10" i="2"/>
  <c r="CW36" i="2"/>
  <c r="AP63" i="2"/>
  <c r="AQ63" i="2"/>
  <c r="CW32" i="2"/>
  <c r="CW21" i="2"/>
  <c r="CW11" i="2"/>
  <c r="AJ84" i="2"/>
  <c r="CW20" i="2"/>
  <c r="AP58" i="2"/>
  <c r="CW59" i="2"/>
  <c r="AS63" i="2"/>
  <c r="CW37" i="2"/>
  <c r="AL80" i="2"/>
  <c r="AL72" i="2"/>
  <c r="AJ80" i="2"/>
  <c r="AN80" i="2"/>
  <c r="AJ79" i="2"/>
  <c r="AJ64" i="2"/>
  <c r="AJ66" i="2" s="1"/>
  <c r="AO80" i="2"/>
  <c r="AO81" i="2"/>
  <c r="AM81" i="2"/>
  <c r="AL84" i="2"/>
  <c r="AJ81" i="2"/>
  <c r="AN81" i="2"/>
  <c r="AO97" i="2"/>
  <c r="AJ97" i="2"/>
  <c r="AK84" i="2"/>
  <c r="AM84" i="2"/>
  <c r="AM60" i="2"/>
  <c r="AM79" i="2" s="1"/>
  <c r="AN64" i="2"/>
  <c r="AN66" i="2" s="1"/>
  <c r="AN82" i="2" s="1"/>
  <c r="AI99" i="2"/>
  <c r="AI110" i="2" s="1"/>
  <c r="AI86" i="2"/>
  <c r="AI97" i="2" s="1"/>
  <c r="AI63" i="2"/>
  <c r="DF60" i="2" l="1"/>
  <c r="DF64" i="2" s="1"/>
  <c r="AW68" i="2"/>
  <c r="AW69" i="2" s="1"/>
  <c r="AW82" i="2"/>
  <c r="AU68" i="2"/>
  <c r="AU69" i="2" s="1"/>
  <c r="AY77" i="2" s="1"/>
  <c r="AU82" i="2"/>
  <c r="DF72" i="2"/>
  <c r="AV68" i="2"/>
  <c r="AV69" i="2" s="1"/>
  <c r="AZ77" i="2" s="1"/>
  <c r="AV82" i="2"/>
  <c r="AP60" i="2"/>
  <c r="AP79" i="2" s="1"/>
  <c r="DG72" i="2"/>
  <c r="DG64" i="2"/>
  <c r="DG66" i="2" s="1"/>
  <c r="DG79" i="2"/>
  <c r="DH58" i="2"/>
  <c r="DI9" i="2"/>
  <c r="DF79" i="2"/>
  <c r="DL3" i="2"/>
  <c r="CC67" i="2"/>
  <c r="CE80" i="2"/>
  <c r="DH59" i="2"/>
  <c r="CE81" i="2"/>
  <c r="CD67" i="2"/>
  <c r="CD82" i="2" s="1"/>
  <c r="BY82" i="2"/>
  <c r="CH79" i="2"/>
  <c r="CH64" i="2"/>
  <c r="CH66" i="2" s="1"/>
  <c r="CG79" i="2"/>
  <c r="CG64" i="2"/>
  <c r="CG66" i="2" s="1"/>
  <c r="CF79" i="2"/>
  <c r="CF64" i="2"/>
  <c r="CF66" i="2" s="1"/>
  <c r="CE72" i="2"/>
  <c r="CB82" i="2"/>
  <c r="BY77" i="2"/>
  <c r="BZ82" i="2"/>
  <c r="BT68" i="2"/>
  <c r="BT69" i="2" s="1"/>
  <c r="BX77" i="2" s="1"/>
  <c r="BX82" i="2"/>
  <c r="BP68" i="2"/>
  <c r="BP69" i="2" s="1"/>
  <c r="BP77" i="2" s="1"/>
  <c r="BP82" i="2"/>
  <c r="BQ82" i="2"/>
  <c r="BQ68" i="2"/>
  <c r="BQ69" i="2" s="1"/>
  <c r="BO68" i="2"/>
  <c r="BO69" i="2" s="1"/>
  <c r="BO77" i="2" s="1"/>
  <c r="BO82" i="2"/>
  <c r="BW79" i="2"/>
  <c r="BW64" i="2"/>
  <c r="BW66" i="2" s="1"/>
  <c r="BS82" i="2"/>
  <c r="BS68" i="2"/>
  <c r="BS69" i="2" s="1"/>
  <c r="BV68" i="2"/>
  <c r="BV69" i="2" s="1"/>
  <c r="BZ77" i="2" s="1"/>
  <c r="BV82" i="2"/>
  <c r="BR82" i="2"/>
  <c r="BR68" i="2"/>
  <c r="BR69" i="2" s="1"/>
  <c r="BR77" i="2" s="1"/>
  <c r="CA64" i="2"/>
  <c r="CA66" i="2" s="1"/>
  <c r="CA79" i="2"/>
  <c r="AQ58" i="2"/>
  <c r="AS58" i="2"/>
  <c r="AL79" i="2"/>
  <c r="AT80" i="2"/>
  <c r="AT60" i="2"/>
  <c r="AT79" i="2" s="1"/>
  <c r="AR58" i="2"/>
  <c r="AT72" i="2"/>
  <c r="AP80" i="2"/>
  <c r="AP81" i="2"/>
  <c r="AP72" i="2"/>
  <c r="AT63" i="2"/>
  <c r="AT81" i="2"/>
  <c r="AJ68" i="2"/>
  <c r="AJ69" i="2" s="1"/>
  <c r="AJ82" i="2"/>
  <c r="AM64" i="2"/>
  <c r="AM66" i="2" s="1"/>
  <c r="AM82" i="2" s="1"/>
  <c r="AN68" i="2"/>
  <c r="AN69" i="2" s="1"/>
  <c r="AI84" i="2"/>
  <c r="CU36" i="2"/>
  <c r="CT36" i="2"/>
  <c r="AP64" i="2" l="1"/>
  <c r="AP66" i="2" s="1"/>
  <c r="AR60" i="2"/>
  <c r="AV72" i="2"/>
  <c r="AS60" i="2"/>
  <c r="AS79" i="2" s="1"/>
  <c r="AW72" i="2"/>
  <c r="BA77" i="2"/>
  <c r="AQ72" i="2"/>
  <c r="AU72" i="2"/>
  <c r="BU77" i="2"/>
  <c r="BQ77" i="2"/>
  <c r="DH60" i="2"/>
  <c r="DH64" i="2" s="1"/>
  <c r="DH66" i="2" s="1"/>
  <c r="CC82" i="2"/>
  <c r="DG67" i="2"/>
  <c r="DG82" i="2" s="1"/>
  <c r="BS77" i="2"/>
  <c r="CB68" i="2"/>
  <c r="CB69" i="2" s="1"/>
  <c r="CB77" i="2" s="1"/>
  <c r="DM3" i="2"/>
  <c r="DJ9" i="2"/>
  <c r="DI58" i="2"/>
  <c r="DH72" i="2"/>
  <c r="DH80" i="2"/>
  <c r="CG67" i="2"/>
  <c r="CH67" i="2"/>
  <c r="CH82" i="2" s="1"/>
  <c r="CE79" i="2"/>
  <c r="CE64" i="2"/>
  <c r="CE66" i="2" s="1"/>
  <c r="CF67" i="2"/>
  <c r="CF82" i="2" s="1"/>
  <c r="CD68" i="2"/>
  <c r="CD69" i="2" s="1"/>
  <c r="CD77" i="2" s="1"/>
  <c r="CC68" i="2"/>
  <c r="CC69" i="2" s="1"/>
  <c r="CC77" i="2" s="1"/>
  <c r="BV77" i="2"/>
  <c r="BT77" i="2"/>
  <c r="CA68" i="2"/>
  <c r="CA82" i="2"/>
  <c r="BW68" i="2"/>
  <c r="BW82" i="2"/>
  <c r="AQ81" i="2"/>
  <c r="AQ80" i="2"/>
  <c r="AQ60" i="2"/>
  <c r="AQ64" i="2" s="1"/>
  <c r="AQ66" i="2" s="1"/>
  <c r="AT64" i="2"/>
  <c r="AS80" i="2"/>
  <c r="AS81" i="2"/>
  <c r="AS72" i="2"/>
  <c r="AR72" i="2"/>
  <c r="AS64" i="2"/>
  <c r="AS66" i="2" s="1"/>
  <c r="AS82" i="2" s="1"/>
  <c r="AR80" i="2"/>
  <c r="AR81" i="2"/>
  <c r="AR79" i="2"/>
  <c r="AR64" i="2"/>
  <c r="AR66" i="2" s="1"/>
  <c r="AP68" i="2"/>
  <c r="AM68" i="2"/>
  <c r="AM69" i="2" s="1"/>
  <c r="CL80" i="2"/>
  <c r="AT66" i="2" l="1"/>
  <c r="AT68" i="2" s="1"/>
  <c r="CH68" i="2"/>
  <c r="CH69" i="2" s="1"/>
  <c r="CG82" i="2"/>
  <c r="DI60" i="2"/>
  <c r="DI79" i="2" s="1"/>
  <c r="DH79" i="2"/>
  <c r="DG68" i="2"/>
  <c r="DG69" i="2" s="1"/>
  <c r="DI61" i="2"/>
  <c r="DI72" i="2"/>
  <c r="DK9" i="2"/>
  <c r="DJ58" i="2"/>
  <c r="DN3" i="2"/>
  <c r="AQ79" i="2"/>
  <c r="CE82" i="2"/>
  <c r="CC84" i="2"/>
  <c r="CD84" i="2" s="1"/>
  <c r="DG84" i="2" s="1"/>
  <c r="CF68" i="2"/>
  <c r="CF69" i="2" s="1"/>
  <c r="CF77" i="2" s="1"/>
  <c r="CH77" i="2"/>
  <c r="CG68" i="2"/>
  <c r="CG69" i="2" s="1"/>
  <c r="CG77" i="2" s="1"/>
  <c r="BW69" i="2"/>
  <c r="BW77" i="2" s="1"/>
  <c r="BW112" i="2"/>
  <c r="CA69" i="2"/>
  <c r="CA112" i="2"/>
  <c r="AT69" i="2"/>
  <c r="AX77" i="2" s="1"/>
  <c r="AS68" i="2"/>
  <c r="AS69" i="2" s="1"/>
  <c r="AW77" i="2" s="1"/>
  <c r="AQ82" i="2"/>
  <c r="AP69" i="2"/>
  <c r="AR82" i="2"/>
  <c r="AP82" i="2"/>
  <c r="CW67" i="2"/>
  <c r="CS70" i="2"/>
  <c r="CS65" i="2"/>
  <c r="CS62" i="2"/>
  <c r="CS61" i="2"/>
  <c r="CT70" i="2"/>
  <c r="AH99" i="2"/>
  <c r="AH110" i="2" s="1"/>
  <c r="AH86" i="2"/>
  <c r="AH97" i="2" s="1"/>
  <c r="CU24" i="2"/>
  <c r="AH60" i="2"/>
  <c r="AH63" i="2"/>
  <c r="CU39" i="2"/>
  <c r="CX61" i="2"/>
  <c r="CX63" i="2" s="1"/>
  <c r="CU35" i="2"/>
  <c r="CU20" i="2"/>
  <c r="CU32" i="2"/>
  <c r="CU10" i="2"/>
  <c r="CU11" i="2"/>
  <c r="CU52" i="2"/>
  <c r="CU14" i="2"/>
  <c r="CU9" i="2"/>
  <c r="CU37" i="2"/>
  <c r="CU22" i="2"/>
  <c r="AG65" i="2"/>
  <c r="AG63" i="2"/>
  <c r="AF65" i="2"/>
  <c r="AF63" i="2"/>
  <c r="AD84" i="2"/>
  <c r="CR21" i="2"/>
  <c r="CQ21" i="2"/>
  <c r="CP21" i="2"/>
  <c r="CP58" i="2" s="1"/>
  <c r="CO21" i="2"/>
  <c r="CN21" i="2"/>
  <c r="CN58" i="2" s="1"/>
  <c r="CM21" i="2"/>
  <c r="AD63" i="2"/>
  <c r="CQ63" i="2"/>
  <c r="CP63" i="2"/>
  <c r="CO63" i="2"/>
  <c r="CN63" i="2"/>
  <c r="CM63" i="2"/>
  <c r="CL63" i="2"/>
  <c r="C14" i="3"/>
  <c r="C15" i="3" s="1"/>
  <c r="C16" i="3" s="1"/>
  <c r="C17" i="3" s="1"/>
  <c r="C18" i="3" s="1"/>
  <c r="C19" i="3" s="1"/>
  <c r="C20" i="3" s="1"/>
  <c r="F19" i="14"/>
  <c r="G19" i="14" s="1"/>
  <c r="F18" i="14"/>
  <c r="G18" i="14" s="1"/>
  <c r="F17" i="14"/>
  <c r="G17" i="14" s="1"/>
  <c r="F16" i="14"/>
  <c r="G16" i="14" s="1"/>
  <c r="F15" i="14"/>
  <c r="G15" i="14" s="1"/>
  <c r="F14" i="14"/>
  <c r="G14" i="14" s="1"/>
  <c r="F13" i="14"/>
  <c r="G13" i="14" s="1"/>
  <c r="F20" i="14"/>
  <c r="G20" i="14" s="1"/>
  <c r="C14" i="14"/>
  <c r="C15" i="14"/>
  <c r="C16" i="14" s="1"/>
  <c r="C17" i="14" s="1"/>
  <c r="C18" i="14" s="1"/>
  <c r="C19" i="14" s="1"/>
  <c r="C20" i="14" s="1"/>
  <c r="CT39" i="2"/>
  <c r="CS39" i="2"/>
  <c r="CT62" i="2"/>
  <c r="CT61" i="2"/>
  <c r="CT18" i="2"/>
  <c r="CT35" i="2"/>
  <c r="CT20" i="2"/>
  <c r="CT32" i="2"/>
  <c r="CT10" i="2"/>
  <c r="CT11" i="2"/>
  <c r="CT52" i="2"/>
  <c r="CT14" i="2"/>
  <c r="CT9" i="2"/>
  <c r="CT37" i="2"/>
  <c r="CT24" i="2"/>
  <c r="AC65" i="2"/>
  <c r="CT65" i="2" s="1"/>
  <c r="AC63" i="2"/>
  <c r="AB63" i="2"/>
  <c r="CT22" i="2"/>
  <c r="CS10" i="2"/>
  <c r="CR10" i="2"/>
  <c r="CS35" i="2"/>
  <c r="CS20" i="2"/>
  <c r="CS50" i="2"/>
  <c r="CS32" i="2"/>
  <c r="CS11" i="2"/>
  <c r="CS52" i="2"/>
  <c r="CS14" i="2"/>
  <c r="CS9" i="2"/>
  <c r="CR50" i="2"/>
  <c r="CR32" i="2"/>
  <c r="CR11" i="2"/>
  <c r="CR52" i="2"/>
  <c r="CR14" i="2"/>
  <c r="CQ52" i="2"/>
  <c r="CQ9" i="2"/>
  <c r="CQ37" i="2"/>
  <c r="CR9" i="2"/>
  <c r="CS37" i="2"/>
  <c r="CS24" i="2"/>
  <c r="CR37" i="2"/>
  <c r="CQ22" i="2"/>
  <c r="CR22" i="2"/>
  <c r="CS22" i="2"/>
  <c r="Z63" i="2"/>
  <c r="AA63" i="2"/>
  <c r="CR24" i="2"/>
  <c r="CR20" i="2"/>
  <c r="CR35" i="2"/>
  <c r="CR40" i="2"/>
  <c r="CR41" i="2"/>
  <c r="CS41" i="2" s="1"/>
  <c r="CR46" i="2"/>
  <c r="CS46" i="2" s="1"/>
  <c r="CT46" i="2" s="1"/>
  <c r="CR39" i="2"/>
  <c r="CR48" i="2"/>
  <c r="CS48" i="2" s="1"/>
  <c r="CT48" i="2" s="1"/>
  <c r="CR61" i="2"/>
  <c r="CR62" i="2"/>
  <c r="CR43" i="2"/>
  <c r="CS43" i="2" s="1"/>
  <c r="CR45" i="2"/>
  <c r="CS45" i="2" s="1"/>
  <c r="CT45" i="2" s="1"/>
  <c r="CR51" i="2"/>
  <c r="CS51" i="2" s="1"/>
  <c r="CT51" i="2" s="1"/>
  <c r="S40" i="2"/>
  <c r="T60" i="2"/>
  <c r="T64" i="2" s="1"/>
  <c r="T66" i="2" s="1"/>
  <c r="T82" i="2" s="1"/>
  <c r="R50" i="2"/>
  <c r="R39" i="2"/>
  <c r="T81" i="2"/>
  <c r="T80" i="2"/>
  <c r="CQ24" i="2"/>
  <c r="J4" i="1"/>
  <c r="J7" i="1" s="1"/>
  <c r="C23" i="3"/>
  <c r="C22" i="3"/>
  <c r="C26" i="5"/>
  <c r="T70" i="2"/>
  <c r="CR70" i="2" s="1"/>
  <c r="CL60" i="2"/>
  <c r="CL64" i="2" s="1"/>
  <c r="CL66" i="2" s="1"/>
  <c r="CL68" i="2" s="1"/>
  <c r="CL69" i="2" s="1"/>
  <c r="K35" i="2"/>
  <c r="M9" i="2"/>
  <c r="M50" i="2"/>
  <c r="AE63" i="2"/>
  <c r="AT77" i="2" l="1"/>
  <c r="AT82" i="2"/>
  <c r="DH67" i="2"/>
  <c r="DH82" i="2" s="1"/>
  <c r="DJ60" i="2"/>
  <c r="DJ59" i="2" s="1"/>
  <c r="DI59" i="2"/>
  <c r="DO3" i="2"/>
  <c r="DL9" i="2"/>
  <c r="DK58" i="2"/>
  <c r="DI80" i="2"/>
  <c r="DI63" i="2"/>
  <c r="DI64" i="2" s="1"/>
  <c r="DJ61" i="2"/>
  <c r="DJ72" i="2"/>
  <c r="CE68" i="2"/>
  <c r="CE69" i="2" s="1"/>
  <c r="CE77" i="2" s="1"/>
  <c r="CA77" i="2"/>
  <c r="AQ68" i="2"/>
  <c r="AQ69" i="2" s="1"/>
  <c r="CR63" i="2"/>
  <c r="CU65" i="2"/>
  <c r="AR68" i="2"/>
  <c r="AR69" i="2" s="1"/>
  <c r="CT58" i="2"/>
  <c r="CT80" i="2" s="1"/>
  <c r="CR58" i="2"/>
  <c r="CR80" i="2" s="1"/>
  <c r="CO58" i="2"/>
  <c r="CO80" i="2" s="1"/>
  <c r="CM58" i="2"/>
  <c r="CM80" i="2" s="1"/>
  <c r="CQ58" i="2"/>
  <c r="CS58" i="2"/>
  <c r="AK58" i="2"/>
  <c r="S58" i="2"/>
  <c r="S81" i="2" s="1"/>
  <c r="CT63" i="2"/>
  <c r="AH79" i="2"/>
  <c r="AH64" i="2"/>
  <c r="AH66" i="2" s="1"/>
  <c r="T79" i="2"/>
  <c r="CN80" i="2"/>
  <c r="CN60" i="2"/>
  <c r="CN64" i="2" s="1"/>
  <c r="CN66" i="2" s="1"/>
  <c r="CN68" i="2" s="1"/>
  <c r="CN69" i="2" s="1"/>
  <c r="T68" i="2"/>
  <c r="T69" i="2" s="1"/>
  <c r="CP80" i="2"/>
  <c r="CP60" i="2"/>
  <c r="AH81" i="2"/>
  <c r="AH80" i="2"/>
  <c r="CY61" i="2"/>
  <c r="CS63" i="2"/>
  <c r="CV70" i="2"/>
  <c r="AQ77" i="2" l="1"/>
  <c r="AU77" i="2"/>
  <c r="AR77" i="2"/>
  <c r="AV77" i="2"/>
  <c r="DH68" i="2"/>
  <c r="DK60" i="2"/>
  <c r="DK59" i="2" s="1"/>
  <c r="DJ79" i="2"/>
  <c r="DH84" i="2"/>
  <c r="DH69" i="2"/>
  <c r="DM9" i="2"/>
  <c r="DL58" i="2"/>
  <c r="DJ63" i="2"/>
  <c r="DJ64" i="2" s="1"/>
  <c r="DJ80" i="2"/>
  <c r="DK61" i="2"/>
  <c r="DK72" i="2"/>
  <c r="CE84" i="2"/>
  <c r="CF84" i="2" s="1"/>
  <c r="CG84" i="2" s="1"/>
  <c r="CH84" i="2" s="1"/>
  <c r="CM60" i="2"/>
  <c r="CM64" i="2" s="1"/>
  <c r="CM66" i="2" s="1"/>
  <c r="CM68" i="2" s="1"/>
  <c r="CM69" i="2" s="1"/>
  <c r="CM77" i="2" s="1"/>
  <c r="CP72" i="2"/>
  <c r="CO60" i="2"/>
  <c r="CO64" i="2" s="1"/>
  <c r="CO66" i="2" s="1"/>
  <c r="CO68" i="2" s="1"/>
  <c r="CO69" i="2" s="1"/>
  <c r="CO77" i="2" s="1"/>
  <c r="CX70" i="2"/>
  <c r="CY70" i="2" s="1"/>
  <c r="CZ70" i="2" s="1"/>
  <c r="DA70" i="2" s="1"/>
  <c r="CX58" i="2"/>
  <c r="CX80" i="2" s="1"/>
  <c r="CW58" i="2"/>
  <c r="CW60" i="2" s="1"/>
  <c r="CT72" i="2"/>
  <c r="AK81" i="2"/>
  <c r="AK60" i="2"/>
  <c r="AK79" i="2" s="1"/>
  <c r="AK80" i="2"/>
  <c r="S60" i="2"/>
  <c r="S64" i="2" s="1"/>
  <c r="S66" i="2" s="1"/>
  <c r="AL66" i="2"/>
  <c r="AL82" i="2" s="1"/>
  <c r="S80" i="2"/>
  <c r="AN72" i="2"/>
  <c r="CQ80" i="2"/>
  <c r="CQ72" i="2"/>
  <c r="CQ60" i="2"/>
  <c r="AH82" i="2"/>
  <c r="AH68" i="2"/>
  <c r="AH69" i="2" s="1"/>
  <c r="CR72" i="2"/>
  <c r="CY63" i="2"/>
  <c r="CP79" i="2"/>
  <c r="CP64" i="2"/>
  <c r="CP66" i="2" s="1"/>
  <c r="CP68" i="2" s="1"/>
  <c r="CP69" i="2" s="1"/>
  <c r="CS80" i="2"/>
  <c r="CR60" i="2"/>
  <c r="CS72" i="2"/>
  <c r="DL60" i="2" l="1"/>
  <c r="DL59" i="2" s="1"/>
  <c r="DK80" i="2"/>
  <c r="DK63" i="2"/>
  <c r="DK64" i="2" s="1"/>
  <c r="DN9" i="2"/>
  <c r="DM58" i="2"/>
  <c r="DK79" i="2"/>
  <c r="DL61" i="2"/>
  <c r="DL72" i="2"/>
  <c r="DI65" i="2"/>
  <c r="DI66" i="2" s="1"/>
  <c r="DI67" i="2" s="1"/>
  <c r="CP77" i="2"/>
  <c r="CN77" i="2"/>
  <c r="CW79" i="2"/>
  <c r="CW64" i="2"/>
  <c r="CW66" i="2" s="1"/>
  <c r="AK64" i="2"/>
  <c r="AK66" i="2" s="1"/>
  <c r="S79" i="2"/>
  <c r="S68" i="2"/>
  <c r="S69" i="2" s="1"/>
  <c r="S82" i="2"/>
  <c r="CZ63" i="2"/>
  <c r="CQ64" i="2"/>
  <c r="CQ66" i="2" s="1"/>
  <c r="CQ68" i="2" s="1"/>
  <c r="CQ69" i="2" s="1"/>
  <c r="CQ77" i="2" s="1"/>
  <c r="CQ79" i="2"/>
  <c r="CW80" i="2"/>
  <c r="CR64" i="2"/>
  <c r="CR66" i="2" s="1"/>
  <c r="CR67" i="2" s="1"/>
  <c r="CR68" i="2" s="1"/>
  <c r="CR69" i="2" s="1"/>
  <c r="CR59" i="2"/>
  <c r="AL68" i="2"/>
  <c r="AL69" i="2" s="1"/>
  <c r="CX72" i="2"/>
  <c r="DM60" i="2" l="1"/>
  <c r="DM59" i="2" s="1"/>
  <c r="DI82" i="2"/>
  <c r="DL79" i="2"/>
  <c r="DL63" i="2"/>
  <c r="DL64" i="2" s="1"/>
  <c r="DL80" i="2"/>
  <c r="DM61" i="2"/>
  <c r="DM72" i="2"/>
  <c r="DO9" i="2"/>
  <c r="DO58" i="2" s="1"/>
  <c r="DN58" i="2"/>
  <c r="AL77" i="2"/>
  <c r="AP77" i="2"/>
  <c r="CY80" i="2"/>
  <c r="AK82" i="2"/>
  <c r="AK68" i="2"/>
  <c r="AK69" i="2" s="1"/>
  <c r="CW68" i="2"/>
  <c r="CR77" i="2"/>
  <c r="DO60" i="2" l="1"/>
  <c r="DO59" i="2" s="1"/>
  <c r="DN60" i="2"/>
  <c r="DN59" i="2" s="1"/>
  <c r="DI68" i="2"/>
  <c r="DI69" i="2" s="1"/>
  <c r="DN61" i="2"/>
  <c r="DN72" i="2"/>
  <c r="DO61" i="2"/>
  <c r="DO72" i="2"/>
  <c r="DM79" i="2"/>
  <c r="DM63" i="2"/>
  <c r="DM64" i="2" s="1"/>
  <c r="DM80" i="2"/>
  <c r="DB63" i="2"/>
  <c r="CY60" i="2"/>
  <c r="CY64" i="2" s="1"/>
  <c r="CY66" i="2" s="1"/>
  <c r="CY72" i="2"/>
  <c r="CZ80" i="2"/>
  <c r="AN77" i="2"/>
  <c r="CW69" i="2"/>
  <c r="DI84" i="2" l="1"/>
  <c r="DJ65" i="2" s="1"/>
  <c r="DJ66" i="2" s="1"/>
  <c r="DJ67" i="2" s="1"/>
  <c r="DO79" i="2"/>
  <c r="DO80" i="2"/>
  <c r="DO63" i="2"/>
  <c r="DO64" i="2" s="1"/>
  <c r="DN79" i="2"/>
  <c r="DN63" i="2"/>
  <c r="DN64" i="2" s="1"/>
  <c r="DN80" i="2"/>
  <c r="DC63" i="2"/>
  <c r="DC64" i="2" s="1"/>
  <c r="CY59" i="2"/>
  <c r="CZ64" i="2"/>
  <c r="CZ66" i="2" s="1"/>
  <c r="DB58" i="2"/>
  <c r="DB60" i="2" s="1"/>
  <c r="DB64" i="2" s="1"/>
  <c r="DA80" i="2"/>
  <c r="CZ72" i="2"/>
  <c r="DJ82" i="2" l="1"/>
  <c r="DJ68" i="2"/>
  <c r="DB80" i="2"/>
  <c r="DD63" i="2"/>
  <c r="DD64" i="2" s="1"/>
  <c r="DA66" i="2"/>
  <c r="DA72" i="2"/>
  <c r="CY67" i="2"/>
  <c r="CY68" i="2" s="1"/>
  <c r="DJ69" i="2" l="1"/>
  <c r="DJ84" i="2"/>
  <c r="DB72" i="2"/>
  <c r="CY69" i="2"/>
  <c r="DK65" i="2" l="1"/>
  <c r="DK66" i="2" s="1"/>
  <c r="DK67" i="2" s="1"/>
  <c r="DB66" i="2"/>
  <c r="DC66" i="2"/>
  <c r="DC72" i="2"/>
  <c r="DC80" i="2"/>
  <c r="CZ67" i="2"/>
  <c r="CZ68" i="2" s="1"/>
  <c r="DK82" i="2" l="1"/>
  <c r="DK68" i="2"/>
  <c r="DC68" i="2"/>
  <c r="DC69" i="2" s="1"/>
  <c r="DD66" i="2"/>
  <c r="DD68" i="2" s="1"/>
  <c r="DD69" i="2" s="1"/>
  <c r="DD72" i="2"/>
  <c r="DD80" i="2"/>
  <c r="CZ69" i="2"/>
  <c r="CZ77" i="2" s="1"/>
  <c r="DK69" i="2" l="1"/>
  <c r="DK84" i="2"/>
  <c r="DD77" i="2"/>
  <c r="DF66" i="2"/>
  <c r="DF68" i="2" s="1"/>
  <c r="DF69" i="2" s="1"/>
  <c r="DE66" i="2"/>
  <c r="DE68" i="2" s="1"/>
  <c r="DE69" i="2" s="1"/>
  <c r="DE77" i="2" s="1"/>
  <c r="DE72" i="2"/>
  <c r="DE80" i="2"/>
  <c r="DA68" i="2"/>
  <c r="DL65" i="2" l="1"/>
  <c r="DL66" i="2" s="1"/>
  <c r="DL67" i="2" s="1"/>
  <c r="DF77" i="2"/>
  <c r="DA69" i="2"/>
  <c r="DA77" i="2" s="1"/>
  <c r="DL82" i="2" l="1"/>
  <c r="DL68" i="2"/>
  <c r="DB68" i="2"/>
  <c r="DL69" i="2" l="1"/>
  <c r="DL84" i="2"/>
  <c r="DB69" i="2"/>
  <c r="DM65" i="2" l="1"/>
  <c r="DM66" i="2" s="1"/>
  <c r="DM67" i="2" s="1"/>
  <c r="DB77" i="2"/>
  <c r="DC77" i="2"/>
  <c r="DM82" i="2" l="1"/>
  <c r="DM68" i="2"/>
  <c r="P58" i="2"/>
  <c r="P81" i="2" s="1"/>
  <c r="DM69" i="2" l="1"/>
  <c r="DM84" i="2"/>
  <c r="P80" i="2"/>
  <c r="AO72" i="2"/>
  <c r="AO60" i="2"/>
  <c r="P60" i="2"/>
  <c r="DN65" i="2" l="1"/>
  <c r="DN66" i="2" s="1"/>
  <c r="DN67" i="2" s="1"/>
  <c r="AO79" i="2"/>
  <c r="AO64" i="2"/>
  <c r="AO66" i="2" s="1"/>
  <c r="AO82" i="2" s="1"/>
  <c r="P64" i="2"/>
  <c r="P66" i="2" s="1"/>
  <c r="P79" i="2"/>
  <c r="L58" i="2"/>
  <c r="L81" i="2" s="1"/>
  <c r="DN82" i="2" l="1"/>
  <c r="P68" i="2"/>
  <c r="P69" i="2" s="1"/>
  <c r="T77" i="2" s="1"/>
  <c r="P82" i="2"/>
  <c r="AO68" i="2"/>
  <c r="AO69" i="2" s="1"/>
  <c r="L80" i="2"/>
  <c r="L60" i="2"/>
  <c r="DN68" i="2" l="1"/>
  <c r="AO77" i="2"/>
  <c r="AS77" i="2"/>
  <c r="L64" i="2"/>
  <c r="L66" i="2" s="1"/>
  <c r="L79" i="2"/>
  <c r="DN69" i="2" l="1"/>
  <c r="DN84" i="2"/>
  <c r="L68" i="2"/>
  <c r="L69" i="2" s="1"/>
  <c r="P77" i="2" s="1"/>
  <c r="L82" i="2"/>
  <c r="M58" i="2"/>
  <c r="M80" i="2" s="1"/>
  <c r="DO65" i="2" l="1"/>
  <c r="DO66" i="2" s="1"/>
  <c r="DO67" i="2" s="1"/>
  <c r="M81" i="2"/>
  <c r="M60" i="2"/>
  <c r="DO82" i="2" l="1"/>
  <c r="M79" i="2"/>
  <c r="M64" i="2"/>
  <c r="M66" i="2" s="1"/>
  <c r="DO68" i="2" l="1"/>
  <c r="M82" i="2"/>
  <c r="M68" i="2"/>
  <c r="M69" i="2" s="1"/>
  <c r="K58" i="2"/>
  <c r="K81" i="2" s="1"/>
  <c r="DP68" i="2" l="1"/>
  <c r="DQ68" i="2" s="1"/>
  <c r="DR68" i="2" s="1"/>
  <c r="DS68" i="2" s="1"/>
  <c r="DT68" i="2" s="1"/>
  <c r="DU68" i="2" s="1"/>
  <c r="DV68" i="2" s="1"/>
  <c r="DW68" i="2" s="1"/>
  <c r="DX68" i="2" s="1"/>
  <c r="DY68" i="2" s="1"/>
  <c r="DZ68" i="2" s="1"/>
  <c r="EA68" i="2" s="1"/>
  <c r="EB68" i="2" s="1"/>
  <c r="EC68" i="2" s="1"/>
  <c r="ED68" i="2" s="1"/>
  <c r="EE68" i="2" s="1"/>
  <c r="EF68" i="2" s="1"/>
  <c r="EG68" i="2" s="1"/>
  <c r="EH68" i="2" s="1"/>
  <c r="EI68" i="2" s="1"/>
  <c r="EJ68" i="2" s="1"/>
  <c r="EK68" i="2" s="1"/>
  <c r="EL68" i="2" s="1"/>
  <c r="EM68" i="2" s="1"/>
  <c r="EN68" i="2" s="1"/>
  <c r="EO68" i="2" s="1"/>
  <c r="EP68" i="2" s="1"/>
  <c r="EQ68" i="2" s="1"/>
  <c r="ER68" i="2" s="1"/>
  <c r="ES68" i="2" s="1"/>
  <c r="ET68" i="2" s="1"/>
  <c r="EU68" i="2" s="1"/>
  <c r="EV68" i="2" s="1"/>
  <c r="EW68" i="2" s="1"/>
  <c r="EX68" i="2" s="1"/>
  <c r="EY68" i="2" s="1"/>
  <c r="EZ68" i="2" s="1"/>
  <c r="FA68" i="2" s="1"/>
  <c r="FB68" i="2" s="1"/>
  <c r="FC68" i="2" s="1"/>
  <c r="FD68" i="2" s="1"/>
  <c r="FE68" i="2" s="1"/>
  <c r="FF68" i="2" s="1"/>
  <c r="FG68" i="2" s="1"/>
  <c r="FH68" i="2" s="1"/>
  <c r="FI68" i="2" s="1"/>
  <c r="FJ68" i="2" s="1"/>
  <c r="FK68" i="2" s="1"/>
  <c r="FL68" i="2" s="1"/>
  <c r="FM68" i="2" s="1"/>
  <c r="FN68" i="2" s="1"/>
  <c r="FO68" i="2" s="1"/>
  <c r="FP68" i="2" s="1"/>
  <c r="FQ68" i="2" s="1"/>
  <c r="FR68" i="2" s="1"/>
  <c r="FS68" i="2" s="1"/>
  <c r="FT68" i="2" s="1"/>
  <c r="FU68" i="2" s="1"/>
  <c r="FV68" i="2" s="1"/>
  <c r="FW68" i="2" s="1"/>
  <c r="FX68" i="2" s="1"/>
  <c r="FY68" i="2" s="1"/>
  <c r="FZ68" i="2" s="1"/>
  <c r="GA68" i="2" s="1"/>
  <c r="GB68" i="2" s="1"/>
  <c r="GC68" i="2" s="1"/>
  <c r="GD68" i="2" s="1"/>
  <c r="GE68" i="2" s="1"/>
  <c r="GF68" i="2" s="1"/>
  <c r="GG68" i="2" s="1"/>
  <c r="GH68" i="2" s="1"/>
  <c r="GI68" i="2" s="1"/>
  <c r="GJ68" i="2" s="1"/>
  <c r="GK68" i="2" s="1"/>
  <c r="GL68" i="2" s="1"/>
  <c r="GM68" i="2" s="1"/>
  <c r="GN68" i="2" s="1"/>
  <c r="GO68" i="2" s="1"/>
  <c r="DO69" i="2"/>
  <c r="DO84" i="2"/>
  <c r="K60" i="2"/>
  <c r="K80" i="2"/>
  <c r="DQ85" i="2" l="1"/>
  <c r="DQ86" i="2" s="1"/>
  <c r="K64" i="2"/>
  <c r="K66" i="2" s="1"/>
  <c r="K79" i="2"/>
  <c r="K82" i="2" l="1"/>
  <c r="K68" i="2"/>
  <c r="K69" i="2" s="1"/>
  <c r="O58" i="2"/>
  <c r="O81" i="2" s="1"/>
  <c r="O80" i="2" l="1"/>
  <c r="O60" i="2"/>
  <c r="O79" i="2" l="1"/>
  <c r="O64" i="2"/>
  <c r="O66" i="2" s="1"/>
  <c r="Q58" i="2"/>
  <c r="Q80" i="2" s="1"/>
  <c r="Q60" i="2" l="1"/>
  <c r="Q79" i="2" s="1"/>
  <c r="O68" i="2"/>
  <c r="O69" i="2" s="1"/>
  <c r="O82" i="2"/>
  <c r="Q81" i="2"/>
  <c r="Q64" i="2" l="1"/>
  <c r="Q66" i="2" s="1"/>
  <c r="O77" i="2"/>
  <c r="S77" i="2"/>
  <c r="J58" i="2"/>
  <c r="J81" i="2" s="1"/>
  <c r="Q82" i="2" l="1"/>
  <c r="Q68" i="2"/>
  <c r="Q69" i="2" s="1"/>
  <c r="J80" i="2"/>
  <c r="J60" i="2"/>
  <c r="Q77" i="2" l="1"/>
  <c r="J64" i="2"/>
  <c r="J66" i="2" s="1"/>
  <c r="J79" i="2"/>
  <c r="J82" i="2" l="1"/>
  <c r="J68" i="2"/>
  <c r="J69" i="2" s="1"/>
  <c r="N58" i="2"/>
  <c r="N80" i="2" s="1"/>
  <c r="N81" i="2" l="1"/>
  <c r="N60" i="2"/>
  <c r="N79" i="2" l="1"/>
  <c r="N64" i="2"/>
  <c r="N66" i="2" s="1"/>
  <c r="N82" i="2" l="1"/>
  <c r="N68" i="2"/>
  <c r="N69" i="2" s="1"/>
  <c r="CX60" i="2"/>
  <c r="CX64" i="2" s="1"/>
  <c r="CX66" i="2" s="1"/>
  <c r="CX67" i="2" l="1"/>
  <c r="CX68" i="2" s="1"/>
  <c r="CX59" i="2"/>
  <c r="CX69" i="2" l="1"/>
  <c r="CY77" i="2" l="1"/>
  <c r="CX77" i="2"/>
  <c r="W21" i="2" l="1"/>
  <c r="W58" i="2" s="1"/>
  <c r="W60" i="2" s="1"/>
  <c r="Y21" i="2"/>
  <c r="Y58" i="2" s="1"/>
  <c r="X21" i="2"/>
  <c r="X58" i="2" s="1"/>
  <c r="X81" i="2" s="1"/>
  <c r="R21" i="2"/>
  <c r="R58" i="2" s="1"/>
  <c r="V21" i="2"/>
  <c r="V58" i="2" s="1"/>
  <c r="V81" i="2" s="1"/>
  <c r="U21" i="2"/>
  <c r="U58" i="2" s="1"/>
  <c r="U60" i="2" s="1"/>
  <c r="U81" i="2" l="1"/>
  <c r="U80" i="2"/>
  <c r="V60" i="2"/>
  <c r="V79" i="2" s="1"/>
  <c r="R80" i="2"/>
  <c r="R81" i="2"/>
  <c r="R60" i="2"/>
  <c r="Y60" i="2"/>
  <c r="Y64" i="2" s="1"/>
  <c r="Y66" i="2" s="1"/>
  <c r="Y68" i="2" s="1"/>
  <c r="Y69" i="2" s="1"/>
  <c r="Y72" i="2"/>
  <c r="Y80" i="2"/>
  <c r="Y81" i="2"/>
  <c r="W64" i="2"/>
  <c r="W66" i="2" s="1"/>
  <c r="W68" i="2" s="1"/>
  <c r="W69" i="2" s="1"/>
  <c r="W77" i="2" s="1"/>
  <c r="U64" i="2"/>
  <c r="U66" i="2" s="1"/>
  <c r="U79" i="2"/>
  <c r="X72" i="2"/>
  <c r="W80" i="2"/>
  <c r="V80" i="2"/>
  <c r="X80" i="2"/>
  <c r="W81" i="2"/>
  <c r="X60" i="2"/>
  <c r="X64" i="2" s="1"/>
  <c r="X66" i="2" s="1"/>
  <c r="X68" i="2" s="1"/>
  <c r="X69" i="2" s="1"/>
  <c r="X77" i="2" s="1"/>
  <c r="V64" i="2" l="1"/>
  <c r="V66" i="2" s="1"/>
  <c r="V82" i="2" s="1"/>
  <c r="U68" i="2"/>
  <c r="U69" i="2" s="1"/>
  <c r="U77" i="2" s="1"/>
  <c r="U82" i="2"/>
  <c r="R79" i="2"/>
  <c r="R64" i="2"/>
  <c r="R66" i="2" s="1"/>
  <c r="Y77" i="2" l="1"/>
  <c r="V68" i="2"/>
  <c r="V69" i="2" s="1"/>
  <c r="R82" i="2"/>
  <c r="R68" i="2"/>
  <c r="R69" i="2" s="1"/>
  <c r="R77" i="2" s="1"/>
  <c r="V77" i="2" l="1"/>
  <c r="Z72" i="2" l="1"/>
  <c r="Z81" i="2"/>
  <c r="Z80" i="2"/>
  <c r="Z60" i="2"/>
  <c r="Z64" i="2" s="1"/>
  <c r="Z66" i="2" s="1"/>
  <c r="Z68" i="2" s="1"/>
  <c r="Z69" i="2" s="1"/>
  <c r="Z77" i="2" s="1"/>
  <c r="CS60" i="2" l="1"/>
  <c r="CS79" i="2" s="1"/>
  <c r="CS59" i="2" l="1"/>
  <c r="CS64" i="2"/>
  <c r="CS66" i="2" s="1"/>
  <c r="CS68" i="2" s="1"/>
  <c r="CS69" i="2" s="1"/>
  <c r="CS77" i="2" s="1"/>
  <c r="AE81" i="2" l="1"/>
  <c r="AE80" i="2"/>
  <c r="AE60" i="2"/>
  <c r="AE79" i="2" l="1"/>
  <c r="AE64" i="2"/>
  <c r="AE66" i="2" s="1"/>
  <c r="AE68" i="2" l="1"/>
  <c r="AE82" i="2"/>
  <c r="AE84" i="2" l="1"/>
  <c r="AE69" i="2"/>
  <c r="AC57" i="2"/>
  <c r="AC58" i="2" s="1"/>
  <c r="AC81" i="2" s="1"/>
  <c r="AC60" i="2" l="1"/>
  <c r="AC80" i="2"/>
  <c r="AC72" i="2"/>
  <c r="AC64" i="2" l="1"/>
  <c r="AC66" i="2" s="1"/>
  <c r="AC79" i="2"/>
  <c r="AC68" i="2" l="1"/>
  <c r="AC69" i="2" s="1"/>
  <c r="AC77" i="2" s="1"/>
  <c r="AC82" i="2"/>
  <c r="AD60" i="2"/>
  <c r="AD64" i="2" s="1"/>
  <c r="AD66" i="2" s="1"/>
  <c r="AD72" i="2"/>
  <c r="AH72" i="2"/>
  <c r="AD80" i="2"/>
  <c r="AD81" i="2"/>
  <c r="AD68" i="2" l="1"/>
  <c r="AD69" i="2" s="1"/>
  <c r="AD82" i="2"/>
  <c r="AD79" i="2"/>
  <c r="AD77" i="2" l="1"/>
  <c r="AH77" i="2"/>
  <c r="CV21" i="2"/>
  <c r="CV58" i="2" s="1"/>
  <c r="CW72" i="2" l="1"/>
  <c r="CV60" i="2"/>
  <c r="CV80" i="2"/>
  <c r="AI81" i="2"/>
  <c r="AI80" i="2"/>
  <c r="AI72" i="2"/>
  <c r="AM72" i="2"/>
  <c r="AI60" i="2"/>
  <c r="AI79" i="2" l="1"/>
  <c r="AI64" i="2"/>
  <c r="AI66" i="2" s="1"/>
  <c r="CV79" i="2"/>
  <c r="CV64" i="2"/>
  <c r="CV66" i="2" s="1"/>
  <c r="CV68" i="2" s="1"/>
  <c r="CV69" i="2" l="1"/>
  <c r="AI82" i="2"/>
  <c r="AI68" i="2"/>
  <c r="AI69" i="2" s="1"/>
  <c r="CW77" i="2" l="1"/>
  <c r="AI77" i="2"/>
  <c r="AM77" i="2"/>
  <c r="AA57" i="2"/>
  <c r="AA58" i="2" s="1"/>
  <c r="AA81" i="2" s="1"/>
  <c r="AA60" i="2" l="1"/>
  <c r="AA79" i="2" s="1"/>
  <c r="AE72" i="2"/>
  <c r="AA80" i="2"/>
  <c r="AA72" i="2"/>
  <c r="AA64" i="2" l="1"/>
  <c r="AA66" i="2" s="1"/>
  <c r="AA82" i="2" s="1"/>
  <c r="AA68" i="2" l="1"/>
  <c r="AA69" i="2" s="1"/>
  <c r="AA77" i="2" s="1"/>
  <c r="AB57" i="2"/>
  <c r="AB58" i="2" s="1"/>
  <c r="AB81" i="2" s="1"/>
  <c r="AE77" i="2" l="1"/>
  <c r="AB60" i="2"/>
  <c r="AB79" i="2" s="1"/>
  <c r="AB80" i="2"/>
  <c r="AB72" i="2"/>
  <c r="CT60" i="2" l="1"/>
  <c r="CT79" i="2" s="1"/>
  <c r="AB64" i="2"/>
  <c r="AB66" i="2" s="1"/>
  <c r="CT59" i="2"/>
  <c r="CT64" i="2"/>
  <c r="CT66" i="2" s="1"/>
  <c r="CT68" i="2" s="1"/>
  <c r="CT69" i="2" s="1"/>
  <c r="CT77" i="2" s="1"/>
  <c r="AG57" i="2"/>
  <c r="AG58" i="2" s="1"/>
  <c r="AG72" i="2" s="1"/>
  <c r="AB68" i="2" l="1"/>
  <c r="AB69" i="2" s="1"/>
  <c r="AB77" i="2" s="1"/>
  <c r="AB82" i="2"/>
  <c r="AK72" i="2"/>
  <c r="AG60" i="2"/>
  <c r="AG80" i="2"/>
  <c r="AG81" i="2"/>
  <c r="AG64" i="2" l="1"/>
  <c r="AG66" i="2" s="1"/>
  <c r="AG79" i="2"/>
  <c r="AG68" i="2" l="1"/>
  <c r="AG69" i="2" s="1"/>
  <c r="AG82" i="2"/>
  <c r="AK77" i="2" l="1"/>
  <c r="AG77" i="2"/>
  <c r="CU21" i="2"/>
  <c r="CU58" i="2"/>
  <c r="CU60" i="2" s="1"/>
  <c r="AF57" i="2"/>
  <c r="AF58" i="2" s="1"/>
  <c r="AF60" i="2" s="1"/>
  <c r="AF79" i="2" l="1"/>
  <c r="AF64" i="2"/>
  <c r="AF66" i="2" s="1"/>
  <c r="AF68" i="2" s="1"/>
  <c r="AF69" i="2" s="1"/>
  <c r="AF81" i="2"/>
  <c r="CU64" i="2"/>
  <c r="CU66" i="2" s="1"/>
  <c r="CU68" i="2" s="1"/>
  <c r="CU69" i="2" s="1"/>
  <c r="CU79" i="2"/>
  <c r="AJ77" i="2"/>
  <c r="AF77" i="2"/>
  <c r="CU72" i="2"/>
  <c r="CU80" i="2"/>
  <c r="CV72" i="2"/>
  <c r="AF82" i="2"/>
  <c r="AF72" i="2"/>
  <c r="AJ72" i="2"/>
  <c r="AF80" i="2"/>
  <c r="CU77" i="2" l="1"/>
  <c r="CV7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</author>
    <author>Martin Shkreli</author>
  </authors>
  <commentList>
    <comment ref="G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Compound patent expires 2013. LLY has formulation patent until 2014</t>
        </r>
      </text>
    </comment>
    <comment ref="G9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TEVA 30-month stay expires 2010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</author>
    <author>Martin</author>
    <author>Martin Shkreli</author>
    <author>MSMB - Andre</author>
    <author>tc={C53B26C9-8602-47A2-80EC-A28651A52E20}</author>
    <author>tc={63959650-84D7-46CF-829F-FD9E350BCC20}</author>
    <author>tc={A9214E8B-BB63-4C5A-81B6-161440AC7FDE}</author>
    <author>tc={E60352B4-4A0D-4646-997E-29633AD2D222}</author>
    <author>tc={D23219C3-585B-4401-96E4-A54AA852CF63}</author>
    <author>tc={A2E464E0-CBDF-4ECE-9C4E-FC1B4BA053F8}</author>
    <author>tc={F1B0E7D4-F86C-4460-9BB2-30549C72BA4D}</author>
    <author>tc={27F9AA8E-4F00-4838-B3AE-5C359EA80361}</author>
    <author>tc={AFC9B85C-9AC1-4E0B-A0FD-4EC0747D6C85}</author>
    <author>tc={3630D8DA-CEAE-49F9-B57E-A7443096F4CE}</author>
    <author>tc={D7A857CD-B43A-4E52-BA69-3F839DE07274}</author>
    <author>Lane Nussbaum</author>
    <author>tc={00F4491F-C819-44C1-AC45-2ABA1B7BE593}</author>
    <author>tc={8874A794-CB8F-4280-B6A0-27B01371D863}</author>
    <author>Bloomberg</author>
  </authors>
  <commentList>
    <comment ref="U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updated based on Q3 data</t>
        </r>
      </text>
    </comment>
    <comment ref="AI9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525m consensus</t>
        </r>
      </text>
    </comment>
    <comment ref="AI10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506m consensus</t>
        </r>
      </text>
    </comment>
    <comment ref="DA10" authorId="0" shapeId="0" xr:uid="{00000000-0006-0000-0100-00001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AI11" authorId="1" shapeId="0" xr:uid="{00000000-0006-0000-01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266m consensus</t>
        </r>
      </text>
    </comment>
    <comment ref="S14" authorId="2" shapeId="0" xr:uid="{00000000-0006-0000-0100-00000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265.8m WW</t>
        </r>
      </text>
    </comment>
    <comment ref="AI14" authorId="1" shapeId="0" xr:uid="{00000000-0006-0000-0100-00000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432m consensus</t>
        </r>
      </text>
    </comment>
    <comment ref="AI20" authorId="1" shapeId="0" xr:uid="{00000000-0006-0000-0100-00001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203m consensus</t>
        </r>
      </text>
    </comment>
    <comment ref="R22" authorId="2" shapeId="0" xr:uid="{00000000-0006-0000-0100-00000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trx -7% yoy, -2% q/q</t>
        </r>
      </text>
    </comment>
    <comment ref="AE22" authorId="3" shapeId="0" xr:uid="{00000000-0006-0000-0100-00000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Citigroup 1230</t>
        </r>
      </text>
    </comment>
    <comment ref="AI22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1250 consensus</t>
        </r>
      </text>
    </comment>
    <comment ref="AL22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CR22" authorId="2" shapeId="0" xr:uid="{00000000-0006-0000-0100-00000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flattish guidance</t>
        </r>
      </text>
    </comment>
    <comment ref="CV22" authorId="1" shapeId="0" xr:uid="{00000000-0006-0000-01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CW22" authorId="0" shapeId="0" xr:uid="{00000000-0006-0000-0100-00000B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AI24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905 consensus</t>
        </r>
      </text>
    </comment>
    <comment ref="CU24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3459 actual</t>
        </r>
      </text>
    </comment>
    <comment ref="CX24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Compound patent expires 2013. LLY has formulation patent until 2014</t>
        </r>
      </text>
    </comment>
    <comment ref="BV25" authorId="4" shapeId="0" xr:uid="{C53B26C9-8602-47A2-80EC-A28651A52E20}">
      <text>
        <t>[Threaded comment]
Your version of Excel allows you to read this threaded comment; however, any edits to it will get removed if the file is opened in a newer version of Excel. Learn more: https://go.microsoft.com/fwlink/?linkid=870924
Comment:
    359m as per 2021 10-K</t>
      </text>
    </comment>
    <comment ref="BZ25" authorId="5" shapeId="0" xr:uid="{63959650-84D7-46CF-829F-FD9E350BCC20}">
      <text>
        <t>[Threaded comment]
Your version of Excel allows you to read this threaded comment; however, any edits to it will get removed if the file is opened in a newer version of Excel. Learn more: https://go.microsoft.com/fwlink/?linkid=870924
Comment:
    372.5m</t>
      </text>
    </comment>
    <comment ref="BX29" authorId="6" shapeId="0" xr:uid="{A9214E8B-BB63-4C5A-81B6-161440AC7FDE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quarter of Qbrexza</t>
      </text>
    </comment>
    <comment ref="AI32" authorId="1" shapeId="0" xr:uid="{00000000-0006-0000-01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136m consensus</t>
        </r>
      </text>
    </comment>
    <comment ref="DA32" authorId="0" shapeId="0" xr:uid="{00000000-0006-0000-0100-00001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CS35" authorId="1" shapeId="0" xr:uid="{00000000-0006-0000-0100-00001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1039 actual</t>
        </r>
      </text>
    </comment>
    <comment ref="AI37" authorId="1" shapeId="0" xr:uid="{00000000-0006-0000-0100-00001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167m consensus</t>
        </r>
      </text>
    </comment>
    <comment ref="CU37" authorId="0" shapeId="0" xr:uid="{00000000-0006-0000-0100-000019000000}">
      <text>
        <r>
          <rPr>
            <sz val="8"/>
            <color indexed="81"/>
            <rFont val="Tahoma"/>
            <family val="2"/>
          </rPr>
          <t>compound patent 2010. method of use covering treatment of neoplasms with Gemzar - 2012. Also have extra 6 months from FDA as a result of clinical studies performed inpediatric populations. LLY believes can extend until 2013</t>
        </r>
      </text>
    </comment>
    <comment ref="AI52" authorId="1" shapeId="0" xr:uid="{00000000-0006-0000-0100-00000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245m consensus</t>
        </r>
      </text>
    </comment>
    <comment ref="CW52" authorId="0" shapeId="0" xr:uid="{00000000-0006-0000-0100-00001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A number of patents LLY believes can extend until 2014</t>
        </r>
      </text>
    </comment>
    <comment ref="AI58" authorId="1" shapeId="0" xr:uid="{00000000-0006-0000-0100-00001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5700 consensus</t>
        </r>
      </text>
    </comment>
    <comment ref="BS58" authorId="7" shapeId="0" xr:uid="{E60352B4-4A0D-4646-997E-29633AD2D222}">
      <text>
        <t>[Threaded comment]
Your version of Excel allows you to read this threaded comment; however, any edits to it will get removed if the file is opened in a newer version of Excel. Learn more: https://go.microsoft.com/fwlink/?linkid=870924
Comment:
    5859.8m reported revenue</t>
      </text>
    </comment>
    <comment ref="BT58" authorId="8" shapeId="0" xr:uid="{D23219C3-585B-4401-96E4-A54AA852CF63}">
      <text>
        <t>[Threaded comment]
Your version of Excel allows you to read this threaded comment; however, any edits to it will get removed if the file is opened in a newer version of Excel. Learn more: https://go.microsoft.com/fwlink/?linkid=870924
Comment:
    5499.4m reported revenue</t>
      </text>
    </comment>
    <comment ref="BU58" authorId="9" shapeId="0" xr:uid="{A2E464E0-CBDF-4ECE-9C4E-FC1B4BA053F8}">
      <text>
        <t>[Threaded comment]
Your version of Excel allows you to read this threaded comment; however, any edits to it will get removed if the file is opened in a newer version of Excel. Learn more: https://go.microsoft.com/fwlink/?linkid=870924
Comment:
    5740.6 reported revenue</t>
      </text>
    </comment>
    <comment ref="BV58" authorId="10" shapeId="0" xr:uid="{F1B0E7D4-F86C-4460-9BB2-30549C72BA4D}">
      <text>
        <t>[Threaded comment]
Your version of Excel allows you to read this threaded comment; however, any edits to it will get removed if the file is opened in a newer version of Excel. Learn more: https://go.microsoft.com/fwlink/?linkid=870924
Comment:
    7440.0 actual reported</t>
      </text>
    </comment>
    <comment ref="BW58" authorId="11" shapeId="0" xr:uid="{27F9AA8E-4F00-4838-B3AE-5C359EA80361}">
      <text>
        <t>[Threaded comment]
Your version of Excel allows you to read this threaded comment; however, any edits to it will get removed if the file is opened in a newer version of Excel. Learn more: https://go.microsoft.com/fwlink/?linkid=870924
Comment:
    6805.6 reported</t>
      </text>
    </comment>
    <comment ref="BX58" authorId="12" shapeId="0" xr:uid="{AFC9B85C-9AC1-4E0B-A0FD-4EC0747D6C85}">
      <text>
        <t>[Threaded comment]
Your version of Excel allows you to read this threaded comment; however, any edits to it will get removed if the file is opened in a newer version of Excel. Learn more: https://go.microsoft.com/fwlink/?linkid=870924
Comment:
    6740 reported revenue</t>
      </text>
    </comment>
    <comment ref="BY58" authorId="13" shapeId="0" xr:uid="{3630D8DA-CEAE-49F9-B57E-A7443096F4CE}">
      <text>
        <t>[Threaded comment]
Your version of Excel allows you to read this threaded comment; however, any edits to it will get removed if the file is opened in a newer version of Excel. Learn more: https://go.microsoft.com/fwlink/?linkid=870924
Comment:
    6772.8 reported revenue</t>
      </text>
    </comment>
    <comment ref="BZ58" authorId="14" shapeId="0" xr:uid="{D7A857CD-B43A-4E52-BA69-3F839DE07274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reported 7999.9</t>
      </text>
    </comment>
    <comment ref="CQ58" authorId="2" shapeId="0" xr:uid="{00000000-0006-0000-0100-00001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low end of 7-9% guidance</t>
        </r>
      </text>
    </comment>
    <comment ref="CR58" authorId="2" shapeId="0" xr:uid="{00000000-0006-0000-0100-00001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LDD guidance
(up from HSD/LDD)</t>
        </r>
      </text>
    </comment>
    <comment ref="CS58" authorId="15" shapeId="0" xr:uid="{00000000-0006-0000-0100-00001D000000}">
      <text>
        <r>
          <rPr>
            <sz val="8"/>
            <color indexed="81"/>
            <rFont val="Tahoma"/>
            <family val="2"/>
          </rPr>
          <t>20372 actual
M-HSD growth</t>
        </r>
      </text>
    </comment>
    <comment ref="CT58" authorId="1" shapeId="0" xr:uid="{00000000-0006-0000-0100-00001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21836 actual</t>
        </r>
      </text>
    </comment>
    <comment ref="CU58" authorId="1" shapeId="0" xr:uid="{00000000-0006-0000-0100-00001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Japan 1.6bn - will double in the "next few years"</t>
        </r>
      </text>
    </comment>
    <comment ref="T64" authorId="0" shapeId="0" xr:uid="{00000000-0006-0000-0100-00002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not including 1 time $328.1M additional OPEX</t>
        </r>
      </text>
    </comment>
    <comment ref="U64" authorId="0" shapeId="0" xr:uid="{00000000-0006-0000-0100-00002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excluding 1 time additional fee 81.3M for court settlement relating to Zyprexa.  3Q press release</t>
        </r>
      </text>
    </comment>
    <comment ref="R65" authorId="2" shapeId="0" xr:uid="{00000000-0006-0000-0100-00002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lly icos 50m</t>
        </r>
      </text>
    </comment>
    <comment ref="CR65" authorId="0" shapeId="0" xr:uid="{00000000-0006-0000-0100-00002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~100m guidance. Q3 data</t>
        </r>
      </text>
    </comment>
    <comment ref="CR67" authorId="0" shapeId="0" xr:uid="{00000000-0006-0000-0100-00002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CS67" authorId="0" shapeId="0" xr:uid="{00000000-0006-0000-0100-00002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CT67" authorId="0" shapeId="0" xr:uid="{00000000-0006-0000-0100-000026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CU67" authorId="0" shapeId="0" xr:uid="{00000000-0006-0000-0100-000027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BW68" authorId="16" shapeId="0" xr:uid="{00F4491F-C819-44C1-AC45-2ABA1B7BE59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1465.5</t>
      </text>
    </comment>
    <comment ref="CA68" authorId="17" shapeId="0" xr:uid="{8874A794-CB8F-4280-B6A0-27B01371D86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2372.8</t>
      </text>
    </comment>
    <comment ref="Q69" authorId="18" shapeId="0" xr:uid="{00000000-0006-0000-0100-00002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0.77-0.79 guidance</t>
        </r>
      </text>
    </comment>
    <comment ref="T69" authorId="2" shapeId="0" xr:uid="{00000000-0006-0000-0100-000029000000}">
      <text>
        <r>
          <rPr>
            <sz val="8"/>
            <color indexed="81"/>
            <rFont val="Tahoma"/>
            <family val="2"/>
          </rPr>
          <t>0.80-082 guidace</t>
        </r>
      </text>
    </comment>
    <comment ref="V69" authorId="18" shapeId="0" xr:uid="{00000000-0006-0000-0100-00002A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0.87-0.91 guidance</t>
        </r>
      </text>
    </comment>
    <comment ref="AI69" authorId="1" shapeId="0" xr:uid="{00000000-0006-0000-0100-00002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1.16 consensus</t>
        </r>
      </text>
    </comment>
    <comment ref="CQ69" authorId="2" shapeId="0" xr:uid="{00000000-0006-0000-0100-00002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3.10-3.20 guidance</t>
        </r>
      </text>
    </comment>
    <comment ref="CR69" authorId="2" shapeId="0" xr:uid="{00000000-0006-0000-0100-00002D000000}">
      <text>
        <r>
          <rPr>
            <b/>
            <sz val="8"/>
            <color indexed="81"/>
            <rFont val="Tahoma"/>
            <family val="2"/>
          </rPr>
          <t xml:space="preserve">Andre:
</t>
        </r>
        <r>
          <rPr>
            <sz val="8"/>
            <color indexed="81"/>
            <rFont val="Tahoma"/>
            <family val="2"/>
          </rPr>
          <t>3.50-3.55 guidance, was 3.30-3.40. - 3Q data</t>
        </r>
        <r>
          <rPr>
            <b/>
            <sz val="8"/>
            <color indexed="81"/>
            <rFont val="Tahoma"/>
            <family val="2"/>
          </rPr>
          <t xml:space="preserve">
Martin Shkreli:</t>
        </r>
        <r>
          <rPr>
            <sz val="8"/>
            <color indexed="81"/>
            <rFont val="Tahoma"/>
            <family val="2"/>
          </rPr>
          <t xml:space="preserve">
3.30-3.40 guidance, up from 3.25-3.35 (including 0.10 from ICOS)</t>
        </r>
      </text>
    </comment>
    <comment ref="CS69" authorId="15" shapeId="0" xr:uid="{00000000-0006-0000-0100-00002E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3.85-4.00 guided</t>
        </r>
      </text>
    </comment>
    <comment ref="CU69" authorId="3" shapeId="0" xr:uid="{00000000-0006-0000-0100-00002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Q110: 4.40-4.55
Q409: 4.65-4.85
</t>
        </r>
      </text>
    </comment>
    <comment ref="CV69" authorId="1" shapeId="0" xr:uid="{00000000-0006-0000-0100-00003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1/27/11: 
4.15 - 4.30 guidance</t>
        </r>
      </text>
    </comment>
    <comment ref="CR79" authorId="0" shapeId="0" xr:uid="{00000000-0006-0000-0100-00003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78% guidance. 3Q data</t>
        </r>
      </text>
    </comment>
  </commentList>
</comments>
</file>

<file path=xl/sharedStrings.xml><?xml version="1.0" encoding="utf-8"?>
<sst xmlns="http://schemas.openxmlformats.org/spreadsheetml/2006/main" count="716" uniqueCount="525">
  <si>
    <t>Name</t>
  </si>
  <si>
    <t>Indication</t>
  </si>
  <si>
    <t>Economics</t>
  </si>
  <si>
    <t>Competition</t>
  </si>
  <si>
    <t>IP</t>
  </si>
  <si>
    <t>Phase</t>
  </si>
  <si>
    <t>Main</t>
  </si>
  <si>
    <t>Zyprexa</t>
  </si>
  <si>
    <t>Work to maintain patient access at the state level--in 45 of 50 states without formulary restriction. FL, CA at risk.</t>
  </si>
  <si>
    <t>Growth has stagnated, working on tweaking the message (highlight MOA, more upfront about late onset of action)</t>
  </si>
  <si>
    <t>Pediatric growth has stagnated, larger opportunity is adult market where LLY is investing DTC $.</t>
  </si>
  <si>
    <t>EU launch in early 05 but EU is 10% of global mkt</t>
  </si>
  <si>
    <t>p3 studies in gastric and colorectal cancer to begin in 2005</t>
  </si>
  <si>
    <t>Schizophrenia, Bipolar Disorder</t>
  </si>
  <si>
    <t>Cymbalta</t>
  </si>
  <si>
    <t>Strattera</t>
  </si>
  <si>
    <t>Forteo</t>
  </si>
  <si>
    <t>Evista</t>
  </si>
  <si>
    <t>Cialis</t>
  </si>
  <si>
    <t>Alimta</t>
  </si>
  <si>
    <t>recently announced lt-data continued positive data at 82 weeks</t>
  </si>
  <si>
    <t>positive data on restoration of First-Phase insulin response (unclear whether this can get added to the label)</t>
  </si>
  <si>
    <t>current pen device to deliver either 5mg or 10mg twice a day for 30 months --figure out how painful/large this pen device is.</t>
  </si>
  <si>
    <t>Zyprexa Depot</t>
  </si>
  <si>
    <t>result from p2 cross-over study at ACC in March 2005</t>
  </si>
  <si>
    <t>Survivin ASO</t>
  </si>
  <si>
    <t>Expect submission by end of decade</t>
  </si>
  <si>
    <t>enrollment faster than expected</t>
  </si>
  <si>
    <t>competes with Evista breast cancer trial</t>
  </si>
  <si>
    <t>Double-digit growth in ex-US Zyprexa sales as penetration of atypicals increases.</t>
  </si>
  <si>
    <t>40-60% of schizo patients only 20-40% of bipolar in EU</t>
  </si>
  <si>
    <t>8mm adults affected by ADD, 80-90% undiagnosed</t>
  </si>
  <si>
    <t>Just 25-30% of scripts written for adults.</t>
  </si>
  <si>
    <t>Alimta to replace Taxotere in 2nd line NSCLC</t>
  </si>
  <si>
    <t>More convenient administration and better tolerability (less neutropenia), medicare pricing helps too</t>
  </si>
  <si>
    <t>Manufacturing straightford, product is just an amino acid sequence and not a biologic. Efficacy achieved with microgram dosing</t>
  </si>
  <si>
    <t>Type 2 Diabetes</t>
  </si>
  <si>
    <t>Depression</t>
  </si>
  <si>
    <t>ADHD</t>
  </si>
  <si>
    <t>SUI</t>
  </si>
  <si>
    <t>ED</t>
  </si>
  <si>
    <t>Symbyax</t>
  </si>
  <si>
    <t>no monitoring required</t>
  </si>
  <si>
    <t>2 cases out of 2m, but probably underreported</t>
  </si>
  <si>
    <t>Relabeled for liver toxicity--bolded warning (2nd highest warning level)</t>
  </si>
  <si>
    <t>UBS</t>
  </si>
  <si>
    <t>n=459, primary endpoint is DFS</t>
  </si>
  <si>
    <t>III</t>
  </si>
  <si>
    <t>Generic Name</t>
  </si>
  <si>
    <t>enzastaurin</t>
  </si>
  <si>
    <t>Brand Name</t>
  </si>
  <si>
    <t>Mechanism</t>
  </si>
  <si>
    <t>serine-threonine kinase inhibitor; PKC-beta, PI3K/AKT</t>
  </si>
  <si>
    <t>GBM phase 3 - STEERING - randomized open-label enza vs lomustine. N=397, OS and PFS primary endpoints</t>
  </si>
  <si>
    <t>Humalog</t>
  </si>
  <si>
    <t>Gemzar</t>
  </si>
  <si>
    <t>EPS</t>
  </si>
  <si>
    <t>Humulin</t>
  </si>
  <si>
    <t>COGS</t>
  </si>
  <si>
    <t>SG&amp;A</t>
  </si>
  <si>
    <t>R&amp;D</t>
  </si>
  <si>
    <t>Prozac</t>
  </si>
  <si>
    <t>Other CNS</t>
  </si>
  <si>
    <t>Ceclor</t>
  </si>
  <si>
    <t>Lorabid</t>
  </si>
  <si>
    <t>Keflex/Keftab</t>
  </si>
  <si>
    <t>Vancocin</t>
  </si>
  <si>
    <t>Other Infective</t>
  </si>
  <si>
    <t>Actos</t>
  </si>
  <si>
    <t>Humatrope</t>
  </si>
  <si>
    <t>Byetta</t>
  </si>
  <si>
    <t>Dobutrex</t>
  </si>
  <si>
    <t>ReoPro</t>
  </si>
  <si>
    <t>Cynt</t>
  </si>
  <si>
    <t>Xigris</t>
  </si>
  <si>
    <t>Prasugrel</t>
  </si>
  <si>
    <t>Other Cardio</t>
  </si>
  <si>
    <t>Other Oncology</t>
  </si>
  <si>
    <t>Other</t>
  </si>
  <si>
    <t>Animal</t>
  </si>
  <si>
    <t>Other Endo</t>
  </si>
  <si>
    <t>Pretax</t>
  </si>
  <si>
    <t>Taxes</t>
  </si>
  <si>
    <t>Net</t>
  </si>
  <si>
    <t>Shares</t>
  </si>
  <si>
    <t>olanzapine</t>
  </si>
  <si>
    <t>paliperidone ER, bifeprunox, Seroquel</t>
  </si>
  <si>
    <t>Schizophrenia, Bipolar Disorder. Best used in unstable schizophrenia, high-risk/mixed-bipolar patients, acute schizophrenia and bipolar</t>
  </si>
  <si>
    <t>Successfully litigated</t>
  </si>
  <si>
    <t>SPD465</t>
  </si>
  <si>
    <t>Platelet inhibitor</t>
  </si>
  <si>
    <t>Timeline</t>
  </si>
  <si>
    <t>Clinical Trials</t>
  </si>
  <si>
    <t>ACS</t>
  </si>
  <si>
    <t>JUMBO Phase II</t>
  </si>
  <si>
    <t>n=900 presented at ESC 2004 showed non-inferiority to Plavix</t>
  </si>
  <si>
    <t>Q306</t>
  </si>
  <si>
    <t>Q206</t>
  </si>
  <si>
    <t>Q406</t>
  </si>
  <si>
    <t>Q405</t>
  </si>
  <si>
    <t>Q106</t>
  </si>
  <si>
    <t>Plavix</t>
  </si>
  <si>
    <t xml:space="preserve">  Subset analysis of patients on 40mg loading dose with 7.5mg maintenance, 60/10mg or 60/15mg.</t>
  </si>
  <si>
    <t>at 10mg/day maintenance two patients exhibited complete inhibition of collagen-induced platelet aggregation</t>
  </si>
  <si>
    <t xml:space="preserve">  Investigator expects bleeds and mortality to be higher for Prasugrel in TRITON.</t>
  </si>
  <si>
    <t>II</t>
  </si>
  <si>
    <t>Atypical</t>
  </si>
  <si>
    <t>SNRI</t>
  </si>
  <si>
    <t>PDE5</t>
  </si>
  <si>
    <t>PE is composite 30-day MACE. Study ends after 875 events and 6 months past last patient enrolled. Event rate has been lower than expected.</t>
  </si>
  <si>
    <t>SERM</t>
  </si>
  <si>
    <t>Osteoporosis</t>
  </si>
  <si>
    <t>arzoxifene</t>
  </si>
  <si>
    <t>GENERATIONS</t>
  </si>
  <si>
    <t>n=9300</t>
  </si>
  <si>
    <t>Prevention of osteoporosis and breast cancer</t>
  </si>
  <si>
    <t>Cancer</t>
  </si>
  <si>
    <t>Insulin</t>
  </si>
  <si>
    <t>GLP-1</t>
  </si>
  <si>
    <t>I</t>
  </si>
  <si>
    <t>Alzheimer's</t>
  </si>
  <si>
    <t>NHL</t>
  </si>
  <si>
    <t>DMC recommends STEERING be halted. Development for GBM stopped.</t>
  </si>
  <si>
    <t>Gross Margin</t>
  </si>
  <si>
    <t>Q305</t>
  </si>
  <si>
    <t>Q205</t>
  </si>
  <si>
    <t>Q105</t>
  </si>
  <si>
    <t>Q404</t>
  </si>
  <si>
    <t>Q107</t>
  </si>
  <si>
    <t>US/UK 50-50 with royalty to Daiichi Sankyo in other territories</t>
  </si>
  <si>
    <t>Docs think 10-15% improvement for Prasugrel with better PK.</t>
  </si>
  <si>
    <t>Commentary</t>
  </si>
  <si>
    <t>"Cost is a big issue".</t>
  </si>
  <si>
    <t>PPAR</t>
  </si>
  <si>
    <t>LY518674</t>
  </si>
  <si>
    <t>Gemcitabine</t>
  </si>
  <si>
    <t>Clinical Studies</t>
  </si>
  <si>
    <t>Administration</t>
  </si>
  <si>
    <t>5-FU</t>
  </si>
  <si>
    <t>Stage IV</t>
  </si>
  <si>
    <t>Median Overall Survival</t>
  </si>
  <si>
    <t>Clinical Benefit Response</t>
  </si>
  <si>
    <t>6-month probability</t>
  </si>
  <si>
    <t>9-month probability</t>
  </si>
  <si>
    <t>1-year probability</t>
  </si>
  <si>
    <t>95% CI of the median</t>
  </si>
  <si>
    <t>Median TTP</t>
  </si>
  <si>
    <t>95% CI</t>
  </si>
  <si>
    <t>p-value</t>
  </si>
  <si>
    <t>5.7 months</t>
  </si>
  <si>
    <t>4.7 to 6.9</t>
  </si>
  <si>
    <t>4.2 months</t>
  </si>
  <si>
    <t>3.1 to 5.1</t>
  </si>
  <si>
    <t>2.1 months</t>
  </si>
  <si>
    <t>.9 months</t>
  </si>
  <si>
    <t>1.9 to 3.4</t>
  </si>
  <si>
    <t>.9 to 1.1</t>
  </si>
  <si>
    <t>Patients</t>
  </si>
  <si>
    <t>Pancreatic Cancer, Gemcitabine vs. 5-FU, n=126</t>
  </si>
  <si>
    <t>Insomnia</t>
  </si>
  <si>
    <t>LY2422347</t>
  </si>
  <si>
    <t xml:space="preserve">  SNY R&amp;D Head notes favorable prasugrel design: lower Plavix loading dose, randomization 3 hours ahead of PCI vs 6 hours (optimal).</t>
  </si>
  <si>
    <t>1.7% bleeding vs 1.2% with Plavix but no risks of major bleeds.</t>
  </si>
  <si>
    <t>Q207</t>
  </si>
  <si>
    <t>Rx</t>
  </si>
  <si>
    <t>TRx</t>
  </si>
  <si>
    <t>NRx</t>
  </si>
  <si>
    <t>Thienopyridine class of ADP receptor inhibitors (on P2Y12 receptor), like ticlopidine and clopidogrel.</t>
  </si>
  <si>
    <t>Develop drug as superior to Plavix regardless of Plavix IP</t>
  </si>
  <si>
    <t xml:space="preserve">  Plavix is metabolized slowly, so giving it at 3 hours puts it at a disadvantage. Prasugrel works within 30 minutes.</t>
  </si>
  <si>
    <t xml:space="preserve">  300mg loading dose for Plavix is suboptimal as many physicians use 600mg. Label indicates 300mg.</t>
  </si>
  <si>
    <t xml:space="preserve">  Mechanism may suggest that prasugrel avoids the 30% non-responder rate seen with Plavix.</t>
  </si>
  <si>
    <t>Price</t>
  </si>
  <si>
    <t>MC</t>
  </si>
  <si>
    <t>Cash</t>
  </si>
  <si>
    <t>Debt</t>
  </si>
  <si>
    <t>EV</t>
  </si>
  <si>
    <t xml:space="preserve">    9.4% MACE for Plavix, 7.2% MACE for prasugrel, p=0.30. MACE % at 30 days.</t>
  </si>
  <si>
    <t>LY2062430</t>
  </si>
  <si>
    <t>A-B antibody</t>
  </si>
  <si>
    <t xml:space="preserve">  Prasugrel is a prodrug like Plavix, but only requires one step versus two for Plavix.</t>
  </si>
  <si>
    <t>Enrollment criteria different from JUMBO. TRITON includes only UA/NSTEMI with TIMI&gt;3. JUMBO TIMI mean was 2-2.5.</t>
  </si>
  <si>
    <t>700-800 sites, started enrolling Nov 1st 2005, finished enrolling Jan 2007. Study completes July 2007. 12 month followup.</t>
  </si>
  <si>
    <t>LY2140023</t>
  </si>
  <si>
    <t>TIMI-38 (TRITON) study, n=13614, head-to-head vs. Plavix in ACS undergoing PCI - Results November 4 expectation</t>
  </si>
  <si>
    <t>Q307</t>
  </si>
  <si>
    <t>Q407</t>
  </si>
  <si>
    <t>Net Cash</t>
  </si>
  <si>
    <t>LY2599506</t>
  </si>
  <si>
    <t>GKA</t>
  </si>
  <si>
    <t>OSIP</t>
  </si>
  <si>
    <t>Antisense</t>
  </si>
  <si>
    <t>ISIS</t>
  </si>
  <si>
    <t>NRI</t>
  </si>
  <si>
    <t>Pain</t>
  </si>
  <si>
    <t>TRPV1</t>
  </si>
  <si>
    <t>Effient, fka CS-747</t>
  </si>
  <si>
    <t>Q108</t>
  </si>
  <si>
    <t>Q208</t>
  </si>
  <si>
    <t>Q308</t>
  </si>
  <si>
    <t>Q408</t>
  </si>
  <si>
    <t>Q304</t>
  </si>
  <si>
    <t>Q204</t>
  </si>
  <si>
    <t>Q104</t>
  </si>
  <si>
    <t>GRC 6211</t>
  </si>
  <si>
    <t>Glenmark</t>
  </si>
  <si>
    <t>Tax Rate</t>
  </si>
  <si>
    <t>Non-Approvable</t>
  </si>
  <si>
    <t>Filed</t>
  </si>
  <si>
    <t>Schizophrenia</t>
  </si>
  <si>
    <t>Acts on mGlu2/3 protein in the brain</t>
  </si>
  <si>
    <t>PANSS versus placebo: -20.8 for LY2140023 and -26.7 for Zyprexa.</t>
  </si>
  <si>
    <t>Phase II vs Zyprexa vs placebo n=196</t>
  </si>
  <si>
    <t>Response rate 32.0% for LY2140023 and 41.2% for placebo.</t>
  </si>
  <si>
    <t>Sept 2007 - Jan 2009</t>
  </si>
  <si>
    <t>4 weeks</t>
  </si>
  <si>
    <t>160mg, 2x80mg per day</t>
  </si>
  <si>
    <t>Phase III Maintenance vs BSC in 1L NSCLC - ASCO #8011 2008</t>
  </si>
  <si>
    <t>n=663 50% adeno, 27% squamous. All had induction chemo, 49% had CR/PR.</t>
  </si>
  <si>
    <t xml:space="preserve">  4.3m PFS vs 2.6m PFS. 13mo OS vs 10.2m OS.</t>
  </si>
  <si>
    <t>Lower dose (5mg) studies to begin?</t>
  </si>
  <si>
    <t>Potential at-risk launch by TEVA in 2008? 11/2010 PDUFA date.</t>
  </si>
  <si>
    <t>exenatide</t>
  </si>
  <si>
    <t>Profit-share with Amylin. Ex-US royalties to Amylin.</t>
  </si>
  <si>
    <t>Phase III LAR formulation n=300</t>
  </si>
  <si>
    <t>LLY maintains this trial is enough to garner approval--LLY comments to Cowen 2008</t>
  </si>
  <si>
    <t>Insulin (+ does not require glucose monitoring and provides weight loss)</t>
  </si>
  <si>
    <t>Manufacturing</t>
  </si>
  <si>
    <t>Potential seizures, LLY is conducting monkey tox studies to determine if Phase III is warranted.</t>
  </si>
  <si>
    <t>pemetrexed</t>
  </si>
  <si>
    <t>Data to be presented at AHA 2007/ACC 2008.</t>
  </si>
  <si>
    <t>Results: Lowered stent thrombosis by 52%. Lowered primary endpoint 19% vs Plavix.</t>
  </si>
  <si>
    <t>Effexor</t>
  </si>
  <si>
    <t>Phase II Osteoarthritis 13-week study - EULAR 2008</t>
  </si>
  <si>
    <t>59% experienced 30% pain reduction vs 45% for placebo.</t>
  </si>
  <si>
    <t>Formerly with ELN?</t>
  </si>
  <si>
    <t>Phase II biomarker data - July 2008 data</t>
  </si>
  <si>
    <t>Phase III</t>
  </si>
  <si>
    <t>Humanized antibody to beta amyloid.</t>
  </si>
  <si>
    <t>LY2127399</t>
  </si>
  <si>
    <t>Rheumatoid Arthritis</t>
  </si>
  <si>
    <t xml:space="preserve">  Recurrent event sub-analysis and ESC 2008 data are forthcoming. 52% reduction in stent-thrombosis.</t>
  </si>
  <si>
    <t>Dis</t>
  </si>
  <si>
    <t>Mat</t>
  </si>
  <si>
    <t>NPV</t>
  </si>
  <si>
    <t>Q109</t>
  </si>
  <si>
    <t>Q209</t>
  </si>
  <si>
    <t>Q309</t>
  </si>
  <si>
    <t>Q409</t>
  </si>
  <si>
    <t>Study completes in Mid 2007? Data likely to be released in late 2007. (delayed from late 2006). MAA approved 4/09.</t>
  </si>
  <si>
    <t>Royalties</t>
  </si>
  <si>
    <t>Operating Expenses</t>
  </si>
  <si>
    <t>Operating Income</t>
  </si>
  <si>
    <t>Phase III "CRA8000" Maintenance NSCLC study - ASCO 2009</t>
  </si>
  <si>
    <t>Pemetrexed 13.4 months vs 10.6 for placebo. Squamous had negative outcome.</t>
  </si>
  <si>
    <t>http://meeting.ascopubs.org/cgi/content/short/27/18S/CRA8000</t>
  </si>
  <si>
    <t>4/25/2008 Paragraph IV was filed. Teva was sued 6/10/2008. Trial date 11/8/2010, 30-month stay expires 10/24/2010. 5,344,932 composition of matter.</t>
  </si>
  <si>
    <t>Erbitux</t>
  </si>
  <si>
    <t>LY2062430 (solanezumab)</t>
  </si>
  <si>
    <t>Q110</t>
  </si>
  <si>
    <t>Q210</t>
  </si>
  <si>
    <t>Q310</t>
  </si>
  <si>
    <t>Q410</t>
  </si>
  <si>
    <t>Effient</t>
  </si>
  <si>
    <t>$5.36/day.</t>
  </si>
  <si>
    <t>Market</t>
  </si>
  <si>
    <t>Share</t>
  </si>
  <si>
    <t>Statin</t>
  </si>
  <si>
    <t>Kowa</t>
  </si>
  <si>
    <t>JAK1/2</t>
  </si>
  <si>
    <t>INCY</t>
  </si>
  <si>
    <t>ROIC</t>
  </si>
  <si>
    <t>Q111</t>
  </si>
  <si>
    <t>Q211</t>
  </si>
  <si>
    <t>Q311</t>
  </si>
  <si>
    <t>Q411</t>
  </si>
  <si>
    <t>DPP4</t>
  </si>
  <si>
    <t>BI</t>
  </si>
  <si>
    <t>BI10773</t>
  </si>
  <si>
    <t>liprotamase</t>
  </si>
  <si>
    <t>Axiron</t>
  </si>
  <si>
    <t>Shionogi in Japan, BI was co-promoting ex-US but stopped in 2010.</t>
  </si>
  <si>
    <t>SGLT2</t>
  </si>
  <si>
    <t>Pancreatic Enzyme Replacement</t>
  </si>
  <si>
    <t>ERT</t>
  </si>
  <si>
    <t>100%?</t>
  </si>
  <si>
    <t>CRL</t>
  </si>
  <si>
    <t>A/R</t>
  </si>
  <si>
    <t>Other Receivables</t>
  </si>
  <si>
    <t>Inventories</t>
  </si>
  <si>
    <t>Prepaid Taxes</t>
  </si>
  <si>
    <t>Prepaid Expenses</t>
  </si>
  <si>
    <t>Goodwill</t>
  </si>
  <si>
    <t>Sundry</t>
  </si>
  <si>
    <t>PP&amp;E</t>
  </si>
  <si>
    <t>Assets</t>
  </si>
  <si>
    <t>A/P</t>
  </si>
  <si>
    <t>Employees Comp</t>
  </si>
  <si>
    <t>Sales Rebates</t>
  </si>
  <si>
    <t>Dividends</t>
  </si>
  <si>
    <t>OCL</t>
  </si>
  <si>
    <t>Retirement</t>
  </si>
  <si>
    <t>ONCL</t>
  </si>
  <si>
    <t>S/E</t>
  </si>
  <si>
    <t>L+S/E</t>
  </si>
  <si>
    <t>CFFO</t>
  </si>
  <si>
    <t>Phase III "PRELUDE" trial in maintenance/prevention of relapse diffuse large-b-cell lymphoma (DLBCL)</t>
  </si>
  <si>
    <t>Gastric Cancer</t>
  </si>
  <si>
    <t>Antibody</t>
  </si>
  <si>
    <t>LY2090314</t>
  </si>
  <si>
    <t>GSK3B</t>
  </si>
  <si>
    <t>AML</t>
  </si>
  <si>
    <t>LY2157299</t>
  </si>
  <si>
    <t>TGF-BR kinase</t>
  </si>
  <si>
    <t>HCC</t>
  </si>
  <si>
    <t>Tradjenta (linagliptin)</t>
  </si>
  <si>
    <t>Q112</t>
  </si>
  <si>
    <t>Q212</t>
  </si>
  <si>
    <t>Q312</t>
  </si>
  <si>
    <t>Q412</t>
  </si>
  <si>
    <t>Q113</t>
  </si>
  <si>
    <t>Q213</t>
  </si>
  <si>
    <t>Q313</t>
  </si>
  <si>
    <t>Q413</t>
  </si>
  <si>
    <t>pomaglumetad methionil</t>
  </si>
  <si>
    <t>edivoxetine</t>
  </si>
  <si>
    <t>evacetrapib</t>
  </si>
  <si>
    <t>CETP</t>
  </si>
  <si>
    <t>Dyslipidemia</t>
  </si>
  <si>
    <t>13.9% hit the primary endpoint of death, CV, MI, etc in prasugrel versus 16.0% in Plavix, HR=0.91, p=0.21.</t>
  </si>
  <si>
    <t>Bleeding similar.</t>
  </si>
  <si>
    <t>Phase III TRILOGY n=7243 unstable angina or MI without ST elevation who did not undergo revascularization</t>
  </si>
  <si>
    <t>Q214</t>
  </si>
  <si>
    <t>Q122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</si>
  <si>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</si>
  <si>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</si>
  <si>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</si>
  <si>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</si>
  <si>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</si>
  <si>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</si>
  <si>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</si>
  <si>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</si>
  <si>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</si>
  <si>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</si>
  <si>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</si>
  <si>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</si>
  <si>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</si>
  <si>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</si>
  <si>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</si>
  <si>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</si>
  <si>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</si>
  <si>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</si>
  <si>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</si>
  <si>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</si>
  <si>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</si>
  <si>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</si>
  <si>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</si>
  <si>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</si>
  <si>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</si>
  <si>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</si>
  <si>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</si>
  <si>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</si>
  <si>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</si>
  <si>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</si>
  <si>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</si>
  <si>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</si>
  <si>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</si>
  <si>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</si>
  <si>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Trulicity</t>
  </si>
  <si>
    <t>Basaglar</t>
  </si>
  <si>
    <t>Other Diabetes</t>
  </si>
  <si>
    <t>Jardiance</t>
  </si>
  <si>
    <t>Verzenio</t>
  </si>
  <si>
    <t>Cyramza</t>
  </si>
  <si>
    <t>Tyvyt</t>
  </si>
  <si>
    <t>Taltz</t>
  </si>
  <si>
    <t>Olumiant</t>
  </si>
  <si>
    <t>Other Immunology</t>
  </si>
  <si>
    <t>Emgality</t>
  </si>
  <si>
    <t>COVID-19 mabs</t>
  </si>
  <si>
    <t>Retevmo</t>
  </si>
  <si>
    <t>Trulicity y/y</t>
  </si>
  <si>
    <t>Revenue</t>
  </si>
  <si>
    <t>Revenue y/y</t>
  </si>
  <si>
    <t>Q123</t>
  </si>
  <si>
    <t>Q223</t>
  </si>
  <si>
    <t>Q323</t>
  </si>
  <si>
    <t>Q423</t>
  </si>
  <si>
    <t>DT</t>
  </si>
  <si>
    <t>ONCA</t>
  </si>
  <si>
    <t>Model NI</t>
  </si>
  <si>
    <t>Reported NI</t>
  </si>
  <si>
    <t>D&amp;A</t>
  </si>
  <si>
    <t>SBC</t>
  </si>
  <si>
    <t>Investments</t>
  </si>
  <si>
    <t>IPR&amp;D</t>
  </si>
  <si>
    <t>WC</t>
  </si>
  <si>
    <t>CapEx</t>
  </si>
  <si>
    <t>Acquisitions/IPRD</t>
  </si>
  <si>
    <t>CFFI</t>
  </si>
  <si>
    <t>CFFF</t>
  </si>
  <si>
    <t>Buyback</t>
  </si>
  <si>
    <t>Borrowings</t>
  </si>
  <si>
    <t>FX</t>
  </si>
  <si>
    <t>CIC</t>
  </si>
  <si>
    <t>Brand</t>
  </si>
  <si>
    <t>Generic</t>
  </si>
  <si>
    <t>duloxetine</t>
  </si>
  <si>
    <t>MOA</t>
  </si>
  <si>
    <t>Depression, Back Pain</t>
  </si>
  <si>
    <t>Livalo</t>
  </si>
  <si>
    <t>pitavastatin</t>
  </si>
  <si>
    <t>Hypercholesterolemia</t>
  </si>
  <si>
    <t>atomoxetine</t>
  </si>
  <si>
    <t>Schizophrenia, Bipolar</t>
  </si>
  <si>
    <t>D2 antagonist</t>
  </si>
  <si>
    <t>Insulin Analog</t>
  </si>
  <si>
    <t>Bipolar</t>
  </si>
  <si>
    <t>(2004-2007): 70, 54, 56, 50m</t>
  </si>
  <si>
    <t>Yentreve</t>
  </si>
  <si>
    <t>(2004-2007): 4, 18, 25, 50m</t>
  </si>
  <si>
    <t>Permax</t>
  </si>
  <si>
    <t>(2002-2007): 152, 165, 154, 117, 91, 87m</t>
  </si>
  <si>
    <t>Jardiance (empagliflozin)</t>
  </si>
  <si>
    <t>Taltz (ixekizumab)</t>
  </si>
  <si>
    <t>Ruboxistaurin</t>
  </si>
  <si>
    <t>Inhaled Insulin</t>
  </si>
  <si>
    <t>Naveglitazar</t>
  </si>
  <si>
    <t>teplizumab</t>
  </si>
  <si>
    <t>Factor Xa</t>
  </si>
  <si>
    <t>ASAP</t>
  </si>
  <si>
    <t>LY2624803</t>
  </si>
  <si>
    <t>tasisulam</t>
  </si>
  <si>
    <t>pomaglumetad</t>
  </si>
  <si>
    <t>Gamma Secretase</t>
  </si>
  <si>
    <t>LY450139</t>
  </si>
  <si>
    <t>Cyramza (ramucirumab)</t>
  </si>
  <si>
    <t>VEGFR2 mab</t>
  </si>
  <si>
    <t>prasugrel</t>
  </si>
  <si>
    <t>4568 JP</t>
  </si>
  <si>
    <t>gemcitibine</t>
  </si>
  <si>
    <t>Innovent</t>
  </si>
  <si>
    <t>Olumiant (baricitinib)</t>
  </si>
  <si>
    <t>Olumiant, fka INCB28050</t>
  </si>
  <si>
    <t>baricitinib</t>
  </si>
  <si>
    <t>IL-17 mab</t>
  </si>
  <si>
    <t>Taltz, fka LY2439821</t>
  </si>
  <si>
    <t>ixekizumab</t>
  </si>
  <si>
    <t>Psoriasis</t>
  </si>
  <si>
    <t>Approved</t>
  </si>
  <si>
    <t>PD-1</t>
  </si>
  <si>
    <t>bebtelovimab</t>
  </si>
  <si>
    <t>bamlanivimab/etesevimab</t>
  </si>
  <si>
    <t>COVID-19</t>
  </si>
  <si>
    <t>Oncology</t>
  </si>
  <si>
    <t>Breast Cancer</t>
  </si>
  <si>
    <t>Migraine</t>
  </si>
  <si>
    <t>Baqsimi</t>
  </si>
  <si>
    <t>Reyvow</t>
  </si>
  <si>
    <t>PKC kinase</t>
  </si>
  <si>
    <t>GLP-1/Glucagon</t>
  </si>
  <si>
    <t>CEO: David Ricks</t>
  </si>
  <si>
    <t>CFO: Anat Ashkenazi</t>
  </si>
  <si>
    <t>R&amp;D: Daniel Skovronsky</t>
  </si>
  <si>
    <t>CDK</t>
  </si>
  <si>
    <t>CGRP</t>
  </si>
  <si>
    <t>dulaglutide</t>
  </si>
  <si>
    <t>Trulicity, fka LY2189265</t>
  </si>
  <si>
    <t>tabalumab</t>
  </si>
  <si>
    <t xml:space="preserve">SLE, RA, Multiple Myeloma, RRMS, </t>
  </si>
  <si>
    <t>BAFF mab</t>
  </si>
  <si>
    <t>lebrikizumab</t>
  </si>
  <si>
    <t>Atopic Dermatitis</t>
  </si>
  <si>
    <t>Humalog (insulin lispro)</t>
  </si>
  <si>
    <t>Basaglar (insulin glargine)</t>
  </si>
  <si>
    <t>glucagon</t>
  </si>
  <si>
    <t>Baqsimi (glucagon)</t>
  </si>
  <si>
    <t>Hypoglycemia</t>
  </si>
  <si>
    <t>gemcitabine</t>
  </si>
  <si>
    <t>Admin</t>
  </si>
  <si>
    <t>oral</t>
  </si>
  <si>
    <t>insulin peglispro</t>
  </si>
  <si>
    <t>Abandoned</t>
  </si>
  <si>
    <t>Basaglar, fka LY2963016</t>
  </si>
  <si>
    <t>insulin glargine</t>
  </si>
  <si>
    <t>mirikizumab</t>
  </si>
  <si>
    <t>Crohn's, UC</t>
  </si>
  <si>
    <t>donanemab</t>
  </si>
  <si>
    <t>solanezumab</t>
  </si>
  <si>
    <t>a-beta mab</t>
  </si>
  <si>
    <t>Retevmo (selpercatinib)</t>
  </si>
  <si>
    <t>Tyvyt (sintilimab)</t>
  </si>
  <si>
    <t>LOXO-305 (pirtobrutinib)</t>
  </si>
  <si>
    <t>MCL, CLL</t>
  </si>
  <si>
    <t>BTK inhibitor</t>
  </si>
  <si>
    <t>Imlunestrant</t>
  </si>
  <si>
    <t>mBC</t>
  </si>
  <si>
    <t>Verzenio (abemaciclib)</t>
  </si>
  <si>
    <t>Taltz y/y</t>
  </si>
  <si>
    <t>Verzenio y/y</t>
  </si>
  <si>
    <t>Jardiance y/y</t>
  </si>
  <si>
    <t>Trajenta</t>
  </si>
  <si>
    <t>Headcount</t>
  </si>
  <si>
    <t>x</t>
  </si>
  <si>
    <t>Glucagon</t>
  </si>
  <si>
    <t>Qbrexza</t>
  </si>
  <si>
    <t>Disposition</t>
  </si>
  <si>
    <t>Divested</t>
  </si>
  <si>
    <t>lasmiditan</t>
  </si>
  <si>
    <t>R552</t>
  </si>
  <si>
    <t>RIGL</t>
  </si>
  <si>
    <t>RIPK</t>
  </si>
  <si>
    <t>Autoimmune</t>
  </si>
  <si>
    <t>5-HT2A</t>
  </si>
  <si>
    <t>Mounjaro (tirzepatide)</t>
  </si>
  <si>
    <t>1/2021: Prevail acquisition</t>
  </si>
  <si>
    <t>RA, AA</t>
  </si>
  <si>
    <t>Trulicity (dulaglutide)</t>
  </si>
  <si>
    <t>Mounjaro</t>
  </si>
  <si>
    <t>Lartruvo</t>
  </si>
  <si>
    <t>Portrazza</t>
  </si>
  <si>
    <t>Q403</t>
  </si>
  <si>
    <t>Q303</t>
  </si>
  <si>
    <t>Q203</t>
  </si>
  <si>
    <t>Q103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</si>
</sst>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12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2" borderId="0" xfId="0" applyNumberFormat="1" applyFill="1" applyAlignment="1">
      <alignment horizontal="center"/>
    </xf>
    <xf numFmtId="9" fontId="0" fillId="2" borderId="7" xfId="0" applyNumberFormat="1" applyFill="1" applyBorder="1" applyAlignment="1">
      <alignment horizontal="center"/>
    </xf>
    <xf numFmtId="0" fontId="1" fillId="0" borderId="0" xfId="1" applyAlignment="1" applyProtection="1"/>
    <xf numFmtId="0" fontId="1" fillId="2" borderId="4" xfId="1" applyFill="1" applyBorder="1" applyAlignment="1" applyProtection="1"/>
    <xf numFmtId="0" fontId="1" fillId="2" borderId="0" xfId="1" applyFill="1" applyAlignment="1" applyProtection="1"/>
    <xf numFmtId="0" fontId="5" fillId="2" borderId="0" xfId="0" applyFont="1" applyFill="1"/>
    <xf numFmtId="3" fontId="0" fillId="2" borderId="0" xfId="0" applyNumberFormat="1" applyFill="1" applyAlignment="1">
      <alignment horizontal="center"/>
    </xf>
    <xf numFmtId="3" fontId="0" fillId="2" borderId="0" xfId="0" applyNumberFormat="1" applyFill="1"/>
    <xf numFmtId="0" fontId="3" fillId="2" borderId="0" xfId="0" applyFont="1" applyFill="1"/>
    <xf numFmtId="0" fontId="5" fillId="0" borderId="0" xfId="0" applyFont="1"/>
    <xf numFmtId="0" fontId="4" fillId="2" borderId="0" xfId="0" applyFont="1" applyFill="1"/>
    <xf numFmtId="0" fontId="0" fillId="2" borderId="9" xfId="0" applyFill="1" applyBorder="1" applyAlignment="1">
      <alignment horizontal="center"/>
    </xf>
    <xf numFmtId="10" fontId="0" fillId="2" borderId="0" xfId="0" applyNumberForma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/>
    <xf numFmtId="0" fontId="0" fillId="2" borderId="9" xfId="0" applyFill="1" applyBorder="1"/>
    <xf numFmtId="0" fontId="0" fillId="2" borderId="11" xfId="0" applyFill="1" applyBorder="1"/>
    <xf numFmtId="14" fontId="0" fillId="2" borderId="0" xfId="0" applyNumberFormat="1" applyFill="1"/>
    <xf numFmtId="14" fontId="0" fillId="2" borderId="0" xfId="0" applyNumberFormat="1" applyFill="1" applyAlignment="1">
      <alignment horizontal="center"/>
    </xf>
    <xf numFmtId="4" fontId="0" fillId="2" borderId="0" xfId="0" applyNumberFormat="1" applyFill="1"/>
    <xf numFmtId="0" fontId="0" fillId="2" borderId="0" xfId="0" applyFill="1" applyAlignment="1">
      <alignment horizontal="right"/>
    </xf>
    <xf numFmtId="0" fontId="8" fillId="2" borderId="0" xfId="0" applyFont="1" applyFill="1"/>
    <xf numFmtId="0" fontId="9" fillId="2" borderId="0" xfId="0" applyFont="1" applyFill="1"/>
    <xf numFmtId="3" fontId="0" fillId="2" borderId="0" xfId="0" applyNumberFormat="1" applyFill="1" applyAlignment="1">
      <alignment horizontal="right"/>
    </xf>
    <xf numFmtId="0" fontId="4" fillId="2" borderId="4" xfId="0" applyFont="1" applyFill="1" applyBorder="1"/>
    <xf numFmtId="0" fontId="4" fillId="2" borderId="0" xfId="0" applyFont="1" applyFill="1" applyAlignment="1">
      <alignment horizontal="center"/>
    </xf>
    <xf numFmtId="0" fontId="4" fillId="0" borderId="0" xfId="0" applyFont="1"/>
    <xf numFmtId="0" fontId="4" fillId="2" borderId="0" xfId="0" applyFont="1" applyFill="1" applyAlignment="1">
      <alignment horizontal="right"/>
    </xf>
    <xf numFmtId="9" fontId="4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right"/>
    </xf>
    <xf numFmtId="14" fontId="4" fillId="2" borderId="0" xfId="0" applyNumberFormat="1" applyFont="1" applyFill="1"/>
    <xf numFmtId="14" fontId="0" fillId="2" borderId="0" xfId="0" applyNumberFormat="1" applyFill="1" applyAlignment="1">
      <alignment horizontal="right"/>
    </xf>
    <xf numFmtId="0" fontId="4" fillId="2" borderId="5" xfId="0" applyFont="1" applyFill="1" applyBorder="1" applyAlignment="1">
      <alignment horizontal="center"/>
    </xf>
    <xf numFmtId="0" fontId="1" fillId="2" borderId="6" xfId="1" applyFill="1" applyBorder="1" applyAlignment="1" applyProtection="1"/>
    <xf numFmtId="0" fontId="1" fillId="0" borderId="0" xfId="1" applyFill="1" applyAlignment="1" applyProtection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3" fontId="0" fillId="0" borderId="0" xfId="0" applyNumberFormat="1"/>
    <xf numFmtId="3" fontId="4" fillId="0" borderId="0" xfId="0" applyNumberFormat="1" applyFont="1"/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right"/>
    </xf>
    <xf numFmtId="3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9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4" fontId="3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2" borderId="4" xfId="1" applyFont="1" applyFill="1" applyBorder="1" applyAlignment="1" applyProtection="1"/>
    <xf numFmtId="0" fontId="4" fillId="2" borderId="6" xfId="0" applyFont="1" applyFill="1" applyBorder="1"/>
    <xf numFmtId="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2" borderId="7" xfId="0" applyFont="1" applyFill="1" applyBorder="1" applyAlignment="1">
      <alignment horizontal="center"/>
    </xf>
    <xf numFmtId="9" fontId="4" fillId="2" borderId="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top"/>
    </xf>
    <xf numFmtId="9" fontId="0" fillId="0" borderId="0" xfId="0" applyNumberFormat="1"/>
    <xf numFmtId="0" fontId="4" fillId="2" borderId="2" xfId="0" applyFont="1" applyFill="1" applyBorder="1" applyAlignment="1">
      <alignment horizontal="center"/>
    </xf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9" defaultPivotStyle="PivotStyleLight16">
    <tableStyle name="Invisible" pivot="0" table="0" count="0" xr9:uid="{29EF3100-9E6B-4D3F-8C35-93E149799A0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33337</xdr:colOff>
      <xdr:row>0</xdr:row>
      <xdr:rowOff>0</xdr:rowOff>
    </xdr:from>
    <xdr:to>
      <xdr:col>83</xdr:col>
      <xdr:colOff>33337</xdr:colOff>
      <xdr:row>145</xdr:row>
      <xdr:rowOff>0</xdr:rowOff>
    </xdr:to>
    <xdr:sp macro="" textlink="">
      <xdr:nvSpPr>
        <xdr:cNvPr id="1464" name="Line 10">
          <a:extLst>
            <a:ext uri="{FF2B5EF4-FFF2-40B4-BE49-F238E27FC236}">
              <a16:creationId xmlns:a16="http://schemas.microsoft.com/office/drawing/2014/main" id="{00000000-0008-0000-0100-0000B8050000}"/>
            </a:ext>
          </a:extLst>
        </xdr:cNvPr>
        <xdr:cNvSpPr>
          <a:spLocks noChangeShapeType="1"/>
        </xdr:cNvSpPr>
      </xdr:nvSpPr>
      <xdr:spPr bwMode="auto">
        <a:xfrm flipH="1">
          <a:off x="37496353" y="0"/>
          <a:ext cx="0" cy="2282428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110</xdr:col>
      <xdr:colOff>19050</xdr:colOff>
      <xdr:row>0</xdr:row>
      <xdr:rowOff>0</xdr:rowOff>
    </xdr:from>
    <xdr:to>
      <xdr:col>110</xdr:col>
      <xdr:colOff>19050</xdr:colOff>
      <xdr:row>104</xdr:row>
      <xdr:rowOff>161924</xdr:rowOff>
    </xdr:to>
    <xdr:sp macro="" textlink="">
      <xdr:nvSpPr>
        <xdr:cNvPr id="1465" name="Line 23">
          <a:extLst>
            <a:ext uri="{FF2B5EF4-FFF2-40B4-BE49-F238E27FC236}">
              <a16:creationId xmlns:a16="http://schemas.microsoft.com/office/drawing/2014/main" id="{00000000-0008-0000-0100-0000B9050000}"/>
            </a:ext>
          </a:extLst>
        </xdr:cNvPr>
        <xdr:cNvSpPr>
          <a:spLocks noChangeShapeType="1"/>
        </xdr:cNvSpPr>
      </xdr:nvSpPr>
      <xdr:spPr bwMode="auto">
        <a:xfrm>
          <a:off x="49777650" y="0"/>
          <a:ext cx="0" cy="1667827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16</xdr:row>
      <xdr:rowOff>142875</xdr:rowOff>
    </xdr:from>
    <xdr:to>
      <xdr:col>10</xdr:col>
      <xdr:colOff>504825</xdr:colOff>
      <xdr:row>30</xdr:row>
      <xdr:rowOff>133350</xdr:rowOff>
    </xdr:to>
    <xdr:pic>
      <xdr:nvPicPr>
        <xdr:cNvPr id="2224" name="Picture 1">
          <a:extLst>
            <a:ext uri="{FF2B5EF4-FFF2-40B4-BE49-F238E27FC236}">
              <a16:creationId xmlns:a16="http://schemas.microsoft.com/office/drawing/2014/main" id="{00000000-0008-0000-08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733675"/>
          <a:ext cx="2543175" cy="2276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13399233-BA81-4949-9BE8-57EDDD85014C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V25" dT="2022-08-02T13:03:18.23" personId="{13399233-BA81-4949-9BE8-57EDDD85014C}" id="{C53B26C9-8602-47A2-80EC-A28651A52E20}">
    <text>359m as per 2021 10-K</text>
  </threadedComment>
  <threadedComment ref="BZ25" dT="2022-08-01T18:27:07.85" personId="{13399233-BA81-4949-9BE8-57EDDD85014C}" id="{63959650-84D7-46CF-829F-FD9E350BCC20}">
    <text>372.5m</text>
  </threadedComment>
  <threadedComment ref="BX29" dT="2022-08-02T13:15:28.62" personId="{13399233-BA81-4949-9BE8-57EDDD85014C}" id="{A9214E8B-BB63-4C5A-81B6-161440AC7FDE}">
    <text>last quarter of Qbrexza</text>
  </threadedComment>
  <threadedComment ref="BS58" dT="2022-08-01T19:29:14.28" personId="{13399233-BA81-4949-9BE8-57EDDD85014C}" id="{E60352B4-4A0D-4646-997E-29633AD2D222}">
    <text>5859.8m reported revenue</text>
  </threadedComment>
  <threadedComment ref="BT58" dT="2022-08-01T19:13:29.91" personId="{13399233-BA81-4949-9BE8-57EDDD85014C}" id="{D23219C3-585B-4401-96E4-A54AA852CF63}">
    <text>5499.4m reported revenue</text>
  </threadedComment>
  <threadedComment ref="BU58" dT="2022-08-01T19:08:14.14" personId="{13399233-BA81-4949-9BE8-57EDDD85014C}" id="{A2E464E0-CBDF-4ECE-9C4E-FC1B4BA053F8}">
    <text>5740.6 reported revenue</text>
  </threadedComment>
  <threadedComment ref="BV58" dT="2022-08-01T18:51:30.86" personId="{13399233-BA81-4949-9BE8-57EDDD85014C}" id="{F1B0E7D4-F86C-4460-9BB2-30549C72BA4D}">
    <text>7440.0 actual reported</text>
  </threadedComment>
  <threadedComment ref="BW58" dT="2022-08-01T19:28:46.54" personId="{13399233-BA81-4949-9BE8-57EDDD85014C}" id="{27F9AA8E-4F00-4838-B3AE-5C359EA80361}">
    <text>6805.6 reported</text>
  </threadedComment>
  <threadedComment ref="BX58" dT="2022-08-01T19:13:16.67" personId="{13399233-BA81-4949-9BE8-57EDDD85014C}" id="{AFC9B85C-9AC1-4E0B-A0FD-4EC0747D6C85}">
    <text>6740 reported revenue</text>
  </threadedComment>
  <threadedComment ref="BY58" dT="2022-08-01T19:08:01.93" personId="{13399233-BA81-4949-9BE8-57EDDD85014C}" id="{3630D8DA-CEAE-49F9-B57E-A7443096F4CE}">
    <text>6772.8 reported revenue</text>
  </threadedComment>
  <threadedComment ref="BZ58" dT="2022-08-01T18:31:56.86" personId="{13399233-BA81-4949-9BE8-57EDDD85014C}" id="{D7A857CD-B43A-4E52-BA69-3F839DE07274}">
    <text>Actual reported 7999.9</text>
  </threadedComment>
  <threadedComment ref="BW68" dT="2022-08-01T18:07:16.89" personId="{13399233-BA81-4949-9BE8-57EDDD85014C}" id="{00F4491F-C819-44C1-AC45-2ABA1B7BE593}">
    <text>actual adjusted 1465.5</text>
  </threadedComment>
  <threadedComment ref="CA68" dT="2022-08-01T18:06:59.44" personId="{13399233-BA81-4949-9BE8-57EDDD85014C}" id="{8874A794-CB8F-4280-B6A0-27B01371D863}">
    <text>actual adjusted 2372.8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meeting.ascopubs.org/cgi/content/short/27/18S/CRA8000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F99A-375F-4619-812E-489ECAEA832B}">
  <dimension ref="A1:J6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9" sqref="G9"/>
    </sheetView>
  </sheetViews>
  <sheetFormatPr defaultRowHeight="12.75" x14ac:dyDescent="0.2"/>
  <cols>
    <col min="1" max="1" width="5" bestFit="1" customWidth="1"/>
    <col min="2" max="2" width="13.5703125" customWidth="1"/>
  </cols>
  <sheetData>
    <row r="1" spans="1:8" x14ac:dyDescent="0.2">
      <c r="A1" s="13" t="s">
        <v>6</v>
      </c>
    </row>
    <row r="2" spans="1:8" x14ac:dyDescent="0.2">
      <c r="B2" s="38" t="s">
        <v>405</v>
      </c>
      <c r="C2" s="38" t="s">
        <v>406</v>
      </c>
      <c r="D2" s="38" t="s">
        <v>1</v>
      </c>
      <c r="E2" s="38" t="s">
        <v>408</v>
      </c>
      <c r="F2" s="38" t="s">
        <v>2</v>
      </c>
      <c r="G2" s="38" t="s">
        <v>382</v>
      </c>
      <c r="H2" s="38" t="s">
        <v>506</v>
      </c>
    </row>
    <row r="3" spans="1:8" x14ac:dyDescent="0.2">
      <c r="B3" s="38" t="s">
        <v>19</v>
      </c>
      <c r="C3" s="38" t="s">
        <v>229</v>
      </c>
      <c r="D3" s="38"/>
      <c r="E3" s="38"/>
      <c r="F3" s="38"/>
      <c r="G3" s="38"/>
    </row>
    <row r="4" spans="1:8" x14ac:dyDescent="0.2">
      <c r="B4" s="38" t="s">
        <v>280</v>
      </c>
      <c r="C4" s="38"/>
      <c r="D4" s="38"/>
      <c r="E4" s="38"/>
    </row>
    <row r="5" spans="1:8" x14ac:dyDescent="0.2">
      <c r="B5" s="38" t="s">
        <v>457</v>
      </c>
      <c r="C5" s="38" t="s">
        <v>475</v>
      </c>
      <c r="D5" s="38"/>
      <c r="E5" s="38"/>
    </row>
    <row r="6" spans="1:8" x14ac:dyDescent="0.2">
      <c r="B6" s="38" t="s">
        <v>483</v>
      </c>
      <c r="C6" s="38" t="s">
        <v>484</v>
      </c>
      <c r="D6" s="38"/>
      <c r="E6" s="38"/>
      <c r="F6" t="s">
        <v>277</v>
      </c>
    </row>
    <row r="7" spans="1:8" x14ac:dyDescent="0.2">
      <c r="B7" s="38" t="s">
        <v>14</v>
      </c>
      <c r="C7" s="38" t="s">
        <v>407</v>
      </c>
      <c r="D7" s="38" t="s">
        <v>409</v>
      </c>
      <c r="E7" s="38" t="s">
        <v>107</v>
      </c>
    </row>
    <row r="8" spans="1:8" x14ac:dyDescent="0.2">
      <c r="B8" s="38" t="s">
        <v>373</v>
      </c>
      <c r="C8" s="38"/>
      <c r="D8" s="38"/>
      <c r="E8" s="38"/>
    </row>
    <row r="9" spans="1:8" x14ac:dyDescent="0.2">
      <c r="B9" s="38" t="s">
        <v>263</v>
      </c>
      <c r="C9" s="38" t="s">
        <v>438</v>
      </c>
      <c r="D9" s="38" t="s">
        <v>93</v>
      </c>
      <c r="E9" s="38" t="s">
        <v>90</v>
      </c>
      <c r="F9" s="38" t="s">
        <v>439</v>
      </c>
    </row>
    <row r="10" spans="1:8" x14ac:dyDescent="0.2">
      <c r="B10" s="38" t="s">
        <v>378</v>
      </c>
      <c r="C10" s="38"/>
      <c r="D10" s="38"/>
      <c r="E10" s="38"/>
      <c r="F10" s="38"/>
    </row>
    <row r="11" spans="1:8" x14ac:dyDescent="0.2">
      <c r="B11" s="38" t="s">
        <v>17</v>
      </c>
      <c r="C11" s="38"/>
      <c r="D11" s="38" t="s">
        <v>111</v>
      </c>
      <c r="E11" s="38" t="s">
        <v>110</v>
      </c>
    </row>
    <row r="12" spans="1:8" x14ac:dyDescent="0.2">
      <c r="B12" s="38" t="s">
        <v>55</v>
      </c>
      <c r="C12" s="38" t="s">
        <v>440</v>
      </c>
      <c r="D12" s="38"/>
      <c r="E12" s="38"/>
    </row>
    <row r="13" spans="1:8" x14ac:dyDescent="0.2">
      <c r="B13" s="38" t="s">
        <v>504</v>
      </c>
      <c r="C13" s="38"/>
      <c r="D13" s="38"/>
      <c r="E13" s="38"/>
    </row>
    <row r="14" spans="1:8" x14ac:dyDescent="0.2">
      <c r="B14" s="38" t="s">
        <v>54</v>
      </c>
      <c r="C14" s="38"/>
      <c r="D14" s="38"/>
      <c r="E14" s="38"/>
    </row>
    <row r="15" spans="1:8" x14ac:dyDescent="0.2">
      <c r="B15" s="38" t="s">
        <v>57</v>
      </c>
      <c r="C15" s="38"/>
      <c r="D15" s="38"/>
      <c r="E15" s="38"/>
    </row>
    <row r="16" spans="1:8" x14ac:dyDescent="0.2">
      <c r="B16" s="38" t="s">
        <v>371</v>
      </c>
      <c r="C16" s="38"/>
      <c r="D16" s="38"/>
      <c r="E16" s="38"/>
    </row>
    <row r="17" spans="2:10" x14ac:dyDescent="0.2">
      <c r="B17" s="38" t="s">
        <v>410</v>
      </c>
      <c r="C17" s="38" t="s">
        <v>411</v>
      </c>
      <c r="D17" s="38" t="s">
        <v>412</v>
      </c>
      <c r="E17" s="38" t="s">
        <v>267</v>
      </c>
      <c r="F17" s="38" t="s">
        <v>268</v>
      </c>
    </row>
    <row r="18" spans="2:10" x14ac:dyDescent="0.2">
      <c r="B18" s="38" t="s">
        <v>443</v>
      </c>
      <c r="C18" s="38" t="s">
        <v>444</v>
      </c>
      <c r="D18" s="38" t="s">
        <v>240</v>
      </c>
      <c r="E18" s="38" t="s">
        <v>269</v>
      </c>
      <c r="F18" s="38" t="s">
        <v>270</v>
      </c>
    </row>
    <row r="19" spans="2:10" x14ac:dyDescent="0.2">
      <c r="B19" s="38" t="s">
        <v>421</v>
      </c>
      <c r="C19" s="38"/>
      <c r="D19" s="38"/>
      <c r="E19" s="38"/>
      <c r="F19" s="38"/>
      <c r="G19" s="21" t="s">
        <v>422</v>
      </c>
    </row>
    <row r="20" spans="2:10" x14ac:dyDescent="0.2">
      <c r="B20" s="38" t="s">
        <v>505</v>
      </c>
      <c r="C20" s="38"/>
      <c r="D20" s="38"/>
      <c r="E20" s="38"/>
      <c r="F20" s="38"/>
      <c r="G20" s="21"/>
      <c r="H20" s="38" t="s">
        <v>507</v>
      </c>
    </row>
    <row r="21" spans="2:10" x14ac:dyDescent="0.2">
      <c r="B21" s="38" t="s">
        <v>380</v>
      </c>
      <c r="C21" s="38"/>
      <c r="D21" s="38"/>
      <c r="E21" s="38"/>
      <c r="F21" s="38"/>
      <c r="G21" s="21"/>
    </row>
    <row r="22" spans="2:10" x14ac:dyDescent="0.2">
      <c r="B22" s="38" t="s">
        <v>458</v>
      </c>
      <c r="C22" s="38" t="s">
        <v>508</v>
      </c>
      <c r="D22" s="38" t="s">
        <v>456</v>
      </c>
      <c r="E22" s="38"/>
      <c r="F22" s="38"/>
      <c r="G22" s="21"/>
    </row>
    <row r="23" spans="2:10" x14ac:dyDescent="0.2">
      <c r="B23" s="38" t="s">
        <v>15</v>
      </c>
      <c r="C23" s="38" t="s">
        <v>413</v>
      </c>
      <c r="D23" s="38" t="s">
        <v>38</v>
      </c>
      <c r="J23" s="16"/>
    </row>
    <row r="24" spans="2:10" x14ac:dyDescent="0.2">
      <c r="B24" s="38" t="s">
        <v>41</v>
      </c>
      <c r="C24" s="38"/>
      <c r="D24" s="38" t="s">
        <v>417</v>
      </c>
    </row>
    <row r="25" spans="2:10" x14ac:dyDescent="0.2">
      <c r="B25" s="38" t="s">
        <v>446</v>
      </c>
      <c r="C25" s="38" t="s">
        <v>447</v>
      </c>
      <c r="D25" s="38" t="s">
        <v>240</v>
      </c>
      <c r="E25" s="38" t="s">
        <v>445</v>
      </c>
      <c r="F25" s="77">
        <v>1</v>
      </c>
    </row>
    <row r="26" spans="2:10" x14ac:dyDescent="0.2">
      <c r="B26" s="38" t="s">
        <v>501</v>
      </c>
      <c r="C26" s="38"/>
      <c r="D26" s="38"/>
      <c r="E26" s="38"/>
      <c r="F26" s="77"/>
    </row>
    <row r="27" spans="2:10" x14ac:dyDescent="0.2">
      <c r="B27" s="38" t="s">
        <v>467</v>
      </c>
      <c r="C27" s="38" t="s">
        <v>466</v>
      </c>
      <c r="D27" s="38" t="s">
        <v>36</v>
      </c>
      <c r="E27" s="38" t="s">
        <v>118</v>
      </c>
      <c r="F27" s="77"/>
    </row>
    <row r="28" spans="2:10" x14ac:dyDescent="0.2">
      <c r="B28" s="38" t="s">
        <v>372</v>
      </c>
      <c r="C28" s="38"/>
      <c r="D28" s="38"/>
      <c r="E28" s="38"/>
      <c r="F28" s="77"/>
    </row>
    <row r="29" spans="2:10" x14ac:dyDescent="0.2">
      <c r="B29" s="38" t="s">
        <v>419</v>
      </c>
      <c r="C29" s="38"/>
      <c r="D29" s="38"/>
      <c r="G29" s="21" t="s">
        <v>420</v>
      </c>
    </row>
    <row r="30" spans="2:10" x14ac:dyDescent="0.2">
      <c r="B30" s="38" t="s">
        <v>7</v>
      </c>
      <c r="C30" s="38" t="s">
        <v>85</v>
      </c>
      <c r="D30" s="38" t="s">
        <v>414</v>
      </c>
      <c r="E30" s="38" t="s">
        <v>415</v>
      </c>
      <c r="G30" s="21" t="s">
        <v>418</v>
      </c>
    </row>
    <row r="32" spans="2:10" x14ac:dyDescent="0.2">
      <c r="J32" s="21"/>
    </row>
    <row r="39" spans="2:8" x14ac:dyDescent="0.2">
      <c r="B39" s="38" t="s">
        <v>405</v>
      </c>
      <c r="C39" s="38" t="s">
        <v>406</v>
      </c>
      <c r="D39" s="38" t="s">
        <v>1</v>
      </c>
      <c r="E39" s="38" t="s">
        <v>408</v>
      </c>
      <c r="F39" s="38" t="s">
        <v>2</v>
      </c>
      <c r="G39" s="38" t="s">
        <v>5</v>
      </c>
      <c r="H39" s="38" t="s">
        <v>479</v>
      </c>
    </row>
    <row r="40" spans="2:8" x14ac:dyDescent="0.2">
      <c r="B40" s="38"/>
      <c r="C40" s="38" t="s">
        <v>487</v>
      </c>
      <c r="D40" s="38" t="s">
        <v>120</v>
      </c>
      <c r="E40" s="38" t="s">
        <v>489</v>
      </c>
      <c r="F40" s="38"/>
      <c r="G40" s="38"/>
      <c r="H40" s="38"/>
    </row>
    <row r="41" spans="2:8" x14ac:dyDescent="0.2">
      <c r="C41" s="38" t="s">
        <v>407</v>
      </c>
      <c r="D41" s="38" t="s">
        <v>39</v>
      </c>
    </row>
    <row r="42" spans="2:8" x14ac:dyDescent="0.2">
      <c r="C42" s="38" t="s">
        <v>49</v>
      </c>
      <c r="D42" s="38" t="s">
        <v>121</v>
      </c>
      <c r="E42" s="38" t="s">
        <v>459</v>
      </c>
    </row>
    <row r="43" spans="2:8" x14ac:dyDescent="0.2">
      <c r="B43" t="s">
        <v>25</v>
      </c>
      <c r="D43" s="53" t="s">
        <v>116</v>
      </c>
      <c r="E43" s="53" t="s">
        <v>191</v>
      </c>
      <c r="F43" s="70" t="s">
        <v>192</v>
      </c>
      <c r="G43" s="53" t="s">
        <v>105</v>
      </c>
    </row>
    <row r="44" spans="2:8" x14ac:dyDescent="0.2">
      <c r="C44" s="38" t="s">
        <v>325</v>
      </c>
      <c r="D44" s="38" t="s">
        <v>37</v>
      </c>
      <c r="E44" s="38" t="s">
        <v>193</v>
      </c>
    </row>
    <row r="45" spans="2:8" x14ac:dyDescent="0.2">
      <c r="B45" s="38"/>
      <c r="C45" s="38" t="s">
        <v>326</v>
      </c>
      <c r="D45" s="71" t="s">
        <v>328</v>
      </c>
      <c r="E45" s="71" t="s">
        <v>327</v>
      </c>
      <c r="F45" s="70">
        <v>1</v>
      </c>
      <c r="G45" s="71" t="s">
        <v>47</v>
      </c>
    </row>
    <row r="46" spans="2:8" x14ac:dyDescent="0.2">
      <c r="B46" s="38" t="s">
        <v>426</v>
      </c>
    </row>
    <row r="47" spans="2:8" x14ac:dyDescent="0.2">
      <c r="B47" s="38" t="s">
        <v>435</v>
      </c>
      <c r="D47" t="s">
        <v>120</v>
      </c>
      <c r="E47" s="38" t="s">
        <v>434</v>
      </c>
    </row>
    <row r="48" spans="2:8" x14ac:dyDescent="0.2">
      <c r="B48" s="38" t="s">
        <v>427</v>
      </c>
    </row>
    <row r="49" spans="2:8" x14ac:dyDescent="0.2">
      <c r="B49" s="38" t="s">
        <v>428</v>
      </c>
    </row>
    <row r="50" spans="2:8" x14ac:dyDescent="0.2">
      <c r="C50" s="38" t="s">
        <v>478</v>
      </c>
      <c r="H50" t="s">
        <v>480</v>
      </c>
    </row>
    <row r="51" spans="2:8" x14ac:dyDescent="0.2">
      <c r="B51" s="38" t="s">
        <v>429</v>
      </c>
    </row>
    <row r="52" spans="2:8" x14ac:dyDescent="0.2">
      <c r="B52" s="38" t="s">
        <v>430</v>
      </c>
    </row>
    <row r="53" spans="2:8" x14ac:dyDescent="0.2">
      <c r="B53" s="38"/>
      <c r="C53" t="s">
        <v>481</v>
      </c>
      <c r="G53" t="s">
        <v>482</v>
      </c>
    </row>
    <row r="54" spans="2:8" x14ac:dyDescent="0.2">
      <c r="B54" s="38" t="s">
        <v>431</v>
      </c>
    </row>
    <row r="55" spans="2:8" x14ac:dyDescent="0.2">
      <c r="B55" s="38"/>
      <c r="C55" s="38" t="s">
        <v>433</v>
      </c>
    </row>
    <row r="56" spans="2:8" x14ac:dyDescent="0.2">
      <c r="B56" s="38"/>
      <c r="C56" t="s">
        <v>425</v>
      </c>
    </row>
    <row r="57" spans="2:8" x14ac:dyDescent="0.2">
      <c r="B57" s="38"/>
      <c r="C57" t="s">
        <v>488</v>
      </c>
      <c r="D57" t="s">
        <v>120</v>
      </c>
      <c r="E57" t="s">
        <v>489</v>
      </c>
    </row>
    <row r="58" spans="2:8" x14ac:dyDescent="0.2">
      <c r="B58" s="38" t="s">
        <v>239</v>
      </c>
      <c r="C58" t="s">
        <v>468</v>
      </c>
      <c r="D58" t="s">
        <v>469</v>
      </c>
      <c r="E58" t="s">
        <v>470</v>
      </c>
    </row>
    <row r="59" spans="2:8" x14ac:dyDescent="0.2">
      <c r="C59" s="38" t="s">
        <v>432</v>
      </c>
    </row>
    <row r="60" spans="2:8" x14ac:dyDescent="0.2">
      <c r="B60" s="5" t="s">
        <v>160</v>
      </c>
      <c r="C60" s="6" t="s">
        <v>159</v>
      </c>
      <c r="D60" s="6" t="s">
        <v>513</v>
      </c>
    </row>
  </sheetData>
  <hyperlinks>
    <hyperlink ref="A1" location="Main!A1" display="Main" xr:uid="{51C43F83-2157-4729-AD8D-12CA9807EE3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30"/>
  <sheetViews>
    <sheetView workbookViewId="0"/>
  </sheetViews>
  <sheetFormatPr defaultRowHeight="12.75" x14ac:dyDescent="0.2"/>
  <cols>
    <col min="1" max="1" width="5" style="1" bestFit="1" customWidth="1"/>
    <col min="2" max="2" width="14" style="1" bestFit="1" customWidth="1"/>
    <col min="3" max="3" width="23.28515625" style="1" customWidth="1"/>
    <col min="4" max="5" width="12.140625" style="1" customWidth="1"/>
    <col min="6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55</v>
      </c>
    </row>
    <row r="3" spans="1:3" x14ac:dyDescent="0.2">
      <c r="B3" s="1" t="s">
        <v>48</v>
      </c>
      <c r="C3" s="1" t="s">
        <v>135</v>
      </c>
    </row>
    <row r="4" spans="1:3" x14ac:dyDescent="0.2">
      <c r="B4" s="1" t="s">
        <v>1</v>
      </c>
    </row>
    <row r="5" spans="1:3" x14ac:dyDescent="0.2">
      <c r="B5" s="1" t="s">
        <v>51</v>
      </c>
    </row>
    <row r="6" spans="1:3" x14ac:dyDescent="0.2">
      <c r="B6" s="1" t="s">
        <v>137</v>
      </c>
    </row>
    <row r="7" spans="1:3" x14ac:dyDescent="0.2">
      <c r="B7" s="1" t="s">
        <v>4</v>
      </c>
      <c r="C7" s="1" t="s">
        <v>221</v>
      </c>
    </row>
    <row r="8" spans="1:3" x14ac:dyDescent="0.2">
      <c r="B8" s="1" t="s">
        <v>2</v>
      </c>
    </row>
    <row r="9" spans="1:3" x14ac:dyDescent="0.2">
      <c r="B9" s="1" t="s">
        <v>136</v>
      </c>
    </row>
    <row r="10" spans="1:3" x14ac:dyDescent="0.2">
      <c r="C10" s="16" t="s">
        <v>217</v>
      </c>
    </row>
    <row r="11" spans="1:3" x14ac:dyDescent="0.2">
      <c r="C11" s="1" t="s">
        <v>218</v>
      </c>
    </row>
    <row r="12" spans="1:3" x14ac:dyDescent="0.2">
      <c r="C12" s="1" t="s">
        <v>219</v>
      </c>
    </row>
    <row r="16" spans="1:3" x14ac:dyDescent="0.2">
      <c r="C16" s="16" t="s">
        <v>158</v>
      </c>
    </row>
    <row r="17" spans="3:6" ht="13.5" thickBot="1" x14ac:dyDescent="0.25"/>
    <row r="18" spans="3:6" x14ac:dyDescent="0.2">
      <c r="C18" s="26"/>
      <c r="D18" s="24" t="s">
        <v>55</v>
      </c>
      <c r="E18" s="24" t="s">
        <v>138</v>
      </c>
      <c r="F18" s="24" t="s">
        <v>148</v>
      </c>
    </row>
    <row r="19" spans="3:6" x14ac:dyDescent="0.2">
      <c r="C19" s="27" t="s">
        <v>157</v>
      </c>
      <c r="D19" s="22">
        <v>63</v>
      </c>
      <c r="E19" s="22">
        <v>63</v>
      </c>
      <c r="F19" s="22"/>
    </row>
    <row r="20" spans="3:6" x14ac:dyDescent="0.2">
      <c r="C20" s="1" t="s">
        <v>139</v>
      </c>
      <c r="D20" s="23">
        <v>0.71399999999999997</v>
      </c>
      <c r="E20" s="23">
        <v>0.76200000000000001</v>
      </c>
      <c r="F20" s="6"/>
    </row>
    <row r="21" spans="3:6" x14ac:dyDescent="0.2">
      <c r="C21" s="1" t="s">
        <v>141</v>
      </c>
      <c r="D21" s="23">
        <v>0.222</v>
      </c>
      <c r="E21" s="23">
        <v>4.8000000000000001E-2</v>
      </c>
      <c r="F21" s="6">
        <v>4.0000000000000001E-3</v>
      </c>
    </row>
    <row r="22" spans="3:6" x14ac:dyDescent="0.2">
      <c r="D22" s="6"/>
      <c r="E22" s="6"/>
      <c r="F22" s="6"/>
    </row>
    <row r="23" spans="3:6" x14ac:dyDescent="0.2">
      <c r="C23" s="19" t="s">
        <v>140</v>
      </c>
      <c r="D23" s="6" t="s">
        <v>149</v>
      </c>
      <c r="E23" s="6" t="s">
        <v>151</v>
      </c>
      <c r="F23" s="6">
        <v>8.9999999999999998E-4</v>
      </c>
    </row>
    <row r="24" spans="3:6" x14ac:dyDescent="0.2">
      <c r="C24" s="1" t="s">
        <v>142</v>
      </c>
      <c r="D24" s="11">
        <v>0.46</v>
      </c>
      <c r="E24" s="11">
        <v>0.28999999999999998</v>
      </c>
      <c r="F24" s="6"/>
    </row>
    <row r="25" spans="3:6" x14ac:dyDescent="0.2">
      <c r="C25" s="1" t="s">
        <v>143</v>
      </c>
      <c r="D25" s="11">
        <v>0.24</v>
      </c>
      <c r="E25" s="11">
        <v>0.05</v>
      </c>
      <c r="F25" s="6"/>
    </row>
    <row r="26" spans="3:6" x14ac:dyDescent="0.2">
      <c r="C26" s="1" t="s">
        <v>144</v>
      </c>
      <c r="D26" s="11">
        <v>0.18</v>
      </c>
      <c r="E26" s="11">
        <v>0.02</v>
      </c>
      <c r="F26" s="6"/>
    </row>
    <row r="27" spans="3:6" x14ac:dyDescent="0.2">
      <c r="C27" s="1" t="s">
        <v>145</v>
      </c>
      <c r="D27" s="6" t="s">
        <v>150</v>
      </c>
      <c r="E27" s="6" t="s">
        <v>152</v>
      </c>
      <c r="F27" s="6"/>
    </row>
    <row r="28" spans="3:6" x14ac:dyDescent="0.2">
      <c r="D28" s="6"/>
      <c r="E28" s="6"/>
      <c r="F28" s="6"/>
    </row>
    <row r="29" spans="3:6" x14ac:dyDescent="0.2">
      <c r="C29" s="19" t="s">
        <v>146</v>
      </c>
      <c r="D29" s="6" t="s">
        <v>153</v>
      </c>
      <c r="E29" s="6" t="s">
        <v>154</v>
      </c>
      <c r="F29" s="6">
        <v>1.2999999999999999E-3</v>
      </c>
    </row>
    <row r="30" spans="3:6" ht="13.5" thickBot="1" x14ac:dyDescent="0.25">
      <c r="C30" s="28" t="s">
        <v>147</v>
      </c>
      <c r="D30" s="25" t="s">
        <v>155</v>
      </c>
      <c r="E30" s="25" t="s">
        <v>156</v>
      </c>
      <c r="F30" s="25"/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C14"/>
  <sheetViews>
    <sheetView workbookViewId="0"/>
  </sheetViews>
  <sheetFormatPr defaultRowHeight="12.75" x14ac:dyDescent="0.2"/>
  <cols>
    <col min="1" max="1" width="5" bestFit="1" customWidth="1"/>
    <col min="2" max="2" width="13.7109375" customWidth="1"/>
  </cols>
  <sheetData>
    <row r="1" spans="1:3" x14ac:dyDescent="0.2">
      <c r="A1" s="13" t="s">
        <v>6</v>
      </c>
      <c r="B1" s="13"/>
    </row>
    <row r="2" spans="1:3" x14ac:dyDescent="0.2">
      <c r="A2" s="13"/>
      <c r="B2" t="s">
        <v>50</v>
      </c>
      <c r="C2" t="s">
        <v>19</v>
      </c>
    </row>
    <row r="3" spans="1:3" x14ac:dyDescent="0.2">
      <c r="A3" s="13"/>
      <c r="B3" t="s">
        <v>48</v>
      </c>
      <c r="C3" t="s">
        <v>229</v>
      </c>
    </row>
    <row r="4" spans="1:3" x14ac:dyDescent="0.2">
      <c r="A4" s="13"/>
      <c r="B4" t="s">
        <v>4</v>
      </c>
      <c r="C4" s="38" t="s">
        <v>256</v>
      </c>
    </row>
    <row r="5" spans="1:3" x14ac:dyDescent="0.2">
      <c r="B5" t="s">
        <v>92</v>
      </c>
    </row>
    <row r="6" spans="1:3" x14ac:dyDescent="0.2">
      <c r="C6" t="s">
        <v>12</v>
      </c>
    </row>
    <row r="7" spans="1:3" x14ac:dyDescent="0.2">
      <c r="C7" t="s">
        <v>33</v>
      </c>
    </row>
    <row r="8" spans="1:3" x14ac:dyDescent="0.2">
      <c r="C8" t="s">
        <v>34</v>
      </c>
    </row>
    <row r="12" spans="1:3" x14ac:dyDescent="0.2">
      <c r="C12" s="20" t="s">
        <v>253</v>
      </c>
    </row>
    <row r="13" spans="1:3" x14ac:dyDescent="0.2">
      <c r="C13" s="38" t="s">
        <v>254</v>
      </c>
    </row>
    <row r="14" spans="1:3" x14ac:dyDescent="0.2">
      <c r="C14" s="13" t="s">
        <v>255</v>
      </c>
    </row>
  </sheetData>
  <phoneticPr fontId="2" type="noConversion"/>
  <hyperlinks>
    <hyperlink ref="A1" location="Main!A1" display="Main" xr:uid="{00000000-0004-0000-0900-000000000000}"/>
    <hyperlink ref="C14" r:id="rId1" xr:uid="{00000000-0004-0000-0900-000001000000}"/>
  </hyperlink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C16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70</v>
      </c>
    </row>
    <row r="3" spans="1:3" x14ac:dyDescent="0.2">
      <c r="B3" s="1" t="s">
        <v>48</v>
      </c>
      <c r="C3" s="1" t="s">
        <v>222</v>
      </c>
    </row>
    <row r="4" spans="1:3" x14ac:dyDescent="0.2">
      <c r="B4" s="1" t="s">
        <v>2</v>
      </c>
      <c r="C4" s="1" t="s">
        <v>223</v>
      </c>
    </row>
    <row r="5" spans="1:3" x14ac:dyDescent="0.2">
      <c r="B5" s="1" t="s">
        <v>3</v>
      </c>
      <c r="C5" s="1" t="s">
        <v>226</v>
      </c>
    </row>
    <row r="6" spans="1:3" x14ac:dyDescent="0.2">
      <c r="B6" s="1" t="s">
        <v>227</v>
      </c>
      <c r="C6" s="1" t="s">
        <v>35</v>
      </c>
    </row>
    <row r="7" spans="1:3" x14ac:dyDescent="0.2">
      <c r="B7" s="1" t="s">
        <v>137</v>
      </c>
      <c r="C7" s="1" t="s">
        <v>22</v>
      </c>
    </row>
    <row r="8" spans="1:3" x14ac:dyDescent="0.2">
      <c r="B8" s="1" t="s">
        <v>92</v>
      </c>
    </row>
    <row r="9" spans="1:3" x14ac:dyDescent="0.2">
      <c r="C9" s="1" t="s">
        <v>20</v>
      </c>
    </row>
    <row r="10" spans="1:3" x14ac:dyDescent="0.2">
      <c r="C10" s="1" t="s">
        <v>21</v>
      </c>
    </row>
    <row r="14" spans="1:3" x14ac:dyDescent="0.2">
      <c r="C14" s="16" t="s">
        <v>224</v>
      </c>
    </row>
    <row r="15" spans="1:3" x14ac:dyDescent="0.2">
      <c r="C15" s="1" t="s">
        <v>225</v>
      </c>
    </row>
    <row r="16" spans="1:3" x14ac:dyDescent="0.2">
      <c r="C16" s="21"/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G48"/>
  <sheetViews>
    <sheetView zoomScaleNormal="100" workbookViewId="0">
      <selection activeCell="C47" sqref="C47"/>
    </sheetView>
  </sheetViews>
  <sheetFormatPr defaultRowHeight="12.75" x14ac:dyDescent="0.2"/>
  <cols>
    <col min="1" max="1" width="5" style="1" bestFit="1" customWidth="1"/>
    <col min="2" max="2" width="12.85546875" style="1" bestFit="1" customWidth="1"/>
    <col min="3" max="3" width="10.5703125" style="1" bestFit="1" customWidth="1"/>
    <col min="4" max="16384" width="9.140625" style="1"/>
  </cols>
  <sheetData>
    <row r="1" spans="1:7" x14ac:dyDescent="0.2">
      <c r="A1" s="15" t="s">
        <v>6</v>
      </c>
    </row>
    <row r="2" spans="1:7" x14ac:dyDescent="0.2">
      <c r="B2" s="1" t="s">
        <v>50</v>
      </c>
      <c r="C2" s="1" t="s">
        <v>196</v>
      </c>
    </row>
    <row r="3" spans="1:7" x14ac:dyDescent="0.2">
      <c r="B3" s="1" t="s">
        <v>48</v>
      </c>
      <c r="C3" s="1" t="s">
        <v>75</v>
      </c>
    </row>
    <row r="4" spans="1:7" x14ac:dyDescent="0.2">
      <c r="B4" s="1" t="s">
        <v>91</v>
      </c>
      <c r="C4" s="21" t="s">
        <v>249</v>
      </c>
    </row>
    <row r="5" spans="1:7" x14ac:dyDescent="0.2">
      <c r="B5" s="1" t="s">
        <v>51</v>
      </c>
      <c r="C5" s="1" t="s">
        <v>168</v>
      </c>
    </row>
    <row r="6" spans="1:7" x14ac:dyDescent="0.2">
      <c r="C6" s="1" t="s">
        <v>167</v>
      </c>
    </row>
    <row r="7" spans="1:7" x14ac:dyDescent="0.2">
      <c r="C7" s="1" t="s">
        <v>169</v>
      </c>
    </row>
    <row r="8" spans="1:7" x14ac:dyDescent="0.2">
      <c r="C8" s="1" t="s">
        <v>171</v>
      </c>
    </row>
    <row r="9" spans="1:7" x14ac:dyDescent="0.2">
      <c r="C9" s="1" t="s">
        <v>180</v>
      </c>
    </row>
    <row r="10" spans="1:7" x14ac:dyDescent="0.2">
      <c r="B10" s="1" t="s">
        <v>2</v>
      </c>
      <c r="C10" s="1" t="s">
        <v>129</v>
      </c>
    </row>
    <row r="11" spans="1:7" x14ac:dyDescent="0.2">
      <c r="B11" s="1" t="s">
        <v>131</v>
      </c>
      <c r="C11" s="1" t="s">
        <v>132</v>
      </c>
    </row>
    <row r="12" spans="1:7" x14ac:dyDescent="0.2">
      <c r="B12" s="21" t="s">
        <v>164</v>
      </c>
      <c r="C12" s="21"/>
      <c r="D12" s="39" t="s">
        <v>263</v>
      </c>
      <c r="E12" s="39" t="s">
        <v>101</v>
      </c>
      <c r="F12" s="39" t="s">
        <v>265</v>
      </c>
      <c r="G12" s="39" t="s">
        <v>266</v>
      </c>
    </row>
    <row r="13" spans="1:7" x14ac:dyDescent="0.2">
      <c r="B13" s="21"/>
      <c r="C13" s="42">
        <v>40165</v>
      </c>
      <c r="D13" s="32">
        <v>2962</v>
      </c>
      <c r="E13" s="32">
        <v>686130</v>
      </c>
      <c r="F13" s="32">
        <f t="shared" ref="F13:F19" si="0">E13+D13</f>
        <v>689092</v>
      </c>
      <c r="G13" s="41">
        <f>D13/F13</f>
        <v>4.2984100816726937E-3</v>
      </c>
    </row>
    <row r="14" spans="1:7" x14ac:dyDescent="0.2">
      <c r="B14" s="21"/>
      <c r="C14" s="42">
        <f t="shared" ref="C14:C20" si="1">C13-7</f>
        <v>40158</v>
      </c>
      <c r="D14" s="32">
        <v>2684</v>
      </c>
      <c r="E14" s="32">
        <v>691185</v>
      </c>
      <c r="F14" s="32">
        <f t="shared" si="0"/>
        <v>693869</v>
      </c>
      <c r="G14" s="41">
        <f t="shared" ref="G14:G20" si="2">D14/F14</f>
        <v>3.8681653165078709E-3</v>
      </c>
    </row>
    <row r="15" spans="1:7" x14ac:dyDescent="0.2">
      <c r="B15" s="21"/>
      <c r="C15" s="42">
        <f t="shared" si="1"/>
        <v>40151</v>
      </c>
      <c r="D15" s="32">
        <v>2430</v>
      </c>
      <c r="E15" s="32">
        <v>775061</v>
      </c>
      <c r="F15" s="32">
        <f t="shared" si="0"/>
        <v>777491</v>
      </c>
      <c r="G15" s="41">
        <f t="shared" si="2"/>
        <v>3.1254381079652369E-3</v>
      </c>
    </row>
    <row r="16" spans="1:7" x14ac:dyDescent="0.2">
      <c r="B16" s="21"/>
      <c r="C16" s="42">
        <f t="shared" si="1"/>
        <v>40144</v>
      </c>
      <c r="D16" s="32">
        <v>2089</v>
      </c>
      <c r="E16" s="32">
        <v>601931</v>
      </c>
      <c r="F16" s="32">
        <f t="shared" si="0"/>
        <v>604020</v>
      </c>
      <c r="G16" s="41">
        <f t="shared" si="2"/>
        <v>3.4584947518294098E-3</v>
      </c>
    </row>
    <row r="17" spans="2:7" x14ac:dyDescent="0.2">
      <c r="B17" s="21"/>
      <c r="C17" s="42">
        <f t="shared" si="1"/>
        <v>40137</v>
      </c>
      <c r="D17" s="32">
        <v>2166</v>
      </c>
      <c r="E17" s="32">
        <v>672605</v>
      </c>
      <c r="F17" s="32">
        <f t="shared" si="0"/>
        <v>674771</v>
      </c>
      <c r="G17" s="41">
        <f t="shared" si="2"/>
        <v>3.2099779036147079E-3</v>
      </c>
    </row>
    <row r="18" spans="2:7" x14ac:dyDescent="0.2">
      <c r="B18" s="21"/>
      <c r="C18" s="42">
        <f t="shared" si="1"/>
        <v>40130</v>
      </c>
      <c r="D18" s="32">
        <v>1800</v>
      </c>
      <c r="E18" s="32">
        <v>680955</v>
      </c>
      <c r="F18" s="32">
        <f t="shared" si="0"/>
        <v>682755</v>
      </c>
      <c r="G18" s="41">
        <f t="shared" si="2"/>
        <v>2.6363776171540302E-3</v>
      </c>
    </row>
    <row r="19" spans="2:7" x14ac:dyDescent="0.2">
      <c r="B19" s="21"/>
      <c r="C19" s="42">
        <f t="shared" si="1"/>
        <v>40123</v>
      </c>
      <c r="D19" s="32">
        <v>1808</v>
      </c>
      <c r="E19" s="32">
        <v>726294</v>
      </c>
      <c r="F19" s="32">
        <f t="shared" si="0"/>
        <v>728102</v>
      </c>
      <c r="G19" s="41">
        <f t="shared" si="2"/>
        <v>2.4831685670414312E-3</v>
      </c>
    </row>
    <row r="20" spans="2:7" x14ac:dyDescent="0.2">
      <c r="B20" s="21"/>
      <c r="C20" s="42">
        <f t="shared" si="1"/>
        <v>40116</v>
      </c>
      <c r="D20" s="32">
        <v>1550</v>
      </c>
      <c r="E20" s="32">
        <v>687653</v>
      </c>
      <c r="F20" s="32">
        <f>E20+D20</f>
        <v>689203</v>
      </c>
      <c r="G20" s="41">
        <f t="shared" si="2"/>
        <v>2.2489745401572539E-3</v>
      </c>
    </row>
    <row r="21" spans="2:7" x14ac:dyDescent="0.2">
      <c r="B21" s="21"/>
      <c r="C21" s="21"/>
    </row>
    <row r="22" spans="2:7" x14ac:dyDescent="0.2">
      <c r="B22" s="21" t="s">
        <v>172</v>
      </c>
      <c r="C22" s="21" t="s">
        <v>264</v>
      </c>
    </row>
    <row r="23" spans="2:7" x14ac:dyDescent="0.2">
      <c r="B23" s="1" t="s">
        <v>92</v>
      </c>
    </row>
    <row r="24" spans="2:7" x14ac:dyDescent="0.2">
      <c r="C24" s="1" t="s">
        <v>24</v>
      </c>
    </row>
    <row r="25" spans="2:7" x14ac:dyDescent="0.2">
      <c r="C25" s="1" t="s">
        <v>220</v>
      </c>
    </row>
    <row r="27" spans="2:7" x14ac:dyDescent="0.2">
      <c r="C27" s="16" t="s">
        <v>184</v>
      </c>
    </row>
    <row r="28" spans="2:7" x14ac:dyDescent="0.2">
      <c r="C28" s="1" t="s">
        <v>182</v>
      </c>
    </row>
    <row r="29" spans="2:7" x14ac:dyDescent="0.2">
      <c r="C29" s="1" t="s">
        <v>109</v>
      </c>
    </row>
    <row r="30" spans="2:7" x14ac:dyDescent="0.2">
      <c r="C30" s="19" t="s">
        <v>231</v>
      </c>
    </row>
    <row r="31" spans="2:7" x14ac:dyDescent="0.2">
      <c r="C31" s="1" t="s">
        <v>130</v>
      </c>
    </row>
    <row r="32" spans="2:7" x14ac:dyDescent="0.2">
      <c r="C32" s="1" t="s">
        <v>230</v>
      </c>
    </row>
    <row r="33" spans="3:3" x14ac:dyDescent="0.2">
      <c r="C33" s="1" t="s">
        <v>161</v>
      </c>
    </row>
    <row r="34" spans="3:3" x14ac:dyDescent="0.2">
      <c r="C34" s="1" t="s">
        <v>170</v>
      </c>
    </row>
    <row r="35" spans="3:3" x14ac:dyDescent="0.2">
      <c r="C35" s="1" t="s">
        <v>181</v>
      </c>
    </row>
    <row r="36" spans="3:3" x14ac:dyDescent="0.2">
      <c r="C36" s="1" t="s">
        <v>241</v>
      </c>
    </row>
    <row r="38" spans="3:3" x14ac:dyDescent="0.2">
      <c r="C38" s="16" t="s">
        <v>94</v>
      </c>
    </row>
    <row r="39" spans="3:3" x14ac:dyDescent="0.2">
      <c r="C39" s="1" t="s">
        <v>95</v>
      </c>
    </row>
    <row r="40" spans="3:3" x14ac:dyDescent="0.2">
      <c r="C40" s="1" t="s">
        <v>102</v>
      </c>
    </row>
    <row r="41" spans="3:3" x14ac:dyDescent="0.2">
      <c r="C41" s="19" t="s">
        <v>103</v>
      </c>
    </row>
    <row r="42" spans="3:3" x14ac:dyDescent="0.2">
      <c r="C42" s="1" t="s">
        <v>104</v>
      </c>
    </row>
    <row r="43" spans="3:3" x14ac:dyDescent="0.2">
      <c r="C43" s="1" t="s">
        <v>162</v>
      </c>
    </row>
    <row r="44" spans="3:3" x14ac:dyDescent="0.2">
      <c r="C44" s="1" t="s">
        <v>177</v>
      </c>
    </row>
    <row r="46" spans="3:3" x14ac:dyDescent="0.2">
      <c r="C46" s="16" t="s">
        <v>331</v>
      </c>
    </row>
    <row r="47" spans="3:3" x14ac:dyDescent="0.2">
      <c r="C47" s="21" t="s">
        <v>329</v>
      </c>
    </row>
    <row r="48" spans="3:3" x14ac:dyDescent="0.2">
      <c r="C48" s="21" t="s">
        <v>330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C11"/>
  <sheetViews>
    <sheetView workbookViewId="0"/>
  </sheetViews>
  <sheetFormatPr defaultRowHeight="12.75" x14ac:dyDescent="0.2"/>
  <cols>
    <col min="1" max="1" width="5" style="1" bestFit="1" customWidth="1"/>
    <col min="2" max="2" width="13.28515625" style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A2" s="15"/>
      <c r="B2" s="1" t="s">
        <v>50</v>
      </c>
    </row>
    <row r="3" spans="1:3" x14ac:dyDescent="0.2">
      <c r="A3" s="15"/>
      <c r="B3" s="1" t="s">
        <v>48</v>
      </c>
      <c r="C3" s="1" t="s">
        <v>49</v>
      </c>
    </row>
    <row r="4" spans="1:3" x14ac:dyDescent="0.2">
      <c r="A4" s="15"/>
      <c r="B4" s="1" t="s">
        <v>1</v>
      </c>
      <c r="C4" s="1" t="s">
        <v>121</v>
      </c>
    </row>
    <row r="5" spans="1:3" x14ac:dyDescent="0.2">
      <c r="A5" s="15"/>
      <c r="B5" s="1" t="s">
        <v>51</v>
      </c>
      <c r="C5" s="1" t="s">
        <v>52</v>
      </c>
    </row>
    <row r="6" spans="1:3" x14ac:dyDescent="0.2">
      <c r="A6" s="15"/>
      <c r="B6" s="1" t="s">
        <v>92</v>
      </c>
    </row>
    <row r="7" spans="1:3" x14ac:dyDescent="0.2">
      <c r="C7" s="16" t="s">
        <v>306</v>
      </c>
    </row>
    <row r="8" spans="1:3" x14ac:dyDescent="0.2">
      <c r="C8" s="1" t="s">
        <v>46</v>
      </c>
    </row>
    <row r="10" spans="1:3" x14ac:dyDescent="0.2">
      <c r="C10" s="16" t="s">
        <v>53</v>
      </c>
    </row>
    <row r="11" spans="1:3" x14ac:dyDescent="0.2">
      <c r="C11" s="21" t="s">
        <v>122</v>
      </c>
    </row>
  </sheetData>
  <phoneticPr fontId="2" type="noConversion"/>
  <hyperlinks>
    <hyperlink ref="A1" location="Main!A1" display="Main" xr:uid="{00000000-0004-0000-0C00-000000000000}"/>
  </hyperlink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7"/>
  <dimension ref="A1:C10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</row>
    <row r="3" spans="1:3" x14ac:dyDescent="0.2">
      <c r="B3" t="s">
        <v>48</v>
      </c>
      <c r="C3" t="s">
        <v>112</v>
      </c>
    </row>
    <row r="4" spans="1:3" x14ac:dyDescent="0.2">
      <c r="B4" t="s">
        <v>1</v>
      </c>
      <c r="C4" t="s">
        <v>115</v>
      </c>
    </row>
    <row r="5" spans="1:3" x14ac:dyDescent="0.2">
      <c r="B5" t="s">
        <v>91</v>
      </c>
      <c r="C5" t="s">
        <v>26</v>
      </c>
    </row>
    <row r="6" spans="1:3" x14ac:dyDescent="0.2">
      <c r="B6" t="s">
        <v>3</v>
      </c>
      <c r="C6" t="s">
        <v>28</v>
      </c>
    </row>
    <row r="7" spans="1:3" x14ac:dyDescent="0.2">
      <c r="B7" t="s">
        <v>92</v>
      </c>
      <c r="C7" t="s">
        <v>27</v>
      </c>
    </row>
    <row r="9" spans="1:3" x14ac:dyDescent="0.2">
      <c r="C9" s="20" t="s">
        <v>113</v>
      </c>
    </row>
    <row r="10" spans="1:3" x14ac:dyDescent="0.2">
      <c r="C10" t="s">
        <v>114</v>
      </c>
    </row>
  </sheetData>
  <phoneticPr fontId="2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3"/>
  <dimension ref="A1:C9"/>
  <sheetViews>
    <sheetView workbookViewId="0"/>
  </sheetViews>
  <sheetFormatPr defaultRowHeight="12.75" x14ac:dyDescent="0.2"/>
  <cols>
    <col min="1" max="1" width="5" style="1" bestFit="1" customWidth="1"/>
    <col min="2" max="2" width="12" style="1" bestFit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178</v>
      </c>
    </row>
    <row r="3" spans="1:3" x14ac:dyDescent="0.2">
      <c r="B3" s="1" t="s">
        <v>2</v>
      </c>
      <c r="C3" s="1" t="s">
        <v>235</v>
      </c>
    </row>
    <row r="4" spans="1:3" x14ac:dyDescent="0.2">
      <c r="B4" s="1" t="s">
        <v>1</v>
      </c>
      <c r="C4" s="1" t="s">
        <v>238</v>
      </c>
    </row>
    <row r="5" spans="1:3" x14ac:dyDescent="0.2">
      <c r="B5" s="1" t="s">
        <v>92</v>
      </c>
    </row>
    <row r="6" spans="1:3" x14ac:dyDescent="0.2">
      <c r="C6" s="16" t="s">
        <v>237</v>
      </c>
    </row>
    <row r="9" spans="1:3" x14ac:dyDescent="0.2">
      <c r="C9" s="16" t="s">
        <v>236</v>
      </c>
    </row>
  </sheetData>
  <phoneticPr fontId="2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5"/>
  <dimension ref="A1:D15"/>
  <sheetViews>
    <sheetView workbookViewId="0"/>
  </sheetViews>
  <sheetFormatPr defaultRowHeight="12.75" x14ac:dyDescent="0.2"/>
  <cols>
    <col min="1" max="1" width="5" style="1" bestFit="1" customWidth="1"/>
    <col min="2" max="2" width="14.140625" style="1" customWidth="1"/>
    <col min="3" max="16384" width="9.140625" style="1"/>
  </cols>
  <sheetData>
    <row r="1" spans="1:4" x14ac:dyDescent="0.2">
      <c r="A1" s="15" t="s">
        <v>6</v>
      </c>
    </row>
    <row r="2" spans="1:4" x14ac:dyDescent="0.2">
      <c r="B2" s="1" t="s">
        <v>50</v>
      </c>
      <c r="C2" s="1" t="s">
        <v>183</v>
      </c>
    </row>
    <row r="3" spans="1:4" x14ac:dyDescent="0.2">
      <c r="B3" s="21" t="s">
        <v>48</v>
      </c>
      <c r="C3" s="21" t="s">
        <v>324</v>
      </c>
    </row>
    <row r="4" spans="1:4" x14ac:dyDescent="0.2">
      <c r="B4" s="1" t="s">
        <v>1</v>
      </c>
      <c r="C4" s="1" t="s">
        <v>209</v>
      </c>
    </row>
    <row r="5" spans="1:4" x14ac:dyDescent="0.2">
      <c r="B5" s="1" t="s">
        <v>51</v>
      </c>
      <c r="C5" s="1" t="s">
        <v>210</v>
      </c>
    </row>
    <row r="6" spans="1:4" x14ac:dyDescent="0.2">
      <c r="B6" s="1" t="s">
        <v>92</v>
      </c>
    </row>
    <row r="7" spans="1:4" x14ac:dyDescent="0.2">
      <c r="C7" s="16" t="s">
        <v>212</v>
      </c>
    </row>
    <row r="8" spans="1:4" x14ac:dyDescent="0.2">
      <c r="C8" s="1" t="s">
        <v>211</v>
      </c>
    </row>
    <row r="9" spans="1:4" x14ac:dyDescent="0.2">
      <c r="C9" s="1" t="s">
        <v>213</v>
      </c>
    </row>
    <row r="11" spans="1:4" x14ac:dyDescent="0.2">
      <c r="C11" s="1" t="s">
        <v>214</v>
      </c>
    </row>
    <row r="12" spans="1:4" x14ac:dyDescent="0.2">
      <c r="C12" s="1" t="s">
        <v>215</v>
      </c>
    </row>
    <row r="13" spans="1:4" x14ac:dyDescent="0.2">
      <c r="D13" s="1" t="s">
        <v>216</v>
      </c>
    </row>
    <row r="15" spans="1:4" x14ac:dyDescent="0.2">
      <c r="C15" s="1" t="s">
        <v>228</v>
      </c>
    </row>
  </sheetData>
  <phoneticPr fontId="2" type="noConversion"/>
  <hyperlinks>
    <hyperlink ref="A1" location="Main!A1" display="Main!A1" xr:uid="{00000000-0004-0000-0F00-000000000000}"/>
  </hyperlinks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62"/>
  <sheetViews>
    <sheetView zoomScale="145" zoomScaleNormal="145" workbookViewId="0">
      <selection activeCell="B13" sqref="B13"/>
    </sheetView>
  </sheetViews>
  <sheetFormatPr defaultRowHeight="12.75" x14ac:dyDescent="0.2"/>
  <cols>
    <col min="1" max="1" width="2.42578125" style="1" customWidth="1"/>
    <col min="2" max="2" width="25.42578125" style="1" customWidth="1"/>
    <col min="3" max="3" width="27.5703125" style="1" bestFit="1" customWidth="1"/>
    <col min="4" max="4" width="16.28515625" style="1" bestFit="1" customWidth="1"/>
    <col min="5" max="5" width="11.42578125" style="1" customWidth="1"/>
    <col min="6" max="6" width="12.140625" style="1" customWidth="1"/>
    <col min="7" max="7" width="13.85546875" style="1" customWidth="1"/>
    <col min="8" max="8" width="4.7109375" style="1" customWidth="1"/>
    <col min="9" max="9" width="7.42578125" style="1" customWidth="1"/>
    <col min="10" max="10" width="8.140625" style="1" customWidth="1"/>
    <col min="11" max="11" width="6.5703125" style="1" customWidth="1"/>
    <col min="12" max="16384" width="9.140625" style="1"/>
  </cols>
  <sheetData>
    <row r="1" spans="1:11" x14ac:dyDescent="0.2">
      <c r="A1" s="21" t="s">
        <v>503</v>
      </c>
    </row>
    <row r="2" spans="1:11" x14ac:dyDescent="0.2">
      <c r="B2" s="2" t="s">
        <v>0</v>
      </c>
      <c r="C2" s="3" t="s">
        <v>1</v>
      </c>
      <c r="D2" s="3" t="s">
        <v>51</v>
      </c>
      <c r="E2" s="3" t="s">
        <v>2</v>
      </c>
      <c r="F2" s="78" t="s">
        <v>449</v>
      </c>
      <c r="G2" s="4" t="s">
        <v>4</v>
      </c>
      <c r="I2" s="1" t="s">
        <v>172</v>
      </c>
      <c r="J2" s="31">
        <v>330.47</v>
      </c>
    </row>
    <row r="3" spans="1:11" x14ac:dyDescent="0.2">
      <c r="B3" s="68" t="s">
        <v>517</v>
      </c>
      <c r="C3" s="37" t="s">
        <v>36</v>
      </c>
      <c r="D3" s="37" t="s">
        <v>118</v>
      </c>
      <c r="E3" s="11">
        <v>1</v>
      </c>
      <c r="F3" s="6"/>
      <c r="G3" s="7"/>
      <c r="I3" s="1" t="s">
        <v>84</v>
      </c>
      <c r="J3" s="18">
        <v>902.94</v>
      </c>
      <c r="K3" s="39" t="s">
        <v>365</v>
      </c>
    </row>
    <row r="4" spans="1:11" x14ac:dyDescent="0.2">
      <c r="B4" s="14" t="s">
        <v>14</v>
      </c>
      <c r="C4" s="6" t="s">
        <v>37</v>
      </c>
      <c r="D4" s="6" t="s">
        <v>107</v>
      </c>
      <c r="E4" s="11">
        <v>1</v>
      </c>
      <c r="F4" s="6"/>
      <c r="G4" s="7">
        <v>2013</v>
      </c>
      <c r="I4" s="1" t="s">
        <v>173</v>
      </c>
      <c r="J4" s="18">
        <f>J2*J3</f>
        <v>298394.58180000004</v>
      </c>
      <c r="K4" s="32"/>
    </row>
    <row r="5" spans="1:11" x14ac:dyDescent="0.2">
      <c r="B5" s="68" t="s">
        <v>474</v>
      </c>
      <c r="C5" s="37" t="s">
        <v>36</v>
      </c>
      <c r="D5" s="37" t="s">
        <v>416</v>
      </c>
      <c r="E5" s="40" t="s">
        <v>277</v>
      </c>
      <c r="F5" s="6"/>
      <c r="G5" s="7"/>
      <c r="I5" s="1" t="s">
        <v>174</v>
      </c>
      <c r="J5" s="18">
        <v>5324</v>
      </c>
      <c r="K5" s="39" t="s">
        <v>365</v>
      </c>
    </row>
    <row r="6" spans="1:11" x14ac:dyDescent="0.2">
      <c r="B6" s="14" t="s">
        <v>16</v>
      </c>
      <c r="C6" s="6" t="s">
        <v>111</v>
      </c>
      <c r="D6" s="6"/>
      <c r="E6" s="11"/>
      <c r="F6" s="6"/>
      <c r="G6" s="7"/>
      <c r="I6" s="1" t="s">
        <v>175</v>
      </c>
      <c r="J6" s="18">
        <v>16814</v>
      </c>
      <c r="K6" s="39" t="s">
        <v>365</v>
      </c>
    </row>
    <row r="7" spans="1:11" x14ac:dyDescent="0.2">
      <c r="B7" s="68" t="s">
        <v>423</v>
      </c>
      <c r="C7" s="37" t="s">
        <v>36</v>
      </c>
      <c r="D7" s="37" t="s">
        <v>282</v>
      </c>
      <c r="E7" s="40" t="s">
        <v>277</v>
      </c>
      <c r="F7" s="6"/>
      <c r="G7" s="7"/>
      <c r="I7" s="1" t="s">
        <v>176</v>
      </c>
      <c r="J7" s="18">
        <f>J4-J5+J6</f>
        <v>309884.58180000004</v>
      </c>
    </row>
    <row r="8" spans="1:11" x14ac:dyDescent="0.2">
      <c r="B8" s="14" t="s">
        <v>18</v>
      </c>
      <c r="C8" s="6" t="s">
        <v>40</v>
      </c>
      <c r="D8" s="6" t="s">
        <v>108</v>
      </c>
      <c r="E8" s="11">
        <v>1</v>
      </c>
      <c r="F8" s="6"/>
      <c r="G8" s="7">
        <v>2016</v>
      </c>
    </row>
    <row r="9" spans="1:11" x14ac:dyDescent="0.2">
      <c r="B9" s="14" t="s">
        <v>19</v>
      </c>
      <c r="C9" s="6" t="s">
        <v>116</v>
      </c>
      <c r="D9" s="6"/>
      <c r="E9" s="11"/>
      <c r="F9" s="6"/>
      <c r="G9" s="7">
        <v>2016</v>
      </c>
      <c r="I9" s="21" t="s">
        <v>461</v>
      </c>
    </row>
    <row r="10" spans="1:11" x14ac:dyDescent="0.2">
      <c r="B10" s="36" t="s">
        <v>315</v>
      </c>
      <c r="C10" s="6" t="s">
        <v>36</v>
      </c>
      <c r="D10" s="6" t="s">
        <v>276</v>
      </c>
      <c r="E10" s="11" t="s">
        <v>277</v>
      </c>
      <c r="F10" s="6"/>
      <c r="G10" s="7"/>
      <c r="I10" s="21" t="s">
        <v>462</v>
      </c>
    </row>
    <row r="11" spans="1:11" x14ac:dyDescent="0.2">
      <c r="B11" s="36" t="s">
        <v>424</v>
      </c>
      <c r="C11" s="37" t="s">
        <v>448</v>
      </c>
      <c r="D11" s="37" t="s">
        <v>445</v>
      </c>
      <c r="E11" s="40">
        <v>1</v>
      </c>
      <c r="F11" s="6"/>
      <c r="G11" s="7"/>
      <c r="I11" s="21" t="s">
        <v>463</v>
      </c>
    </row>
    <row r="12" spans="1:11" x14ac:dyDescent="0.2">
      <c r="B12" s="36" t="s">
        <v>378</v>
      </c>
      <c r="C12" s="37" t="s">
        <v>456</v>
      </c>
      <c r="D12" s="37" t="s">
        <v>465</v>
      </c>
      <c r="E12" s="40"/>
      <c r="F12" s="6"/>
      <c r="G12" s="7"/>
    </row>
    <row r="13" spans="1:11" x14ac:dyDescent="0.2">
      <c r="B13" s="36" t="s">
        <v>497</v>
      </c>
      <c r="C13" s="37" t="s">
        <v>455</v>
      </c>
      <c r="D13" s="37" t="s">
        <v>464</v>
      </c>
      <c r="E13" s="40"/>
      <c r="F13" s="6"/>
      <c r="G13" s="7"/>
    </row>
    <row r="14" spans="1:11" x14ac:dyDescent="0.2">
      <c r="B14" s="36" t="s">
        <v>451</v>
      </c>
      <c r="C14" s="37" t="s">
        <v>453</v>
      </c>
      <c r="D14" s="6"/>
      <c r="E14" s="40"/>
      <c r="F14" s="6"/>
      <c r="G14" s="7"/>
    </row>
    <row r="15" spans="1:11" x14ac:dyDescent="0.2">
      <c r="B15" s="36" t="s">
        <v>452</v>
      </c>
      <c r="C15" s="37" t="s">
        <v>453</v>
      </c>
      <c r="D15" s="6"/>
      <c r="E15" s="40"/>
      <c r="F15" s="6"/>
      <c r="G15" s="7"/>
    </row>
    <row r="16" spans="1:11" x14ac:dyDescent="0.2">
      <c r="B16" s="36" t="s">
        <v>491</v>
      </c>
      <c r="C16" s="37" t="s">
        <v>454</v>
      </c>
      <c r="D16" s="37" t="s">
        <v>450</v>
      </c>
      <c r="E16" s="40" t="s">
        <v>441</v>
      </c>
      <c r="F16" s="6"/>
      <c r="G16" s="7"/>
    </row>
    <row r="17" spans="2:7" x14ac:dyDescent="0.2">
      <c r="B17" s="36" t="s">
        <v>514</v>
      </c>
      <c r="C17" s="37" t="s">
        <v>36</v>
      </c>
      <c r="D17" s="37" t="s">
        <v>460</v>
      </c>
      <c r="E17" s="11">
        <v>1</v>
      </c>
      <c r="F17" s="37"/>
      <c r="G17" s="44"/>
    </row>
    <row r="18" spans="2:7" x14ac:dyDescent="0.2">
      <c r="B18" s="36" t="s">
        <v>490</v>
      </c>
      <c r="C18" s="37"/>
      <c r="D18" s="37"/>
      <c r="E18" s="40"/>
      <c r="F18" s="6"/>
      <c r="G18" s="7"/>
    </row>
    <row r="19" spans="2:7" x14ac:dyDescent="0.2">
      <c r="B19" s="36" t="s">
        <v>442</v>
      </c>
      <c r="C19" s="37" t="s">
        <v>516</v>
      </c>
      <c r="D19" s="37" t="s">
        <v>269</v>
      </c>
      <c r="E19" s="40" t="s">
        <v>270</v>
      </c>
      <c r="F19" s="6"/>
      <c r="G19" s="7"/>
    </row>
    <row r="20" spans="2:7" x14ac:dyDescent="0.2">
      <c r="B20" s="36" t="s">
        <v>476</v>
      </c>
      <c r="C20" s="37" t="s">
        <v>477</v>
      </c>
      <c r="D20" s="37" t="s">
        <v>475</v>
      </c>
      <c r="E20" s="40"/>
      <c r="F20" s="6"/>
      <c r="G20" s="7"/>
    </row>
    <row r="21" spans="2:7" x14ac:dyDescent="0.2">
      <c r="B21" s="5" t="s">
        <v>473</v>
      </c>
      <c r="C21" s="6" t="s">
        <v>36</v>
      </c>
      <c r="D21" s="6" t="s">
        <v>117</v>
      </c>
      <c r="E21" s="40" t="s">
        <v>285</v>
      </c>
      <c r="F21" s="6"/>
      <c r="G21" s="7">
        <v>2013</v>
      </c>
    </row>
    <row r="22" spans="2:7" x14ac:dyDescent="0.2">
      <c r="B22" s="36" t="s">
        <v>57</v>
      </c>
      <c r="C22" s="6" t="s">
        <v>36</v>
      </c>
      <c r="D22" s="6" t="s">
        <v>117</v>
      </c>
      <c r="E22" s="40" t="s">
        <v>285</v>
      </c>
      <c r="F22" s="6"/>
      <c r="G22" s="7"/>
    </row>
    <row r="23" spans="2:7" s="19" customFormat="1" x14ac:dyDescent="0.2">
      <c r="B23" s="69" t="s">
        <v>436</v>
      </c>
      <c r="C23" s="72" t="s">
        <v>307</v>
      </c>
      <c r="D23" s="72" t="s">
        <v>437</v>
      </c>
      <c r="E23" s="73" t="s">
        <v>285</v>
      </c>
      <c r="F23" s="9"/>
      <c r="G23" s="10"/>
    </row>
    <row r="24" spans="2:7" x14ac:dyDescent="0.2">
      <c r="B24" s="2"/>
      <c r="C24" s="3"/>
      <c r="D24" s="3"/>
      <c r="E24" s="3"/>
      <c r="F24" s="3" t="s">
        <v>5</v>
      </c>
      <c r="G24" s="4"/>
    </row>
    <row r="25" spans="2:7" x14ac:dyDescent="0.2">
      <c r="B25" s="36" t="s">
        <v>492</v>
      </c>
      <c r="C25" s="6" t="s">
        <v>493</v>
      </c>
      <c r="D25" s="6" t="s">
        <v>494</v>
      </c>
      <c r="E25" s="11">
        <v>1</v>
      </c>
      <c r="F25" s="37" t="s">
        <v>208</v>
      </c>
      <c r="G25" s="44"/>
    </row>
    <row r="26" spans="2:7" x14ac:dyDescent="0.2">
      <c r="B26" s="36" t="s">
        <v>471</v>
      </c>
      <c r="C26" s="37" t="s">
        <v>472</v>
      </c>
      <c r="D26" s="37"/>
      <c r="E26" s="11" t="s">
        <v>285</v>
      </c>
      <c r="F26" s="37" t="s">
        <v>47</v>
      </c>
      <c r="G26" s="44"/>
    </row>
    <row r="27" spans="2:7" x14ac:dyDescent="0.2">
      <c r="B27" s="36" t="s">
        <v>485</v>
      </c>
      <c r="C27" s="37" t="s">
        <v>486</v>
      </c>
      <c r="D27" s="37"/>
      <c r="E27" s="11" t="s">
        <v>285</v>
      </c>
      <c r="F27" s="37" t="s">
        <v>208</v>
      </c>
      <c r="G27" s="44"/>
    </row>
    <row r="28" spans="2:7" x14ac:dyDescent="0.2">
      <c r="B28" s="36" t="s">
        <v>487</v>
      </c>
      <c r="C28" s="37" t="s">
        <v>120</v>
      </c>
      <c r="D28" s="37" t="s">
        <v>179</v>
      </c>
      <c r="E28" s="11">
        <v>1</v>
      </c>
      <c r="F28" s="37" t="s">
        <v>47</v>
      </c>
      <c r="G28" s="44"/>
    </row>
    <row r="29" spans="2:7" x14ac:dyDescent="0.2">
      <c r="B29" s="36" t="s">
        <v>258</v>
      </c>
      <c r="C29" s="6" t="s">
        <v>120</v>
      </c>
      <c r="D29" s="6" t="s">
        <v>179</v>
      </c>
      <c r="E29" s="11">
        <v>1</v>
      </c>
      <c r="F29" s="37" t="s">
        <v>47</v>
      </c>
      <c r="G29" s="44" t="s">
        <v>308</v>
      </c>
    </row>
    <row r="30" spans="2:7" x14ac:dyDescent="0.2">
      <c r="B30" s="36" t="s">
        <v>495</v>
      </c>
      <c r="C30" s="6" t="s">
        <v>496</v>
      </c>
      <c r="D30" s="6"/>
      <c r="E30" s="11"/>
      <c r="F30" s="37" t="s">
        <v>47</v>
      </c>
      <c r="G30" s="44"/>
    </row>
    <row r="31" spans="2:7" x14ac:dyDescent="0.2">
      <c r="B31" s="36" t="s">
        <v>279</v>
      </c>
      <c r="C31" s="6" t="s">
        <v>283</v>
      </c>
      <c r="D31" s="6" t="s">
        <v>284</v>
      </c>
      <c r="E31" s="11" t="s">
        <v>285</v>
      </c>
      <c r="F31" s="37" t="s">
        <v>286</v>
      </c>
      <c r="G31" s="7"/>
    </row>
    <row r="32" spans="2:7" x14ac:dyDescent="0.2">
      <c r="B32" s="5" t="s">
        <v>509</v>
      </c>
      <c r="C32" s="6" t="s">
        <v>512</v>
      </c>
      <c r="D32" s="6" t="s">
        <v>511</v>
      </c>
      <c r="E32" s="11" t="s">
        <v>510</v>
      </c>
      <c r="F32" s="6" t="s">
        <v>119</v>
      </c>
      <c r="G32" s="7"/>
    </row>
    <row r="33" spans="2:7" x14ac:dyDescent="0.2">
      <c r="B33" s="5" t="s">
        <v>204</v>
      </c>
      <c r="C33" s="6" t="s">
        <v>194</v>
      </c>
      <c r="D33" s="6" t="s">
        <v>195</v>
      </c>
      <c r="E33" s="11" t="s">
        <v>205</v>
      </c>
      <c r="F33" s="6" t="s">
        <v>105</v>
      </c>
      <c r="G33" s="7"/>
    </row>
    <row r="34" spans="2:7" x14ac:dyDescent="0.2">
      <c r="B34" s="36" t="s">
        <v>312</v>
      </c>
      <c r="C34" s="37" t="s">
        <v>314</v>
      </c>
      <c r="D34" s="37" t="s">
        <v>313</v>
      </c>
      <c r="E34" s="40" t="s">
        <v>285</v>
      </c>
      <c r="F34" s="37" t="s">
        <v>105</v>
      </c>
      <c r="G34" s="7"/>
    </row>
    <row r="35" spans="2:7" x14ac:dyDescent="0.2">
      <c r="B35" s="36" t="s">
        <v>309</v>
      </c>
      <c r="C35" s="37" t="s">
        <v>311</v>
      </c>
      <c r="D35" s="37" t="s">
        <v>310</v>
      </c>
      <c r="E35" s="40" t="s">
        <v>285</v>
      </c>
      <c r="F35" s="37" t="s">
        <v>105</v>
      </c>
      <c r="G35" s="7"/>
    </row>
    <row r="36" spans="2:7" x14ac:dyDescent="0.2">
      <c r="B36" s="5" t="s">
        <v>134</v>
      </c>
      <c r="C36" s="6" t="s">
        <v>36</v>
      </c>
      <c r="D36" s="6" t="s">
        <v>133</v>
      </c>
      <c r="E36" s="11">
        <v>1</v>
      </c>
      <c r="F36" s="6" t="s">
        <v>105</v>
      </c>
      <c r="G36" s="7"/>
    </row>
    <row r="37" spans="2:7" x14ac:dyDescent="0.2">
      <c r="B37" s="5" t="s">
        <v>188</v>
      </c>
      <c r="C37" s="6" t="s">
        <v>36</v>
      </c>
      <c r="D37" s="6" t="s">
        <v>189</v>
      </c>
      <c r="E37" s="6" t="s">
        <v>190</v>
      </c>
      <c r="F37" s="6" t="s">
        <v>119</v>
      </c>
      <c r="G37" s="7"/>
    </row>
    <row r="38" spans="2:7" x14ac:dyDescent="0.2">
      <c r="B38" s="45" t="s">
        <v>23</v>
      </c>
      <c r="C38" s="8" t="s">
        <v>13</v>
      </c>
      <c r="D38" s="9" t="s">
        <v>106</v>
      </c>
      <c r="E38" s="12">
        <v>1</v>
      </c>
      <c r="F38" s="9" t="s">
        <v>207</v>
      </c>
      <c r="G38" s="10">
        <v>2018</v>
      </c>
    </row>
    <row r="40" spans="2:7" x14ac:dyDescent="0.2">
      <c r="B40" s="21" t="s">
        <v>515</v>
      </c>
      <c r="F40" s="33"/>
    </row>
    <row r="41" spans="2:7" x14ac:dyDescent="0.2">
      <c r="F41" s="34"/>
    </row>
    <row r="42" spans="2:7" x14ac:dyDescent="0.2">
      <c r="B42" s="74"/>
      <c r="C42" s="74"/>
      <c r="F42" s="33"/>
    </row>
    <row r="43" spans="2:7" x14ac:dyDescent="0.2">
      <c r="B43" s="75"/>
      <c r="F43" s="33"/>
    </row>
    <row r="44" spans="2:7" x14ac:dyDescent="0.2">
      <c r="B44" s="75"/>
      <c r="C44" s="75"/>
    </row>
    <row r="45" spans="2:7" x14ac:dyDescent="0.2">
      <c r="B45" s="75"/>
      <c r="C45" s="75"/>
    </row>
    <row r="46" spans="2:7" x14ac:dyDescent="0.2">
      <c r="B46" s="75"/>
      <c r="C46" s="75"/>
    </row>
    <row r="47" spans="2:7" x14ac:dyDescent="0.2">
      <c r="B47" s="75"/>
      <c r="C47" s="75"/>
    </row>
    <row r="48" spans="2:7" x14ac:dyDescent="0.2">
      <c r="B48" s="76"/>
      <c r="C48" s="75"/>
    </row>
    <row r="49" spans="2:3" x14ac:dyDescent="0.2">
      <c r="B49" s="76"/>
      <c r="C49" s="75"/>
    </row>
    <row r="50" spans="2:3" x14ac:dyDescent="0.2">
      <c r="B50" s="76"/>
      <c r="C50" s="75"/>
    </row>
    <row r="51" spans="2:3" x14ac:dyDescent="0.2">
      <c r="B51" s="75"/>
      <c r="C51" s="75"/>
    </row>
    <row r="52" spans="2:3" x14ac:dyDescent="0.2">
      <c r="B52" s="75"/>
      <c r="C52" s="75"/>
    </row>
    <row r="53" spans="2:3" x14ac:dyDescent="0.2">
      <c r="B53" s="76"/>
      <c r="C53" s="75"/>
    </row>
    <row r="54" spans="2:3" x14ac:dyDescent="0.2">
      <c r="B54" s="75"/>
    </row>
    <row r="55" spans="2:3" x14ac:dyDescent="0.2">
      <c r="B55" s="75"/>
    </row>
    <row r="57" spans="2:3" x14ac:dyDescent="0.2">
      <c r="B57" s="75"/>
    </row>
    <row r="58" spans="2:3" x14ac:dyDescent="0.2">
      <c r="C58" s="75"/>
    </row>
    <row r="60" spans="2:3" x14ac:dyDescent="0.2">
      <c r="B60" s="75"/>
    </row>
    <row r="62" spans="2:3" x14ac:dyDescent="0.2">
      <c r="C62" s="75"/>
    </row>
  </sheetData>
  <phoneticPr fontId="2" type="noConversion"/>
  <hyperlinks>
    <hyperlink ref="B4" location="Cymbalta!A1" display="Cymbalta" xr:uid="{00000000-0004-0000-0000-000002000000}"/>
    <hyperlink ref="B6" location="Forteo!A1" display="Forteo" xr:uid="{00000000-0004-0000-0000-000004000000}"/>
    <hyperlink ref="B8" location="Cialis!A1" display="Cialis" xr:uid="{00000000-0004-0000-0000-000007000000}"/>
    <hyperlink ref="B9" location="Alimta!A1" display="Alimta" xr:uid="{00000000-0004-0000-0000-000008000000}"/>
    <hyperlink ref="B38" location="Zyprexa!A1" display="Zyprexa Depot" xr:uid="{00000000-0004-0000-0000-00000A000000}"/>
  </hyperlinks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O138"/>
  <sheetViews>
    <sheetView tabSelected="1" zoomScale="160" zoomScaleNormal="160" workbookViewId="0">
      <pane xSplit="2" ySplit="2" topLeftCell="C42" activePane="bottomRight" state="frozen"/>
      <selection pane="topRight" activeCell="C1" sqref="C1"/>
      <selection pane="bottomLeft" activeCell="A3" sqref="A3"/>
      <selection pane="bottomRight" activeCell="F60" sqref="F60"/>
    </sheetView>
  </sheetViews>
  <sheetFormatPr defaultRowHeight="12.75" x14ac:dyDescent="0.2"/>
  <cols>
    <col min="1" max="1" width="5.28515625" customWidth="1"/>
    <col min="2" max="2" width="18.85546875" customWidth="1"/>
    <col min="3" max="21" width="7" style="47" customWidth="1"/>
    <col min="22" max="22" width="6.7109375" style="47" customWidth="1"/>
    <col min="23" max="78" width="7" style="47" customWidth="1"/>
    <col min="79" max="80" width="7.85546875" style="47" customWidth="1"/>
    <col min="81" max="88" width="7" style="47" customWidth="1"/>
    <col min="89" max="89" width="4.28515625" customWidth="1"/>
    <col min="90" max="98" width="6.5703125" style="47" bestFit="1" customWidth="1"/>
    <col min="99" max="99" width="7" style="47" bestFit="1" customWidth="1"/>
    <col min="100" max="100" width="6.5703125" style="47" bestFit="1" customWidth="1"/>
    <col min="101" max="104" width="7" style="47" customWidth="1"/>
    <col min="105" max="106" width="7.42578125" style="47" customWidth="1"/>
    <col min="107" max="108" width="7.140625" customWidth="1"/>
    <col min="109" max="109" width="7.85546875" customWidth="1"/>
    <col min="110" max="117" width="7.140625" customWidth="1"/>
    <col min="118" max="118" width="7.5703125" customWidth="1"/>
    <col min="119" max="119" width="7.7109375" customWidth="1"/>
  </cols>
  <sheetData>
    <row r="1" spans="1:119" x14ac:dyDescent="0.2">
      <c r="A1" s="46" t="s">
        <v>6</v>
      </c>
    </row>
    <row r="2" spans="1:119" x14ac:dyDescent="0.2">
      <c r="C2" s="48" t="s">
        <v>524</v>
      </c>
      <c r="D2" s="48" t="s">
        <v>523</v>
      </c>
      <c r="E2" s="48" t="s">
        <v>522</v>
      </c>
      <c r="F2" s="48" t="s">
        <v>521</v>
      </c>
      <c r="G2" s="47" t="s">
        <v>203</v>
      </c>
      <c r="H2" s="47" t="s">
        <v>202</v>
      </c>
      <c r="I2" s="47" t="s">
        <v>201</v>
      </c>
      <c r="J2" s="47" t="s">
        <v>127</v>
      </c>
      <c r="K2" s="47" t="s">
        <v>126</v>
      </c>
      <c r="L2" s="47" t="s">
        <v>125</v>
      </c>
      <c r="M2" s="47" t="s">
        <v>124</v>
      </c>
      <c r="N2" s="47" t="s">
        <v>99</v>
      </c>
      <c r="O2" s="47" t="s">
        <v>100</v>
      </c>
      <c r="P2" s="47" t="s">
        <v>97</v>
      </c>
      <c r="Q2" s="47" t="s">
        <v>96</v>
      </c>
      <c r="R2" s="47" t="s">
        <v>98</v>
      </c>
      <c r="S2" s="47" t="s">
        <v>128</v>
      </c>
      <c r="T2" s="47" t="s">
        <v>163</v>
      </c>
      <c r="U2" s="47" t="s">
        <v>185</v>
      </c>
      <c r="V2" s="47" t="s">
        <v>186</v>
      </c>
      <c r="W2" s="47" t="s">
        <v>197</v>
      </c>
      <c r="X2" s="47" t="s">
        <v>198</v>
      </c>
      <c r="Y2" s="47" t="s">
        <v>199</v>
      </c>
      <c r="Z2" s="47" t="s">
        <v>200</v>
      </c>
      <c r="AA2" s="48" t="s">
        <v>245</v>
      </c>
      <c r="AB2" s="48" t="s">
        <v>246</v>
      </c>
      <c r="AC2" s="48" t="s">
        <v>247</v>
      </c>
      <c r="AD2" s="48" t="s">
        <v>248</v>
      </c>
      <c r="AE2" s="48" t="s">
        <v>259</v>
      </c>
      <c r="AF2" s="48" t="s">
        <v>260</v>
      </c>
      <c r="AG2" s="48" t="s">
        <v>261</v>
      </c>
      <c r="AH2" s="48" t="s">
        <v>262</v>
      </c>
      <c r="AI2" s="48" t="s">
        <v>272</v>
      </c>
      <c r="AJ2" s="48" t="s">
        <v>273</v>
      </c>
      <c r="AK2" s="48" t="s">
        <v>274</v>
      </c>
      <c r="AL2" s="48" t="s">
        <v>275</v>
      </c>
      <c r="AM2" s="48" t="s">
        <v>316</v>
      </c>
      <c r="AN2" s="48" t="s">
        <v>317</v>
      </c>
      <c r="AO2" s="48" t="s">
        <v>318</v>
      </c>
      <c r="AP2" s="48" t="s">
        <v>319</v>
      </c>
      <c r="AQ2" s="48" t="s">
        <v>320</v>
      </c>
      <c r="AR2" s="48" t="s">
        <v>321</v>
      </c>
      <c r="AS2" s="48" t="s">
        <v>322</v>
      </c>
      <c r="AT2" s="48" t="s">
        <v>323</v>
      </c>
      <c r="AU2" s="48" t="s">
        <v>334</v>
      </c>
      <c r="AV2" s="48" t="s">
        <v>332</v>
      </c>
      <c r="AW2" s="48" t="s">
        <v>335</v>
      </c>
      <c r="AX2" s="48" t="s">
        <v>336</v>
      </c>
      <c r="AY2" s="48" t="s">
        <v>337</v>
      </c>
      <c r="AZ2" s="48" t="s">
        <v>338</v>
      </c>
      <c r="BA2" s="48" t="s">
        <v>339</v>
      </c>
      <c r="BB2" s="48" t="s">
        <v>340</v>
      </c>
      <c r="BC2" s="48" t="s">
        <v>341</v>
      </c>
      <c r="BD2" s="48" t="s">
        <v>342</v>
      </c>
      <c r="BE2" s="48" t="s">
        <v>343</v>
      </c>
      <c r="BF2" s="48" t="s">
        <v>344</v>
      </c>
      <c r="BG2" s="48" t="s">
        <v>345</v>
      </c>
      <c r="BH2" s="48" t="s">
        <v>346</v>
      </c>
      <c r="BI2" s="48" t="s">
        <v>347</v>
      </c>
      <c r="BJ2" s="48" t="s">
        <v>348</v>
      </c>
      <c r="BK2" s="48" t="s">
        <v>349</v>
      </c>
      <c r="BL2" s="48" t="s">
        <v>350</v>
      </c>
      <c r="BM2" s="48" t="s">
        <v>351</v>
      </c>
      <c r="BN2" s="48" t="s">
        <v>352</v>
      </c>
      <c r="BO2" s="48" t="s">
        <v>353</v>
      </c>
      <c r="BP2" s="48" t="s">
        <v>354</v>
      </c>
      <c r="BQ2" s="48" t="s">
        <v>355</v>
      </c>
      <c r="BR2" s="48" t="s">
        <v>356</v>
      </c>
      <c r="BS2" s="48" t="s">
        <v>357</v>
      </c>
      <c r="BT2" s="48" t="s">
        <v>358</v>
      </c>
      <c r="BU2" s="48" t="s">
        <v>359</v>
      </c>
      <c r="BV2" s="48" t="s">
        <v>360</v>
      </c>
      <c r="BW2" s="48" t="s">
        <v>361</v>
      </c>
      <c r="BX2" s="48" t="s">
        <v>362</v>
      </c>
      <c r="BY2" s="48" t="s">
        <v>363</v>
      </c>
      <c r="BZ2" s="48" t="s">
        <v>364</v>
      </c>
      <c r="CA2" s="48" t="s">
        <v>333</v>
      </c>
      <c r="CB2" s="48" t="s">
        <v>365</v>
      </c>
      <c r="CC2" s="48" t="s">
        <v>366</v>
      </c>
      <c r="CD2" s="48" t="s">
        <v>367</v>
      </c>
      <c r="CE2" s="48" t="s">
        <v>384</v>
      </c>
      <c r="CF2" s="48" t="s">
        <v>385</v>
      </c>
      <c r="CG2" s="48" t="s">
        <v>386</v>
      </c>
      <c r="CH2" s="48" t="s">
        <v>387</v>
      </c>
      <c r="CI2" s="48"/>
      <c r="CJ2" s="48"/>
      <c r="CL2" s="47">
        <v>2001</v>
      </c>
      <c r="CM2" s="47">
        <v>2002</v>
      </c>
      <c r="CN2" s="47">
        <v>2003</v>
      </c>
      <c r="CO2" s="47">
        <v>2004</v>
      </c>
      <c r="CP2" s="47">
        <v>2005</v>
      </c>
      <c r="CQ2" s="47">
        <v>2006</v>
      </c>
      <c r="CR2" s="47">
        <v>2007</v>
      </c>
      <c r="CS2" s="47">
        <v>2008</v>
      </c>
      <c r="CT2" s="47">
        <v>2009</v>
      </c>
      <c r="CU2" s="47">
        <v>2010</v>
      </c>
      <c r="CV2" s="47">
        <v>2011</v>
      </c>
      <c r="CW2" s="47">
        <v>2012</v>
      </c>
      <c r="CX2" s="47">
        <v>2013</v>
      </c>
      <c r="CY2" s="47">
        <v>2014</v>
      </c>
      <c r="CZ2" s="47">
        <v>2015</v>
      </c>
      <c r="DA2" s="47">
        <v>2016</v>
      </c>
      <c r="DB2" s="47">
        <v>2017</v>
      </c>
      <c r="DC2">
        <f>+DB2+1</f>
        <v>2018</v>
      </c>
      <c r="DD2">
        <f t="shared" ref="DD2:DG2" si="0">+DC2+1</f>
        <v>2019</v>
      </c>
      <c r="DE2">
        <f t="shared" si="0"/>
        <v>2020</v>
      </c>
      <c r="DF2">
        <f t="shared" si="0"/>
        <v>2021</v>
      </c>
      <c r="DG2">
        <f t="shared" si="0"/>
        <v>2022</v>
      </c>
      <c r="DH2">
        <f>+DG2+1</f>
        <v>2023</v>
      </c>
      <c r="DI2">
        <f t="shared" ref="DI2:DO2" si="1">+DH2+1</f>
        <v>2024</v>
      </c>
      <c r="DJ2">
        <f t="shared" si="1"/>
        <v>2025</v>
      </c>
      <c r="DK2">
        <f t="shared" si="1"/>
        <v>2026</v>
      </c>
      <c r="DL2">
        <f t="shared" si="1"/>
        <v>2027</v>
      </c>
      <c r="DM2">
        <f t="shared" si="1"/>
        <v>2028</v>
      </c>
      <c r="DN2">
        <f t="shared" si="1"/>
        <v>2029</v>
      </c>
      <c r="DO2">
        <f t="shared" si="1"/>
        <v>2030</v>
      </c>
    </row>
    <row r="3" spans="1:119" s="49" customFormat="1" x14ac:dyDescent="0.2">
      <c r="B3" s="50" t="s">
        <v>368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>
        <v>10.199999999999999</v>
      </c>
      <c r="AY3" s="52">
        <v>18.3</v>
      </c>
      <c r="AZ3" s="52">
        <v>44.3</v>
      </c>
      <c r="BA3" s="52">
        <v>73.7</v>
      </c>
      <c r="BB3" s="52">
        <v>112.5</v>
      </c>
      <c r="BC3" s="52">
        <v>143.6</v>
      </c>
      <c r="BD3" s="52">
        <v>201.3</v>
      </c>
      <c r="BE3" s="52">
        <v>243.6</v>
      </c>
      <c r="BF3" s="52">
        <v>337</v>
      </c>
      <c r="BG3" s="52">
        <v>372.9</v>
      </c>
      <c r="BH3" s="52">
        <v>480.2</v>
      </c>
      <c r="BI3" s="52">
        <v>527.70000000000005</v>
      </c>
      <c r="BJ3" s="52">
        <v>649</v>
      </c>
      <c r="BK3" s="52">
        <v>678.3</v>
      </c>
      <c r="BL3" s="52">
        <v>779.8</v>
      </c>
      <c r="BM3" s="52">
        <v>816.2</v>
      </c>
      <c r="BN3" s="52">
        <v>924.7</v>
      </c>
      <c r="BO3" s="52">
        <v>879.7</v>
      </c>
      <c r="BP3" s="52">
        <v>1028.5</v>
      </c>
      <c r="BQ3" s="52">
        <v>1011.5</v>
      </c>
      <c r="BR3" s="52">
        <v>1208.0999999999999</v>
      </c>
      <c r="BS3" s="52">
        <v>1229.4000000000001</v>
      </c>
      <c r="BT3" s="52">
        <v>1229.8</v>
      </c>
      <c r="BU3" s="52">
        <v>1106.5999999999999</v>
      </c>
      <c r="BV3" s="52">
        <v>1502.4</v>
      </c>
      <c r="BW3" s="52">
        <v>1452.4</v>
      </c>
      <c r="BX3" s="52">
        <v>1535.6</v>
      </c>
      <c r="BY3" s="52">
        <v>1600.1</v>
      </c>
      <c r="BZ3" s="52">
        <v>1883.7</v>
      </c>
      <c r="CA3" s="52">
        <v>1741.3</v>
      </c>
      <c r="CB3" s="52">
        <v>1911.9</v>
      </c>
      <c r="CC3" s="52">
        <v>1850.4</v>
      </c>
      <c r="CD3" s="52">
        <v>1936.2</v>
      </c>
      <c r="CE3" s="52">
        <v>1977.1</v>
      </c>
      <c r="CF3" s="52">
        <f>+CB3*1.15</f>
        <v>2198.6849999999999</v>
      </c>
      <c r="CG3" s="52">
        <f>+CC3*1.15</f>
        <v>2127.96</v>
      </c>
      <c r="CH3" s="52">
        <f>+CD3*1.15</f>
        <v>2226.6299999999997</v>
      </c>
      <c r="CI3" s="52"/>
      <c r="CJ3" s="52"/>
      <c r="CL3" s="51"/>
      <c r="CM3" s="51"/>
      <c r="CN3" s="51"/>
      <c r="CO3" s="51"/>
      <c r="CP3" s="51"/>
      <c r="CQ3" s="51"/>
      <c r="CR3" s="51"/>
      <c r="CS3" s="51"/>
      <c r="CT3" s="51"/>
      <c r="CU3" s="51"/>
      <c r="CV3" s="51"/>
      <c r="CW3" s="51"/>
      <c r="CX3" s="51">
        <v>0</v>
      </c>
      <c r="CY3" s="51">
        <v>10.199999999999999</v>
      </c>
      <c r="CZ3" s="51">
        <v>248.7</v>
      </c>
      <c r="DA3" s="51">
        <v>925.5</v>
      </c>
      <c r="DB3" s="51">
        <v>2029.8</v>
      </c>
      <c r="DC3" s="49">
        <v>3199.1</v>
      </c>
      <c r="DD3" s="49">
        <v>4127.8</v>
      </c>
      <c r="DE3" s="49">
        <f>SUM(BS3:BV3)</f>
        <v>5068.2</v>
      </c>
      <c r="DF3" s="49">
        <f>SUM(BW3:BZ3)</f>
        <v>6471.8</v>
      </c>
      <c r="DG3" s="49">
        <f>SUM(CA3:CD3)</f>
        <v>7439.8</v>
      </c>
      <c r="DH3" s="49">
        <f>SUM(CE3:CH3)</f>
        <v>8530.375</v>
      </c>
      <c r="DI3" s="49">
        <f>+DH3*1.1</f>
        <v>9383.4125000000004</v>
      </c>
      <c r="DJ3" s="49">
        <f>+DI3*1.01</f>
        <v>9477.2466249999998</v>
      </c>
      <c r="DK3" s="49">
        <f>+DJ3*1.01</f>
        <v>9572.0190912500002</v>
      </c>
      <c r="DL3" s="49">
        <f>+DK3*0.95</f>
        <v>9093.4181366875</v>
      </c>
      <c r="DM3" s="49">
        <f>+DL3*0.95</f>
        <v>8638.7472298531247</v>
      </c>
      <c r="DN3" s="49">
        <f>+DM3*0.95</f>
        <v>8206.8098683604676</v>
      </c>
      <c r="DO3" s="49">
        <f>+DN3*0.9</f>
        <v>7386.1288815244206</v>
      </c>
    </row>
    <row r="4" spans="1:119" s="49" customFormat="1" x14ac:dyDescent="0.2">
      <c r="B4" s="50" t="s">
        <v>518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2"/>
      <c r="BZ4" s="52"/>
      <c r="CA4" s="52"/>
      <c r="CB4" s="52">
        <v>16</v>
      </c>
      <c r="CC4" s="52">
        <v>187.3</v>
      </c>
      <c r="CD4" s="52">
        <v>279.2</v>
      </c>
      <c r="CE4" s="52">
        <v>568.5</v>
      </c>
      <c r="CF4" s="52">
        <v>400</v>
      </c>
      <c r="CG4" s="52">
        <v>500</v>
      </c>
      <c r="CH4" s="52">
        <v>600</v>
      </c>
      <c r="CI4" s="52"/>
      <c r="CJ4" s="52"/>
      <c r="CL4" s="51"/>
      <c r="CM4" s="51"/>
      <c r="CN4" s="51"/>
      <c r="CO4" s="51"/>
      <c r="CP4" s="51"/>
      <c r="CQ4" s="51"/>
      <c r="CR4" s="51"/>
      <c r="CS4" s="51"/>
      <c r="CT4" s="51"/>
      <c r="CU4" s="51"/>
      <c r="CV4" s="51"/>
      <c r="CW4" s="51"/>
      <c r="CX4" s="51">
        <v>0</v>
      </c>
      <c r="CY4" s="51">
        <v>0</v>
      </c>
      <c r="CZ4" s="51">
        <v>0</v>
      </c>
      <c r="DA4" s="51">
        <v>0</v>
      </c>
      <c r="DB4" s="51">
        <v>0</v>
      </c>
      <c r="DC4" s="49">
        <v>0</v>
      </c>
      <c r="DD4" s="49">
        <v>0</v>
      </c>
      <c r="DE4" s="49">
        <v>0</v>
      </c>
      <c r="DF4" s="49">
        <v>0</v>
      </c>
      <c r="DG4" s="49">
        <f>SUM(CA4:CD4)</f>
        <v>482.5</v>
      </c>
      <c r="DH4" s="49">
        <f>SUM(CE4:CH4)</f>
        <v>2068.5</v>
      </c>
      <c r="DI4" s="49">
        <v>3000</v>
      </c>
      <c r="DJ4" s="49">
        <v>4000</v>
      </c>
      <c r="DK4" s="49">
        <v>5000</v>
      </c>
      <c r="DL4" s="49">
        <v>6000</v>
      </c>
      <c r="DM4" s="49">
        <f>+DL4*1.5</f>
        <v>9000</v>
      </c>
      <c r="DN4" s="49">
        <f>+DM4*1.2</f>
        <v>10800</v>
      </c>
      <c r="DO4" s="49">
        <f t="shared" ref="DO4" si="2">+DN4*1.2</f>
        <v>12960</v>
      </c>
    </row>
    <row r="5" spans="1:119" s="49" customFormat="1" x14ac:dyDescent="0.2">
      <c r="B5" s="50" t="s">
        <v>379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>
        <v>871.2</v>
      </c>
      <c r="BW5" s="52">
        <v>810.1</v>
      </c>
      <c r="BX5" s="52">
        <v>148.9</v>
      </c>
      <c r="BY5" s="52">
        <v>217.1</v>
      </c>
      <c r="BZ5" s="52">
        <v>1063.0999999999999</v>
      </c>
      <c r="CA5" s="52">
        <v>1469.8</v>
      </c>
      <c r="CB5" s="52">
        <v>129.1</v>
      </c>
      <c r="CC5" s="52">
        <v>386.6</v>
      </c>
      <c r="CD5" s="52">
        <v>38</v>
      </c>
      <c r="CE5" s="52">
        <v>0</v>
      </c>
      <c r="CF5" s="52"/>
      <c r="CG5" s="52"/>
      <c r="CH5" s="52"/>
      <c r="CI5" s="52"/>
      <c r="CJ5" s="52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>
        <v>0</v>
      </c>
      <c r="CY5" s="51">
        <v>0</v>
      </c>
      <c r="CZ5" s="51">
        <v>0</v>
      </c>
      <c r="DA5" s="51">
        <v>0</v>
      </c>
      <c r="DB5" s="51">
        <v>0</v>
      </c>
      <c r="DC5" s="49">
        <v>0</v>
      </c>
      <c r="DD5" s="49">
        <v>0</v>
      </c>
      <c r="DE5" s="49">
        <f t="shared" ref="DE5:DE32" si="3">SUM(BS5:BV5)</f>
        <v>871.2</v>
      </c>
      <c r="DF5" s="49">
        <f t="shared" ref="DF5:DF32" si="4">SUM(BW5:BZ5)</f>
        <v>2239.1999999999998</v>
      </c>
      <c r="DG5" s="49">
        <f t="shared" ref="DG5:DG32" si="5">SUM(CA5:CD5)</f>
        <v>2023.5</v>
      </c>
      <c r="DH5" s="49">
        <f t="shared" ref="DH5:DH32" si="6">SUM(CE5:CH5)</f>
        <v>0</v>
      </c>
    </row>
    <row r="6" spans="1:119" x14ac:dyDescent="0.2">
      <c r="B6" s="38" t="s">
        <v>375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>
        <v>19.3</v>
      </c>
      <c r="BE6" s="52">
        <v>32.5</v>
      </c>
      <c r="BF6" s="52">
        <v>61.3</v>
      </c>
      <c r="BG6" s="52">
        <v>96.6</v>
      </c>
      <c r="BH6" s="52">
        <v>138.69999999999999</v>
      </c>
      <c r="BI6" s="52">
        <v>151.30000000000001</v>
      </c>
      <c r="BJ6" s="52">
        <v>172.5</v>
      </c>
      <c r="BK6" s="52">
        <v>146.5</v>
      </c>
      <c r="BL6" s="52">
        <v>220.1</v>
      </c>
      <c r="BM6" s="52">
        <v>263.89999999999998</v>
      </c>
      <c r="BN6" s="52">
        <v>307</v>
      </c>
      <c r="BO6" s="52">
        <v>252.5</v>
      </c>
      <c r="BP6" s="52">
        <v>353.8</v>
      </c>
      <c r="BQ6" s="52">
        <v>340</v>
      </c>
      <c r="BR6" s="52">
        <v>420.1</v>
      </c>
      <c r="BS6" s="52">
        <v>443.5</v>
      </c>
      <c r="BT6" s="52">
        <v>395.2</v>
      </c>
      <c r="BU6" s="52">
        <v>454.5</v>
      </c>
      <c r="BV6" s="52">
        <v>495.3</v>
      </c>
      <c r="BW6" s="52">
        <v>403.2</v>
      </c>
      <c r="BX6" s="52">
        <v>569.1</v>
      </c>
      <c r="BY6" s="52">
        <v>593.1</v>
      </c>
      <c r="BZ6" s="52">
        <v>647.4</v>
      </c>
      <c r="CA6" s="52">
        <v>488.1</v>
      </c>
      <c r="CB6" s="52">
        <v>606.20000000000005</v>
      </c>
      <c r="CC6" s="52">
        <v>679.9</v>
      </c>
      <c r="CD6" s="52">
        <v>707.8</v>
      </c>
      <c r="CE6" s="52">
        <v>527</v>
      </c>
      <c r="CF6" s="52">
        <f t="shared" ref="CF6:CH6" si="7">+CB6*1.2</f>
        <v>727.44</v>
      </c>
      <c r="CG6" s="52">
        <f t="shared" si="7"/>
        <v>815.88</v>
      </c>
      <c r="CH6" s="52">
        <f t="shared" si="7"/>
        <v>849.3599999999999</v>
      </c>
      <c r="CI6" s="52"/>
      <c r="CJ6" s="52"/>
      <c r="CK6" s="49"/>
      <c r="CL6" s="51"/>
      <c r="CM6" s="51"/>
      <c r="CN6" s="51"/>
      <c r="CO6" s="51"/>
      <c r="CP6" s="51"/>
      <c r="CQ6" s="51"/>
      <c r="CR6" s="51"/>
      <c r="CS6" s="51"/>
      <c r="CT6" s="51"/>
      <c r="CU6" s="51"/>
      <c r="CV6" s="51"/>
      <c r="CW6" s="51"/>
      <c r="CX6" s="51">
        <v>0</v>
      </c>
      <c r="CY6" s="51">
        <v>0</v>
      </c>
      <c r="CZ6" s="51">
        <v>0</v>
      </c>
      <c r="DA6" s="51">
        <v>0</v>
      </c>
      <c r="DB6" s="51">
        <v>559.20000000000005</v>
      </c>
      <c r="DC6" s="49">
        <v>937.5</v>
      </c>
      <c r="DD6" s="49">
        <v>1366.4</v>
      </c>
      <c r="DE6" s="49">
        <f t="shared" si="3"/>
        <v>1788.5</v>
      </c>
      <c r="DF6" s="49">
        <f t="shared" si="4"/>
        <v>2212.8000000000002</v>
      </c>
      <c r="DG6" s="49">
        <f t="shared" si="5"/>
        <v>2482</v>
      </c>
      <c r="DH6" s="49">
        <f t="shared" si="6"/>
        <v>2919.6800000000003</v>
      </c>
      <c r="DI6" s="49">
        <f>+DH6*1.2</f>
        <v>3503.6160000000004</v>
      </c>
      <c r="DJ6" s="49">
        <f>+DI6*1.2</f>
        <v>4204.3392000000003</v>
      </c>
      <c r="DK6" s="49">
        <f>+DJ6*1.2</f>
        <v>5045.2070400000002</v>
      </c>
      <c r="DL6" s="49">
        <f>+DK6*1.1</f>
        <v>5549.7277440000007</v>
      </c>
      <c r="DM6" s="49">
        <f>+DL6*1.1</f>
        <v>6104.7005184000009</v>
      </c>
      <c r="DN6" s="49">
        <f>+DM6*1.1</f>
        <v>6715.1705702400013</v>
      </c>
      <c r="DO6" s="49">
        <f>+DN6*1.05</f>
        <v>7050.9290987520017</v>
      </c>
    </row>
    <row r="7" spans="1:119" x14ac:dyDescent="0.2">
      <c r="B7" s="38" t="s">
        <v>372</v>
      </c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>
        <v>21</v>
      </c>
      <c r="BK7" s="51">
        <v>29.7</v>
      </c>
      <c r="BL7" s="51">
        <v>57.7</v>
      </c>
      <c r="BM7" s="51">
        <v>84.5</v>
      </c>
      <c r="BN7" s="51">
        <v>83.1</v>
      </c>
      <c r="BO7" s="51">
        <v>109.4</v>
      </c>
      <c r="BP7" s="51">
        <v>133.9</v>
      </c>
      <c r="BQ7" s="51">
        <v>157.19999999999999</v>
      </c>
      <c r="BR7" s="51">
        <v>179.1</v>
      </c>
      <c r="BS7" s="51">
        <v>188</v>
      </c>
      <c r="BT7" s="51">
        <v>208.6</v>
      </c>
      <c r="BU7" s="51">
        <v>234.4</v>
      </c>
      <c r="BV7" s="51">
        <v>281.60000000000002</v>
      </c>
      <c r="BW7" s="51">
        <v>269</v>
      </c>
      <c r="BX7" s="51">
        <v>341.3</v>
      </c>
      <c r="BY7" s="51">
        <v>335.5</v>
      </c>
      <c r="BZ7" s="51">
        <v>404.1</v>
      </c>
      <c r="CA7" s="51">
        <v>469.4</v>
      </c>
      <c r="CB7" s="51">
        <v>588.5</v>
      </c>
      <c r="CC7" s="51">
        <v>617.70000000000005</v>
      </c>
      <c r="CD7" s="51">
        <v>808</v>
      </c>
      <c r="CE7" s="51">
        <v>750.9</v>
      </c>
      <c r="CF7" s="51">
        <f t="shared" ref="CF7:CF8" si="8">+CB7*1.2</f>
        <v>706.19999999999993</v>
      </c>
      <c r="CG7" s="51">
        <f>+CC7*1.15</f>
        <v>710.35500000000002</v>
      </c>
      <c r="CH7" s="51">
        <f>+CD7*1.15</f>
        <v>929.19999999999993</v>
      </c>
      <c r="CI7" s="51"/>
      <c r="CJ7" s="51"/>
      <c r="CK7" s="49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>
        <v>0</v>
      </c>
      <c r="CY7" s="51">
        <v>0</v>
      </c>
      <c r="CZ7" s="51">
        <v>0</v>
      </c>
      <c r="DA7" s="51">
        <v>0</v>
      </c>
      <c r="DB7" s="51">
        <v>21</v>
      </c>
      <c r="DC7" s="49">
        <v>255</v>
      </c>
      <c r="DD7" s="49">
        <v>579.70000000000005</v>
      </c>
      <c r="DE7" s="49">
        <f t="shared" si="3"/>
        <v>912.6</v>
      </c>
      <c r="DF7" s="49">
        <f t="shared" si="4"/>
        <v>1349.9</v>
      </c>
      <c r="DG7" s="49">
        <f t="shared" si="5"/>
        <v>2483.6000000000004</v>
      </c>
      <c r="DH7" s="49">
        <f t="shared" si="6"/>
        <v>3096.6549999999997</v>
      </c>
      <c r="DI7" s="49">
        <f>+DH7*1.2</f>
        <v>3715.9859999999994</v>
      </c>
      <c r="DJ7" s="49">
        <f>+DI7*1.01</f>
        <v>3753.1458599999996</v>
      </c>
      <c r="DK7" s="49">
        <f>+DJ7*1.01</f>
        <v>3790.6773185999996</v>
      </c>
      <c r="DL7" s="49">
        <f>+DK7*1.01</f>
        <v>3828.5840917859996</v>
      </c>
      <c r="DM7" s="49">
        <f>+DL7*1.01</f>
        <v>3866.8699327038598</v>
      </c>
      <c r="DN7" s="49">
        <f>+DM7*1.01</f>
        <v>3905.5386320308985</v>
      </c>
      <c r="DO7" s="49">
        <f>+DN7*0.1</f>
        <v>390.55386320308986</v>
      </c>
    </row>
    <row r="8" spans="1:119" x14ac:dyDescent="0.2">
      <c r="B8" s="38" t="s">
        <v>371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>
        <v>19.3</v>
      </c>
      <c r="AZ8" s="51">
        <v>11.1</v>
      </c>
      <c r="BA8" s="51">
        <v>15.4</v>
      </c>
      <c r="BB8" s="51">
        <v>14.6</v>
      </c>
      <c r="BC8" s="51">
        <v>38.200000000000003</v>
      </c>
      <c r="BD8" s="51">
        <v>40.1</v>
      </c>
      <c r="BE8" s="51">
        <v>47.5</v>
      </c>
      <c r="BF8" s="51">
        <v>76.099999999999994</v>
      </c>
      <c r="BG8" s="51">
        <v>74</v>
      </c>
      <c r="BH8" s="51">
        <v>103.2</v>
      </c>
      <c r="BI8" s="51">
        <v>127.2</v>
      </c>
      <c r="BJ8" s="51">
        <v>143.19999999999999</v>
      </c>
      <c r="BK8" s="51">
        <v>151</v>
      </c>
      <c r="BL8" s="51">
        <v>147.19999999999999</v>
      </c>
      <c r="BM8" s="51">
        <v>166.9</v>
      </c>
      <c r="BN8" s="51">
        <v>193.2</v>
      </c>
      <c r="BO8" s="51">
        <v>203.6</v>
      </c>
      <c r="BP8" s="51">
        <v>231.9</v>
      </c>
      <c r="BQ8" s="51">
        <v>240.7</v>
      </c>
      <c r="BR8" s="51">
        <v>268</v>
      </c>
      <c r="BS8" s="51">
        <v>267.5</v>
      </c>
      <c r="BT8" s="51">
        <v>262</v>
      </c>
      <c r="BU8" s="51">
        <v>310.8</v>
      </c>
      <c r="BV8" s="51">
        <v>313.60000000000002</v>
      </c>
      <c r="BW8" s="51">
        <v>312</v>
      </c>
      <c r="BX8" s="51">
        <v>356.5</v>
      </c>
      <c r="BY8" s="51">
        <v>390.4</v>
      </c>
      <c r="BZ8" s="51">
        <v>431.9</v>
      </c>
      <c r="CA8" s="51">
        <v>419.4</v>
      </c>
      <c r="CB8" s="51">
        <v>461</v>
      </c>
      <c r="CC8" s="51">
        <v>573.29999999999995</v>
      </c>
      <c r="CD8" s="51">
        <v>612.29999999999995</v>
      </c>
      <c r="CE8" s="51">
        <v>577.5</v>
      </c>
      <c r="CF8" s="51">
        <f t="shared" si="8"/>
        <v>553.19999999999993</v>
      </c>
      <c r="CG8" s="51">
        <f>+CC8*1.2</f>
        <v>687.95999999999992</v>
      </c>
      <c r="CH8" s="51">
        <f>+CD8*1.2</f>
        <v>734.75999999999988</v>
      </c>
      <c r="CI8" s="51"/>
      <c r="CJ8" s="51"/>
      <c r="CK8" s="49"/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1"/>
      <c r="CX8" s="51">
        <v>0</v>
      </c>
      <c r="CY8" s="51">
        <v>0</v>
      </c>
      <c r="CZ8" s="51">
        <v>0</v>
      </c>
      <c r="DA8" s="51">
        <v>0</v>
      </c>
      <c r="DB8" s="51">
        <v>447.5</v>
      </c>
      <c r="DC8" s="49">
        <v>658.3</v>
      </c>
      <c r="DD8" s="49">
        <v>944.2</v>
      </c>
      <c r="DE8" s="49">
        <f t="shared" si="3"/>
        <v>1153.9000000000001</v>
      </c>
      <c r="DF8" s="49">
        <f t="shared" si="4"/>
        <v>1490.8000000000002</v>
      </c>
      <c r="DG8" s="49">
        <f t="shared" si="5"/>
        <v>2066</v>
      </c>
      <c r="DH8" s="49">
        <f t="shared" si="6"/>
        <v>2553.4199999999996</v>
      </c>
      <c r="DI8" s="49">
        <f>+DH8*1.2</f>
        <v>3064.1039999999994</v>
      </c>
      <c r="DJ8" s="49">
        <f>+DI8*1.2</f>
        <v>3676.9247999999993</v>
      </c>
      <c r="DK8" s="49">
        <f>+DJ8*1.2</f>
        <v>4412.3097599999992</v>
      </c>
      <c r="DL8" s="49">
        <f>+DK8*1.1</f>
        <v>4853.5407359999999</v>
      </c>
      <c r="DM8" s="49">
        <f>+DL8*1.1</f>
        <v>5338.8948096000004</v>
      </c>
      <c r="DN8" s="49">
        <f>+DM8*1.1</f>
        <v>5872.784290560001</v>
      </c>
      <c r="DO8" s="49">
        <f>+DN8*0.1</f>
        <v>587.27842905600016</v>
      </c>
    </row>
    <row r="9" spans="1:119" x14ac:dyDescent="0.2">
      <c r="B9" t="s">
        <v>54</v>
      </c>
      <c r="C9" s="51">
        <v>248.8</v>
      </c>
      <c r="D9" s="51">
        <v>254.1</v>
      </c>
      <c r="E9" s="51">
        <v>240.2</v>
      </c>
      <c r="F9" s="51">
        <f>1020-E9-D9-C9</f>
        <v>276.89999999999992</v>
      </c>
      <c r="G9" s="51">
        <v>267.2</v>
      </c>
      <c r="H9" s="51">
        <v>285.3</v>
      </c>
      <c r="I9" s="51">
        <v>264.60000000000002</v>
      </c>
      <c r="J9" s="51">
        <v>284.60000000000002</v>
      </c>
      <c r="K9" s="51">
        <v>286.2</v>
      </c>
      <c r="L9" s="51">
        <v>296.2</v>
      </c>
      <c r="M9" s="51">
        <f>Q9/1.05</f>
        <v>306.66666666666663</v>
      </c>
      <c r="N9" s="51">
        <v>309.10000000000002</v>
      </c>
      <c r="O9" s="51">
        <v>305</v>
      </c>
      <c r="P9" s="51">
        <v>321</v>
      </c>
      <c r="Q9" s="51">
        <v>322</v>
      </c>
      <c r="R9" s="51">
        <v>352.2</v>
      </c>
      <c r="S9" s="51">
        <v>339.5</v>
      </c>
      <c r="T9" s="51">
        <v>358.4</v>
      </c>
      <c r="U9" s="51">
        <v>362.5</v>
      </c>
      <c r="V9" s="51">
        <v>414.2</v>
      </c>
      <c r="W9" s="51">
        <v>407.4</v>
      </c>
      <c r="X9" s="51">
        <v>437.9</v>
      </c>
      <c r="Y9" s="51">
        <v>432.6</v>
      </c>
      <c r="Z9" s="51">
        <v>457.9</v>
      </c>
      <c r="AA9" s="51">
        <v>450.6</v>
      </c>
      <c r="AB9" s="51">
        <v>477.5</v>
      </c>
      <c r="AC9" s="51">
        <v>500.2</v>
      </c>
      <c r="AD9" s="51">
        <v>530.79999999999995</v>
      </c>
      <c r="AE9" s="51">
        <v>506.4</v>
      </c>
      <c r="AF9" s="51">
        <v>504.6</v>
      </c>
      <c r="AG9" s="51">
        <v>494</v>
      </c>
      <c r="AH9" s="51">
        <v>549.1</v>
      </c>
      <c r="AI9" s="51">
        <v>525.4</v>
      </c>
      <c r="AJ9" s="51">
        <v>586.9</v>
      </c>
      <c r="AK9" s="51">
        <v>593.20000000000005</v>
      </c>
      <c r="AL9" s="51">
        <v>662</v>
      </c>
      <c r="AM9" s="51">
        <v>590.29999999999995</v>
      </c>
      <c r="AN9" s="51">
        <v>613.4</v>
      </c>
      <c r="AO9" s="51">
        <v>575.79999999999995</v>
      </c>
      <c r="AP9" s="51">
        <v>616</v>
      </c>
      <c r="AQ9" s="51">
        <v>632.70000000000005</v>
      </c>
      <c r="AR9" s="51">
        <v>628.6</v>
      </c>
      <c r="AS9" s="51">
        <v>616</v>
      </c>
      <c r="AT9" s="51">
        <v>733.9</v>
      </c>
      <c r="AU9" s="51">
        <v>650</v>
      </c>
      <c r="AV9" s="51">
        <v>700.1</v>
      </c>
      <c r="AW9" s="51">
        <v>706.1</v>
      </c>
      <c r="AX9" s="51">
        <v>729.1</v>
      </c>
      <c r="AY9" s="51">
        <v>684</v>
      </c>
      <c r="AZ9" s="51">
        <v>654.29999999999995</v>
      </c>
      <c r="BA9" s="51">
        <v>705</v>
      </c>
      <c r="BB9" s="51">
        <v>798.7</v>
      </c>
      <c r="BC9" s="51">
        <v>606.29999999999995</v>
      </c>
      <c r="BD9" s="51">
        <v>701.9</v>
      </c>
      <c r="BE9" s="51">
        <v>640.79999999999995</v>
      </c>
      <c r="BF9" s="51">
        <v>819.8</v>
      </c>
      <c r="BG9" s="51">
        <v>708.4</v>
      </c>
      <c r="BH9" s="51">
        <v>678.4</v>
      </c>
      <c r="BI9" s="51">
        <v>696.2</v>
      </c>
      <c r="BJ9" s="51">
        <v>782.2</v>
      </c>
      <c r="BK9" s="51">
        <v>791.7</v>
      </c>
      <c r="BL9" s="51">
        <v>769.8</v>
      </c>
      <c r="BM9" s="51">
        <v>664.6</v>
      </c>
      <c r="BN9" s="51">
        <v>770.4</v>
      </c>
      <c r="BO9" s="51">
        <v>730.8</v>
      </c>
      <c r="BP9" s="51">
        <v>677.6</v>
      </c>
      <c r="BQ9" s="51">
        <v>648.9</v>
      </c>
      <c r="BR9" s="51">
        <v>763.4</v>
      </c>
      <c r="BS9" s="51">
        <v>695.8</v>
      </c>
      <c r="BT9" s="51">
        <v>555.1</v>
      </c>
      <c r="BU9" s="51">
        <v>656.9</v>
      </c>
      <c r="BV9" s="51">
        <v>718.1</v>
      </c>
      <c r="BW9" s="51">
        <f>332.7+284.4</f>
        <v>617.09999999999991</v>
      </c>
      <c r="BX9" s="51">
        <v>607.6</v>
      </c>
      <c r="BY9" s="51">
        <v>626.70000000000005</v>
      </c>
      <c r="BZ9" s="51">
        <v>601.70000000000005</v>
      </c>
      <c r="CA9" s="51">
        <f>368.9+249.3</f>
        <v>618.20000000000005</v>
      </c>
      <c r="CB9" s="51">
        <v>447.1</v>
      </c>
      <c r="CC9" s="51">
        <v>447</v>
      </c>
      <c r="CD9" s="51">
        <v>548.29999999999995</v>
      </c>
      <c r="CE9" s="51">
        <v>460.9</v>
      </c>
      <c r="CF9" s="51">
        <f t="shared" ref="CF9:CH9" si="9">+CB9*0.98</f>
        <v>438.15800000000002</v>
      </c>
      <c r="CG9" s="51">
        <f t="shared" si="9"/>
        <v>438.06</v>
      </c>
      <c r="CH9" s="51">
        <f t="shared" si="9"/>
        <v>537.33399999999995</v>
      </c>
      <c r="CI9" s="51"/>
      <c r="CJ9" s="51"/>
      <c r="CK9" s="49"/>
      <c r="CL9" s="51"/>
      <c r="CM9" s="51">
        <v>834</v>
      </c>
      <c r="CN9" s="51">
        <v>1021</v>
      </c>
      <c r="CO9" s="51">
        <v>1101</v>
      </c>
      <c r="CP9" s="51">
        <v>1198</v>
      </c>
      <c r="CQ9" s="51">
        <f>SUM(O9:R9)</f>
        <v>1300.2</v>
      </c>
      <c r="CR9" s="51">
        <f>SUM(S9:V9)</f>
        <v>1474.6000000000001</v>
      </c>
      <c r="CS9" s="51">
        <f>SUM(W9:Z9)</f>
        <v>1735.8000000000002</v>
      </c>
      <c r="CT9" s="51">
        <f>SUM(AA9:AD9)</f>
        <v>1959.1</v>
      </c>
      <c r="CU9" s="51">
        <f>SUM(AE9:AH9)</f>
        <v>2054.1</v>
      </c>
      <c r="CV9" s="51">
        <f>SUM(AI9:AL9)</f>
        <v>2367.5</v>
      </c>
      <c r="CW9" s="51">
        <f>SUM(AM9:AP9)</f>
        <v>2395.5</v>
      </c>
      <c r="CX9" s="51">
        <v>2611.1999999999998</v>
      </c>
      <c r="CY9" s="51">
        <v>2785.2</v>
      </c>
      <c r="CZ9" s="51">
        <v>2841.9</v>
      </c>
      <c r="DA9" s="51">
        <v>2768.8</v>
      </c>
      <c r="DB9" s="51">
        <v>2865.2</v>
      </c>
      <c r="DC9" s="49">
        <v>2996.5</v>
      </c>
      <c r="DD9" s="49">
        <v>2820.7</v>
      </c>
      <c r="DE9" s="49">
        <f>SUM(BS9:BV9)</f>
        <v>2625.9</v>
      </c>
      <c r="DF9" s="49">
        <f>SUM(BW9:BZ9)</f>
        <v>2453.1</v>
      </c>
      <c r="DG9" s="49">
        <f>SUM(CA9:CD9)</f>
        <v>2060.6000000000004</v>
      </c>
      <c r="DH9" s="49">
        <f>SUM(CE9:CH9)</f>
        <v>1874.4519999999998</v>
      </c>
      <c r="DI9" s="49">
        <f>+DH9*0.95</f>
        <v>1780.7293999999997</v>
      </c>
      <c r="DJ9" s="49">
        <f t="shared" ref="DJ9:DO9" si="10">+DI9*0.95</f>
        <v>1691.6929299999997</v>
      </c>
      <c r="DK9" s="49">
        <f t="shared" si="10"/>
        <v>1607.1082834999997</v>
      </c>
      <c r="DL9" s="49">
        <f t="shared" si="10"/>
        <v>1526.7528693249997</v>
      </c>
      <c r="DM9" s="49">
        <f t="shared" si="10"/>
        <v>1450.4152258587496</v>
      </c>
      <c r="DN9" s="49">
        <f t="shared" si="10"/>
        <v>1377.8944645658121</v>
      </c>
      <c r="DO9" s="49">
        <f t="shared" si="10"/>
        <v>1308.9997413375215</v>
      </c>
    </row>
    <row r="10" spans="1:119" x14ac:dyDescent="0.2">
      <c r="B10" t="s">
        <v>19</v>
      </c>
      <c r="C10" s="51"/>
      <c r="D10" s="51"/>
      <c r="E10" s="51"/>
      <c r="F10" s="51"/>
      <c r="G10" s="51">
        <v>11.6</v>
      </c>
      <c r="H10" s="51">
        <v>17.8</v>
      </c>
      <c r="I10" s="51">
        <v>40</v>
      </c>
      <c r="J10" s="51">
        <v>73.099999999999994</v>
      </c>
      <c r="K10" s="51">
        <v>93.9</v>
      </c>
      <c r="L10" s="51">
        <v>111.2</v>
      </c>
      <c r="M10" s="51">
        <v>122.3</v>
      </c>
      <c r="N10" s="51">
        <v>135.80000000000001</v>
      </c>
      <c r="O10" s="51">
        <v>130</v>
      </c>
      <c r="P10" s="51">
        <v>153</v>
      </c>
      <c r="Q10" s="51">
        <v>157</v>
      </c>
      <c r="R10" s="51">
        <v>171.4</v>
      </c>
      <c r="S10" s="51">
        <v>187.8</v>
      </c>
      <c r="T10" s="51">
        <v>207.1</v>
      </c>
      <c r="U10" s="51">
        <v>215</v>
      </c>
      <c r="V10" s="51">
        <v>244.1</v>
      </c>
      <c r="W10" s="51">
        <v>247.2</v>
      </c>
      <c r="X10" s="51">
        <v>275</v>
      </c>
      <c r="Y10" s="51">
        <v>313.89999999999998</v>
      </c>
      <c r="Z10" s="51">
        <v>318.7</v>
      </c>
      <c r="AA10" s="51">
        <v>335.3</v>
      </c>
      <c r="AB10" s="51">
        <v>385.3</v>
      </c>
      <c r="AC10" s="51">
        <v>461.9</v>
      </c>
      <c r="AD10" s="51">
        <v>523.6</v>
      </c>
      <c r="AE10" s="51">
        <v>527.4</v>
      </c>
      <c r="AF10" s="51">
        <v>551.79999999999995</v>
      </c>
      <c r="AG10" s="51">
        <v>560.29999999999995</v>
      </c>
      <c r="AH10" s="51">
        <v>569</v>
      </c>
      <c r="AI10" s="51">
        <v>579.9</v>
      </c>
      <c r="AJ10" s="51">
        <v>613.4</v>
      </c>
      <c r="AK10" s="51">
        <v>629.70000000000005</v>
      </c>
      <c r="AL10" s="51">
        <v>638.1</v>
      </c>
      <c r="AM10" s="51">
        <v>606.79999999999995</v>
      </c>
      <c r="AN10" s="51">
        <v>659.5</v>
      </c>
      <c r="AO10" s="51">
        <v>643.6</v>
      </c>
      <c r="AP10" s="51">
        <v>684.3</v>
      </c>
      <c r="AQ10" s="51">
        <v>616.79999999999995</v>
      </c>
      <c r="AR10" s="51">
        <v>669.4</v>
      </c>
      <c r="AS10" s="51">
        <v>690.5</v>
      </c>
      <c r="AT10" s="51">
        <v>726.2</v>
      </c>
      <c r="AU10" s="51">
        <v>632</v>
      </c>
      <c r="AV10" s="51">
        <v>711.6</v>
      </c>
      <c r="AW10" s="51">
        <v>723.4</v>
      </c>
      <c r="AX10" s="51">
        <v>725</v>
      </c>
      <c r="AY10" s="51">
        <v>573</v>
      </c>
      <c r="AZ10" s="51">
        <v>664.3</v>
      </c>
      <c r="BA10" s="51">
        <v>628.5</v>
      </c>
      <c r="BB10" s="51">
        <v>627.20000000000005</v>
      </c>
      <c r="BC10" s="51">
        <v>564.20000000000005</v>
      </c>
      <c r="BD10" s="51">
        <v>607.1</v>
      </c>
      <c r="BE10" s="51">
        <v>570.4</v>
      </c>
      <c r="BF10" s="51">
        <v>541.6</v>
      </c>
      <c r="BG10" s="51">
        <v>489.9</v>
      </c>
      <c r="BH10" s="51">
        <v>532.9</v>
      </c>
      <c r="BI10" s="51">
        <v>514.5</v>
      </c>
      <c r="BJ10" s="51">
        <v>525.20000000000005</v>
      </c>
      <c r="BK10" s="51">
        <v>499.6</v>
      </c>
      <c r="BL10" s="51">
        <v>555.9</v>
      </c>
      <c r="BM10" s="51">
        <v>520.5</v>
      </c>
      <c r="BN10" s="51">
        <v>556.9</v>
      </c>
      <c r="BO10" s="51">
        <v>499.2</v>
      </c>
      <c r="BP10" s="51">
        <v>577.79999999999995</v>
      </c>
      <c r="BQ10" s="51">
        <v>508.2</v>
      </c>
      <c r="BR10" s="51">
        <v>530.70000000000005</v>
      </c>
      <c r="BS10" s="51">
        <v>560.1</v>
      </c>
      <c r="BT10" s="51">
        <v>539.1</v>
      </c>
      <c r="BU10" s="51">
        <v>578</v>
      </c>
      <c r="BV10" s="51">
        <v>652.70000000000005</v>
      </c>
      <c r="BW10" s="51">
        <v>559</v>
      </c>
      <c r="BX10" s="51">
        <v>610.6</v>
      </c>
      <c r="BY10" s="51">
        <v>457</v>
      </c>
      <c r="BZ10" s="51">
        <v>434.9</v>
      </c>
      <c r="CA10" s="51">
        <v>343.9</v>
      </c>
      <c r="CB10" s="51">
        <v>227.7</v>
      </c>
      <c r="CC10" s="51">
        <v>119.4</v>
      </c>
      <c r="CD10" s="51">
        <v>236.6</v>
      </c>
      <c r="CE10" s="51">
        <v>58.2</v>
      </c>
      <c r="CF10" s="51">
        <f t="shared" ref="CF10:CG10" si="11">+CE10-20</f>
        <v>38.200000000000003</v>
      </c>
      <c r="CG10" s="51">
        <f t="shared" si="11"/>
        <v>18.200000000000003</v>
      </c>
      <c r="CH10" s="51">
        <v>15</v>
      </c>
      <c r="CI10" s="51"/>
      <c r="CJ10" s="51"/>
      <c r="CK10" s="49"/>
      <c r="CL10" s="51"/>
      <c r="CM10" s="51"/>
      <c r="CN10" s="51"/>
      <c r="CO10" s="51">
        <v>143</v>
      </c>
      <c r="CP10" s="51">
        <v>463</v>
      </c>
      <c r="CQ10" s="51">
        <v>619</v>
      </c>
      <c r="CR10" s="51">
        <f>SUM(S10:V10)</f>
        <v>854</v>
      </c>
      <c r="CS10" s="51">
        <f>SUM(W10:Z10)</f>
        <v>1154.8</v>
      </c>
      <c r="CT10" s="51">
        <f>SUM(AA10:AD10)</f>
        <v>1706.1</v>
      </c>
      <c r="CU10" s="51">
        <f>SUM(AE10:AH10)</f>
        <v>2208.5</v>
      </c>
      <c r="CV10" s="51">
        <f>SUM(AI10:AL10)</f>
        <v>2461.1</v>
      </c>
      <c r="CW10" s="51">
        <f>SUM(AM10:AP10)</f>
        <v>2594.1999999999998</v>
      </c>
      <c r="CX10" s="51">
        <v>2703</v>
      </c>
      <c r="CY10" s="51">
        <v>2792</v>
      </c>
      <c r="CZ10" s="51">
        <v>2493.1</v>
      </c>
      <c r="DA10" s="51">
        <v>2283.3000000000002</v>
      </c>
      <c r="DB10" s="51">
        <v>2062.5</v>
      </c>
      <c r="DC10" s="49">
        <v>2132.9</v>
      </c>
      <c r="DD10" s="49">
        <v>2115.8000000000002</v>
      </c>
      <c r="DE10" s="49">
        <f t="shared" si="3"/>
        <v>2329.9</v>
      </c>
      <c r="DF10" s="49">
        <f t="shared" si="4"/>
        <v>2061.5</v>
      </c>
      <c r="DG10" s="49">
        <f t="shared" si="5"/>
        <v>927.59999999999991</v>
      </c>
      <c r="DH10" s="49">
        <f t="shared" si="6"/>
        <v>129.60000000000002</v>
      </c>
      <c r="DI10" s="49">
        <f>+DH10*0.5</f>
        <v>64.800000000000011</v>
      </c>
      <c r="DJ10" s="49">
        <f t="shared" ref="DJ10:DO10" si="12">+DI10*0.5</f>
        <v>32.400000000000006</v>
      </c>
      <c r="DK10" s="49">
        <f t="shared" si="12"/>
        <v>16.200000000000003</v>
      </c>
      <c r="DL10" s="49">
        <f t="shared" si="12"/>
        <v>8.1000000000000014</v>
      </c>
      <c r="DM10" s="49">
        <f t="shared" si="12"/>
        <v>4.0500000000000007</v>
      </c>
      <c r="DN10" s="49">
        <f t="shared" si="12"/>
        <v>2.0250000000000004</v>
      </c>
      <c r="DO10" s="49">
        <f t="shared" si="12"/>
        <v>1.0125000000000002</v>
      </c>
    </row>
    <row r="11" spans="1:119" x14ac:dyDescent="0.2">
      <c r="B11" t="s">
        <v>57</v>
      </c>
      <c r="C11" s="51">
        <v>241</v>
      </c>
      <c r="D11" s="51">
        <v>255.5</v>
      </c>
      <c r="E11" s="51">
        <v>264.5</v>
      </c>
      <c r="F11" s="51">
        <f>1060-E11-D11-C11</f>
        <v>299</v>
      </c>
      <c r="G11" s="51">
        <v>249.4</v>
      </c>
      <c r="H11" s="51">
        <v>259.3</v>
      </c>
      <c r="I11" s="51">
        <v>243.7</v>
      </c>
      <c r="J11" s="51">
        <v>245.2</v>
      </c>
      <c r="K11" s="51">
        <v>256.89999999999998</v>
      </c>
      <c r="L11" s="51">
        <v>249.8</v>
      </c>
      <c r="M11" s="51">
        <v>250.9</v>
      </c>
      <c r="N11" s="51">
        <v>247.2</v>
      </c>
      <c r="O11" s="51">
        <v>219</v>
      </c>
      <c r="P11" s="51">
        <v>220</v>
      </c>
      <c r="Q11" s="51">
        <v>230</v>
      </c>
      <c r="R11" s="51">
        <v>257</v>
      </c>
      <c r="S11" s="51">
        <v>225.8</v>
      </c>
      <c r="T11" s="51">
        <v>242.8</v>
      </c>
      <c r="U11" s="51">
        <v>243.3</v>
      </c>
      <c r="V11" s="51">
        <v>273.39999999999998</v>
      </c>
      <c r="W11" s="51">
        <v>257.7</v>
      </c>
      <c r="X11" s="51">
        <v>271.39999999999998</v>
      </c>
      <c r="Y11" s="51">
        <v>271.60000000000002</v>
      </c>
      <c r="Z11" s="51">
        <v>262.39999999999998</v>
      </c>
      <c r="AA11" s="51">
        <v>240.6</v>
      </c>
      <c r="AB11" s="51">
        <v>248.1</v>
      </c>
      <c r="AC11" s="51">
        <v>260.39999999999998</v>
      </c>
      <c r="AD11" s="51">
        <v>273</v>
      </c>
      <c r="AE11" s="51">
        <v>257.8</v>
      </c>
      <c r="AF11" s="51">
        <v>265.2</v>
      </c>
      <c r="AG11" s="51">
        <v>278</v>
      </c>
      <c r="AH11" s="51">
        <v>287.89999999999998</v>
      </c>
      <c r="AI11" s="51">
        <v>289.8</v>
      </c>
      <c r="AJ11" s="51">
        <v>311.8</v>
      </c>
      <c r="AK11" s="51">
        <v>301.5</v>
      </c>
      <c r="AL11" s="51">
        <v>345.6</v>
      </c>
      <c r="AM11" s="51">
        <v>307.7</v>
      </c>
      <c r="AN11" s="51">
        <v>303</v>
      </c>
      <c r="AO11" s="51">
        <v>285.39999999999998</v>
      </c>
      <c r="AP11" s="51">
        <v>343</v>
      </c>
      <c r="AQ11" s="51">
        <v>311.89999999999998</v>
      </c>
      <c r="AR11" s="51">
        <v>327.5</v>
      </c>
      <c r="AS11" s="51">
        <v>307</v>
      </c>
      <c r="AT11" s="51">
        <v>369.5</v>
      </c>
      <c r="AU11" s="51">
        <v>316.2</v>
      </c>
      <c r="AV11" s="51">
        <v>352.4</v>
      </c>
      <c r="AW11" s="51">
        <v>335.9</v>
      </c>
      <c r="AX11" s="51">
        <v>395.6</v>
      </c>
      <c r="AY11" s="51">
        <v>315.7</v>
      </c>
      <c r="AZ11" s="51">
        <v>316.39999999999998</v>
      </c>
      <c r="BA11" s="51">
        <v>316.7</v>
      </c>
      <c r="BB11" s="51">
        <v>358.6</v>
      </c>
      <c r="BC11" s="51">
        <v>356.4</v>
      </c>
      <c r="BD11" s="51">
        <v>332.3</v>
      </c>
      <c r="BE11" s="51">
        <v>322</v>
      </c>
      <c r="BF11" s="51">
        <v>355.3</v>
      </c>
      <c r="BG11" s="51">
        <v>314.5</v>
      </c>
      <c r="BH11" s="51">
        <v>357.8</v>
      </c>
      <c r="BI11" s="51">
        <v>300.5</v>
      </c>
      <c r="BJ11" s="51">
        <v>362.6</v>
      </c>
      <c r="BK11" s="51">
        <v>325.89999999999998</v>
      </c>
      <c r="BL11" s="51">
        <v>346</v>
      </c>
      <c r="BM11" s="51">
        <v>322.10000000000002</v>
      </c>
      <c r="BN11" s="51">
        <v>337.4</v>
      </c>
      <c r="BO11" s="51">
        <v>297.7</v>
      </c>
      <c r="BP11" s="51">
        <v>322.60000000000002</v>
      </c>
      <c r="BQ11" s="51">
        <v>321.8</v>
      </c>
      <c r="BR11" s="51">
        <v>348</v>
      </c>
      <c r="BS11" s="51">
        <v>315.7</v>
      </c>
      <c r="BT11" s="51">
        <v>313.60000000000002</v>
      </c>
      <c r="BU11" s="51">
        <v>305.89999999999998</v>
      </c>
      <c r="BV11" s="51">
        <v>324.39999999999998</v>
      </c>
      <c r="BW11" s="51">
        <f>219+102.7</f>
        <v>321.7</v>
      </c>
      <c r="BX11" s="51">
        <v>315.3</v>
      </c>
      <c r="BY11" s="51">
        <v>286.7</v>
      </c>
      <c r="BZ11" s="51">
        <v>298.8</v>
      </c>
      <c r="CA11" s="51">
        <f>190.4+82.8</f>
        <v>273.2</v>
      </c>
      <c r="CB11" s="51">
        <v>274</v>
      </c>
      <c r="CC11" s="51">
        <v>238.2</v>
      </c>
      <c r="CD11" s="51">
        <v>234</v>
      </c>
      <c r="CE11" s="51"/>
      <c r="CF11" s="51"/>
      <c r="CG11" s="51"/>
      <c r="CH11" s="51"/>
      <c r="CI11" s="51"/>
      <c r="CJ11" s="51"/>
      <c r="CK11" s="49"/>
      <c r="CL11" s="51"/>
      <c r="CM11" s="51">
        <v>1004</v>
      </c>
      <c r="CN11" s="51">
        <v>1060</v>
      </c>
      <c r="CO11" s="51">
        <v>997</v>
      </c>
      <c r="CP11" s="51">
        <v>1005</v>
      </c>
      <c r="CQ11" s="51">
        <v>905</v>
      </c>
      <c r="CR11" s="51">
        <f t="shared" ref="CR11" si="13">SUM(S11:V11)</f>
        <v>985.30000000000007</v>
      </c>
      <c r="CS11" s="51">
        <f t="shared" ref="CS11:CS35" si="14">SUM(W11:Z11)</f>
        <v>1063.0999999999999</v>
      </c>
      <c r="CT11" s="51">
        <f t="shared" ref="CT11:CT35" si="15">SUM(AA11:AD11)</f>
        <v>1022.0999999999999</v>
      </c>
      <c r="CU11" s="51">
        <f t="shared" ref="CU11:CU35" si="16">SUM(AE11:AH11)</f>
        <v>1088.9000000000001</v>
      </c>
      <c r="CV11" s="51">
        <f t="shared" ref="CV11:CV36" si="17">SUM(AI11:AL11)</f>
        <v>1248.7</v>
      </c>
      <c r="CW11" s="51">
        <f>SUM(AM11:AP11)</f>
        <v>1239.0999999999999</v>
      </c>
      <c r="CX11" s="51">
        <v>1315.8</v>
      </c>
      <c r="CY11" s="51">
        <v>1400.1</v>
      </c>
      <c r="CZ11" s="51">
        <v>1307.4000000000001</v>
      </c>
      <c r="DA11" s="51">
        <v>1365.9</v>
      </c>
      <c r="DB11" s="51">
        <v>1335.4</v>
      </c>
      <c r="DC11" s="49">
        <v>1331.4</v>
      </c>
      <c r="DD11" s="49">
        <v>1290.0999999999999</v>
      </c>
      <c r="DE11" s="49">
        <f t="shared" si="3"/>
        <v>1259.5999999999999</v>
      </c>
      <c r="DF11" s="49">
        <f t="shared" si="4"/>
        <v>1222.5</v>
      </c>
      <c r="DG11" s="49">
        <f t="shared" si="5"/>
        <v>1019.4000000000001</v>
      </c>
      <c r="DH11" s="49">
        <f t="shared" si="6"/>
        <v>0</v>
      </c>
      <c r="DI11" s="49">
        <f t="shared" ref="DI11:DO11" si="18">+DH11*0.95</f>
        <v>0</v>
      </c>
      <c r="DJ11" s="49">
        <f t="shared" si="18"/>
        <v>0</v>
      </c>
      <c r="DK11" s="49">
        <f t="shared" si="18"/>
        <v>0</v>
      </c>
      <c r="DL11" s="49">
        <f t="shared" si="18"/>
        <v>0</v>
      </c>
      <c r="DM11" s="49">
        <f t="shared" si="18"/>
        <v>0</v>
      </c>
      <c r="DN11" s="49">
        <f t="shared" si="18"/>
        <v>0</v>
      </c>
      <c r="DO11" s="49">
        <f t="shared" si="18"/>
        <v>0</v>
      </c>
    </row>
    <row r="12" spans="1:119" x14ac:dyDescent="0.2">
      <c r="B12" s="38" t="s">
        <v>376</v>
      </c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>
        <v>1.9</v>
      </c>
      <c r="BH12" s="52">
        <v>4.8</v>
      </c>
      <c r="BI12" s="52">
        <v>16.2</v>
      </c>
      <c r="BJ12" s="52">
        <v>23</v>
      </c>
      <c r="BK12" s="52">
        <v>32.200000000000003</v>
      </c>
      <c r="BL12" s="52">
        <v>44.7</v>
      </c>
      <c r="BM12" s="52">
        <v>55.6</v>
      </c>
      <c r="BN12" s="52">
        <v>70.099999999999994</v>
      </c>
      <c r="BO12" s="52">
        <v>82.1</v>
      </c>
      <c r="BP12" s="52">
        <v>102.4</v>
      </c>
      <c r="BQ12" s="52">
        <v>114.6</v>
      </c>
      <c r="BR12" s="52">
        <v>127.8</v>
      </c>
      <c r="BS12" s="52">
        <v>139.69999999999999</v>
      </c>
      <c r="BT12" s="52">
        <v>145</v>
      </c>
      <c r="BU12" s="52">
        <v>162</v>
      </c>
      <c r="BV12" s="52">
        <v>192.2</v>
      </c>
      <c r="BW12" s="52">
        <v>193.8</v>
      </c>
      <c r="BX12" s="52">
        <v>208.4</v>
      </c>
      <c r="BY12" s="52">
        <v>406.9</v>
      </c>
      <c r="BZ12" s="52">
        <v>306</v>
      </c>
      <c r="CA12" s="52">
        <v>255.6</v>
      </c>
      <c r="CB12" s="52">
        <v>186.2</v>
      </c>
      <c r="CC12" s="52">
        <v>182.9</v>
      </c>
      <c r="CD12" s="52">
        <v>205.8</v>
      </c>
      <c r="CE12" s="52">
        <v>228.9</v>
      </c>
      <c r="CF12" s="52">
        <f>+CB12*1.1</f>
        <v>204.82</v>
      </c>
      <c r="CG12" s="52">
        <f>+CC12*1.05</f>
        <v>192.04500000000002</v>
      </c>
      <c r="CH12" s="52">
        <f>+CD12*1.1</f>
        <v>226.38000000000002</v>
      </c>
      <c r="CI12" s="52"/>
      <c r="CJ12" s="52"/>
      <c r="CK12" s="49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>
        <v>0</v>
      </c>
      <c r="CY12" s="51">
        <v>0</v>
      </c>
      <c r="CZ12" s="51">
        <v>0</v>
      </c>
      <c r="DA12" s="51">
        <v>0</v>
      </c>
      <c r="DB12" s="51">
        <v>45.8</v>
      </c>
      <c r="DC12" s="49">
        <v>202.5</v>
      </c>
      <c r="DD12" s="49">
        <v>426.9</v>
      </c>
      <c r="DE12" s="49">
        <f t="shared" si="3"/>
        <v>638.9</v>
      </c>
      <c r="DF12" s="49">
        <f t="shared" si="4"/>
        <v>1115.0999999999999</v>
      </c>
      <c r="DG12" s="49">
        <f t="shared" si="5"/>
        <v>830.5</v>
      </c>
      <c r="DH12" s="49">
        <f t="shared" si="6"/>
        <v>852.1450000000001</v>
      </c>
      <c r="DI12" s="49">
        <f>+DH12*1.01</f>
        <v>860.66645000000005</v>
      </c>
      <c r="DJ12" s="49">
        <f t="shared" ref="DJ12:DN12" si="19">+DI12*1.01</f>
        <v>869.27311450000002</v>
      </c>
      <c r="DK12" s="49">
        <f t="shared" si="19"/>
        <v>877.96584564500006</v>
      </c>
      <c r="DL12" s="49">
        <f t="shared" si="19"/>
        <v>886.74550410145002</v>
      </c>
      <c r="DM12" s="49">
        <f t="shared" si="19"/>
        <v>895.61295914246455</v>
      </c>
      <c r="DN12" s="49">
        <f t="shared" si="19"/>
        <v>904.5690887338892</v>
      </c>
      <c r="DO12" s="49">
        <f>+DN12*0.1</f>
        <v>90.456908873388926</v>
      </c>
    </row>
    <row r="13" spans="1:119" x14ac:dyDescent="0.2">
      <c r="B13" s="38" t="s">
        <v>373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>
        <v>13.7</v>
      </c>
      <c r="AW13" s="51">
        <v>28.4</v>
      </c>
      <c r="AX13" s="51">
        <v>33.6</v>
      </c>
      <c r="AY13" s="51">
        <v>67.5</v>
      </c>
      <c r="AZ13" s="51">
        <v>87.7</v>
      </c>
      <c r="BA13" s="51">
        <v>111.2</v>
      </c>
      <c r="BB13" s="51">
        <v>117.5</v>
      </c>
      <c r="BC13" s="51">
        <v>131</v>
      </c>
      <c r="BD13" s="51">
        <v>147</v>
      </c>
      <c r="BE13" s="51">
        <v>159</v>
      </c>
      <c r="BF13" s="51">
        <v>177.1</v>
      </c>
      <c r="BG13" s="51">
        <v>171.2</v>
      </c>
      <c r="BH13" s="51">
        <v>186.3</v>
      </c>
      <c r="BI13" s="51">
        <v>196</v>
      </c>
      <c r="BJ13" s="51">
        <v>204.8</v>
      </c>
      <c r="BK13" s="51">
        <v>183.6</v>
      </c>
      <c r="BL13" s="51">
        <v>218.8</v>
      </c>
      <c r="BM13" s="51">
        <v>198.4</v>
      </c>
      <c r="BN13" s="51">
        <v>220.6</v>
      </c>
      <c r="BO13" s="51">
        <v>198.3</v>
      </c>
      <c r="BP13" s="51">
        <v>241.8</v>
      </c>
      <c r="BQ13" s="51">
        <v>240</v>
      </c>
      <c r="BR13" s="51">
        <v>245.1</v>
      </c>
      <c r="BS13" s="51">
        <v>239</v>
      </c>
      <c r="BT13" s="51">
        <v>256.7</v>
      </c>
      <c r="BU13" s="51">
        <v>252.7</v>
      </c>
      <c r="BV13" s="51">
        <v>284.2</v>
      </c>
      <c r="BW13" s="51">
        <v>240.5</v>
      </c>
      <c r="BX13" s="51">
        <v>268.7</v>
      </c>
      <c r="BY13" s="51">
        <v>253.4</v>
      </c>
      <c r="BZ13" s="51">
        <v>270.39999999999998</v>
      </c>
      <c r="CA13" s="51">
        <v>230.3</v>
      </c>
      <c r="CB13" s="51">
        <v>231.3</v>
      </c>
      <c r="CC13" s="51">
        <v>232.1</v>
      </c>
      <c r="CD13" s="51">
        <v>277.8</v>
      </c>
      <c r="CE13" s="51">
        <v>236.8</v>
      </c>
      <c r="CF13" s="51">
        <f t="shared" ref="CF13:CH13" si="20">+CA13*0.95</f>
        <v>218.785</v>
      </c>
      <c r="CG13" s="51">
        <f t="shared" si="20"/>
        <v>219.73500000000001</v>
      </c>
      <c r="CH13" s="51">
        <f t="shared" si="20"/>
        <v>220.49499999999998</v>
      </c>
      <c r="CI13" s="51"/>
      <c r="CJ13" s="51"/>
      <c r="CK13" s="49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>
        <v>0</v>
      </c>
      <c r="CY13" s="51">
        <v>75.599999999999994</v>
      </c>
      <c r="CZ13" s="51">
        <v>383.8</v>
      </c>
      <c r="DA13" s="51">
        <v>614.1</v>
      </c>
      <c r="DB13" s="51">
        <v>758.3</v>
      </c>
      <c r="DC13" s="49">
        <v>821.4</v>
      </c>
      <c r="DD13" s="49">
        <v>925.1</v>
      </c>
      <c r="DE13" s="49">
        <f t="shared" si="3"/>
        <v>1032.5999999999999</v>
      </c>
      <c r="DF13" s="49">
        <f t="shared" si="4"/>
        <v>1033</v>
      </c>
      <c r="DG13" s="49">
        <f t="shared" si="5"/>
        <v>971.5</v>
      </c>
      <c r="DH13" s="49">
        <f t="shared" si="6"/>
        <v>895.81500000000005</v>
      </c>
      <c r="DI13" s="49">
        <f t="shared" ref="DI13:DO13" si="21">+DH13*0.95</f>
        <v>851.02425000000005</v>
      </c>
      <c r="DJ13" s="49">
        <f t="shared" si="21"/>
        <v>808.47303750000003</v>
      </c>
      <c r="DK13" s="49">
        <f t="shared" si="21"/>
        <v>768.04938562500001</v>
      </c>
      <c r="DL13" s="49">
        <f t="shared" si="21"/>
        <v>729.64691634375004</v>
      </c>
      <c r="DM13" s="49">
        <f t="shared" si="21"/>
        <v>693.16457052656256</v>
      </c>
      <c r="DN13" s="49">
        <f t="shared" si="21"/>
        <v>658.50634200023444</v>
      </c>
      <c r="DO13" s="49">
        <f t="shared" si="21"/>
        <v>625.5810249002227</v>
      </c>
    </row>
    <row r="14" spans="1:119" x14ac:dyDescent="0.2">
      <c r="B14" t="s">
        <v>18</v>
      </c>
      <c r="C14" s="51">
        <v>21.5</v>
      </c>
      <c r="D14" s="51">
        <v>37.5</v>
      </c>
      <c r="E14" s="51">
        <v>50.2</v>
      </c>
      <c r="F14" s="51">
        <f>203.3-E14-D14-C14</f>
        <v>94.100000000000023</v>
      </c>
      <c r="G14" s="51">
        <v>108.3</v>
      </c>
      <c r="H14" s="51"/>
      <c r="I14" s="51">
        <v>154.1</v>
      </c>
      <c r="J14" s="51">
        <v>152.69999999999999</v>
      </c>
      <c r="K14" s="51">
        <v>150.1</v>
      </c>
      <c r="L14" s="51"/>
      <c r="M14" s="51"/>
      <c r="N14" s="51"/>
      <c r="O14" s="51"/>
      <c r="P14" s="51"/>
      <c r="Q14" s="51"/>
      <c r="R14" s="51">
        <v>268</v>
      </c>
      <c r="S14" s="51">
        <v>193.1</v>
      </c>
      <c r="T14" s="51">
        <v>293.10000000000002</v>
      </c>
      <c r="U14" s="51">
        <v>311</v>
      </c>
      <c r="V14" s="51">
        <v>346.2</v>
      </c>
      <c r="W14" s="51">
        <v>336.9</v>
      </c>
      <c r="X14" s="51">
        <v>362.2</v>
      </c>
      <c r="Y14" s="51">
        <v>376.6</v>
      </c>
      <c r="Z14" s="51">
        <v>368.8</v>
      </c>
      <c r="AA14" s="51">
        <v>358.8</v>
      </c>
      <c r="AB14" s="51">
        <v>363.6</v>
      </c>
      <c r="AC14" s="51">
        <v>397.2</v>
      </c>
      <c r="AD14" s="51">
        <v>439.5</v>
      </c>
      <c r="AE14" s="51">
        <v>408.3</v>
      </c>
      <c r="AF14" s="51">
        <v>418.7</v>
      </c>
      <c r="AG14" s="51">
        <v>406.5</v>
      </c>
      <c r="AH14" s="51">
        <v>465.9</v>
      </c>
      <c r="AI14" s="51">
        <v>434.4</v>
      </c>
      <c r="AJ14" s="51">
        <v>477.2</v>
      </c>
      <c r="AK14" s="51">
        <v>469.8</v>
      </c>
      <c r="AL14" s="51">
        <v>494.2</v>
      </c>
      <c r="AM14" s="51">
        <v>461.8</v>
      </c>
      <c r="AN14" s="51">
        <v>469.5</v>
      </c>
      <c r="AO14" s="51">
        <v>482.1</v>
      </c>
      <c r="AP14" s="51">
        <v>513.4</v>
      </c>
      <c r="AQ14" s="51">
        <v>515</v>
      </c>
      <c r="AR14" s="51">
        <v>529.4</v>
      </c>
      <c r="AS14" s="51">
        <v>526.70000000000005</v>
      </c>
      <c r="AT14" s="51">
        <v>588.29999999999995</v>
      </c>
      <c r="AU14" s="51">
        <v>532.4</v>
      </c>
      <c r="AV14" s="51">
        <v>567.79999999999995</v>
      </c>
      <c r="AW14" s="51">
        <v>568.4</v>
      </c>
      <c r="AX14" s="51">
        <v>622.4</v>
      </c>
      <c r="AY14" s="51">
        <v>538.29999999999995</v>
      </c>
      <c r="AZ14" s="51">
        <v>567.9</v>
      </c>
      <c r="BA14" s="51">
        <v>566.1</v>
      </c>
      <c r="BB14" s="51">
        <v>638.4</v>
      </c>
      <c r="BC14" s="51">
        <v>576.70000000000005</v>
      </c>
      <c r="BD14" s="51">
        <v>630.5</v>
      </c>
      <c r="BE14" s="51">
        <v>588.20000000000005</v>
      </c>
      <c r="BF14" s="51">
        <v>676.3</v>
      </c>
      <c r="BG14" s="51">
        <v>533.6</v>
      </c>
      <c r="BH14" s="51">
        <v>627.29999999999995</v>
      </c>
      <c r="BI14" s="51">
        <v>564.9</v>
      </c>
      <c r="BJ14" s="51">
        <v>597.4</v>
      </c>
      <c r="BK14" s="51">
        <v>495.4</v>
      </c>
      <c r="BL14" s="51">
        <v>538.70000000000005</v>
      </c>
      <c r="BM14" s="51">
        <v>467.1</v>
      </c>
      <c r="BN14" s="51">
        <v>350.7</v>
      </c>
      <c r="BO14" s="51">
        <v>0</v>
      </c>
      <c r="BP14" s="51">
        <v>0</v>
      </c>
      <c r="BQ14" s="51">
        <v>0</v>
      </c>
      <c r="BR14" s="51">
        <v>0</v>
      </c>
      <c r="BS14" s="51">
        <v>193</v>
      </c>
      <c r="BT14" s="51">
        <v>130.69999999999999</v>
      </c>
      <c r="BU14" s="52">
        <v>162.5</v>
      </c>
      <c r="BV14" s="51">
        <f>607.1-BU14-BT14-BS14</f>
        <v>120.90000000000003</v>
      </c>
      <c r="BW14" s="51">
        <v>126.8</v>
      </c>
      <c r="BX14" s="51">
        <v>281</v>
      </c>
      <c r="BY14" s="51">
        <v>130.9</v>
      </c>
      <c r="BZ14" s="51">
        <f>718.4-BY14-BX14-BW14</f>
        <v>179.7</v>
      </c>
      <c r="CA14" s="51">
        <v>217.7</v>
      </c>
      <c r="CB14" s="51">
        <v>147</v>
      </c>
      <c r="CC14" s="51">
        <v>0</v>
      </c>
      <c r="CD14" s="51">
        <v>0</v>
      </c>
      <c r="CE14" s="51"/>
      <c r="CF14" s="51"/>
      <c r="CG14" s="51"/>
      <c r="CH14" s="51"/>
      <c r="CI14" s="51"/>
      <c r="CJ14" s="51"/>
      <c r="CK14" s="49"/>
      <c r="CL14" s="51"/>
      <c r="CM14" s="51"/>
      <c r="CN14" s="51">
        <v>74</v>
      </c>
      <c r="CO14" s="51">
        <v>130</v>
      </c>
      <c r="CP14" s="51">
        <v>170</v>
      </c>
      <c r="CQ14" s="51">
        <v>212</v>
      </c>
      <c r="CR14" s="51">
        <f>SUM(S14:V14)</f>
        <v>1143.4000000000001</v>
      </c>
      <c r="CS14" s="51">
        <f>SUM(W14:Z14)</f>
        <v>1444.4999999999998</v>
      </c>
      <c r="CT14" s="51">
        <f>SUM(AA14:AD14)</f>
        <v>1559.1000000000001</v>
      </c>
      <c r="CU14" s="51">
        <f>SUM(AE14:AH14)</f>
        <v>1699.4</v>
      </c>
      <c r="CV14" s="51">
        <f>SUM(AI14:AL14)</f>
        <v>1875.6</v>
      </c>
      <c r="CW14" s="51">
        <f>SUM(AM14:AP14)</f>
        <v>1926.8000000000002</v>
      </c>
      <c r="CX14" s="51">
        <v>2159.4</v>
      </c>
      <c r="CY14" s="51">
        <v>2291</v>
      </c>
      <c r="CZ14" s="51">
        <v>2310.6999999999998</v>
      </c>
      <c r="DA14" s="51">
        <v>2471.6</v>
      </c>
      <c r="DB14" s="51">
        <v>2323.1</v>
      </c>
      <c r="DC14" s="49">
        <v>1851.8</v>
      </c>
      <c r="DD14" s="49">
        <v>890.5</v>
      </c>
      <c r="DE14" s="49">
        <f t="shared" si="3"/>
        <v>607.1</v>
      </c>
      <c r="DF14" s="49">
        <f t="shared" si="4"/>
        <v>718.40000000000009</v>
      </c>
      <c r="DG14" s="49">
        <f t="shared" si="5"/>
        <v>364.7</v>
      </c>
      <c r="DH14" s="49">
        <f t="shared" si="6"/>
        <v>0</v>
      </c>
      <c r="DI14" s="49">
        <f t="shared" ref="DI14:DO15" si="22">+DH14*0.9</f>
        <v>0</v>
      </c>
      <c r="DJ14" s="49">
        <f t="shared" si="22"/>
        <v>0</v>
      </c>
      <c r="DK14" s="49">
        <f t="shared" si="22"/>
        <v>0</v>
      </c>
      <c r="DL14" s="49">
        <f t="shared" si="22"/>
        <v>0</v>
      </c>
      <c r="DM14" s="49">
        <f t="shared" si="22"/>
        <v>0</v>
      </c>
      <c r="DN14" s="49">
        <f t="shared" si="22"/>
        <v>0</v>
      </c>
      <c r="DO14" s="49">
        <f t="shared" si="22"/>
        <v>0</v>
      </c>
    </row>
    <row r="15" spans="1:119" x14ac:dyDescent="0.2">
      <c r="B15" s="38" t="s">
        <v>369</v>
      </c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>
        <v>3.8</v>
      </c>
      <c r="BB15" s="51">
        <v>7.3</v>
      </c>
      <c r="BC15" s="51">
        <v>10.9</v>
      </c>
      <c r="BD15" s="51">
        <v>16.3</v>
      </c>
      <c r="BE15" s="51">
        <v>19.399999999999999</v>
      </c>
      <c r="BF15" s="51">
        <v>39.5</v>
      </c>
      <c r="BG15" s="51">
        <v>46</v>
      </c>
      <c r="BH15" s="51">
        <v>86.6</v>
      </c>
      <c r="BI15" s="51">
        <v>145.69999999999999</v>
      </c>
      <c r="BJ15" s="51">
        <v>153.80000000000001</v>
      </c>
      <c r="BK15" s="51">
        <v>166</v>
      </c>
      <c r="BL15" s="51">
        <v>201.8</v>
      </c>
      <c r="BM15" s="51">
        <v>201.2</v>
      </c>
      <c r="BN15" s="51">
        <v>232.2</v>
      </c>
      <c r="BO15" s="51">
        <v>251.4</v>
      </c>
      <c r="BP15" s="51">
        <v>290.7</v>
      </c>
      <c r="BQ15" s="51">
        <v>263.2</v>
      </c>
      <c r="BR15" s="51">
        <v>307.2</v>
      </c>
      <c r="BS15" s="51">
        <v>303.7</v>
      </c>
      <c r="BT15" s="51">
        <v>290.39999999999998</v>
      </c>
      <c r="BU15" s="51">
        <v>248.2</v>
      </c>
      <c r="BV15" s="51">
        <v>282.10000000000002</v>
      </c>
      <c r="BW15" s="51">
        <v>246.6</v>
      </c>
      <c r="BX15" s="51">
        <v>210.7</v>
      </c>
      <c r="BY15" s="51">
        <v>192.8</v>
      </c>
      <c r="BZ15" s="51">
        <v>242.4</v>
      </c>
      <c r="CA15" s="51">
        <v>191.5</v>
      </c>
      <c r="CB15" s="51">
        <v>174.2</v>
      </c>
      <c r="CC15" s="51">
        <v>193</v>
      </c>
      <c r="CD15" s="51">
        <v>201.7</v>
      </c>
      <c r="CE15" s="51"/>
      <c r="CF15" s="51"/>
      <c r="CG15" s="51"/>
      <c r="CH15" s="51"/>
      <c r="CI15" s="51"/>
      <c r="CJ15" s="51"/>
      <c r="CK15" s="49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>
        <v>0</v>
      </c>
      <c r="CY15" s="51">
        <v>0</v>
      </c>
      <c r="CZ15" s="51">
        <v>0</v>
      </c>
      <c r="DA15" s="51">
        <v>0</v>
      </c>
      <c r="DB15" s="51">
        <v>432.1</v>
      </c>
      <c r="DC15" s="49">
        <v>801.2</v>
      </c>
      <c r="DD15" s="49">
        <v>1112.5999999999999</v>
      </c>
      <c r="DE15" s="49">
        <f t="shared" si="3"/>
        <v>1124.4000000000001</v>
      </c>
      <c r="DF15" s="49">
        <f t="shared" si="4"/>
        <v>892.49999999999989</v>
      </c>
      <c r="DG15" s="49">
        <f t="shared" si="5"/>
        <v>760.40000000000009</v>
      </c>
      <c r="DH15" s="49">
        <f t="shared" si="6"/>
        <v>0</v>
      </c>
      <c r="DI15" s="49">
        <f t="shared" si="22"/>
        <v>0</v>
      </c>
      <c r="DJ15" s="49">
        <f t="shared" si="22"/>
        <v>0</v>
      </c>
      <c r="DK15" s="49">
        <f t="shared" si="22"/>
        <v>0</v>
      </c>
      <c r="DL15" s="49">
        <f t="shared" si="22"/>
        <v>0</v>
      </c>
      <c r="DM15" s="49">
        <f t="shared" si="22"/>
        <v>0</v>
      </c>
      <c r="DN15" s="49">
        <f t="shared" si="22"/>
        <v>0</v>
      </c>
      <c r="DO15" s="49">
        <f t="shared" si="22"/>
        <v>0</v>
      </c>
    </row>
    <row r="16" spans="1:119" x14ac:dyDescent="0.2">
      <c r="B16" s="38" t="s">
        <v>378</v>
      </c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>
        <v>4.9000000000000004</v>
      </c>
      <c r="BO16" s="52">
        <v>14.2</v>
      </c>
      <c r="BP16" s="52">
        <v>34.299999999999997</v>
      </c>
      <c r="BQ16" s="52">
        <v>47.7</v>
      </c>
      <c r="BR16" s="52">
        <v>66.3</v>
      </c>
      <c r="BS16" s="52">
        <v>74</v>
      </c>
      <c r="BT16" s="52">
        <v>87.4</v>
      </c>
      <c r="BU16" s="52">
        <v>91.5</v>
      </c>
      <c r="BV16" s="52">
        <v>109.9</v>
      </c>
      <c r="BW16" s="52">
        <v>119.5</v>
      </c>
      <c r="BX16" s="52">
        <v>156.30000000000001</v>
      </c>
      <c r="BY16" s="52">
        <v>140</v>
      </c>
      <c r="BZ16" s="52">
        <v>161.5</v>
      </c>
      <c r="CA16" s="52">
        <v>149.30000000000001</v>
      </c>
      <c r="CB16" s="52">
        <v>157.5</v>
      </c>
      <c r="CC16" s="52">
        <v>168.5</v>
      </c>
      <c r="CD16" s="52">
        <v>175.6</v>
      </c>
      <c r="CE16" s="52">
        <v>154.30000000000001</v>
      </c>
      <c r="CF16" s="52">
        <f t="shared" ref="CF16:CH16" si="23">+CB16*1.1</f>
        <v>173.25</v>
      </c>
      <c r="CG16" s="52">
        <f t="shared" si="23"/>
        <v>185.35000000000002</v>
      </c>
      <c r="CH16" s="52">
        <f t="shared" si="23"/>
        <v>193.16</v>
      </c>
      <c r="CI16" s="52"/>
      <c r="CJ16" s="52"/>
      <c r="CK16" s="49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>
        <v>0</v>
      </c>
      <c r="CY16" s="51">
        <v>0</v>
      </c>
      <c r="CZ16" s="51">
        <v>0</v>
      </c>
      <c r="DA16" s="51">
        <v>0</v>
      </c>
      <c r="DB16" s="51">
        <v>0</v>
      </c>
      <c r="DC16" s="49">
        <v>4.9000000000000004</v>
      </c>
      <c r="DD16" s="49">
        <v>162.5</v>
      </c>
      <c r="DE16" s="49">
        <f t="shared" si="3"/>
        <v>362.8</v>
      </c>
      <c r="DF16" s="49">
        <f t="shared" si="4"/>
        <v>577.29999999999995</v>
      </c>
      <c r="DG16" s="49">
        <f t="shared" si="5"/>
        <v>650.9</v>
      </c>
      <c r="DH16" s="49">
        <f t="shared" si="6"/>
        <v>706.06000000000006</v>
      </c>
      <c r="DI16" s="49">
        <f t="shared" ref="DI16:DO16" si="24">+DH16*1.01</f>
        <v>713.12060000000008</v>
      </c>
      <c r="DJ16" s="49">
        <f t="shared" si="24"/>
        <v>720.2518060000001</v>
      </c>
      <c r="DK16" s="49">
        <f t="shared" si="24"/>
        <v>727.45432406000009</v>
      </c>
      <c r="DL16" s="49">
        <f t="shared" si="24"/>
        <v>734.72886730060009</v>
      </c>
      <c r="DM16" s="49">
        <f t="shared" si="24"/>
        <v>742.07615597360609</v>
      </c>
      <c r="DN16" s="49">
        <f t="shared" si="24"/>
        <v>749.49691753334218</v>
      </c>
      <c r="DO16" s="49">
        <f t="shared" si="24"/>
        <v>756.99188670867557</v>
      </c>
    </row>
    <row r="17" spans="2:119" x14ac:dyDescent="0.2">
      <c r="B17" s="38" t="s">
        <v>370</v>
      </c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>
        <v>17.8</v>
      </c>
      <c r="BT17" s="51">
        <v>15</v>
      </c>
      <c r="BU17" s="51">
        <v>17.2</v>
      </c>
      <c r="BV17" s="51">
        <v>20</v>
      </c>
      <c r="BW17" s="51">
        <v>20.6</v>
      </c>
      <c r="BX17" s="51">
        <v>25.4</v>
      </c>
      <c r="BY17" s="51">
        <v>39</v>
      </c>
      <c r="BZ17" s="51">
        <v>36.6</v>
      </c>
      <c r="CA17" s="51">
        <v>144.6</v>
      </c>
      <c r="CB17" s="51">
        <f>170-CB4</f>
        <v>154</v>
      </c>
      <c r="CC17" s="51">
        <v>0</v>
      </c>
      <c r="CD17" s="51">
        <f t="shared" ref="CD17" si="25">+CC17</f>
        <v>0</v>
      </c>
      <c r="CE17" s="51"/>
      <c r="CF17" s="51"/>
      <c r="CG17" s="51"/>
      <c r="CH17" s="51"/>
      <c r="CI17" s="51"/>
      <c r="CJ17" s="51"/>
      <c r="CK17" s="49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>
        <v>0</v>
      </c>
      <c r="CY17" s="51">
        <v>0</v>
      </c>
      <c r="CZ17" s="51">
        <v>0</v>
      </c>
      <c r="DA17" s="51">
        <v>0</v>
      </c>
      <c r="DB17" s="51">
        <f>380.9+307.7</f>
        <v>688.59999999999991</v>
      </c>
      <c r="DC17" s="49">
        <f>292.7+272.5</f>
        <v>565.20000000000005</v>
      </c>
      <c r="DD17" s="49">
        <f>293.7+230.1</f>
        <v>523.79999999999995</v>
      </c>
      <c r="DE17" s="49">
        <f t="shared" si="3"/>
        <v>70</v>
      </c>
      <c r="DF17" s="49">
        <f t="shared" si="4"/>
        <v>121.6</v>
      </c>
      <c r="DG17" s="49">
        <f t="shared" si="5"/>
        <v>298.60000000000002</v>
      </c>
      <c r="DH17" s="49">
        <f t="shared" si="6"/>
        <v>0</v>
      </c>
      <c r="DI17" s="49">
        <f t="shared" ref="DI17:DO17" si="26">+DH17*0.9</f>
        <v>0</v>
      </c>
      <c r="DJ17" s="49">
        <f t="shared" si="26"/>
        <v>0</v>
      </c>
      <c r="DK17" s="49">
        <f t="shared" si="26"/>
        <v>0</v>
      </c>
      <c r="DL17" s="49">
        <f t="shared" si="26"/>
        <v>0</v>
      </c>
      <c r="DM17" s="49">
        <f t="shared" si="26"/>
        <v>0</v>
      </c>
      <c r="DN17" s="49">
        <f t="shared" si="26"/>
        <v>0</v>
      </c>
      <c r="DO17" s="49">
        <f t="shared" si="26"/>
        <v>0</v>
      </c>
    </row>
    <row r="18" spans="2:119" x14ac:dyDescent="0.2">
      <c r="B18" s="38" t="s">
        <v>257</v>
      </c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>
        <v>99.7</v>
      </c>
      <c r="AC18" s="51">
        <v>101.9</v>
      </c>
      <c r="AD18" s="51">
        <v>95</v>
      </c>
      <c r="AE18" s="51">
        <v>92.4</v>
      </c>
      <c r="AF18" s="51">
        <v>103.8</v>
      </c>
      <c r="AG18" s="51">
        <v>95.4</v>
      </c>
      <c r="AH18" s="51">
        <v>94.5</v>
      </c>
      <c r="AI18" s="51">
        <v>104</v>
      </c>
      <c r="AJ18" s="51">
        <v>100.1</v>
      </c>
      <c r="AK18" s="51">
        <v>97.2</v>
      </c>
      <c r="AL18" s="51">
        <v>107.9</v>
      </c>
      <c r="AM18" s="51">
        <v>113.3</v>
      </c>
      <c r="AN18" s="51">
        <v>110</v>
      </c>
      <c r="AO18" s="51">
        <v>86.6</v>
      </c>
      <c r="AP18" s="52"/>
      <c r="AQ18" s="52"/>
      <c r="AR18" s="52"/>
      <c r="AS18" s="52"/>
      <c r="AT18" s="52"/>
      <c r="AU18" s="52"/>
      <c r="AV18" s="52"/>
      <c r="AW18" s="52"/>
      <c r="AX18" s="52">
        <v>96</v>
      </c>
      <c r="AY18" s="52">
        <v>88.2</v>
      </c>
      <c r="AZ18" s="52">
        <v>134.6</v>
      </c>
      <c r="BA18" s="52">
        <v>85.9</v>
      </c>
      <c r="BB18" s="52">
        <v>176.2</v>
      </c>
      <c r="BC18" s="52">
        <v>168.1</v>
      </c>
      <c r="BD18" s="52">
        <v>180.6</v>
      </c>
      <c r="BE18" s="52">
        <v>184.6</v>
      </c>
      <c r="BF18" s="52">
        <v>153.69999999999999</v>
      </c>
      <c r="BG18" s="52">
        <v>154.4</v>
      </c>
      <c r="BH18" s="52">
        <v>159.1</v>
      </c>
      <c r="BI18" s="52">
        <v>163.5</v>
      </c>
      <c r="BJ18" s="52">
        <v>168.9</v>
      </c>
      <c r="BK18" s="52">
        <v>149.6</v>
      </c>
      <c r="BL18" s="52">
        <v>166.4</v>
      </c>
      <c r="BM18" s="52">
        <v>159.5</v>
      </c>
      <c r="BN18" s="52">
        <v>159.80000000000001</v>
      </c>
      <c r="BO18" s="52"/>
      <c r="BP18" s="52"/>
      <c r="BQ18" s="52"/>
      <c r="BR18" s="52"/>
      <c r="BS18" s="52">
        <v>130.80000000000001</v>
      </c>
      <c r="BT18" s="52">
        <v>129.5</v>
      </c>
      <c r="BU18" s="52">
        <v>136.4</v>
      </c>
      <c r="BV18" s="52">
        <f>480.1+56.3-BU18-BT18-BS18</f>
        <v>139.69999999999999</v>
      </c>
      <c r="BW18" s="52">
        <v>122.4</v>
      </c>
      <c r="BX18" s="52">
        <v>147</v>
      </c>
      <c r="BY18" s="52">
        <v>134.30000000000001</v>
      </c>
      <c r="BZ18" s="52">
        <f>548.3-BY18-BX18-BW18</f>
        <v>144.59999999999994</v>
      </c>
      <c r="CA18" s="52">
        <v>122.7</v>
      </c>
      <c r="CB18" s="52">
        <v>140.80000000000001</v>
      </c>
      <c r="CC18" s="52">
        <v>0</v>
      </c>
      <c r="CD18" s="52">
        <f t="shared" ref="CD18" si="27">+CC18</f>
        <v>0</v>
      </c>
      <c r="CE18" s="52"/>
      <c r="CF18" s="52"/>
      <c r="CG18" s="52"/>
      <c r="CH18" s="52"/>
      <c r="CI18" s="52"/>
      <c r="CJ18" s="52"/>
      <c r="CK18" s="49"/>
      <c r="CL18" s="51"/>
      <c r="CM18" s="51"/>
      <c r="CN18" s="51"/>
      <c r="CO18" s="51"/>
      <c r="CP18" s="51"/>
      <c r="CQ18" s="51"/>
      <c r="CR18" s="51"/>
      <c r="CS18" s="51"/>
      <c r="CT18" s="51">
        <f>SUM(AA18:AD18)</f>
        <v>296.60000000000002</v>
      </c>
      <c r="CU18" s="51">
        <f>SUM(AE18:AH18)</f>
        <v>386.1</v>
      </c>
      <c r="CV18" s="51">
        <f>SUM(AI18:AL18)</f>
        <v>409.20000000000005</v>
      </c>
      <c r="CW18" s="51">
        <f>SUM(AM18:AP18)</f>
        <v>309.89999999999998</v>
      </c>
      <c r="CX18" s="51">
        <v>373.7</v>
      </c>
      <c r="CY18" s="51">
        <v>373.3</v>
      </c>
      <c r="CZ18" s="51">
        <v>485</v>
      </c>
      <c r="DA18" s="51">
        <v>687</v>
      </c>
      <c r="DB18" s="51">
        <v>645.9</v>
      </c>
      <c r="DC18" s="49">
        <v>635.29999999999995</v>
      </c>
      <c r="DD18" s="49">
        <v>543.4</v>
      </c>
      <c r="DE18" s="49">
        <f t="shared" si="3"/>
        <v>536.40000000000009</v>
      </c>
      <c r="DF18" s="49">
        <f t="shared" si="4"/>
        <v>548.29999999999995</v>
      </c>
      <c r="DG18" s="49">
        <f t="shared" si="5"/>
        <v>263.5</v>
      </c>
      <c r="DH18" s="49">
        <f t="shared" si="6"/>
        <v>0</v>
      </c>
      <c r="DI18" s="49">
        <f t="shared" ref="DI18:DO18" si="28">+DH18*0.9</f>
        <v>0</v>
      </c>
      <c r="DJ18" s="49">
        <f t="shared" si="28"/>
        <v>0</v>
      </c>
      <c r="DK18" s="49">
        <f t="shared" si="28"/>
        <v>0</v>
      </c>
      <c r="DL18" s="49">
        <f t="shared" si="28"/>
        <v>0</v>
      </c>
      <c r="DM18" s="49">
        <f t="shared" si="28"/>
        <v>0</v>
      </c>
      <c r="DN18" s="49">
        <f t="shared" si="28"/>
        <v>0</v>
      </c>
      <c r="DO18" s="49">
        <f t="shared" si="28"/>
        <v>0</v>
      </c>
    </row>
    <row r="19" spans="2:119" x14ac:dyDescent="0.2">
      <c r="B19" t="s">
        <v>77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>
        <v>26.2</v>
      </c>
      <c r="BT19" s="51">
        <v>64.3</v>
      </c>
      <c r="BU19" s="51">
        <v>35.9</v>
      </c>
      <c r="BV19" s="51">
        <v>36.200000000000003</v>
      </c>
      <c r="BW19" s="51">
        <v>54.8</v>
      </c>
      <c r="BX19" s="51">
        <v>55.7</v>
      </c>
      <c r="BY19" s="51">
        <v>66.7</v>
      </c>
      <c r="BZ19" s="51">
        <v>38.5</v>
      </c>
      <c r="CA19" s="51">
        <f>101.2-CA27</f>
        <v>59.400000000000006</v>
      </c>
      <c r="CB19" s="51">
        <f>106.8-CB27</f>
        <v>61.8</v>
      </c>
      <c r="CC19" s="51">
        <v>0</v>
      </c>
      <c r="CD19" s="51">
        <f t="shared" ref="CD19" si="29">+CC19</f>
        <v>0</v>
      </c>
      <c r="CE19" s="51"/>
      <c r="CF19" s="51"/>
      <c r="CG19" s="51"/>
      <c r="CH19" s="51"/>
      <c r="CI19" s="51"/>
      <c r="CJ19" s="51"/>
      <c r="CK19" s="49"/>
      <c r="CL19" s="51"/>
      <c r="CM19" s="51">
        <v>19</v>
      </c>
      <c r="CN19" s="51">
        <v>19</v>
      </c>
      <c r="CO19" s="51">
        <v>9</v>
      </c>
      <c r="CP19" s="51">
        <v>3</v>
      </c>
      <c r="CQ19" s="51"/>
      <c r="CR19" s="51"/>
      <c r="CS19" s="51"/>
      <c r="CT19" s="51"/>
      <c r="CU19" s="51"/>
      <c r="CV19" s="51"/>
      <c r="DB19" s="51">
        <f>174.6+149.6</f>
        <v>324.2</v>
      </c>
      <c r="DC19" s="49">
        <f>215.1+200.6</f>
        <v>415.7</v>
      </c>
      <c r="DD19" s="49">
        <f>111+339.3</f>
        <v>450.3</v>
      </c>
      <c r="DE19" s="49">
        <f t="shared" si="3"/>
        <v>162.60000000000002</v>
      </c>
      <c r="DF19" s="49">
        <f t="shared" si="4"/>
        <v>215.7</v>
      </c>
      <c r="DG19" s="49">
        <f t="shared" si="5"/>
        <v>121.2</v>
      </c>
      <c r="DH19" s="49">
        <f t="shared" si="6"/>
        <v>0</v>
      </c>
      <c r="DI19" s="49">
        <f t="shared" ref="DI19:DO19" si="30">+DH19*0.9</f>
        <v>0</v>
      </c>
      <c r="DJ19" s="49">
        <f t="shared" si="30"/>
        <v>0</v>
      </c>
      <c r="DK19" s="49">
        <f t="shared" si="30"/>
        <v>0</v>
      </c>
      <c r="DL19" s="49">
        <f t="shared" si="30"/>
        <v>0</v>
      </c>
      <c r="DM19" s="49">
        <f t="shared" si="30"/>
        <v>0</v>
      </c>
      <c r="DN19" s="49">
        <f t="shared" si="30"/>
        <v>0</v>
      </c>
      <c r="DO19" s="49">
        <f t="shared" si="30"/>
        <v>0</v>
      </c>
    </row>
    <row r="20" spans="2:119" x14ac:dyDescent="0.2">
      <c r="B20" t="s">
        <v>16</v>
      </c>
      <c r="C20" s="51">
        <v>4.0999999999999996</v>
      </c>
      <c r="D20" s="51">
        <v>13.7</v>
      </c>
      <c r="E20" s="51">
        <v>21.6</v>
      </c>
      <c r="F20" s="51">
        <f>65.3-E20-D20-C20</f>
        <v>25.9</v>
      </c>
      <c r="G20" s="51">
        <v>40.799999999999997</v>
      </c>
      <c r="H20" s="51">
        <v>65.3</v>
      </c>
      <c r="I20" s="51">
        <v>58.1</v>
      </c>
      <c r="J20" s="51">
        <v>74.3</v>
      </c>
      <c r="K20" s="51">
        <v>67</v>
      </c>
      <c r="L20" s="51">
        <v>101.9</v>
      </c>
      <c r="M20" s="51">
        <v>102.6</v>
      </c>
      <c r="N20" s="51">
        <v>118</v>
      </c>
      <c r="O20" s="51">
        <v>127</v>
      </c>
      <c r="P20" s="51">
        <v>146</v>
      </c>
      <c r="Q20" s="51">
        <v>149</v>
      </c>
      <c r="R20" s="51">
        <v>172.1</v>
      </c>
      <c r="S20" s="51">
        <v>153.4</v>
      </c>
      <c r="T20" s="51">
        <v>177.2</v>
      </c>
      <c r="U20" s="51">
        <v>180.5</v>
      </c>
      <c r="V20" s="51">
        <v>198.2</v>
      </c>
      <c r="W20" s="51">
        <v>185</v>
      </c>
      <c r="X20" s="51">
        <v>206.6</v>
      </c>
      <c r="Y20" s="51">
        <v>192.7</v>
      </c>
      <c r="Z20" s="51">
        <v>194.5</v>
      </c>
      <c r="AA20" s="51">
        <v>187.5</v>
      </c>
      <c r="AB20" s="51">
        <v>203.3</v>
      </c>
      <c r="AC20" s="51">
        <v>213.1</v>
      </c>
      <c r="AD20" s="51">
        <v>212.8</v>
      </c>
      <c r="AE20" s="51">
        <v>194.5</v>
      </c>
      <c r="AF20" s="51">
        <v>209.6</v>
      </c>
      <c r="AG20" s="51">
        <v>199.7</v>
      </c>
      <c r="AH20" s="51">
        <v>226.3</v>
      </c>
      <c r="AI20" s="51">
        <v>216.1</v>
      </c>
      <c r="AJ20" s="51">
        <v>231</v>
      </c>
      <c r="AK20" s="51">
        <v>240.3</v>
      </c>
      <c r="AL20" s="51">
        <v>262.5</v>
      </c>
      <c r="AM20" s="51">
        <v>271.3</v>
      </c>
      <c r="AN20" s="51">
        <v>276.39999999999998</v>
      </c>
      <c r="AO20" s="51">
        <v>288.7</v>
      </c>
      <c r="AP20" s="51">
        <v>314.60000000000002</v>
      </c>
      <c r="AQ20" s="51">
        <v>281.5</v>
      </c>
      <c r="AR20" s="51">
        <v>296.89999999999998</v>
      </c>
      <c r="AS20" s="51">
        <v>306.7</v>
      </c>
      <c r="AT20" s="51">
        <v>359.8</v>
      </c>
      <c r="AU20" s="51">
        <v>300.39999999999998</v>
      </c>
      <c r="AV20" s="51">
        <v>308.60000000000002</v>
      </c>
      <c r="AW20" s="51">
        <v>332.2</v>
      </c>
      <c r="AX20" s="51">
        <v>380.8</v>
      </c>
      <c r="AY20" s="51">
        <v>293</v>
      </c>
      <c r="AZ20" s="51">
        <v>328.4</v>
      </c>
      <c r="BA20" s="51">
        <v>348.9</v>
      </c>
      <c r="BB20" s="51">
        <v>377.9</v>
      </c>
      <c r="BC20" s="51">
        <v>318.60000000000002</v>
      </c>
      <c r="BD20" s="51">
        <v>367.6</v>
      </c>
      <c r="BE20" s="51">
        <v>391.2</v>
      </c>
      <c r="BF20" s="51">
        <v>422.5</v>
      </c>
      <c r="BG20" s="51">
        <v>347.5</v>
      </c>
      <c r="BH20" s="51">
        <v>446.7</v>
      </c>
      <c r="BI20" s="51">
        <v>441.7</v>
      </c>
      <c r="BJ20" s="51">
        <v>513.20000000000005</v>
      </c>
      <c r="BK20" s="51">
        <v>313.2</v>
      </c>
      <c r="BL20" s="51">
        <v>434.5</v>
      </c>
      <c r="BM20" s="51">
        <v>390.8</v>
      </c>
      <c r="BN20" s="51">
        <v>437.1</v>
      </c>
      <c r="BO20" s="51">
        <v>312.89999999999998</v>
      </c>
      <c r="BP20" s="51">
        <v>360.8</v>
      </c>
      <c r="BQ20" s="51">
        <v>370.7</v>
      </c>
      <c r="BR20" s="51">
        <v>360.2</v>
      </c>
      <c r="BS20" s="51">
        <v>272.39999999999998</v>
      </c>
      <c r="BT20" s="51">
        <v>252.7</v>
      </c>
      <c r="BU20" s="51">
        <v>266.89999999999998</v>
      </c>
      <c r="BV20" s="51">
        <v>254.4</v>
      </c>
      <c r="BW20" s="51">
        <v>198.5</v>
      </c>
      <c r="BX20" s="51">
        <v>218.4</v>
      </c>
      <c r="BY20" s="51">
        <v>200.9</v>
      </c>
      <c r="BZ20" s="51">
        <v>184</v>
      </c>
      <c r="CA20" s="51">
        <v>137.4</v>
      </c>
      <c r="CB20" s="51">
        <v>138.5</v>
      </c>
      <c r="CC20" s="51">
        <v>177.1</v>
      </c>
      <c r="CD20" s="51">
        <v>160</v>
      </c>
      <c r="CE20" s="51"/>
      <c r="CF20" s="51"/>
      <c r="CG20" s="51"/>
      <c r="CH20" s="51"/>
      <c r="CI20" s="51"/>
      <c r="CJ20" s="51"/>
      <c r="CK20" s="49"/>
      <c r="CL20" s="51"/>
      <c r="CM20" s="51">
        <v>6</v>
      </c>
      <c r="CN20" s="51">
        <v>65</v>
      </c>
      <c r="CO20" s="51">
        <v>237</v>
      </c>
      <c r="CP20" s="51">
        <v>389</v>
      </c>
      <c r="CQ20" s="51">
        <v>581</v>
      </c>
      <c r="CR20" s="51">
        <f>CQ20*1.05</f>
        <v>610.05000000000007</v>
      </c>
      <c r="CS20" s="51">
        <f>SUM(W20:Z20)</f>
        <v>778.8</v>
      </c>
      <c r="CT20" s="51">
        <f>SUM(AA20:AD20)</f>
        <v>816.7</v>
      </c>
      <c r="CU20" s="51">
        <f>SUM(AE20:AH20)</f>
        <v>830.09999999999991</v>
      </c>
      <c r="CV20" s="51">
        <f>SUM(AI20:AL20)</f>
        <v>949.90000000000009</v>
      </c>
      <c r="CW20" s="51">
        <f>SUM(AM20:AP20)</f>
        <v>1151</v>
      </c>
      <c r="CX20" s="51">
        <v>1244.9000000000001</v>
      </c>
      <c r="CY20" s="51">
        <v>1322</v>
      </c>
      <c r="CZ20" s="51">
        <v>1348.3</v>
      </c>
      <c r="DA20" s="51">
        <v>1500</v>
      </c>
      <c r="DB20" s="51">
        <v>1749</v>
      </c>
      <c r="DC20" s="49">
        <v>1575.6</v>
      </c>
      <c r="DD20" s="49">
        <v>1404.7</v>
      </c>
      <c r="DE20" s="49">
        <f t="shared" si="3"/>
        <v>1046.3999999999999</v>
      </c>
      <c r="DF20" s="49">
        <f t="shared" si="4"/>
        <v>801.8</v>
      </c>
      <c r="DG20" s="49">
        <f t="shared" si="5"/>
        <v>613</v>
      </c>
      <c r="DH20" s="49">
        <f t="shared" si="6"/>
        <v>0</v>
      </c>
      <c r="DI20" s="49">
        <f t="shared" ref="DI20:DO20" si="31">+DH20*0.9</f>
        <v>0</v>
      </c>
      <c r="DJ20" s="49">
        <f t="shared" si="31"/>
        <v>0</v>
      </c>
      <c r="DK20" s="49">
        <f t="shared" si="31"/>
        <v>0</v>
      </c>
      <c r="DL20" s="49">
        <f t="shared" si="31"/>
        <v>0</v>
      </c>
      <c r="DM20" s="49">
        <f t="shared" si="31"/>
        <v>0</v>
      </c>
      <c r="DN20" s="49">
        <f t="shared" si="31"/>
        <v>0</v>
      </c>
      <c r="DO20" s="49">
        <f t="shared" si="31"/>
        <v>0</v>
      </c>
    </row>
    <row r="21" spans="2:119" x14ac:dyDescent="0.2">
      <c r="B21" t="s">
        <v>78</v>
      </c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>
        <f>4459.9-SUM(R22:R56)</f>
        <v>1686.4532721010328</v>
      </c>
      <c r="S21" s="51">
        <v>406</v>
      </c>
      <c r="T21" s="51"/>
      <c r="U21" s="51">
        <f>4587-(SUM(U22:U56))</f>
        <v>1697.9</v>
      </c>
      <c r="V21" s="51">
        <f>5189.6-(SUM(V22:V56))</f>
        <v>1904.6000000000004</v>
      </c>
      <c r="W21" s="51">
        <f>4807.6-(SUM(W22:W56))</f>
        <v>2080.2000000000007</v>
      </c>
      <c r="X21" s="51">
        <f>5150.4-(SUM(X22:X56))</f>
        <v>2045.4999999999995</v>
      </c>
      <c r="Y21" s="51">
        <f>5209.5-(SUM(Y22:Y56))</f>
        <v>2061.9000000000005</v>
      </c>
      <c r="AH21" s="51">
        <v>432</v>
      </c>
      <c r="AJ21" s="51">
        <v>422</v>
      </c>
      <c r="AK21" s="51">
        <v>410</v>
      </c>
      <c r="AL21" s="51">
        <v>407</v>
      </c>
      <c r="AM21" s="51">
        <v>552</v>
      </c>
      <c r="AN21" s="51">
        <v>524</v>
      </c>
      <c r="AO21" s="51">
        <f>5443.3-4955</f>
        <v>488.30000000000018</v>
      </c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>
        <v>1966</v>
      </c>
      <c r="BP21" s="51">
        <v>2269</v>
      </c>
      <c r="BQ21" s="51">
        <v>2171</v>
      </c>
      <c r="BR21" s="51">
        <v>2461</v>
      </c>
      <c r="BS21" s="51">
        <v>86</v>
      </c>
      <c r="BT21" s="51">
        <v>51.4</v>
      </c>
      <c r="BU21" s="51">
        <v>46.3</v>
      </c>
      <c r="BV21" s="51">
        <v>88</v>
      </c>
      <c r="BW21" s="51">
        <v>42.6</v>
      </c>
      <c r="BX21" s="51">
        <v>42.2</v>
      </c>
      <c r="BY21" s="51">
        <v>38.6</v>
      </c>
      <c r="BZ21" s="51">
        <v>58.1</v>
      </c>
      <c r="CA21" s="51">
        <v>98.1</v>
      </c>
      <c r="CB21" s="51">
        <v>80.099999999999994</v>
      </c>
      <c r="CC21" s="51">
        <v>0</v>
      </c>
      <c r="CD21" s="51">
        <f t="shared" ref="CD21" si="32">+CC21</f>
        <v>0</v>
      </c>
      <c r="CE21" s="51"/>
      <c r="CF21" s="51"/>
      <c r="CG21" s="51"/>
      <c r="CH21" s="51"/>
      <c r="CI21" s="51"/>
      <c r="CJ21" s="51"/>
      <c r="CK21" s="49"/>
      <c r="CL21" s="51"/>
      <c r="CM21" s="52">
        <f>176+152</f>
        <v>328</v>
      </c>
      <c r="CN21" s="51">
        <f>165+100</f>
        <v>265</v>
      </c>
      <c r="CO21" s="51">
        <f>83+70+4+154</f>
        <v>311</v>
      </c>
      <c r="CP21" s="51">
        <f>41+54+18+117</f>
        <v>230</v>
      </c>
      <c r="CQ21" s="51">
        <f>56+54+25+91</f>
        <v>226</v>
      </c>
      <c r="CR21" s="51">
        <f>50+54+50+87</f>
        <v>241</v>
      </c>
      <c r="CS21" s="51">
        <v>54</v>
      </c>
      <c r="CT21" s="51">
        <v>54</v>
      </c>
      <c r="CU21" s="51">
        <f>SUM(AE21:AH21)</f>
        <v>432</v>
      </c>
      <c r="CV21" s="51">
        <f>SUM(AI21:AL21)</f>
        <v>1239</v>
      </c>
      <c r="CW21" s="51">
        <f>SUM(AM21:AP21)</f>
        <v>1564.3000000000002</v>
      </c>
      <c r="CX21" s="51">
        <f>1672.3-CX18</f>
        <v>1298.5999999999999</v>
      </c>
      <c r="CY21" s="51">
        <v>1887.1</v>
      </c>
      <c r="CZ21" s="51">
        <f>1727.1-CZ52</f>
        <v>1489.8</v>
      </c>
      <c r="DA21" s="51">
        <v>1965.4</v>
      </c>
      <c r="DB21" s="51">
        <f>555.4+422</f>
        <v>977.4</v>
      </c>
      <c r="DC21" s="49">
        <f>393+325.1</f>
        <v>718.1</v>
      </c>
      <c r="DD21" s="49">
        <f>327.7+156.2</f>
        <v>483.9</v>
      </c>
      <c r="DE21" s="49">
        <f t="shared" si="3"/>
        <v>271.7</v>
      </c>
      <c r="DF21" s="49">
        <f t="shared" si="4"/>
        <v>181.5</v>
      </c>
      <c r="DG21" s="49">
        <f t="shared" si="5"/>
        <v>178.2</v>
      </c>
      <c r="DH21" s="49">
        <f t="shared" si="6"/>
        <v>0</v>
      </c>
      <c r="DI21" s="49">
        <f t="shared" ref="DI21:DO21" si="33">+DH21*0.9</f>
        <v>0</v>
      </c>
      <c r="DJ21" s="49">
        <f t="shared" si="33"/>
        <v>0</v>
      </c>
      <c r="DK21" s="49">
        <f t="shared" si="33"/>
        <v>0</v>
      </c>
      <c r="DL21" s="49">
        <f t="shared" si="33"/>
        <v>0</v>
      </c>
      <c r="DM21" s="49">
        <f t="shared" si="33"/>
        <v>0</v>
      </c>
      <c r="DN21" s="49">
        <f t="shared" si="33"/>
        <v>0</v>
      </c>
      <c r="DO21" s="49">
        <f t="shared" si="33"/>
        <v>0</v>
      </c>
    </row>
    <row r="22" spans="2:119" x14ac:dyDescent="0.2">
      <c r="B22" t="s">
        <v>7</v>
      </c>
      <c r="C22" s="51">
        <v>958.3</v>
      </c>
      <c r="D22" s="51">
        <v>1050</v>
      </c>
      <c r="E22" s="51">
        <v>1130</v>
      </c>
      <c r="F22" s="51">
        <v>1145.5</v>
      </c>
      <c r="G22" s="51">
        <v>1098.3</v>
      </c>
      <c r="H22" s="51">
        <v>1212.3</v>
      </c>
      <c r="I22" s="51">
        <v>1023.7</v>
      </c>
      <c r="J22" s="51">
        <v>1085.5</v>
      </c>
      <c r="K22" s="51">
        <v>1038.2</v>
      </c>
      <c r="L22" s="51">
        <v>1096.8</v>
      </c>
      <c r="M22" s="51">
        <v>1035.0999999999999</v>
      </c>
      <c r="N22" s="51">
        <v>1032.2</v>
      </c>
      <c r="O22" s="51">
        <v>1007.4</v>
      </c>
      <c r="P22" s="51">
        <v>1115</v>
      </c>
      <c r="Q22" s="51">
        <v>1084.7</v>
      </c>
      <c r="R22" s="51">
        <v>1156.5</v>
      </c>
      <c r="S22" s="51">
        <v>1108</v>
      </c>
      <c r="T22" s="51">
        <v>1213</v>
      </c>
      <c r="U22" s="51">
        <v>1166.0999999999999</v>
      </c>
      <c r="V22" s="51">
        <v>1273.9000000000001</v>
      </c>
      <c r="W22" s="51">
        <v>1120.2</v>
      </c>
      <c r="X22" s="51">
        <v>1239.7</v>
      </c>
      <c r="Y22" s="51">
        <v>1189.5</v>
      </c>
      <c r="Z22" s="51">
        <v>1146.7</v>
      </c>
      <c r="AA22" s="51">
        <v>1123</v>
      </c>
      <c r="AB22" s="51">
        <v>1203.2</v>
      </c>
      <c r="AC22" s="51">
        <v>1223</v>
      </c>
      <c r="AD22" s="51">
        <v>1366.5</v>
      </c>
      <c r="AE22" s="51">
        <v>1215</v>
      </c>
      <c r="AF22" s="51">
        <v>1262.9000000000001</v>
      </c>
      <c r="AG22" s="51">
        <v>1212.7</v>
      </c>
      <c r="AH22" s="51">
        <v>1335.8</v>
      </c>
      <c r="AI22" s="51">
        <v>1281.9000000000001</v>
      </c>
      <c r="AJ22" s="51">
        <v>1408.3</v>
      </c>
      <c r="AK22" s="51">
        <v>1182.3</v>
      </c>
      <c r="AL22" s="51">
        <v>749.6</v>
      </c>
      <c r="AM22" s="51">
        <v>562.70000000000005</v>
      </c>
      <c r="AN22" s="51">
        <v>379.5</v>
      </c>
      <c r="AO22" s="51">
        <v>374.5</v>
      </c>
      <c r="AP22" s="51">
        <v>384.8</v>
      </c>
      <c r="AQ22" s="51">
        <v>284.8</v>
      </c>
      <c r="AR22" s="51">
        <v>283.2</v>
      </c>
      <c r="AS22" s="51">
        <v>278.7</v>
      </c>
      <c r="AT22" s="51">
        <v>348.2</v>
      </c>
      <c r="AU22" s="51">
        <v>283.10000000000002</v>
      </c>
      <c r="AV22" s="51">
        <v>243.8</v>
      </c>
      <c r="AW22" s="51">
        <v>257.39999999999998</v>
      </c>
      <c r="AX22" s="51">
        <v>253.1</v>
      </c>
      <c r="AY22" s="51">
        <v>219.5</v>
      </c>
      <c r="AZ22" s="51">
        <v>253.7</v>
      </c>
      <c r="BA22" s="51">
        <v>237.9</v>
      </c>
      <c r="BB22" s="51">
        <v>229.1</v>
      </c>
      <c r="BC22" s="51">
        <v>212.8</v>
      </c>
      <c r="BD22" s="51">
        <v>210.7</v>
      </c>
      <c r="BE22" s="51">
        <v>148.9</v>
      </c>
      <c r="BF22" s="51">
        <v>153</v>
      </c>
      <c r="BG22" s="51">
        <v>147.5</v>
      </c>
      <c r="BH22" s="51">
        <v>140.80000000000001</v>
      </c>
      <c r="BI22" s="51">
        <v>140.6</v>
      </c>
      <c r="BJ22" s="51">
        <v>152.19999999999999</v>
      </c>
      <c r="BK22" s="51">
        <v>122.6</v>
      </c>
      <c r="BL22" s="51">
        <v>128</v>
      </c>
      <c r="BM22" s="51">
        <v>109.9</v>
      </c>
      <c r="BN22" s="51">
        <v>110.8</v>
      </c>
      <c r="BO22" s="51"/>
      <c r="BP22" s="51"/>
      <c r="BQ22" s="51"/>
      <c r="BR22" s="51"/>
      <c r="BS22" s="51">
        <v>98.4</v>
      </c>
      <c r="BT22" s="51">
        <v>96.6</v>
      </c>
      <c r="BU22" s="51">
        <v>112.7</v>
      </c>
      <c r="BV22" s="51">
        <f>46.1+360.5-BU22-BT22-BS22</f>
        <v>98.900000000000034</v>
      </c>
      <c r="BW22" s="51">
        <v>95.8</v>
      </c>
      <c r="BX22" s="51">
        <v>95.4</v>
      </c>
      <c r="BY22" s="51">
        <v>101.7</v>
      </c>
      <c r="BZ22" s="51">
        <f>430.3-BY22-BX22-BW22</f>
        <v>137.40000000000003</v>
      </c>
      <c r="CA22" s="51">
        <v>93.1</v>
      </c>
      <c r="CB22" s="51">
        <v>87.3</v>
      </c>
      <c r="CC22" s="51">
        <v>0</v>
      </c>
      <c r="CD22" s="51">
        <f t="shared" ref="CD22" si="34">+CC22</f>
        <v>0</v>
      </c>
      <c r="CE22" s="51"/>
      <c r="CF22" s="51"/>
      <c r="CG22" s="51"/>
      <c r="CH22" s="51"/>
      <c r="CI22" s="51"/>
      <c r="CJ22" s="51"/>
      <c r="CK22" s="49"/>
      <c r="CL22" s="51"/>
      <c r="CM22" s="51">
        <v>3689</v>
      </c>
      <c r="CN22" s="51">
        <v>4277</v>
      </c>
      <c r="CO22" s="51">
        <v>4419</v>
      </c>
      <c r="CP22" s="51">
        <v>4200</v>
      </c>
      <c r="CQ22" s="51">
        <f>SUM(O22:R22)</f>
        <v>4363.6000000000004</v>
      </c>
      <c r="CR22" s="51">
        <f>SUM(S22:V22)</f>
        <v>4761</v>
      </c>
      <c r="CS22" s="51">
        <f>SUM(W22:Z22)</f>
        <v>4696.1000000000004</v>
      </c>
      <c r="CT22" s="51">
        <f>SUM(AA22:AD22)</f>
        <v>4915.7</v>
      </c>
      <c r="CU22" s="51">
        <f>SUM(AE22:AH22)</f>
        <v>5026.4000000000005</v>
      </c>
      <c r="CV22" s="51">
        <f>SUM(AI22:AL22)</f>
        <v>4622.1000000000004</v>
      </c>
      <c r="CW22" s="51">
        <f>SUM(AM22:AP22)</f>
        <v>1701.5</v>
      </c>
      <c r="CX22" s="51">
        <v>1194.8</v>
      </c>
      <c r="CY22" s="51">
        <v>1037.3</v>
      </c>
      <c r="CZ22" s="51">
        <v>940.3</v>
      </c>
      <c r="DA22" s="51">
        <v>725.3</v>
      </c>
      <c r="DB22" s="51">
        <v>581.20000000000005</v>
      </c>
      <c r="DC22" s="49">
        <v>471.3</v>
      </c>
      <c r="DD22" s="49">
        <v>418.7</v>
      </c>
      <c r="DE22" s="49">
        <f t="shared" si="3"/>
        <v>406.6</v>
      </c>
      <c r="DF22" s="49">
        <f t="shared" si="4"/>
        <v>430.3</v>
      </c>
      <c r="DG22" s="49">
        <f t="shared" si="5"/>
        <v>180.39999999999998</v>
      </c>
      <c r="DH22" s="49">
        <f t="shared" si="6"/>
        <v>0</v>
      </c>
      <c r="DI22" s="49">
        <f t="shared" ref="DI22:DO22" si="35">+DH22*0.9</f>
        <v>0</v>
      </c>
      <c r="DJ22" s="49">
        <f t="shared" si="35"/>
        <v>0</v>
      </c>
      <c r="DK22" s="49">
        <f t="shared" si="35"/>
        <v>0</v>
      </c>
      <c r="DL22" s="49">
        <f t="shared" si="35"/>
        <v>0</v>
      </c>
      <c r="DM22" s="49">
        <f t="shared" si="35"/>
        <v>0</v>
      </c>
      <c r="DN22" s="49">
        <f t="shared" si="35"/>
        <v>0</v>
      </c>
      <c r="DO22" s="49">
        <f t="shared" si="35"/>
        <v>0</v>
      </c>
    </row>
    <row r="23" spans="2:119" x14ac:dyDescent="0.2">
      <c r="B23" s="38" t="s">
        <v>374</v>
      </c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>
        <v>9.9</v>
      </c>
      <c r="BP23" s="52">
        <v>40.1</v>
      </c>
      <c r="BQ23" s="52">
        <v>46.6</v>
      </c>
      <c r="BR23" s="52">
        <v>37.4</v>
      </c>
      <c r="BS23" s="52">
        <v>57.4</v>
      </c>
      <c r="BT23" s="52">
        <v>64.099999999999994</v>
      </c>
      <c r="BU23" s="52">
        <v>84.4</v>
      </c>
      <c r="BV23" s="52">
        <v>102.8</v>
      </c>
      <c r="BW23" s="52">
        <v>109.7</v>
      </c>
      <c r="BX23" s="52">
        <v>105</v>
      </c>
      <c r="BY23" s="52">
        <v>125.6</v>
      </c>
      <c r="BZ23" s="52">
        <v>77.8</v>
      </c>
      <c r="CA23" s="52">
        <v>85.5</v>
      </c>
      <c r="CB23" s="52">
        <v>73.599999999999994</v>
      </c>
      <c r="CC23" s="52">
        <v>76.8</v>
      </c>
      <c r="CD23" s="52">
        <v>57.5</v>
      </c>
      <c r="CE23" s="52">
        <v>61</v>
      </c>
      <c r="CF23" s="52">
        <f t="shared" ref="CF23:CH23" si="36">+CE23</f>
        <v>61</v>
      </c>
      <c r="CG23" s="52">
        <f t="shared" si="36"/>
        <v>61</v>
      </c>
      <c r="CH23" s="52">
        <f t="shared" si="36"/>
        <v>61</v>
      </c>
      <c r="CI23" s="52"/>
      <c r="CJ23" s="52"/>
      <c r="CK23" s="49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>
        <v>0</v>
      </c>
      <c r="DA23" s="51">
        <v>0</v>
      </c>
      <c r="DB23" s="51">
        <v>0</v>
      </c>
      <c r="DC23" s="49">
        <v>0</v>
      </c>
      <c r="DD23" s="49">
        <v>0</v>
      </c>
      <c r="DE23" s="49">
        <f t="shared" si="3"/>
        <v>308.7</v>
      </c>
      <c r="DF23" s="49">
        <f t="shared" si="4"/>
        <v>418.09999999999997</v>
      </c>
      <c r="DG23" s="49">
        <f t="shared" si="5"/>
        <v>293.39999999999998</v>
      </c>
      <c r="DH23" s="49">
        <f t="shared" si="6"/>
        <v>244</v>
      </c>
      <c r="DI23" s="49">
        <f t="shared" ref="DI23:DO23" si="37">+DH23*0.9</f>
        <v>219.6</v>
      </c>
      <c r="DJ23" s="49">
        <f t="shared" si="37"/>
        <v>197.64</v>
      </c>
      <c r="DK23" s="49">
        <f t="shared" si="37"/>
        <v>177.876</v>
      </c>
      <c r="DL23" s="49">
        <f t="shared" si="37"/>
        <v>160.08840000000001</v>
      </c>
      <c r="DM23" s="49">
        <f t="shared" si="37"/>
        <v>144.07956000000001</v>
      </c>
      <c r="DN23" s="49">
        <f t="shared" si="37"/>
        <v>129.67160400000003</v>
      </c>
      <c r="DO23" s="49">
        <f t="shared" si="37"/>
        <v>116.70444360000003</v>
      </c>
    </row>
    <row r="24" spans="2:119" x14ac:dyDescent="0.2">
      <c r="B24" t="s">
        <v>14</v>
      </c>
      <c r="C24" s="51"/>
      <c r="D24" s="51"/>
      <c r="E24" s="51"/>
      <c r="F24" s="51"/>
      <c r="G24" s="51"/>
      <c r="H24" s="51"/>
      <c r="I24" s="51">
        <v>32.5</v>
      </c>
      <c r="J24" s="51">
        <v>61.3</v>
      </c>
      <c r="K24" s="51">
        <v>106.8</v>
      </c>
      <c r="L24" s="51">
        <v>161.4</v>
      </c>
      <c r="M24" s="51">
        <v>182.8</v>
      </c>
      <c r="N24" s="51">
        <v>228.8</v>
      </c>
      <c r="O24" s="51">
        <v>233</v>
      </c>
      <c r="P24" s="51">
        <v>310</v>
      </c>
      <c r="Q24" s="51">
        <v>349</v>
      </c>
      <c r="R24" s="51">
        <v>424.1</v>
      </c>
      <c r="S24" s="51">
        <v>441.8</v>
      </c>
      <c r="T24" s="51">
        <v>519.5</v>
      </c>
      <c r="U24" s="51">
        <v>513.20000000000005</v>
      </c>
      <c r="V24" s="51">
        <v>628.29999999999995</v>
      </c>
      <c r="W24" s="51">
        <v>605.1</v>
      </c>
      <c r="X24" s="51">
        <v>654.4</v>
      </c>
      <c r="Y24" s="51">
        <v>716.4</v>
      </c>
      <c r="Z24" s="51">
        <v>721.2</v>
      </c>
      <c r="AA24" s="51">
        <v>709.3</v>
      </c>
      <c r="AB24" s="51">
        <v>744.4</v>
      </c>
      <c r="AC24" s="51">
        <v>790.2</v>
      </c>
      <c r="AD24" s="51">
        <v>830.8</v>
      </c>
      <c r="AE24" s="51">
        <v>803.2</v>
      </c>
      <c r="AF24" s="51">
        <v>867.7</v>
      </c>
      <c r="AG24" s="51">
        <v>825.3</v>
      </c>
      <c r="AH24" s="51">
        <v>984.6</v>
      </c>
      <c r="AI24" s="51">
        <v>908.8</v>
      </c>
      <c r="AJ24" s="51">
        <v>1003.4</v>
      </c>
      <c r="AK24" s="51">
        <v>1068.5999999999999</v>
      </c>
      <c r="AL24" s="51">
        <v>1180.7</v>
      </c>
      <c r="AM24" s="51">
        <v>1114.9000000000001</v>
      </c>
      <c r="AN24" s="51">
        <v>1223.0999999999999</v>
      </c>
      <c r="AO24" s="51">
        <v>1235.8</v>
      </c>
      <c r="AP24" s="51">
        <v>1420.4</v>
      </c>
      <c r="AQ24" s="51">
        <v>1328.2</v>
      </c>
      <c r="AR24" s="51">
        <v>1497.2</v>
      </c>
      <c r="AS24" s="51">
        <v>1375.8</v>
      </c>
      <c r="AT24" s="51">
        <v>883.2</v>
      </c>
      <c r="AU24" s="51">
        <v>478.2</v>
      </c>
      <c r="AV24" s="51">
        <v>401.3</v>
      </c>
      <c r="AW24" s="51">
        <v>368</v>
      </c>
      <c r="AX24" s="51">
        <v>367.3</v>
      </c>
      <c r="AY24" s="51">
        <v>287</v>
      </c>
      <c r="AZ24" s="51">
        <v>274.10000000000002</v>
      </c>
      <c r="BA24" s="51">
        <v>242.9</v>
      </c>
      <c r="BB24" s="51">
        <v>223.6</v>
      </c>
      <c r="BC24" s="51">
        <v>198.7</v>
      </c>
      <c r="BD24" s="51">
        <v>236.5</v>
      </c>
      <c r="BE24" s="51">
        <v>313.5</v>
      </c>
      <c r="BF24" s="51">
        <v>181.8</v>
      </c>
      <c r="BG24" s="51">
        <v>174.6</v>
      </c>
      <c r="BH24" s="51">
        <v>206.6</v>
      </c>
      <c r="BI24" s="51">
        <v>183.2</v>
      </c>
      <c r="BJ24" s="51">
        <v>192.8</v>
      </c>
      <c r="BK24" s="51">
        <v>169.6</v>
      </c>
      <c r="BL24" s="51">
        <v>181.9</v>
      </c>
      <c r="BM24" s="51">
        <v>172</v>
      </c>
      <c r="BN24" s="51">
        <v>184.5</v>
      </c>
      <c r="BO24" s="51">
        <v>164.1</v>
      </c>
      <c r="BP24" s="51"/>
      <c r="BQ24" s="51"/>
      <c r="BR24" s="51"/>
      <c r="BS24" s="51">
        <v>210.4</v>
      </c>
      <c r="BT24" s="51">
        <v>179.9</v>
      </c>
      <c r="BU24" s="51">
        <v>186.6</v>
      </c>
      <c r="BV24" s="51">
        <f>42.1+725.6-BU24-BT24-BS24</f>
        <v>190.80000000000004</v>
      </c>
      <c r="BW24" s="51">
        <v>176.6</v>
      </c>
      <c r="BX24" s="51">
        <v>175.6</v>
      </c>
      <c r="BY24" s="51">
        <v>132</v>
      </c>
      <c r="BZ24" s="51">
        <f>581.5-BY24-BX24-BW24</f>
        <v>97.299999999999983</v>
      </c>
      <c r="CA24" s="51">
        <v>81.099999999999994</v>
      </c>
      <c r="CB24" s="51">
        <v>75.5</v>
      </c>
      <c r="CC24" s="51">
        <v>0</v>
      </c>
      <c r="CD24" s="51">
        <f t="shared" ref="CC24:CD25" si="38">+CC24</f>
        <v>0</v>
      </c>
      <c r="CE24" s="51"/>
      <c r="CF24" s="51"/>
      <c r="CG24" s="51"/>
      <c r="CH24" s="51"/>
      <c r="CI24" s="51"/>
      <c r="CJ24" s="51"/>
      <c r="CK24" s="49"/>
      <c r="CL24" s="51"/>
      <c r="CM24" s="51"/>
      <c r="CN24" s="51"/>
      <c r="CO24" s="51">
        <v>92</v>
      </c>
      <c r="CP24" s="51">
        <v>680</v>
      </c>
      <c r="CQ24" s="51">
        <f>SUM(O24:R24)</f>
        <v>1316.1</v>
      </c>
      <c r="CR24" s="51">
        <f>SUM(S24:V24)</f>
        <v>2102.8000000000002</v>
      </c>
      <c r="CS24" s="51">
        <f>SUM(W24:Z24)</f>
        <v>2697.1000000000004</v>
      </c>
      <c r="CT24" s="51">
        <f>SUM(AA24:AD24)</f>
        <v>3074.7</v>
      </c>
      <c r="CU24" s="51">
        <f>SUM(AE24:AH24)</f>
        <v>3480.7999999999997</v>
      </c>
      <c r="CV24" s="51">
        <f>SUM(AI24:AL24)</f>
        <v>4161.5</v>
      </c>
      <c r="CW24" s="51">
        <f>SUM(AM24:AP24)</f>
        <v>4994.2000000000007</v>
      </c>
      <c r="CX24" s="51">
        <v>5084.3999999999996</v>
      </c>
      <c r="CY24" s="51">
        <v>1614.7</v>
      </c>
      <c r="CZ24" s="51">
        <v>1027.5999999999999</v>
      </c>
      <c r="DA24" s="51">
        <v>930.5</v>
      </c>
      <c r="DB24" s="51">
        <v>757.2</v>
      </c>
      <c r="DC24" s="51">
        <v>708</v>
      </c>
      <c r="DD24" s="51">
        <v>725.4</v>
      </c>
      <c r="DE24" s="49">
        <f t="shared" si="3"/>
        <v>767.7</v>
      </c>
      <c r="DF24" s="49">
        <f t="shared" si="4"/>
        <v>581.5</v>
      </c>
      <c r="DG24" s="49">
        <f t="shared" si="5"/>
        <v>156.6</v>
      </c>
      <c r="DH24" s="49">
        <f t="shared" si="6"/>
        <v>0</v>
      </c>
      <c r="DI24" s="49">
        <f t="shared" ref="DI24:DO24" si="39">+DH24*0.9</f>
        <v>0</v>
      </c>
      <c r="DJ24" s="49">
        <f t="shared" si="39"/>
        <v>0</v>
      </c>
      <c r="DK24" s="49">
        <f t="shared" si="39"/>
        <v>0</v>
      </c>
      <c r="DL24" s="49">
        <f t="shared" si="39"/>
        <v>0</v>
      </c>
      <c r="DM24" s="49">
        <f t="shared" si="39"/>
        <v>0</v>
      </c>
      <c r="DN24" s="49">
        <f t="shared" si="39"/>
        <v>0</v>
      </c>
      <c r="DO24" s="49">
        <f t="shared" si="39"/>
        <v>0</v>
      </c>
    </row>
    <row r="25" spans="2:119" x14ac:dyDescent="0.2">
      <c r="B25" t="s">
        <v>501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>
        <v>76.900000000000006</v>
      </c>
      <c r="AV25" s="51">
        <v>90.3</v>
      </c>
      <c r="AW25" s="51">
        <v>78.900000000000006</v>
      </c>
      <c r="AX25" s="51">
        <v>82.7</v>
      </c>
      <c r="AY25" s="51">
        <v>82.3</v>
      </c>
      <c r="AZ25" s="51">
        <v>80</v>
      </c>
      <c r="BA25" s="51">
        <v>92.7</v>
      </c>
      <c r="BB25" s="51">
        <v>101.7</v>
      </c>
      <c r="BC25" s="51"/>
      <c r="BD25" s="51"/>
      <c r="BE25" s="51"/>
      <c r="BF25" s="51"/>
      <c r="BG25" s="51">
        <v>113</v>
      </c>
      <c r="BH25" s="51">
        <v>141.9</v>
      </c>
      <c r="BI25" s="51">
        <v>153.30000000000001</v>
      </c>
      <c r="BJ25" s="51">
        <v>129.69999999999999</v>
      </c>
      <c r="BK25" s="51">
        <v>141.1</v>
      </c>
      <c r="BL25" s="51">
        <v>141.69999999999999</v>
      </c>
      <c r="BM25" s="51">
        <v>135.69999999999999</v>
      </c>
      <c r="BN25" s="51">
        <v>156.19999999999999</v>
      </c>
      <c r="BO25" s="51"/>
      <c r="BP25" s="51"/>
      <c r="BQ25" s="51"/>
      <c r="BR25" s="51"/>
      <c r="BS25" s="51">
        <v>93.2</v>
      </c>
      <c r="BT25" s="51">
        <v>76.8</v>
      </c>
      <c r="BU25" s="51">
        <v>91.7</v>
      </c>
      <c r="BV25" s="51">
        <v>96.8</v>
      </c>
      <c r="BW25" s="51">
        <v>94.6</v>
      </c>
      <c r="BX25" s="51">
        <v>89.2</v>
      </c>
      <c r="BY25" s="51">
        <v>96.1</v>
      </c>
      <c r="BZ25" s="51">
        <v>92.6</v>
      </c>
      <c r="CA25" s="51">
        <v>0</v>
      </c>
      <c r="CB25" s="51">
        <v>0</v>
      </c>
      <c r="CC25" s="51">
        <f t="shared" si="38"/>
        <v>0</v>
      </c>
      <c r="CD25" s="51">
        <f t="shared" si="38"/>
        <v>0</v>
      </c>
      <c r="CE25" s="51"/>
      <c r="CF25" s="51"/>
      <c r="CG25" s="51"/>
      <c r="CH25" s="51"/>
      <c r="CI25" s="51"/>
      <c r="CJ25" s="51"/>
      <c r="CK25" s="49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  <c r="CY25" s="51"/>
      <c r="CZ25" s="51">
        <v>356.8</v>
      </c>
      <c r="DA25" s="51">
        <v>436.6</v>
      </c>
      <c r="DB25" s="51">
        <v>537.9</v>
      </c>
      <c r="DC25" s="51">
        <v>574.70000000000005</v>
      </c>
      <c r="DD25" s="51">
        <v>590.6</v>
      </c>
      <c r="DE25" s="49">
        <f t="shared" si="3"/>
        <v>358.5</v>
      </c>
      <c r="DF25" s="49">
        <f t="shared" si="4"/>
        <v>372.5</v>
      </c>
      <c r="DG25" s="49">
        <f t="shared" si="5"/>
        <v>0</v>
      </c>
      <c r="DH25" s="49">
        <f t="shared" si="6"/>
        <v>0</v>
      </c>
      <c r="DI25" s="49">
        <f t="shared" ref="DI25:DO25" si="40">+DH25*0.9</f>
        <v>0</v>
      </c>
      <c r="DJ25" s="49">
        <f t="shared" si="40"/>
        <v>0</v>
      </c>
      <c r="DK25" s="49">
        <f t="shared" si="40"/>
        <v>0</v>
      </c>
      <c r="DL25" s="49">
        <f t="shared" si="40"/>
        <v>0</v>
      </c>
      <c r="DM25" s="49">
        <f t="shared" si="40"/>
        <v>0</v>
      </c>
      <c r="DN25" s="49">
        <f t="shared" si="40"/>
        <v>0</v>
      </c>
      <c r="DO25" s="49">
        <f t="shared" si="40"/>
        <v>0</v>
      </c>
    </row>
    <row r="26" spans="2:119" x14ac:dyDescent="0.2">
      <c r="B26" t="s">
        <v>62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>
        <v>41.1</v>
      </c>
      <c r="BT26" s="51">
        <v>33.200000000000003</v>
      </c>
      <c r="BU26" s="51">
        <v>43.2</v>
      </c>
      <c r="BV26" s="51">
        <v>35.6</v>
      </c>
      <c r="BW26" s="51">
        <v>32.4</v>
      </c>
      <c r="BX26" s="51">
        <v>35</v>
      </c>
      <c r="BY26" s="51">
        <v>36</v>
      </c>
      <c r="BZ26" s="51">
        <v>31.4</v>
      </c>
      <c r="CA26" s="51">
        <v>74.2</v>
      </c>
      <c r="CB26" s="51">
        <v>69.599999999999994</v>
      </c>
      <c r="CC26" s="51">
        <v>0</v>
      </c>
      <c r="CD26" s="51">
        <f t="shared" ref="CD26" si="41">+CC26</f>
        <v>0</v>
      </c>
      <c r="CE26" s="51"/>
      <c r="CF26" s="51"/>
      <c r="CG26" s="51"/>
      <c r="CH26" s="51"/>
      <c r="CI26" s="51"/>
      <c r="CJ26" s="51"/>
      <c r="CK26" s="49"/>
      <c r="CL26" s="51"/>
      <c r="CM26" s="51">
        <v>168</v>
      </c>
      <c r="CN26" s="51">
        <v>98</v>
      </c>
      <c r="CO26" s="51">
        <v>89</v>
      </c>
      <c r="CP26" s="51">
        <v>4</v>
      </c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>
        <f>98.9+115.7</f>
        <v>214.60000000000002</v>
      </c>
      <c r="DC26" s="51">
        <f>93.4+92.3</f>
        <v>185.7</v>
      </c>
      <c r="DD26" s="51">
        <f>80.2+93.6</f>
        <v>173.8</v>
      </c>
      <c r="DE26" s="49">
        <f t="shared" si="3"/>
        <v>153.10000000000002</v>
      </c>
      <c r="DF26" s="49">
        <f t="shared" si="4"/>
        <v>134.80000000000001</v>
      </c>
      <c r="DG26" s="49">
        <f t="shared" si="5"/>
        <v>143.80000000000001</v>
      </c>
      <c r="DH26" s="49">
        <f t="shared" si="6"/>
        <v>0</v>
      </c>
      <c r="DI26" s="49">
        <f t="shared" ref="DI26:DO26" si="42">+DH26*0.9</f>
        <v>0</v>
      </c>
      <c r="DJ26" s="49">
        <f t="shared" si="42"/>
        <v>0</v>
      </c>
      <c r="DK26" s="49">
        <f t="shared" si="42"/>
        <v>0</v>
      </c>
      <c r="DL26" s="49">
        <f t="shared" si="42"/>
        <v>0</v>
      </c>
      <c r="DM26" s="49">
        <f t="shared" si="42"/>
        <v>0</v>
      </c>
      <c r="DN26" s="49">
        <f t="shared" si="42"/>
        <v>0</v>
      </c>
      <c r="DO26" s="49">
        <f t="shared" si="42"/>
        <v>0</v>
      </c>
    </row>
    <row r="27" spans="2:119" x14ac:dyDescent="0.2">
      <c r="B27" s="38" t="s">
        <v>380</v>
      </c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>
        <v>6.3</v>
      </c>
      <c r="BU27" s="51">
        <v>11.6</v>
      </c>
      <c r="BV27" s="51">
        <v>18.7</v>
      </c>
      <c r="BW27" s="51">
        <v>16.8</v>
      </c>
      <c r="BX27" s="51">
        <v>25.7</v>
      </c>
      <c r="BY27" s="51">
        <v>33.6</v>
      </c>
      <c r="BZ27" s="51">
        <v>38.6</v>
      </c>
      <c r="CA27" s="51">
        <v>41.8</v>
      </c>
      <c r="CB27" s="51">
        <v>45</v>
      </c>
      <c r="CC27" s="51">
        <v>40.5</v>
      </c>
      <c r="CD27" s="51">
        <v>64.599999999999994</v>
      </c>
      <c r="CE27" s="51">
        <v>51.4</v>
      </c>
      <c r="CF27" s="51">
        <f t="shared" ref="CF27:CH27" si="43">+CE27+3</f>
        <v>54.4</v>
      </c>
      <c r="CG27" s="51">
        <f t="shared" si="43"/>
        <v>57.4</v>
      </c>
      <c r="CH27" s="51">
        <f t="shared" si="43"/>
        <v>60.4</v>
      </c>
      <c r="CI27" s="51"/>
      <c r="CJ27" s="51"/>
      <c r="CK27" s="49"/>
      <c r="CL27" s="51"/>
      <c r="CM27" s="51"/>
      <c r="CN27" s="51"/>
      <c r="CO27" s="51"/>
      <c r="CP27" s="51"/>
      <c r="CQ27" s="51"/>
      <c r="CR27" s="51"/>
      <c r="CS27" s="51"/>
      <c r="CT27" s="51"/>
      <c r="CU27" s="51"/>
      <c r="CV27" s="51"/>
      <c r="CW27" s="51"/>
      <c r="CX27" s="51"/>
      <c r="CY27" s="51"/>
      <c r="CZ27" s="51"/>
      <c r="DA27" s="51"/>
      <c r="DB27" s="51"/>
      <c r="DC27" s="51"/>
      <c r="DD27" s="51"/>
      <c r="DE27" s="49">
        <f t="shared" si="3"/>
        <v>36.599999999999994</v>
      </c>
      <c r="DF27" s="49">
        <f t="shared" si="4"/>
        <v>114.69999999999999</v>
      </c>
      <c r="DG27" s="49">
        <f t="shared" si="5"/>
        <v>191.89999999999998</v>
      </c>
      <c r="DH27" s="49">
        <f t="shared" si="6"/>
        <v>223.6</v>
      </c>
      <c r="DI27" s="49">
        <f t="shared" ref="DI27:DN27" si="44">+DH27*1.3</f>
        <v>290.68</v>
      </c>
      <c r="DJ27" s="49">
        <f t="shared" si="44"/>
        <v>377.88400000000001</v>
      </c>
      <c r="DK27" s="49">
        <f t="shared" si="44"/>
        <v>491.24920000000003</v>
      </c>
      <c r="DL27" s="49">
        <f t="shared" si="44"/>
        <v>638.62396000000001</v>
      </c>
      <c r="DM27" s="49">
        <f t="shared" si="44"/>
        <v>830.21114800000009</v>
      </c>
      <c r="DN27" s="49">
        <f t="shared" si="44"/>
        <v>1079.2744924000001</v>
      </c>
      <c r="DO27" s="49">
        <f>+DN27*0.1</f>
        <v>107.92744924000002</v>
      </c>
    </row>
    <row r="28" spans="2:119" x14ac:dyDescent="0.2">
      <c r="B28" s="38" t="s">
        <v>457</v>
      </c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>
        <v>6.2</v>
      </c>
      <c r="BR28" s="51">
        <v>0</v>
      </c>
      <c r="BS28" s="51">
        <v>17.8</v>
      </c>
      <c r="BT28" s="51">
        <v>13.6</v>
      </c>
      <c r="BU28" s="51">
        <v>20.9</v>
      </c>
      <c r="BV28" s="51">
        <v>23.8</v>
      </c>
      <c r="BW28" s="51">
        <v>24.4</v>
      </c>
      <c r="BX28" s="51">
        <v>25.9</v>
      </c>
      <c r="BY28" s="51">
        <v>31.9</v>
      </c>
      <c r="BZ28" s="51">
        <v>31</v>
      </c>
      <c r="CA28" s="51">
        <v>0</v>
      </c>
      <c r="CB28" s="51">
        <f>+CA28</f>
        <v>0</v>
      </c>
      <c r="CC28" s="51">
        <v>0</v>
      </c>
      <c r="CD28" s="51">
        <f t="shared" ref="CD28" si="45">+CC28</f>
        <v>0</v>
      </c>
      <c r="CE28" s="51"/>
      <c r="CF28" s="51"/>
      <c r="CG28" s="51"/>
      <c r="CH28" s="51"/>
      <c r="CI28" s="51"/>
      <c r="CJ28" s="51"/>
      <c r="CK28" s="49"/>
      <c r="CL28" s="51"/>
      <c r="CM28" s="51"/>
      <c r="CN28" s="51"/>
      <c r="CO28" s="51"/>
      <c r="CP28" s="51"/>
      <c r="CQ28" s="51"/>
      <c r="CR28" s="51"/>
      <c r="CS28" s="51"/>
      <c r="CT28" s="51"/>
      <c r="CU28" s="51"/>
      <c r="CV28" s="51"/>
      <c r="CW28" s="51"/>
      <c r="CX28" s="51"/>
      <c r="CY28" s="51"/>
      <c r="CZ28" s="51"/>
      <c r="DA28" s="51"/>
      <c r="DB28" s="51"/>
      <c r="DC28" s="51"/>
      <c r="DD28" s="51"/>
      <c r="DE28" s="49">
        <f t="shared" si="3"/>
        <v>76.099999999999994</v>
      </c>
      <c r="DF28" s="49">
        <f t="shared" si="4"/>
        <v>113.19999999999999</v>
      </c>
      <c r="DG28" s="49">
        <f t="shared" si="5"/>
        <v>0</v>
      </c>
      <c r="DH28" s="49">
        <f t="shared" si="6"/>
        <v>0</v>
      </c>
      <c r="DI28" s="49"/>
      <c r="DJ28" s="49"/>
      <c r="DK28" s="49"/>
      <c r="DL28" s="49"/>
      <c r="DM28" s="49"/>
      <c r="DN28" s="49"/>
      <c r="DO28" s="49"/>
    </row>
    <row r="29" spans="2:119" x14ac:dyDescent="0.2">
      <c r="B29" s="38" t="s">
        <v>377</v>
      </c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  <c r="BR29" s="52"/>
      <c r="BS29" s="52">
        <v>2.6</v>
      </c>
      <c r="BT29" s="52">
        <v>8.1</v>
      </c>
      <c r="BU29" s="52">
        <v>10.6</v>
      </c>
      <c r="BV29" s="52">
        <v>13.2</v>
      </c>
      <c r="BW29" s="52">
        <v>16.899999999999999</v>
      </c>
      <c r="BX29" s="52">
        <v>7.9</v>
      </c>
      <c r="BY29" s="52">
        <v>4.9000000000000004</v>
      </c>
      <c r="BZ29" s="52">
        <f>15.3+17.6-BY29-BX29-BW29</f>
        <v>3.2000000000000099</v>
      </c>
      <c r="CA29" s="52">
        <v>4.5</v>
      </c>
      <c r="CB29" s="52">
        <v>4</v>
      </c>
      <c r="CC29" s="52">
        <v>771</v>
      </c>
      <c r="CD29" s="52">
        <v>759</v>
      </c>
      <c r="CE29" s="52">
        <v>1307.5</v>
      </c>
      <c r="CF29" s="52"/>
      <c r="CG29" s="52"/>
      <c r="CH29" s="52"/>
      <c r="CI29" s="52"/>
      <c r="CJ29" s="52"/>
      <c r="CK29" s="49"/>
      <c r="CL29" s="51"/>
      <c r="CM29" s="51"/>
      <c r="CN29" s="51"/>
      <c r="CO29" s="51"/>
      <c r="CP29" s="51"/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49">
        <f t="shared" si="3"/>
        <v>34.5</v>
      </c>
      <c r="DF29" s="49">
        <f t="shared" si="4"/>
        <v>32.900000000000006</v>
      </c>
      <c r="DG29" s="49">
        <f t="shared" si="5"/>
        <v>1538.5</v>
      </c>
      <c r="DH29" s="49">
        <f t="shared" si="6"/>
        <v>1307.5</v>
      </c>
      <c r="DI29" s="49">
        <f>+DH29</f>
        <v>1307.5</v>
      </c>
      <c r="DJ29" s="49">
        <f t="shared" ref="DJ29:DO29" si="46">+DI29</f>
        <v>1307.5</v>
      </c>
      <c r="DK29" s="49">
        <f t="shared" si="46"/>
        <v>1307.5</v>
      </c>
      <c r="DL29" s="49">
        <f t="shared" si="46"/>
        <v>1307.5</v>
      </c>
      <c r="DM29" s="49">
        <f t="shared" si="46"/>
        <v>1307.5</v>
      </c>
      <c r="DN29" s="49">
        <f t="shared" si="46"/>
        <v>1307.5</v>
      </c>
      <c r="DO29" s="49">
        <f t="shared" si="46"/>
        <v>1307.5</v>
      </c>
    </row>
    <row r="30" spans="2:119" x14ac:dyDescent="0.2">
      <c r="B30" s="38" t="s">
        <v>504</v>
      </c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>
        <v>28</v>
      </c>
      <c r="BT30" s="52">
        <v>22.7</v>
      </c>
      <c r="BU30" s="52">
        <v>24.8</v>
      </c>
      <c r="BV30" s="52">
        <v>22.3</v>
      </c>
      <c r="BW30" s="52">
        <v>21.8</v>
      </c>
      <c r="BX30" s="52">
        <v>9.3000000000000007</v>
      </c>
      <c r="BY30" s="52">
        <v>10.4</v>
      </c>
      <c r="BZ30" s="52">
        <v>8.8000000000000007</v>
      </c>
      <c r="CA30" s="52"/>
      <c r="CB30" s="52"/>
      <c r="CC30" s="52"/>
      <c r="CD30" s="52"/>
      <c r="CE30" s="52"/>
      <c r="CF30" s="52"/>
      <c r="CG30" s="52"/>
      <c r="CH30" s="52"/>
      <c r="CI30" s="52"/>
      <c r="CJ30" s="52"/>
      <c r="CK30" s="49"/>
      <c r="CL30" s="51"/>
      <c r="CM30" s="51"/>
      <c r="CN30" s="51"/>
      <c r="CO30" s="51"/>
      <c r="CP30" s="51"/>
      <c r="CQ30" s="51"/>
      <c r="CR30" s="51"/>
      <c r="CS30" s="51"/>
      <c r="CT30" s="51"/>
      <c r="CU30" s="51"/>
      <c r="CV30" s="51"/>
      <c r="CW30" s="51"/>
      <c r="CX30" s="51"/>
      <c r="CY30" s="51"/>
      <c r="CZ30" s="51"/>
      <c r="DA30" s="51"/>
      <c r="DB30" s="51"/>
      <c r="DC30" s="51"/>
      <c r="DD30" s="51"/>
      <c r="DE30" s="49">
        <f t="shared" si="3"/>
        <v>97.8</v>
      </c>
      <c r="DF30" s="49">
        <f t="shared" si="4"/>
        <v>50.3</v>
      </c>
      <c r="DG30" s="49">
        <f t="shared" si="5"/>
        <v>0</v>
      </c>
      <c r="DH30" s="49">
        <f t="shared" si="6"/>
        <v>0</v>
      </c>
      <c r="DI30" s="49"/>
      <c r="DJ30" s="49"/>
      <c r="DK30" s="49"/>
      <c r="DL30" s="49"/>
      <c r="DM30" s="49"/>
      <c r="DN30" s="49"/>
      <c r="DO30" s="49"/>
    </row>
    <row r="31" spans="2:119" x14ac:dyDescent="0.2">
      <c r="B31" s="38" t="s">
        <v>458</v>
      </c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52">
        <v>1.4</v>
      </c>
      <c r="BT31" s="52">
        <v>2.9</v>
      </c>
      <c r="BU31" s="52">
        <v>4</v>
      </c>
      <c r="BV31" s="52">
        <v>4.4000000000000004</v>
      </c>
      <c r="BW31" s="52">
        <v>2.5</v>
      </c>
      <c r="BX31" s="52">
        <v>9.4</v>
      </c>
      <c r="BY31" s="52">
        <v>5.3</v>
      </c>
      <c r="BZ31" s="52">
        <v>6.9</v>
      </c>
      <c r="CA31" s="52"/>
      <c r="CB31" s="52"/>
      <c r="CC31" s="52"/>
      <c r="CD31" s="52"/>
      <c r="CE31" s="52"/>
      <c r="CF31" s="52"/>
      <c r="CG31" s="52"/>
      <c r="CH31" s="52"/>
      <c r="CI31" s="52"/>
      <c r="CJ31" s="52"/>
      <c r="CK31" s="49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/>
      <c r="CX31" s="51"/>
      <c r="CY31" s="51"/>
      <c r="CZ31" s="51"/>
      <c r="DA31" s="51"/>
      <c r="DB31" s="51"/>
      <c r="DC31" s="51"/>
      <c r="DD31" s="51"/>
      <c r="DE31" s="49">
        <f t="shared" si="3"/>
        <v>12.700000000000001</v>
      </c>
      <c r="DF31" s="49">
        <f t="shared" si="4"/>
        <v>24.1</v>
      </c>
      <c r="DG31" s="49">
        <f t="shared" si="5"/>
        <v>0</v>
      </c>
      <c r="DH31" s="49">
        <f t="shared" si="6"/>
        <v>0</v>
      </c>
      <c r="DI31" s="49"/>
      <c r="DJ31" s="49"/>
      <c r="DK31" s="49"/>
      <c r="DL31" s="49"/>
      <c r="DM31" s="49"/>
      <c r="DN31" s="49"/>
      <c r="DO31" s="49"/>
    </row>
    <row r="32" spans="2:119" x14ac:dyDescent="0.2">
      <c r="B32" t="s">
        <v>15</v>
      </c>
      <c r="C32" s="51">
        <v>55</v>
      </c>
      <c r="D32" s="51">
        <v>74.8</v>
      </c>
      <c r="E32" s="51">
        <v>108</v>
      </c>
      <c r="F32" s="51">
        <v>132.6</v>
      </c>
      <c r="G32" s="51">
        <v>141.1</v>
      </c>
      <c r="H32" s="51">
        <v>178.6</v>
      </c>
      <c r="I32" s="51">
        <v>163.6</v>
      </c>
      <c r="J32" s="51">
        <v>183.4</v>
      </c>
      <c r="K32" s="51">
        <v>119.8</v>
      </c>
      <c r="L32" s="51">
        <v>123.5</v>
      </c>
      <c r="M32" s="51">
        <v>140.9</v>
      </c>
      <c r="N32" s="51">
        <v>168</v>
      </c>
      <c r="O32" s="51">
        <v>152</v>
      </c>
      <c r="P32" s="51">
        <v>144</v>
      </c>
      <c r="Q32" s="51">
        <v>126</v>
      </c>
      <c r="R32" s="51">
        <v>156.30000000000001</v>
      </c>
      <c r="S32" s="51">
        <v>139.9</v>
      </c>
      <c r="T32" s="51">
        <v>142.30000000000001</v>
      </c>
      <c r="U32" s="51">
        <v>130.5</v>
      </c>
      <c r="V32" s="51">
        <v>156.80000000000001</v>
      </c>
      <c r="W32" s="51">
        <v>148</v>
      </c>
      <c r="X32" s="51">
        <v>135.19999999999999</v>
      </c>
      <c r="Y32" s="51">
        <v>149.5</v>
      </c>
      <c r="Z32" s="51">
        <v>146.80000000000001</v>
      </c>
      <c r="AA32" s="51">
        <v>158.9</v>
      </c>
      <c r="AB32" s="51">
        <v>142.80000000000001</v>
      </c>
      <c r="AC32" s="51">
        <v>145.5</v>
      </c>
      <c r="AD32" s="51">
        <v>162.19999999999999</v>
      </c>
      <c r="AE32" s="51">
        <v>146.4</v>
      </c>
      <c r="AF32" s="51">
        <v>147.1</v>
      </c>
      <c r="AG32" s="51">
        <v>127.9</v>
      </c>
      <c r="AH32" s="51">
        <v>155.4</v>
      </c>
      <c r="AI32" s="51">
        <v>138.69999999999999</v>
      </c>
      <c r="AJ32" s="51">
        <v>157.69999999999999</v>
      </c>
      <c r="AK32" s="51">
        <v>153.19999999999999</v>
      </c>
      <c r="AL32" s="51">
        <v>170.6</v>
      </c>
      <c r="AM32" s="51">
        <v>158.9</v>
      </c>
      <c r="AN32" s="51">
        <v>153</v>
      </c>
      <c r="AO32" s="51">
        <v>145.6</v>
      </c>
      <c r="AP32" s="51">
        <v>163.9</v>
      </c>
      <c r="AQ32" s="51">
        <v>166.7</v>
      </c>
      <c r="AR32" s="51">
        <v>168.3</v>
      </c>
      <c r="AS32" s="51">
        <v>173.2</v>
      </c>
      <c r="AT32" s="51">
        <v>201.1</v>
      </c>
      <c r="AU32" s="51">
        <v>154.4</v>
      </c>
      <c r="AV32" s="51">
        <v>197.4</v>
      </c>
      <c r="AW32" s="51">
        <v>191.9</v>
      </c>
      <c r="AX32" s="51">
        <v>194.9</v>
      </c>
      <c r="AY32" s="51">
        <v>173.7</v>
      </c>
      <c r="AZ32" s="51">
        <v>191.8</v>
      </c>
      <c r="BA32" s="51">
        <v>196.9</v>
      </c>
      <c r="BB32" s="51">
        <v>221.6</v>
      </c>
      <c r="BC32" s="51">
        <v>188.1</v>
      </c>
      <c r="BD32" s="51">
        <v>224.6</v>
      </c>
      <c r="BE32" s="51">
        <v>198.8</v>
      </c>
      <c r="BF32" s="51">
        <v>243.2</v>
      </c>
      <c r="BG32" s="51">
        <v>196.2</v>
      </c>
      <c r="BH32" s="51">
        <v>186.6</v>
      </c>
      <c r="BI32" s="51">
        <v>137.1</v>
      </c>
      <c r="BJ32" s="51">
        <v>98.3</v>
      </c>
      <c r="BK32" s="51">
        <v>130.69999999999999</v>
      </c>
      <c r="BL32" s="51">
        <v>114.2</v>
      </c>
      <c r="BM32" s="51">
        <v>98.7</v>
      </c>
      <c r="BN32" s="51">
        <v>107.2</v>
      </c>
      <c r="BO32" s="51"/>
      <c r="BP32" s="51"/>
      <c r="BQ32" s="51"/>
      <c r="BR32" s="51"/>
      <c r="BS32" s="51">
        <v>38.200000000000003</v>
      </c>
      <c r="BT32" s="51">
        <v>22.5</v>
      </c>
      <c r="BU32" s="51">
        <v>32.700000000000003</v>
      </c>
      <c r="BV32" s="51">
        <v>35.1</v>
      </c>
      <c r="BW32" s="51">
        <v>38.6</v>
      </c>
      <c r="BX32" s="51">
        <v>40.5</v>
      </c>
      <c r="BY32" s="51">
        <v>35.200000000000003</v>
      </c>
      <c r="BZ32" s="51">
        <v>36.1</v>
      </c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49"/>
      <c r="CL32" s="51"/>
      <c r="CM32" s="51">
        <v>3</v>
      </c>
      <c r="CN32" s="51">
        <v>370</v>
      </c>
      <c r="CO32" s="51">
        <v>666</v>
      </c>
      <c r="CP32" s="51">
        <v>552</v>
      </c>
      <c r="CQ32" s="51">
        <v>594</v>
      </c>
      <c r="CR32" s="51">
        <f>SUM(S32:V32)</f>
        <v>569.5</v>
      </c>
      <c r="CS32" s="51">
        <f>SUM(W32:Z32)</f>
        <v>579.5</v>
      </c>
      <c r="CT32" s="51">
        <f>SUM(AA32:AD32)</f>
        <v>609.40000000000009</v>
      </c>
      <c r="CU32" s="51">
        <f>SUM(AE32:AH32)</f>
        <v>576.79999999999995</v>
      </c>
      <c r="CV32" s="51">
        <f>SUM(AI32:AL32)</f>
        <v>620.19999999999993</v>
      </c>
      <c r="CW32" s="51">
        <f>SUM(AM32:AP32)</f>
        <v>621.4</v>
      </c>
      <c r="CX32" s="51">
        <v>709.2</v>
      </c>
      <c r="CY32" s="51">
        <v>738.5</v>
      </c>
      <c r="CZ32" s="51">
        <v>784</v>
      </c>
      <c r="DA32" s="51">
        <v>854.7</v>
      </c>
      <c r="DB32" s="51">
        <f>284.9+333.3</f>
        <v>618.20000000000005</v>
      </c>
      <c r="DC32" s="51">
        <v>450.8</v>
      </c>
      <c r="DD32" s="51">
        <v>242.5</v>
      </c>
      <c r="DE32" s="49">
        <f t="shared" si="3"/>
        <v>128.5</v>
      </c>
      <c r="DF32" s="49">
        <f t="shared" si="4"/>
        <v>150.4</v>
      </c>
      <c r="DG32" s="49">
        <f t="shared" si="5"/>
        <v>0</v>
      </c>
      <c r="DH32" s="49">
        <f t="shared" si="6"/>
        <v>0</v>
      </c>
      <c r="DI32" s="49"/>
      <c r="DJ32" s="49"/>
      <c r="DK32" s="49"/>
      <c r="DL32" s="49"/>
      <c r="DM32" s="49"/>
      <c r="DN32" s="49"/>
      <c r="DO32" s="49"/>
    </row>
    <row r="33" spans="2:119" x14ac:dyDescent="0.2">
      <c r="B33" s="38" t="s">
        <v>520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>
        <v>0.6</v>
      </c>
      <c r="BC33" s="51">
        <v>1.7</v>
      </c>
      <c r="BD33" s="51">
        <v>4</v>
      </c>
      <c r="BE33" s="51">
        <v>5.3</v>
      </c>
      <c r="BF33" s="51">
        <v>3.8</v>
      </c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49"/>
      <c r="CL33" s="51"/>
      <c r="CM33" s="51"/>
      <c r="CN33" s="51"/>
      <c r="CO33" s="51"/>
      <c r="CP33" s="51"/>
      <c r="CQ33" s="51"/>
      <c r="CR33" s="51"/>
      <c r="CS33" s="51"/>
      <c r="CT33" s="51"/>
      <c r="CU33" s="51"/>
      <c r="CV33" s="51"/>
      <c r="CW33" s="51"/>
      <c r="CX33" s="51"/>
      <c r="CY33" s="51"/>
      <c r="CZ33" s="51"/>
      <c r="DA33" s="51"/>
      <c r="DB33" s="51"/>
      <c r="DC33" s="51"/>
      <c r="DD33" s="51"/>
      <c r="DE33" s="49"/>
      <c r="DF33" s="49"/>
      <c r="DG33" s="49"/>
      <c r="DH33" s="49"/>
      <c r="DI33" s="49"/>
      <c r="DJ33" s="49"/>
      <c r="DK33" s="49"/>
      <c r="DL33" s="49"/>
      <c r="DM33" s="49"/>
      <c r="DN33" s="49"/>
      <c r="DO33" s="49"/>
    </row>
    <row r="34" spans="2:119" x14ac:dyDescent="0.2">
      <c r="B34" s="38" t="s">
        <v>519</v>
      </c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>
        <v>11.9</v>
      </c>
      <c r="BG34" s="51">
        <v>42.1</v>
      </c>
      <c r="BH34" s="51">
        <v>47.4</v>
      </c>
      <c r="BI34" s="51">
        <v>54.5</v>
      </c>
      <c r="BJ34" s="51">
        <v>59</v>
      </c>
      <c r="BK34" s="51">
        <v>64.400000000000006</v>
      </c>
      <c r="BL34" s="51">
        <v>79.900000000000006</v>
      </c>
      <c r="BM34" s="51">
        <v>76.900000000000006</v>
      </c>
      <c r="BN34" s="51">
        <v>83.5</v>
      </c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49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/>
      <c r="DA34" s="51"/>
      <c r="DB34" s="51"/>
      <c r="DC34" s="51"/>
      <c r="DD34" s="51"/>
      <c r="DE34" s="49"/>
      <c r="DF34" s="49"/>
      <c r="DG34" s="49"/>
      <c r="DH34" s="49"/>
      <c r="DI34" s="49"/>
      <c r="DJ34" s="49"/>
      <c r="DK34" s="49"/>
      <c r="DL34" s="49"/>
      <c r="DM34" s="49"/>
      <c r="DN34" s="49"/>
      <c r="DO34" s="49"/>
    </row>
    <row r="35" spans="2:119" x14ac:dyDescent="0.2">
      <c r="B35" t="s">
        <v>79</v>
      </c>
      <c r="C35" s="51"/>
      <c r="D35" s="51"/>
      <c r="E35" s="51"/>
      <c r="F35" s="51"/>
      <c r="G35" s="51"/>
      <c r="H35" s="51"/>
      <c r="I35" s="51"/>
      <c r="J35" s="51">
        <v>251.4</v>
      </c>
      <c r="K35" s="51">
        <f>O35/1.01</f>
        <v>196.33663366336634</v>
      </c>
      <c r="L35" s="51">
        <v>201</v>
      </c>
      <c r="M35" s="51">
        <v>216</v>
      </c>
      <c r="N35" s="51">
        <v>251.4</v>
      </c>
      <c r="O35" s="51">
        <v>198.3</v>
      </c>
      <c r="P35" s="51">
        <v>201</v>
      </c>
      <c r="Q35" s="51">
        <v>216</v>
      </c>
      <c r="R35" s="51">
        <v>236.6</v>
      </c>
      <c r="S35" s="51">
        <v>210</v>
      </c>
      <c r="T35" s="51">
        <v>214.7</v>
      </c>
      <c r="U35" s="51">
        <v>236.8</v>
      </c>
      <c r="V35" s="51">
        <v>329.4</v>
      </c>
      <c r="W35" s="51"/>
      <c r="X35" s="51">
        <v>254.5</v>
      </c>
      <c r="Y35" s="51">
        <v>277.10000000000002</v>
      </c>
      <c r="Z35" s="51">
        <v>326.39999999999998</v>
      </c>
      <c r="AA35" s="51">
        <v>264.10000000000002</v>
      </c>
      <c r="AB35" s="51">
        <v>275.39999999999998</v>
      </c>
      <c r="AC35" s="51">
        <v>314.60000000000002</v>
      </c>
      <c r="AD35" s="51">
        <v>353.1</v>
      </c>
      <c r="AE35" s="51">
        <v>289.60000000000002</v>
      </c>
      <c r="AF35" s="51">
        <v>324.2</v>
      </c>
      <c r="AG35" s="51">
        <v>353.2</v>
      </c>
      <c r="AH35" s="51">
        <v>424.3</v>
      </c>
      <c r="AI35" s="51">
        <v>369.8</v>
      </c>
      <c r="AJ35" s="51">
        <v>389.5</v>
      </c>
      <c r="AK35" s="51">
        <v>451</v>
      </c>
      <c r="AL35" s="51">
        <v>468.2</v>
      </c>
      <c r="AM35" s="51">
        <v>490.7</v>
      </c>
      <c r="AN35" s="51">
        <v>512.20000000000005</v>
      </c>
      <c r="AO35" s="51">
        <v>479.4</v>
      </c>
      <c r="AP35" s="51">
        <v>554.1</v>
      </c>
      <c r="AQ35" s="51">
        <v>499.1</v>
      </c>
      <c r="AR35" s="51">
        <v>543.5</v>
      </c>
      <c r="AS35" s="51">
        <v>530.29999999999995</v>
      </c>
      <c r="AT35" s="51">
        <v>578.4</v>
      </c>
      <c r="AU35" s="51">
        <v>527.4</v>
      </c>
      <c r="AV35" s="51">
        <v>601.20000000000005</v>
      </c>
      <c r="AW35" s="51">
        <v>584.70000000000005</v>
      </c>
      <c r="AX35" s="51">
        <v>633.29999999999995</v>
      </c>
      <c r="AY35" s="51">
        <v>749.8</v>
      </c>
      <c r="AZ35" s="51">
        <v>840.8</v>
      </c>
      <c r="BA35" s="51">
        <v>778.8</v>
      </c>
      <c r="BB35" s="51">
        <v>811.7</v>
      </c>
      <c r="BC35" s="51">
        <v>754.6</v>
      </c>
      <c r="BD35" s="51">
        <v>859.8</v>
      </c>
      <c r="BE35" s="51">
        <v>706.2</v>
      </c>
      <c r="BF35" s="51">
        <v>837.6</v>
      </c>
      <c r="BG35" s="51">
        <v>769.4</v>
      </c>
      <c r="BH35" s="51">
        <v>784.8</v>
      </c>
      <c r="BI35" s="51">
        <v>740.6</v>
      </c>
      <c r="BJ35" s="51">
        <v>790.9</v>
      </c>
      <c r="BK35" s="51">
        <v>761.3</v>
      </c>
      <c r="BL35" s="51">
        <v>792.1</v>
      </c>
      <c r="BM35" s="51">
        <v>772.7</v>
      </c>
      <c r="BN35" s="51">
        <v>816.5</v>
      </c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  <c r="BZ35" s="51"/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49"/>
      <c r="CL35" s="51"/>
      <c r="CM35" s="51">
        <v>693</v>
      </c>
      <c r="CN35" s="51">
        <v>727</v>
      </c>
      <c r="CO35" s="51">
        <v>798</v>
      </c>
      <c r="CP35" s="51">
        <v>864</v>
      </c>
      <c r="CQ35" s="51">
        <v>882</v>
      </c>
      <c r="CR35" s="51">
        <f>CQ35*1.05</f>
        <v>926.1</v>
      </c>
      <c r="CS35" s="51">
        <f t="shared" si="14"/>
        <v>858</v>
      </c>
      <c r="CT35" s="51">
        <f t="shared" si="15"/>
        <v>1207.2</v>
      </c>
      <c r="CU35" s="51">
        <f t="shared" si="16"/>
        <v>1391.3</v>
      </c>
      <c r="CV35" s="51">
        <f t="shared" si="17"/>
        <v>1678.5</v>
      </c>
      <c r="CW35" s="51">
        <f t="shared" ref="CW35:CW39" si="47">SUM(AM35:AP35)</f>
        <v>2036.4</v>
      </c>
      <c r="CX35" s="51">
        <v>2151.5</v>
      </c>
      <c r="CY35" s="51">
        <v>2346.6</v>
      </c>
      <c r="CZ35" s="51">
        <v>3181</v>
      </c>
      <c r="DA35" s="51">
        <v>3158.2</v>
      </c>
      <c r="DB35" s="51"/>
      <c r="DC35" s="51"/>
      <c r="DD35" s="51"/>
      <c r="DE35" s="49"/>
      <c r="DF35" s="49"/>
      <c r="DG35" s="49"/>
      <c r="DH35" s="49"/>
    </row>
    <row r="36" spans="2:119" s="38" customFormat="1" x14ac:dyDescent="0.2">
      <c r="B36" s="38" t="s">
        <v>263</v>
      </c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>
        <v>22.6</v>
      </c>
      <c r="AD36" s="52">
        <v>4</v>
      </c>
      <c r="AE36" s="52">
        <v>8.8000000000000007</v>
      </c>
      <c r="AF36" s="52">
        <v>22.9</v>
      </c>
      <c r="AG36" s="52">
        <v>36.299999999999997</v>
      </c>
      <c r="AH36" s="52">
        <v>47</v>
      </c>
      <c r="AI36" s="52">
        <v>56.3</v>
      </c>
      <c r="AJ36" s="52">
        <v>71.7</v>
      </c>
      <c r="AK36" s="52">
        <v>83.5</v>
      </c>
      <c r="AL36" s="52">
        <v>90.9</v>
      </c>
      <c r="AM36" s="52">
        <v>115.8</v>
      </c>
      <c r="AN36" s="52">
        <v>111</v>
      </c>
      <c r="AO36" s="52">
        <v>109.7</v>
      </c>
      <c r="AP36" s="52">
        <v>120.6</v>
      </c>
      <c r="AQ36" s="52">
        <v>115.9</v>
      </c>
      <c r="AR36" s="52">
        <v>137.4</v>
      </c>
      <c r="AS36" s="52">
        <v>124.9</v>
      </c>
      <c r="AT36" s="52">
        <v>130.6</v>
      </c>
      <c r="AU36" s="52">
        <v>119.3</v>
      </c>
      <c r="AV36" s="52">
        <v>133.6</v>
      </c>
      <c r="AW36" s="52">
        <v>131.5</v>
      </c>
      <c r="AX36" s="52">
        <v>137.80000000000001</v>
      </c>
      <c r="AY36" s="52">
        <v>121.8</v>
      </c>
      <c r="AZ36" s="52">
        <v>128.80000000000001</v>
      </c>
      <c r="BA36" s="52">
        <v>132.1</v>
      </c>
      <c r="BB36" s="52">
        <v>140.30000000000001</v>
      </c>
      <c r="BC36" s="52">
        <v>131.5</v>
      </c>
      <c r="BD36" s="52">
        <v>135.1</v>
      </c>
      <c r="BE36" s="52">
        <v>127.7</v>
      </c>
      <c r="BF36" s="52">
        <v>140.9</v>
      </c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  <c r="BR36" s="52"/>
      <c r="BS36" s="52"/>
      <c r="BT36" s="52"/>
      <c r="BU36" s="52"/>
      <c r="BV36" s="52"/>
      <c r="BW36" s="52"/>
      <c r="BX36" s="52"/>
      <c r="BY36" s="52"/>
      <c r="BZ36" s="52"/>
      <c r="CA36" s="52"/>
      <c r="CB36" s="52"/>
      <c r="CC36" s="52"/>
      <c r="CD36" s="52"/>
      <c r="CE36" s="52"/>
      <c r="CF36" s="52"/>
      <c r="CG36" s="52"/>
      <c r="CH36" s="52"/>
      <c r="CI36" s="52"/>
      <c r="CJ36" s="52"/>
      <c r="CK36" s="50"/>
      <c r="CL36" s="52"/>
      <c r="CM36" s="52"/>
      <c r="CN36" s="52"/>
      <c r="CO36" s="52"/>
      <c r="CP36" s="52"/>
      <c r="CQ36" s="52"/>
      <c r="CR36" s="52"/>
      <c r="CS36" s="52"/>
      <c r="CT36" s="52">
        <f>SUM(AA36:AD36)</f>
        <v>26.6</v>
      </c>
      <c r="CU36" s="52">
        <f>SUM(AE36:AH36)</f>
        <v>115</v>
      </c>
      <c r="CV36" s="51">
        <f t="shared" si="17"/>
        <v>302.39999999999998</v>
      </c>
      <c r="CW36" s="51">
        <f t="shared" si="47"/>
        <v>457.1</v>
      </c>
      <c r="CX36" s="52">
        <v>508.7</v>
      </c>
      <c r="CY36" s="52">
        <v>522.20000000000005</v>
      </c>
      <c r="CZ36" s="52">
        <v>523</v>
      </c>
      <c r="DA36" s="52">
        <v>535.20000000000005</v>
      </c>
      <c r="DB36" s="52"/>
      <c r="DC36" s="52"/>
      <c r="DD36" s="52"/>
      <c r="DE36" s="49"/>
      <c r="DF36" s="49"/>
      <c r="DG36" s="49"/>
      <c r="DH36" s="49"/>
    </row>
    <row r="37" spans="2:119" x14ac:dyDescent="0.2">
      <c r="B37" t="s">
        <v>55</v>
      </c>
      <c r="C37" s="51">
        <v>233.9</v>
      </c>
      <c r="D37" s="51">
        <v>254.6</v>
      </c>
      <c r="E37" s="51">
        <v>250.6</v>
      </c>
      <c r="F37" s="51">
        <v>282.60000000000002</v>
      </c>
      <c r="G37" s="51">
        <v>279</v>
      </c>
      <c r="H37" s="51">
        <v>293.3</v>
      </c>
      <c r="I37" s="51">
        <v>312.7</v>
      </c>
      <c r="J37" s="51">
        <v>329.5</v>
      </c>
      <c r="K37" s="51">
        <v>304.60000000000002</v>
      </c>
      <c r="L37" s="51">
        <v>343</v>
      </c>
      <c r="M37" s="51">
        <v>334.3</v>
      </c>
      <c r="N37" s="51">
        <v>352.6</v>
      </c>
      <c r="O37" s="51">
        <v>339</v>
      </c>
      <c r="P37" s="51">
        <v>344</v>
      </c>
      <c r="Q37" s="51">
        <v>355</v>
      </c>
      <c r="R37" s="51">
        <v>371.3</v>
      </c>
      <c r="S37" s="51">
        <v>376.9</v>
      </c>
      <c r="T37" s="51">
        <v>395.6</v>
      </c>
      <c r="U37" s="51">
        <v>394.4</v>
      </c>
      <c r="V37" s="51">
        <v>425.5</v>
      </c>
      <c r="W37" s="51">
        <v>426.2</v>
      </c>
      <c r="X37" s="51">
        <v>440.1</v>
      </c>
      <c r="Y37" s="51">
        <v>440.2</v>
      </c>
      <c r="Z37" s="51">
        <v>413.3</v>
      </c>
      <c r="AA37" s="51">
        <v>367.8</v>
      </c>
      <c r="AB37" s="51">
        <v>353.2</v>
      </c>
      <c r="AC37" s="51">
        <v>331.8</v>
      </c>
      <c r="AD37" s="51">
        <v>310.5</v>
      </c>
      <c r="AE37" s="51">
        <v>287.8</v>
      </c>
      <c r="AF37" s="51">
        <v>293.39999999999998</v>
      </c>
      <c r="AG37" s="51">
        <v>324.60000000000002</v>
      </c>
      <c r="AH37" s="51">
        <v>243.6</v>
      </c>
      <c r="AI37" s="51">
        <v>156.1</v>
      </c>
      <c r="AJ37" s="51">
        <v>112.4</v>
      </c>
      <c r="AK37" s="51">
        <v>91</v>
      </c>
      <c r="AL37" s="51">
        <v>92.6</v>
      </c>
      <c r="AM37" s="51">
        <v>0</v>
      </c>
      <c r="AN37" s="51">
        <v>0</v>
      </c>
      <c r="AO37" s="51">
        <v>0</v>
      </c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/>
      <c r="CB37" s="52"/>
      <c r="CC37" s="52"/>
      <c r="CD37" s="52"/>
      <c r="CE37" s="52"/>
      <c r="CF37" s="52"/>
      <c r="CG37" s="52"/>
      <c r="CH37" s="52"/>
      <c r="CI37" s="52"/>
      <c r="CJ37" s="52"/>
      <c r="CK37" s="49"/>
      <c r="CL37" s="51"/>
      <c r="CM37" s="51">
        <v>875</v>
      </c>
      <c r="CN37" s="51">
        <v>1022</v>
      </c>
      <c r="CO37" s="51">
        <v>1214</v>
      </c>
      <c r="CP37" s="51">
        <v>1335</v>
      </c>
      <c r="CQ37" s="51">
        <f>SUM(O37:R37)</f>
        <v>1409.3</v>
      </c>
      <c r="CR37" s="51">
        <f>SUM(S37:V37)</f>
        <v>1592.4</v>
      </c>
      <c r="CS37" s="51">
        <f>SUM(W37:Z37)</f>
        <v>1719.8</v>
      </c>
      <c r="CT37" s="51">
        <f>SUM(AA37:AD37)</f>
        <v>1363.3</v>
      </c>
      <c r="CU37" s="51">
        <f>SUM(AE37:AH37)</f>
        <v>1149.4000000000001</v>
      </c>
      <c r="CV37" s="51">
        <f>SUM(AI37:AL37)</f>
        <v>452.1</v>
      </c>
      <c r="CW37" s="51">
        <f t="shared" si="47"/>
        <v>0</v>
      </c>
      <c r="CX37" s="51"/>
      <c r="CY37" s="51"/>
      <c r="CZ37" s="51"/>
      <c r="DA37" s="51"/>
      <c r="DB37" s="51"/>
      <c r="DC37" s="53"/>
      <c r="DD37" s="53"/>
      <c r="DE37" s="49"/>
      <c r="DF37" s="49"/>
      <c r="DG37" s="49"/>
      <c r="DH37" s="49"/>
    </row>
    <row r="38" spans="2:119" x14ac:dyDescent="0.2">
      <c r="B38" s="38" t="s">
        <v>41</v>
      </c>
      <c r="C38" s="51"/>
      <c r="D38" s="51"/>
      <c r="E38" s="51"/>
      <c r="F38" s="51"/>
      <c r="G38" s="51"/>
      <c r="H38" s="51"/>
      <c r="I38" s="51">
        <v>13.5</v>
      </c>
      <c r="J38" s="51">
        <v>15.2</v>
      </c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  <c r="CC38" s="52"/>
      <c r="CD38" s="52"/>
      <c r="CE38" s="52"/>
      <c r="CF38" s="52"/>
      <c r="CG38" s="52"/>
      <c r="CH38" s="52"/>
      <c r="CI38" s="52"/>
      <c r="CJ38" s="52"/>
      <c r="CK38" s="49"/>
      <c r="CL38" s="51"/>
      <c r="CM38" s="51"/>
      <c r="CN38" s="51"/>
      <c r="CO38" s="51"/>
      <c r="CP38" s="51"/>
      <c r="CQ38" s="51"/>
      <c r="CR38" s="51"/>
      <c r="CS38" s="51"/>
      <c r="CT38" s="51"/>
      <c r="CU38" s="51"/>
      <c r="CV38" s="51"/>
      <c r="CW38" s="51"/>
      <c r="CX38" s="51"/>
      <c r="CY38" s="51"/>
      <c r="CZ38" s="51"/>
      <c r="DA38" s="51"/>
      <c r="DB38" s="51"/>
      <c r="DC38" s="53"/>
      <c r="DD38" s="53"/>
      <c r="DE38" s="49"/>
      <c r="DF38" s="49"/>
      <c r="DG38" s="49"/>
      <c r="DH38" s="49"/>
    </row>
    <row r="39" spans="2:119" x14ac:dyDescent="0.2">
      <c r="B39" t="s">
        <v>70</v>
      </c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>
        <v>25.7</v>
      </c>
      <c r="O39" s="51">
        <v>36</v>
      </c>
      <c r="P39" s="51">
        <v>52</v>
      </c>
      <c r="Q39" s="51">
        <v>62</v>
      </c>
      <c r="R39" s="51">
        <f>V39/1.34</f>
        <v>68.731343283582078</v>
      </c>
      <c r="S39" s="51">
        <v>72</v>
      </c>
      <c r="T39" s="51">
        <v>152.1</v>
      </c>
      <c r="U39" s="51">
        <v>87.1</v>
      </c>
      <c r="V39" s="51">
        <v>92.1</v>
      </c>
      <c r="W39" s="51">
        <v>82.7</v>
      </c>
      <c r="X39" s="51">
        <v>101.2</v>
      </c>
      <c r="Y39" s="51">
        <v>109.2</v>
      </c>
      <c r="Z39" s="51">
        <v>103</v>
      </c>
      <c r="AA39" s="51">
        <v>97.5</v>
      </c>
      <c r="AB39" s="51">
        <v>114.6</v>
      </c>
      <c r="AC39" s="51">
        <v>115.8</v>
      </c>
      <c r="AD39" s="51">
        <v>120.5</v>
      </c>
      <c r="AE39" s="51">
        <v>115.7</v>
      </c>
      <c r="AF39" s="51">
        <v>106.9</v>
      </c>
      <c r="AG39" s="51">
        <v>102.7</v>
      </c>
      <c r="AH39" s="51">
        <v>105.3</v>
      </c>
      <c r="AI39" s="51">
        <v>101.8</v>
      </c>
      <c r="AJ39" s="51">
        <v>103.9</v>
      </c>
      <c r="AK39" s="51">
        <v>106.7</v>
      </c>
      <c r="AL39" s="51">
        <v>110.3</v>
      </c>
      <c r="AM39" s="51">
        <v>0</v>
      </c>
      <c r="AN39" s="51">
        <v>0</v>
      </c>
      <c r="AO39" s="51">
        <v>0</v>
      </c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51"/>
      <c r="CJ39" s="51"/>
      <c r="CK39" s="49"/>
      <c r="CL39" s="51"/>
      <c r="CM39" s="51"/>
      <c r="CN39" s="51"/>
      <c r="CO39" s="51"/>
      <c r="CP39" s="51">
        <v>36</v>
      </c>
      <c r="CQ39" s="51">
        <v>193</v>
      </c>
      <c r="CR39" s="51">
        <f>CQ39*1.75</f>
        <v>337.75</v>
      </c>
      <c r="CS39" s="51">
        <f>SUM(W39:Z39)</f>
        <v>396.1</v>
      </c>
      <c r="CT39" s="51">
        <f>SUM(AA39:AD39)</f>
        <v>448.4</v>
      </c>
      <c r="CU39" s="51">
        <f>SUM(AE39:AH39)</f>
        <v>430.6</v>
      </c>
      <c r="CV39" s="51">
        <f>SUM(AI39:AL39)</f>
        <v>422.7</v>
      </c>
      <c r="CW39" s="51">
        <f t="shared" si="47"/>
        <v>0</v>
      </c>
      <c r="CX39" s="51"/>
      <c r="CY39" s="51"/>
      <c r="CZ39" s="51"/>
      <c r="DA39" s="51"/>
      <c r="DB39" s="51"/>
      <c r="DC39" s="53"/>
      <c r="DD39" s="53"/>
      <c r="DE39" s="49"/>
      <c r="DF39" s="49"/>
      <c r="DG39" s="49"/>
      <c r="DH39" s="49"/>
    </row>
    <row r="40" spans="2:119" x14ac:dyDescent="0.2">
      <c r="B40" t="s">
        <v>61</v>
      </c>
      <c r="C40" s="51">
        <v>149.9</v>
      </c>
      <c r="D40" s="51">
        <v>175</v>
      </c>
      <c r="E40" s="51">
        <v>154.19999999999999</v>
      </c>
      <c r="F40" s="51">
        <f>645.1-E40-D40-C40</f>
        <v>166.00000000000003</v>
      </c>
      <c r="G40" s="51">
        <v>165</v>
      </c>
      <c r="H40" s="51">
        <v>129.80000000000001</v>
      </c>
      <c r="I40" s="51">
        <v>141</v>
      </c>
      <c r="J40" s="51">
        <v>123.1</v>
      </c>
      <c r="K40" s="51">
        <v>112.5</v>
      </c>
      <c r="L40" s="51">
        <v>114.2</v>
      </c>
      <c r="M40" s="51">
        <v>102.6</v>
      </c>
      <c r="N40" s="51">
        <v>114.4</v>
      </c>
      <c r="O40" s="51"/>
      <c r="P40" s="51"/>
      <c r="Q40" s="51">
        <v>78</v>
      </c>
      <c r="R40" s="51"/>
      <c r="S40" s="51">
        <f>Q40</f>
        <v>78</v>
      </c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51"/>
      <c r="CH40" s="51"/>
      <c r="CI40" s="51"/>
      <c r="CJ40" s="51"/>
      <c r="CK40" s="49"/>
      <c r="CL40" s="51"/>
      <c r="CM40" s="51">
        <v>656</v>
      </c>
      <c r="CN40" s="51">
        <v>645</v>
      </c>
      <c r="CO40" s="51">
        <v>559</v>
      </c>
      <c r="CP40" s="51">
        <v>454</v>
      </c>
      <c r="CQ40" s="51">
        <v>327</v>
      </c>
      <c r="CR40" s="51">
        <f>CQ40*0.95</f>
        <v>310.64999999999998</v>
      </c>
      <c r="CS40" s="51"/>
      <c r="CT40" s="51"/>
      <c r="CU40" s="51"/>
      <c r="CV40" s="51"/>
      <c r="CW40" s="51"/>
      <c r="CX40" s="51"/>
      <c r="CY40" s="51"/>
      <c r="CZ40" s="51"/>
      <c r="DA40" s="51"/>
      <c r="DB40" s="51"/>
      <c r="DC40" s="53"/>
      <c r="DD40" s="53"/>
      <c r="DE40" s="49"/>
      <c r="DF40" s="49"/>
      <c r="DG40" s="49"/>
      <c r="DH40" s="49"/>
    </row>
    <row r="41" spans="2:119" x14ac:dyDescent="0.2">
      <c r="B41" t="s">
        <v>63</v>
      </c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1"/>
      <c r="BW41" s="51"/>
      <c r="BX41" s="51"/>
      <c r="BY41" s="51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49"/>
      <c r="CL41" s="51"/>
      <c r="CM41" s="51">
        <v>198</v>
      </c>
      <c r="CN41" s="51">
        <v>171</v>
      </c>
      <c r="CO41" s="51">
        <v>138</v>
      </c>
      <c r="CP41" s="51">
        <v>118</v>
      </c>
      <c r="CQ41" s="51">
        <v>90</v>
      </c>
      <c r="CR41" s="51">
        <f>CQ41*0.9</f>
        <v>81</v>
      </c>
      <c r="CS41" s="51">
        <f>CR41*0.9</f>
        <v>72.900000000000006</v>
      </c>
      <c r="CT41" s="51"/>
      <c r="CU41" s="51"/>
      <c r="CV41" s="51"/>
      <c r="CW41" s="51"/>
      <c r="CX41" s="51"/>
      <c r="CY41" s="51"/>
      <c r="CZ41" s="51"/>
      <c r="DA41" s="51"/>
      <c r="DB41" s="51"/>
      <c r="DC41" s="53"/>
      <c r="DD41" s="53"/>
      <c r="DE41" s="49"/>
      <c r="DF41" s="49"/>
      <c r="DG41" s="49"/>
      <c r="DH41" s="49"/>
    </row>
    <row r="42" spans="2:119" x14ac:dyDescent="0.2">
      <c r="B42" t="s">
        <v>64</v>
      </c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/>
      <c r="CI42" s="51"/>
      <c r="CJ42" s="51"/>
      <c r="CK42" s="49"/>
      <c r="CL42" s="51"/>
      <c r="CM42" s="51">
        <v>38</v>
      </c>
      <c r="CN42" s="51">
        <v>32</v>
      </c>
      <c r="CO42" s="51">
        <v>55</v>
      </c>
      <c r="CP42" s="51">
        <v>28</v>
      </c>
      <c r="CQ42" s="51">
        <v>17</v>
      </c>
      <c r="CR42" s="51">
        <v>16</v>
      </c>
      <c r="CS42" s="51">
        <v>16</v>
      </c>
      <c r="CT42" s="51"/>
      <c r="CU42" s="51"/>
      <c r="CV42" s="51"/>
      <c r="CW42" s="51"/>
      <c r="CX42" s="51"/>
      <c r="CY42" s="51"/>
      <c r="CZ42" s="51"/>
      <c r="DA42" s="51"/>
      <c r="DB42" s="51"/>
      <c r="DC42" s="53"/>
      <c r="DD42" s="53"/>
      <c r="DE42" s="49"/>
      <c r="DF42" s="49"/>
      <c r="DG42" s="49"/>
      <c r="DH42" s="49"/>
    </row>
    <row r="43" spans="2:119" x14ac:dyDescent="0.2">
      <c r="B43" t="s">
        <v>65</v>
      </c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1"/>
      <c r="BW43" s="51"/>
      <c r="BX43" s="51"/>
      <c r="BY43" s="51"/>
      <c r="BZ43" s="51"/>
      <c r="CA43" s="51"/>
      <c r="CB43" s="51"/>
      <c r="CC43" s="51"/>
      <c r="CD43" s="51"/>
      <c r="CE43" s="51"/>
      <c r="CF43" s="51"/>
      <c r="CG43" s="51"/>
      <c r="CH43" s="51"/>
      <c r="CI43" s="51"/>
      <c r="CJ43" s="51"/>
      <c r="CK43" s="49"/>
      <c r="CL43" s="51"/>
      <c r="CM43" s="51">
        <v>75</v>
      </c>
      <c r="CN43" s="51">
        <v>52</v>
      </c>
      <c r="CO43" s="51">
        <v>46</v>
      </c>
      <c r="CP43" s="51">
        <v>34</v>
      </c>
      <c r="CQ43" s="51">
        <v>32</v>
      </c>
      <c r="CR43" s="51">
        <f>CQ43*0.8</f>
        <v>25.6</v>
      </c>
      <c r="CS43" s="51">
        <f>CR43*0.8</f>
        <v>20.480000000000004</v>
      </c>
      <c r="CT43" s="51"/>
      <c r="CU43" s="51"/>
      <c r="CV43" s="51"/>
      <c r="CW43" s="51"/>
      <c r="CX43" s="51"/>
      <c r="CY43" s="51"/>
      <c r="CZ43" s="51"/>
      <c r="DA43" s="51"/>
      <c r="DB43" s="51"/>
      <c r="DC43" s="53"/>
      <c r="DD43" s="53"/>
      <c r="DE43" s="49"/>
      <c r="DF43" s="49"/>
      <c r="DG43" s="49"/>
      <c r="DH43" s="49"/>
    </row>
    <row r="44" spans="2:119" x14ac:dyDescent="0.2">
      <c r="B44" t="s">
        <v>66</v>
      </c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>
        <v>25</v>
      </c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51"/>
      <c r="BX44" s="51"/>
      <c r="BY44" s="51"/>
      <c r="BZ44" s="51"/>
      <c r="CA44" s="51"/>
      <c r="CB44" s="51"/>
      <c r="CC44" s="51"/>
      <c r="CD44" s="51"/>
      <c r="CE44" s="51"/>
      <c r="CF44" s="51"/>
      <c r="CG44" s="51"/>
      <c r="CH44" s="51"/>
      <c r="CI44" s="51"/>
      <c r="CJ44" s="51"/>
      <c r="CK44" s="49"/>
      <c r="CL44" s="51"/>
      <c r="CM44" s="51">
        <v>145</v>
      </c>
      <c r="CN44" s="51">
        <v>173</v>
      </c>
      <c r="CO44" s="51">
        <v>198</v>
      </c>
      <c r="CP44" s="51">
        <v>240</v>
      </c>
      <c r="CQ44" s="51">
        <v>154</v>
      </c>
      <c r="CR44" s="51">
        <v>136</v>
      </c>
      <c r="CS44" s="51">
        <v>143</v>
      </c>
      <c r="CT44" s="51"/>
      <c r="CU44" s="51"/>
      <c r="CV44" s="51"/>
      <c r="CW44" s="51"/>
      <c r="CX44" s="51"/>
      <c r="CY44" s="51"/>
      <c r="CZ44" s="51"/>
      <c r="DA44" s="51"/>
      <c r="DB44" s="51"/>
      <c r="DC44" s="53"/>
      <c r="DD44" s="53"/>
      <c r="DE44" s="49"/>
      <c r="DF44" s="49"/>
      <c r="DG44" s="49"/>
      <c r="DH44" s="49"/>
    </row>
    <row r="45" spans="2:119" x14ac:dyDescent="0.2">
      <c r="B45" t="s">
        <v>67</v>
      </c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49"/>
      <c r="CL45" s="51"/>
      <c r="CM45" s="51">
        <v>122</v>
      </c>
      <c r="CN45" s="51">
        <v>63</v>
      </c>
      <c r="CO45" s="51">
        <v>44</v>
      </c>
      <c r="CP45" s="51">
        <v>25</v>
      </c>
      <c r="CQ45" s="51">
        <v>31</v>
      </c>
      <c r="CR45" s="51">
        <f>CQ45*0.9</f>
        <v>27.900000000000002</v>
      </c>
      <c r="CS45" s="51">
        <f>CR45*0.9</f>
        <v>25.110000000000003</v>
      </c>
      <c r="CT45" s="51">
        <f>CS45*0.9</f>
        <v>22.599000000000004</v>
      </c>
      <c r="CU45" s="51"/>
      <c r="CV45" s="51"/>
      <c r="CW45" s="51"/>
      <c r="CX45" s="51"/>
      <c r="CY45" s="51"/>
      <c r="CZ45" s="51"/>
      <c r="DA45" s="51"/>
      <c r="DB45" s="51"/>
      <c r="DC45" s="53"/>
      <c r="DD45" s="53"/>
      <c r="DE45" s="49"/>
      <c r="DF45" s="49"/>
      <c r="DG45" s="49"/>
      <c r="DH45" s="49"/>
    </row>
    <row r="46" spans="2:119" x14ac:dyDescent="0.2">
      <c r="B46" t="s">
        <v>69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>
        <v>102</v>
      </c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>
        <v>88.7</v>
      </c>
      <c r="BT46" s="51">
        <v>46.2</v>
      </c>
      <c r="BU46" s="51">
        <v>50.7</v>
      </c>
      <c r="BV46" s="51">
        <v>110.8</v>
      </c>
      <c r="BW46" s="51">
        <v>64.900000000000006</v>
      </c>
      <c r="BX46" s="51">
        <v>22.4</v>
      </c>
      <c r="BY46" s="51">
        <v>50.2</v>
      </c>
      <c r="BZ46" s="51">
        <v>51.4</v>
      </c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49"/>
      <c r="CL46" s="51"/>
      <c r="CM46" s="51">
        <v>329</v>
      </c>
      <c r="CN46" s="51">
        <v>371</v>
      </c>
      <c r="CO46" s="51">
        <v>430</v>
      </c>
      <c r="CP46" s="51">
        <v>414</v>
      </c>
      <c r="CQ46" s="51">
        <v>413</v>
      </c>
      <c r="CR46" s="51">
        <f>CQ46*1.05</f>
        <v>433.65000000000003</v>
      </c>
      <c r="CS46" s="51">
        <f>CR46*1.05</f>
        <v>455.33250000000004</v>
      </c>
      <c r="CT46" s="51">
        <f>CS46*1.05</f>
        <v>478.09912500000007</v>
      </c>
      <c r="CU46" s="51"/>
      <c r="CV46" s="51"/>
      <c r="CW46" s="51"/>
      <c r="CX46" s="51"/>
      <c r="CY46" s="51"/>
      <c r="CZ46" s="51"/>
      <c r="DA46" s="51"/>
      <c r="DB46" s="51"/>
      <c r="DC46" s="53"/>
      <c r="DD46" s="53"/>
      <c r="DE46" s="49">
        <f t="shared" ref="DE46" si="48">SUM(BS46:BV46)</f>
        <v>296.40000000000003</v>
      </c>
      <c r="DF46" s="49">
        <f t="shared" ref="DF46" si="49">SUM(BW46:BZ46)</f>
        <v>188.9</v>
      </c>
      <c r="DG46" s="49">
        <f t="shared" ref="DG46" si="50">SUM(CA46:CD46)</f>
        <v>0</v>
      </c>
      <c r="DH46" s="49">
        <f t="shared" ref="DH46" si="51">SUM(CE46:CH46)</f>
        <v>0</v>
      </c>
    </row>
    <row r="47" spans="2:119" x14ac:dyDescent="0.2">
      <c r="B47" t="s">
        <v>71</v>
      </c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49"/>
      <c r="CL47" s="51"/>
      <c r="CM47" s="51">
        <v>46</v>
      </c>
      <c r="CN47" s="51">
        <v>43</v>
      </c>
      <c r="CO47" s="51">
        <v>34</v>
      </c>
      <c r="CP47" s="51">
        <v>52</v>
      </c>
      <c r="CQ47" s="51">
        <v>34</v>
      </c>
      <c r="CR47" s="51">
        <v>34</v>
      </c>
      <c r="CS47" s="51">
        <v>35</v>
      </c>
      <c r="CT47" s="51"/>
      <c r="CU47" s="51"/>
      <c r="CV47" s="51"/>
      <c r="CW47" s="51"/>
      <c r="CX47" s="51"/>
      <c r="CY47" s="51"/>
      <c r="CZ47" s="51"/>
      <c r="DA47" s="51"/>
      <c r="DB47" s="51"/>
      <c r="DC47" s="53"/>
      <c r="DD47" s="53"/>
      <c r="DE47" s="49"/>
      <c r="DF47" s="49"/>
      <c r="DG47" s="49"/>
      <c r="DH47" s="49"/>
    </row>
    <row r="48" spans="2:119" x14ac:dyDescent="0.2">
      <c r="B48" t="s">
        <v>72</v>
      </c>
      <c r="C48" s="51">
        <v>93.1</v>
      </c>
      <c r="D48" s="51">
        <v>94.5</v>
      </c>
      <c r="E48" s="51">
        <v>88.2</v>
      </c>
      <c r="F48" s="51">
        <f>364.4-E48-D48-C48</f>
        <v>88.6</v>
      </c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>
        <v>67</v>
      </c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49"/>
      <c r="CL48" s="51"/>
      <c r="CM48" s="51">
        <v>384</v>
      </c>
      <c r="CN48" s="51">
        <v>364</v>
      </c>
      <c r="CO48" s="51">
        <v>363</v>
      </c>
      <c r="CP48" s="51">
        <v>297</v>
      </c>
      <c r="CQ48" s="51">
        <v>296</v>
      </c>
      <c r="CR48" s="51">
        <f>CQ48*0.95</f>
        <v>281.2</v>
      </c>
      <c r="CS48" s="51">
        <f>CR48*0.95</f>
        <v>267.14</v>
      </c>
      <c r="CT48" s="51">
        <f>CS48*0.95</f>
        <v>253.78299999999999</v>
      </c>
      <c r="CU48" s="51"/>
      <c r="CV48" s="51"/>
      <c r="CW48" s="51"/>
      <c r="CX48" s="51"/>
      <c r="CY48" s="51"/>
      <c r="CZ48" s="51"/>
      <c r="DA48" s="51"/>
      <c r="DB48" s="51"/>
      <c r="DC48" s="53"/>
      <c r="DD48" s="53"/>
      <c r="DE48" s="49"/>
      <c r="DF48" s="49"/>
      <c r="DG48" s="49"/>
      <c r="DH48" s="49"/>
    </row>
    <row r="49" spans="2:119" x14ac:dyDescent="0.2">
      <c r="B49" t="s">
        <v>73</v>
      </c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49"/>
      <c r="CL49" s="51"/>
      <c r="CM49" s="51">
        <v>60</v>
      </c>
      <c r="CN49" s="51">
        <v>70</v>
      </c>
      <c r="CO49" s="51">
        <v>42</v>
      </c>
      <c r="CP49" s="51">
        <v>34</v>
      </c>
      <c r="CQ49" s="51">
        <v>23</v>
      </c>
      <c r="CR49" s="51">
        <v>22</v>
      </c>
      <c r="CS49" s="51">
        <v>22</v>
      </c>
      <c r="CT49" s="51">
        <v>22</v>
      </c>
      <c r="CU49" s="51"/>
      <c r="CV49" s="51"/>
      <c r="CW49" s="51"/>
      <c r="CX49" s="51"/>
      <c r="CY49" s="51"/>
      <c r="CZ49" s="51"/>
      <c r="DA49" s="51"/>
      <c r="DB49" s="51"/>
      <c r="DC49" s="53"/>
      <c r="DD49" s="53"/>
      <c r="DE49" s="49"/>
      <c r="DF49" s="49"/>
      <c r="DG49" s="49"/>
      <c r="DH49" s="49"/>
    </row>
    <row r="50" spans="2:119" x14ac:dyDescent="0.2">
      <c r="B50" t="s">
        <v>68</v>
      </c>
      <c r="C50" s="51">
        <v>133.19999999999999</v>
      </c>
      <c r="D50" s="51">
        <v>116.3</v>
      </c>
      <c r="E50" s="51">
        <v>67.099999999999994</v>
      </c>
      <c r="F50" s="51">
        <f>431.2-E50-D50-C50</f>
        <v>114.60000000000002</v>
      </c>
      <c r="G50" s="51">
        <v>153.30000000000001</v>
      </c>
      <c r="H50" s="51">
        <v>112.4</v>
      </c>
      <c r="I50" s="51">
        <v>58.3</v>
      </c>
      <c r="J50" s="51">
        <v>128.9</v>
      </c>
      <c r="K50" s="51">
        <v>168.7</v>
      </c>
      <c r="L50" s="51">
        <v>105</v>
      </c>
      <c r="M50" s="51">
        <f>Q50/1.2</f>
        <v>64.166666666666671</v>
      </c>
      <c r="N50" s="51">
        <v>155</v>
      </c>
      <c r="O50" s="51">
        <v>189</v>
      </c>
      <c r="P50" s="51">
        <v>93</v>
      </c>
      <c r="Q50" s="51">
        <v>77</v>
      </c>
      <c r="R50" s="51">
        <f>V50/1.04</f>
        <v>89.615384615384613</v>
      </c>
      <c r="S50" s="51"/>
      <c r="T50" s="51"/>
      <c r="U50" s="51">
        <v>97.8</v>
      </c>
      <c r="V50" s="51">
        <v>93.2</v>
      </c>
      <c r="W50" s="51">
        <v>84.1</v>
      </c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49"/>
      <c r="CL50" s="51"/>
      <c r="CM50" s="51">
        <v>391</v>
      </c>
      <c r="CN50" s="51">
        <v>430</v>
      </c>
      <c r="CO50" s="51">
        <v>453</v>
      </c>
      <c r="CP50" s="51">
        <v>493</v>
      </c>
      <c r="CQ50" s="51">
        <v>428</v>
      </c>
      <c r="CR50" s="51">
        <f>SUM(S50:V50)</f>
        <v>191</v>
      </c>
      <c r="CS50" s="51">
        <f>SUM(W50:Z50)</f>
        <v>84.1</v>
      </c>
      <c r="CT50" s="51"/>
      <c r="CU50" s="51"/>
      <c r="CV50" s="51"/>
      <c r="CW50" s="51"/>
      <c r="CX50" s="51"/>
      <c r="CY50" s="51"/>
      <c r="CZ50" s="51"/>
      <c r="DA50" s="51"/>
      <c r="DB50" s="51"/>
      <c r="DC50" s="53"/>
      <c r="DD50" s="53"/>
      <c r="DE50" s="49"/>
      <c r="DF50" s="49"/>
      <c r="DG50" s="49"/>
      <c r="DH50" s="49"/>
    </row>
    <row r="51" spans="2:119" x14ac:dyDescent="0.2">
      <c r="B51" t="s">
        <v>74</v>
      </c>
      <c r="C51" s="51">
        <v>35.9</v>
      </c>
      <c r="D51" s="51">
        <v>36.1</v>
      </c>
      <c r="E51" s="51">
        <v>37.799999999999997</v>
      </c>
      <c r="F51" s="51">
        <f>160.4-E51-D51-C51</f>
        <v>50.6</v>
      </c>
      <c r="G51" s="51"/>
      <c r="H51" s="51"/>
      <c r="I51" s="51"/>
      <c r="J51" s="51">
        <v>55.3</v>
      </c>
      <c r="K51" s="51">
        <v>59.5</v>
      </c>
      <c r="L51" s="51"/>
      <c r="M51" s="51">
        <v>45.5</v>
      </c>
      <c r="N51" s="51">
        <v>51.8</v>
      </c>
      <c r="O51" s="51">
        <v>50</v>
      </c>
      <c r="P51" s="51">
        <v>48</v>
      </c>
      <c r="Q51" s="51">
        <v>42</v>
      </c>
      <c r="R51" s="51"/>
      <c r="S51" s="51">
        <v>40</v>
      </c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49"/>
      <c r="CL51" s="51"/>
      <c r="CM51" s="51">
        <v>98</v>
      </c>
      <c r="CN51" s="51">
        <v>161</v>
      </c>
      <c r="CO51" s="51">
        <v>202</v>
      </c>
      <c r="CP51" s="51">
        <v>215</v>
      </c>
      <c r="CQ51" s="51">
        <v>212</v>
      </c>
      <c r="CR51" s="51">
        <f>CQ51*0.8</f>
        <v>169.60000000000002</v>
      </c>
      <c r="CS51" s="51">
        <f>CR51*0.8</f>
        <v>135.68000000000004</v>
      </c>
      <c r="CT51" s="51">
        <f>CS51*0.8</f>
        <v>108.54400000000004</v>
      </c>
      <c r="CU51" s="51"/>
      <c r="CV51" s="51"/>
      <c r="CW51" s="51"/>
      <c r="CX51" s="51"/>
      <c r="CY51" s="51"/>
      <c r="CZ51" s="51"/>
      <c r="DA51" s="51"/>
      <c r="DB51" s="51"/>
      <c r="DC51" s="53"/>
      <c r="DD51" s="53"/>
      <c r="DE51" s="49"/>
      <c r="DF51" s="49"/>
      <c r="DG51" s="49"/>
      <c r="DH51" s="49"/>
    </row>
    <row r="52" spans="2:119" x14ac:dyDescent="0.2">
      <c r="B52" t="s">
        <v>17</v>
      </c>
      <c r="C52" s="51">
        <v>214</v>
      </c>
      <c r="D52" s="51">
        <v>223.5</v>
      </c>
      <c r="E52" s="51">
        <v>240</v>
      </c>
      <c r="F52" s="51">
        <v>244.6</v>
      </c>
      <c r="G52" s="51">
        <v>232.8</v>
      </c>
      <c r="H52" s="51">
        <v>276.60000000000002</v>
      </c>
      <c r="I52" s="51">
        <v>246.1</v>
      </c>
      <c r="J52" s="51">
        <v>257.3</v>
      </c>
      <c r="K52" s="51">
        <v>248.9</v>
      </c>
      <c r="L52" s="51">
        <v>261.60000000000002</v>
      </c>
      <c r="M52" s="51">
        <v>260.3</v>
      </c>
      <c r="N52" s="51">
        <v>265.3</v>
      </c>
      <c r="O52" s="51">
        <v>242</v>
      </c>
      <c r="P52" s="51">
        <v>276</v>
      </c>
      <c r="Q52" s="51">
        <v>258</v>
      </c>
      <c r="R52" s="51">
        <v>270.3</v>
      </c>
      <c r="S52" s="51">
        <v>263.8</v>
      </c>
      <c r="T52" s="51">
        <v>278</v>
      </c>
      <c r="U52" s="51">
        <v>263.2</v>
      </c>
      <c r="V52" s="51">
        <v>285.8</v>
      </c>
      <c r="W52" s="51">
        <v>261.10000000000002</v>
      </c>
      <c r="X52" s="51">
        <v>279.8</v>
      </c>
      <c r="Y52" s="51">
        <v>265.7</v>
      </c>
      <c r="Z52" s="51">
        <v>269</v>
      </c>
      <c r="AA52" s="51">
        <v>256.89999999999998</v>
      </c>
      <c r="AB52" s="51">
        <v>251.3</v>
      </c>
      <c r="AC52" s="51">
        <v>259.5</v>
      </c>
      <c r="AD52" s="51">
        <v>262.7</v>
      </c>
      <c r="AE52" s="51">
        <v>241.6</v>
      </c>
      <c r="AF52" s="51">
        <v>259.5</v>
      </c>
      <c r="AG52" s="51">
        <v>256.8</v>
      </c>
      <c r="AH52" s="51">
        <v>266.5</v>
      </c>
      <c r="AI52" s="51">
        <v>266.10000000000002</v>
      </c>
      <c r="AJ52" s="51">
        <v>263.5</v>
      </c>
      <c r="AK52" s="51">
        <v>270.10000000000002</v>
      </c>
      <c r="AL52" s="51">
        <v>267.10000000000002</v>
      </c>
      <c r="AM52" s="51">
        <v>256.2</v>
      </c>
      <c r="AN52" s="51">
        <v>265.89999999999998</v>
      </c>
      <c r="AO52" s="51">
        <v>247</v>
      </c>
      <c r="AP52" s="51">
        <v>241</v>
      </c>
      <c r="AQ52" s="51">
        <v>240.6</v>
      </c>
      <c r="AR52" s="51">
        <v>278.7</v>
      </c>
      <c r="AS52" s="51">
        <v>255.3</v>
      </c>
      <c r="AT52" s="51">
        <v>275.89999999999998</v>
      </c>
      <c r="AU52" s="51">
        <v>150.1</v>
      </c>
      <c r="AV52" s="51">
        <v>108.3</v>
      </c>
      <c r="AW52" s="51">
        <v>89.5</v>
      </c>
      <c r="AX52" s="51">
        <v>72.099999999999994</v>
      </c>
      <c r="AY52" s="51">
        <v>66.8</v>
      </c>
      <c r="AZ52" s="51">
        <v>59.7</v>
      </c>
      <c r="BA52" s="51">
        <v>58</v>
      </c>
      <c r="BB52" s="51">
        <v>52.8</v>
      </c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49"/>
      <c r="CL52" s="51"/>
      <c r="CM52" s="51">
        <v>822</v>
      </c>
      <c r="CN52" s="51">
        <v>922</v>
      </c>
      <c r="CO52" s="51">
        <v>1013</v>
      </c>
      <c r="CP52" s="51">
        <v>1036</v>
      </c>
      <c r="CQ52" s="51">
        <f>SUM(O52:R52)</f>
        <v>1046.3</v>
      </c>
      <c r="CR52" s="51">
        <f>SUM(S52:V52)</f>
        <v>1090.8</v>
      </c>
      <c r="CS52" s="51">
        <f>SUM(W52:Z52)</f>
        <v>1075.6000000000001</v>
      </c>
      <c r="CT52" s="51">
        <f>SUM(AA52:AD52)</f>
        <v>1030.4000000000001</v>
      </c>
      <c r="CU52" s="51">
        <f>SUM(AE52:AH52)</f>
        <v>1024.4000000000001</v>
      </c>
      <c r="CV52" s="51">
        <f>SUM(AI52:AL52)</f>
        <v>1066.8000000000002</v>
      </c>
      <c r="CW52" s="51">
        <f>SUM(AM52:AP52)</f>
        <v>1010.0999999999999</v>
      </c>
      <c r="CX52" s="51">
        <v>1050.4000000000001</v>
      </c>
      <c r="CY52" s="51">
        <v>419.8</v>
      </c>
      <c r="CZ52" s="51">
        <v>237.3</v>
      </c>
      <c r="DA52" s="51"/>
      <c r="DB52" s="51"/>
      <c r="DC52" s="51"/>
      <c r="DD52" s="51"/>
      <c r="DE52" s="49"/>
      <c r="DF52" s="49"/>
      <c r="DG52" s="49"/>
      <c r="DH52" s="49"/>
    </row>
    <row r="53" spans="2:119" x14ac:dyDescent="0.2">
      <c r="B53" s="38" t="s">
        <v>239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49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3"/>
      <c r="DD53" s="53"/>
      <c r="DE53" s="49"/>
      <c r="DF53" s="49"/>
      <c r="DG53" s="49"/>
      <c r="DH53" s="49"/>
    </row>
    <row r="54" spans="2:119" s="38" customFormat="1" x14ac:dyDescent="0.2">
      <c r="B54" s="38" t="s">
        <v>278</v>
      </c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  <c r="BV54" s="52"/>
      <c r="BW54" s="52"/>
      <c r="BX54" s="52"/>
      <c r="BY54" s="52"/>
      <c r="BZ54" s="52"/>
      <c r="CA54" s="52"/>
      <c r="CB54" s="52"/>
      <c r="CC54" s="52"/>
      <c r="CD54" s="52"/>
      <c r="CE54" s="52"/>
      <c r="CF54" s="52"/>
      <c r="CG54" s="52"/>
      <c r="CH54" s="52"/>
      <c r="CI54" s="52"/>
      <c r="CJ54" s="52"/>
      <c r="CK54" s="50"/>
      <c r="CL54" s="52"/>
      <c r="CM54" s="52"/>
      <c r="CN54" s="52"/>
      <c r="CO54" s="52"/>
      <c r="CP54" s="52"/>
      <c r="CQ54" s="52"/>
      <c r="CR54" s="52"/>
      <c r="CS54" s="52"/>
      <c r="CT54" s="52"/>
      <c r="CU54" s="52"/>
      <c r="CV54" s="52"/>
      <c r="CW54" s="52"/>
      <c r="CX54" s="52"/>
      <c r="CY54" s="52"/>
      <c r="CZ54" s="52"/>
      <c r="DA54" s="52"/>
      <c r="DB54" s="52"/>
      <c r="DC54" s="52"/>
      <c r="DD54" s="52"/>
      <c r="DE54" s="49"/>
      <c r="DF54" s="49"/>
      <c r="DG54" s="49"/>
      <c r="DH54" s="49"/>
    </row>
    <row r="55" spans="2:119" x14ac:dyDescent="0.2">
      <c r="B55" t="s">
        <v>80</v>
      </c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>
        <v>155.19999999999999</v>
      </c>
      <c r="AB55" s="51">
        <v>179.5</v>
      </c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>
        <f>5957.3-SUM(AP3:AP52)</f>
        <v>601.19999999999982</v>
      </c>
      <c r="AQ55" s="51">
        <f>5602-SUM(AQ3:AQ52)</f>
        <v>608.79999999999927</v>
      </c>
      <c r="AR55" s="51">
        <f>5929.7-SUM(AR3:AR52)</f>
        <v>569.60000000000036</v>
      </c>
      <c r="AS55" s="51">
        <f>5772.6-SUM(AS3:AS52)</f>
        <v>587.50000000000091</v>
      </c>
      <c r="AT55" s="51">
        <f>5808.8-SUM(AT3:AT52)</f>
        <v>613.70000000000073</v>
      </c>
      <c r="AU55" s="51">
        <f>4683.1-SUM(AU3:AU52)</f>
        <v>462.69999999999982</v>
      </c>
      <c r="AV55" s="51">
        <f>4935.6-SUM(AV3:AV52)</f>
        <v>505.49999999999909</v>
      </c>
      <c r="AW55" s="51">
        <f>4875.6-SUM(AW3:AW52)</f>
        <v>479.30000000000018</v>
      </c>
      <c r="AX55" s="51">
        <f>5121.3-SUM(AX3:AX52)</f>
        <v>387.39999999999964</v>
      </c>
      <c r="AY55" s="51">
        <f>4644.7-SUM(AY3:AY53)</f>
        <v>346.5</v>
      </c>
      <c r="AZ55" s="51">
        <f>4978.7-SUM(AZ3:AZ52)</f>
        <v>340.80000000000018</v>
      </c>
      <c r="BA55" s="51">
        <f>4959.7-SUM(BA3:BA52)</f>
        <v>365.19999999999891</v>
      </c>
      <c r="BB55" s="51">
        <f>5375.6-SUM(BB3:BB52)</f>
        <v>365.30000000000018</v>
      </c>
      <c r="BC55" s="51">
        <f>4865.1-SUM(BC3:BC36)</f>
        <v>463.70000000000073</v>
      </c>
      <c r="BD55" s="51">
        <f>5404.8-SUM(BD3:BD36)</f>
        <v>490.10000000000036</v>
      </c>
      <c r="BE55" s="51">
        <f>5191.7-SUM(BE3:BE36)</f>
        <v>492.09999999999945</v>
      </c>
      <c r="BF55" s="51">
        <f>5760.5-SUM(BF3:BF36)</f>
        <v>528.10000000000036</v>
      </c>
      <c r="BG55" s="51">
        <f>5228.3-SUM(BG3:BG35)</f>
        <v>474.60000000000036</v>
      </c>
      <c r="BH55" s="51">
        <f>5824.3-SUM(BH3:BH35)</f>
        <v>514.19999999999982</v>
      </c>
      <c r="BI55" s="51">
        <f>5658-SUM(BI3:BI35)</f>
        <v>403.29999999999927</v>
      </c>
      <c r="BJ55" s="51">
        <f>6160.7-SUM(BJ3:BJ35)</f>
        <v>420.99999999999909</v>
      </c>
      <c r="BK55" s="51">
        <f>5700-SUM(BK3:BK35)</f>
        <v>347.60000000000036</v>
      </c>
      <c r="BL55" s="51">
        <f>6355.2-SUM(BL3:BL35)</f>
        <v>436.00000000000091</v>
      </c>
      <c r="BM55" s="51">
        <f>6061.9-SUM(BM3:BM35)</f>
        <v>384.70000000000164</v>
      </c>
      <c r="BN55" s="51">
        <f>6438.6-SUM(BN3:BN35)</f>
        <v>331.80000000000018</v>
      </c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49"/>
      <c r="CL55" s="51"/>
      <c r="CM55" s="51">
        <v>59</v>
      </c>
      <c r="CN55" s="51">
        <v>58</v>
      </c>
      <c r="CO55" s="51">
        <v>57</v>
      </c>
      <c r="CP55" s="51">
        <v>69</v>
      </c>
      <c r="CQ55" s="51">
        <v>65</v>
      </c>
      <c r="CR55" s="51">
        <v>65</v>
      </c>
      <c r="CS55" s="51">
        <v>65</v>
      </c>
      <c r="CT55" s="51"/>
      <c r="CU55" s="51"/>
      <c r="CV55" s="51"/>
      <c r="CW55" s="51"/>
      <c r="CX55" s="51"/>
      <c r="CY55" s="51"/>
      <c r="CZ55" s="51"/>
      <c r="DA55" s="51"/>
      <c r="DB55" s="51"/>
      <c r="DC55" s="51"/>
      <c r="DD55" s="51"/>
      <c r="DE55" s="49"/>
      <c r="DF55" s="49"/>
      <c r="DG55" s="49"/>
      <c r="DH55" s="49"/>
    </row>
    <row r="56" spans="2:119" x14ac:dyDescent="0.2">
      <c r="B56" t="s">
        <v>76</v>
      </c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49"/>
      <c r="CL56" s="51"/>
      <c r="CM56" s="51">
        <v>35</v>
      </c>
      <c r="CN56" s="51">
        <v>32</v>
      </c>
      <c r="CO56" s="51">
        <v>19</v>
      </c>
      <c r="CP56" s="51">
        <v>12</v>
      </c>
      <c r="CQ56" s="51">
        <v>14</v>
      </c>
      <c r="CR56" s="51">
        <v>10</v>
      </c>
      <c r="CS56" s="51">
        <v>10</v>
      </c>
      <c r="CT56" s="51"/>
      <c r="CU56" s="51"/>
      <c r="CV56" s="51"/>
      <c r="CW56" s="51"/>
      <c r="CX56" s="51"/>
      <c r="CY56" s="51"/>
      <c r="CZ56" s="51"/>
      <c r="DA56" s="51"/>
      <c r="DB56" s="51"/>
      <c r="DC56" s="51"/>
      <c r="DD56" s="51"/>
      <c r="DE56" s="49"/>
      <c r="DF56" s="49"/>
      <c r="DG56" s="49"/>
      <c r="DH56" s="49"/>
    </row>
    <row r="57" spans="2:119" x14ac:dyDescent="0.2">
      <c r="B57" s="38" t="s">
        <v>250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>
        <f>5210.5-SUM(Z6:Z56)</f>
        <v>481.80000000000018</v>
      </c>
      <c r="AA57" s="51">
        <f>4891.8-SUM(AA6:AA56)</f>
        <v>186.30000000000018</v>
      </c>
      <c r="AB57" s="51">
        <f>5113.5-SUM(AB6:AB56)</f>
        <v>71.599999999999454</v>
      </c>
      <c r="AC57" s="51">
        <f>5562-SUM(AC6:AC53)</f>
        <v>424.29999999999927</v>
      </c>
      <c r="AD57" s="51">
        <f>5934-SUM(AD6:AD53)</f>
        <v>449</v>
      </c>
      <c r="AE57" s="51">
        <f>5485.5-SUM(AE6:AE53)</f>
        <v>390.59999999999945</v>
      </c>
      <c r="AF57" s="51">
        <f>5748.7-SUM(AF6:AF53)</f>
        <v>410.40000000000055</v>
      </c>
      <c r="AG57" s="51">
        <f>5654.8-SUM(AG6:AG53)</f>
        <v>381.39999999999964</v>
      </c>
      <c r="AH57" s="51"/>
      <c r="AI57" s="51">
        <f>5839.2-SUM(AI6:AI53)</f>
        <v>410.09999999999854</v>
      </c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2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49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X57" s="51">
        <v>707.5</v>
      </c>
      <c r="DC57" s="47"/>
      <c r="DD57" s="47"/>
      <c r="DE57" s="49"/>
      <c r="DF57" s="49"/>
      <c r="DG57" s="49"/>
      <c r="DH57" s="49"/>
    </row>
    <row r="58" spans="2:119" s="55" customFormat="1" x14ac:dyDescent="0.2">
      <c r="B58" s="55" t="s">
        <v>382</v>
      </c>
      <c r="C58" s="56">
        <f t="shared" ref="C58:AO58" si="52">SUM(C6:C57)</f>
        <v>2388.6999999999998</v>
      </c>
      <c r="D58" s="56">
        <f t="shared" si="52"/>
        <v>2585.6</v>
      </c>
      <c r="E58" s="56">
        <f t="shared" si="52"/>
        <v>2652.3999999999996</v>
      </c>
      <c r="F58" s="56">
        <f t="shared" si="52"/>
        <v>2920.9999999999995</v>
      </c>
      <c r="G58" s="56">
        <f t="shared" si="52"/>
        <v>2746.8</v>
      </c>
      <c r="H58" s="56">
        <f t="shared" si="52"/>
        <v>2830.7000000000003</v>
      </c>
      <c r="I58" s="56">
        <f t="shared" si="52"/>
        <v>2751.9</v>
      </c>
      <c r="J58" s="56">
        <f t="shared" si="52"/>
        <v>3320.8</v>
      </c>
      <c r="K58" s="56">
        <f t="shared" si="52"/>
        <v>3209.4366336633661</v>
      </c>
      <c r="L58" s="56">
        <f t="shared" si="52"/>
        <v>3165.6</v>
      </c>
      <c r="M58" s="56">
        <f t="shared" si="52"/>
        <v>3164.1333333333332</v>
      </c>
      <c r="N58" s="56">
        <f t="shared" si="52"/>
        <v>3455.3000000000006</v>
      </c>
      <c r="O58" s="56">
        <f t="shared" si="52"/>
        <v>3227.7000000000003</v>
      </c>
      <c r="P58" s="56">
        <f t="shared" si="52"/>
        <v>3423</v>
      </c>
      <c r="Q58" s="56">
        <f t="shared" si="52"/>
        <v>3699.7</v>
      </c>
      <c r="R58" s="56">
        <f t="shared" si="52"/>
        <v>5680.6</v>
      </c>
      <c r="S58" s="56">
        <f t="shared" si="52"/>
        <v>4236</v>
      </c>
      <c r="T58" s="56">
        <f t="shared" si="52"/>
        <v>4193.8</v>
      </c>
      <c r="U58" s="56">
        <f t="shared" si="52"/>
        <v>5899.2999999999993</v>
      </c>
      <c r="V58" s="56">
        <f t="shared" si="52"/>
        <v>6665.7000000000007</v>
      </c>
      <c r="W58" s="56">
        <f t="shared" si="52"/>
        <v>6241.8000000000011</v>
      </c>
      <c r="X58" s="56">
        <f t="shared" si="52"/>
        <v>6703.4999999999991</v>
      </c>
      <c r="Y58" s="56">
        <f t="shared" si="52"/>
        <v>6796.9000000000005</v>
      </c>
      <c r="Z58" s="56">
        <f t="shared" si="52"/>
        <v>5210.5</v>
      </c>
      <c r="AA58" s="56">
        <f t="shared" si="52"/>
        <v>4891.8</v>
      </c>
      <c r="AB58" s="56">
        <f t="shared" si="52"/>
        <v>5113.5</v>
      </c>
      <c r="AC58" s="56">
        <f t="shared" si="52"/>
        <v>5562</v>
      </c>
      <c r="AD58" s="56">
        <f t="shared" si="52"/>
        <v>5934</v>
      </c>
      <c r="AE58" s="56">
        <f t="shared" si="52"/>
        <v>5485.5</v>
      </c>
      <c r="AF58" s="56">
        <f t="shared" si="52"/>
        <v>5748.7</v>
      </c>
      <c r="AG58" s="56">
        <f t="shared" si="52"/>
        <v>5654.8</v>
      </c>
      <c r="AH58" s="56">
        <f t="shared" si="52"/>
        <v>6187.2000000000007</v>
      </c>
      <c r="AI58" s="56">
        <f t="shared" si="52"/>
        <v>5839.2</v>
      </c>
      <c r="AJ58" s="56">
        <f t="shared" si="52"/>
        <v>6252.7999999999984</v>
      </c>
      <c r="AK58" s="56">
        <f t="shared" si="52"/>
        <v>6148.1</v>
      </c>
      <c r="AL58" s="56">
        <f t="shared" si="52"/>
        <v>6047.3</v>
      </c>
      <c r="AM58" s="56">
        <f t="shared" si="52"/>
        <v>5602.4000000000005</v>
      </c>
      <c r="AN58" s="56">
        <f t="shared" si="52"/>
        <v>5600.4999999999991</v>
      </c>
      <c r="AO58" s="56">
        <f t="shared" si="52"/>
        <v>5442.5</v>
      </c>
      <c r="AP58" s="56">
        <f t="shared" ref="AP58:BR58" si="53">SUM(AP6:AP57)</f>
        <v>5957.3</v>
      </c>
      <c r="AQ58" s="56">
        <f t="shared" si="53"/>
        <v>5602</v>
      </c>
      <c r="AR58" s="56">
        <f t="shared" si="53"/>
        <v>5929.7</v>
      </c>
      <c r="AS58" s="56">
        <f t="shared" si="53"/>
        <v>5772.6</v>
      </c>
      <c r="AT58" s="56">
        <f t="shared" si="53"/>
        <v>5808.8</v>
      </c>
      <c r="AU58" s="56">
        <f t="shared" si="53"/>
        <v>4683.1000000000004</v>
      </c>
      <c r="AV58" s="56">
        <f t="shared" si="53"/>
        <v>4935.6000000000004</v>
      </c>
      <c r="AW58" s="56">
        <f t="shared" si="53"/>
        <v>4875.6000000000004</v>
      </c>
      <c r="AX58" s="56">
        <f>SUM(AX3:AX57)</f>
        <v>5121.3</v>
      </c>
      <c r="AY58" s="56">
        <f>SUM(AY3:AY57)</f>
        <v>4644.7</v>
      </c>
      <c r="AZ58" s="56">
        <f>SUM(AZ3:AZ57)</f>
        <v>4978.7</v>
      </c>
      <c r="BA58" s="56">
        <f>SUM(BA3:BA57)</f>
        <v>4959.7</v>
      </c>
      <c r="BB58" s="56">
        <f>SUM(BB3:BB57)</f>
        <v>5375.6</v>
      </c>
      <c r="BC58" s="56">
        <f>SUM(BC3:BC57)</f>
        <v>4865.1000000000004</v>
      </c>
      <c r="BD58" s="56">
        <f>SUM(BD3:BD57)</f>
        <v>5404.8</v>
      </c>
      <c r="BE58" s="56">
        <f>SUM(BE3:BE57)</f>
        <v>5191.7</v>
      </c>
      <c r="BF58" s="56">
        <f>SUM(BF3:BF57)</f>
        <v>5760.5</v>
      </c>
      <c r="BG58" s="56">
        <f t="shared" ref="BC58:BI58" si="54">SUM(BG3:BG57)</f>
        <v>5228.3</v>
      </c>
      <c r="BH58" s="56">
        <f t="shared" si="54"/>
        <v>5824.3</v>
      </c>
      <c r="BI58" s="56">
        <f t="shared" si="54"/>
        <v>5658</v>
      </c>
      <c r="BJ58" s="56">
        <f>SUM(BJ3:BJ57)</f>
        <v>6160.7</v>
      </c>
      <c r="BK58" s="56">
        <f t="shared" ref="BK58:BN58" si="55">SUM(BK3:BK57)</f>
        <v>5700</v>
      </c>
      <c r="BL58" s="56">
        <f t="shared" si="55"/>
        <v>6355.2</v>
      </c>
      <c r="BM58" s="56">
        <f t="shared" si="55"/>
        <v>6061.9</v>
      </c>
      <c r="BN58" s="56">
        <f>SUM(BN3:BN57)</f>
        <v>6438.6</v>
      </c>
      <c r="BO58" s="56">
        <f>SUM(BO3:BO57)</f>
        <v>5971.7999999999993</v>
      </c>
      <c r="BP58" s="56">
        <f>SUM(BP3:BP57)</f>
        <v>6665.2000000000007</v>
      </c>
      <c r="BQ58" s="56">
        <f>SUM(BQ3:BQ57)</f>
        <v>6488.3</v>
      </c>
      <c r="BR58" s="56">
        <f>SUM(BR3:BR57)</f>
        <v>7322.4</v>
      </c>
      <c r="BS58" s="56">
        <f>SUM(BS3:BS57)</f>
        <v>5859.7999999999975</v>
      </c>
      <c r="BT58" s="56">
        <f>SUM(BT3:BT57)</f>
        <v>5499.3999999999987</v>
      </c>
      <c r="BU58" s="56">
        <f>SUM(BU3:BU47)</f>
        <v>5740.5999999999985</v>
      </c>
      <c r="BV58" s="56">
        <f>SUM(BV3:BV49)</f>
        <v>7440.0999999999995</v>
      </c>
      <c r="BW58" s="56">
        <f>SUM(BW3:BW47)</f>
        <v>6805.6</v>
      </c>
      <c r="BX58" s="56">
        <f>SUM(BX3:BX49)</f>
        <v>6739.9999999999973</v>
      </c>
      <c r="BY58" s="56">
        <f>SUM(BY3:BY47)</f>
        <v>6772.9999999999982</v>
      </c>
      <c r="BZ58" s="56">
        <f>SUM(BZ3:BZ49)</f>
        <v>7999.9</v>
      </c>
      <c r="CA58" s="56">
        <f>SUM(CA3:CA29)</f>
        <v>7810.0999999999995</v>
      </c>
      <c r="CB58" s="56">
        <f>SUM(CB3:CB36)</f>
        <v>6487.9000000000015</v>
      </c>
      <c r="CC58" s="56">
        <f t="shared" ref="CC58:CH58" si="56">SUM(CC3:CC29)</f>
        <v>6941.7000000000007</v>
      </c>
      <c r="CD58" s="56">
        <f t="shared" si="56"/>
        <v>7302.4000000000015</v>
      </c>
      <c r="CE58" s="56">
        <f t="shared" si="56"/>
        <v>6959.9999999999991</v>
      </c>
      <c r="CF58" s="56">
        <f t="shared" si="56"/>
        <v>5774.137999999999</v>
      </c>
      <c r="CG58" s="56">
        <f t="shared" si="56"/>
        <v>6013.9449999999997</v>
      </c>
      <c r="CH58" s="56">
        <f t="shared" si="56"/>
        <v>6653.7189999999991</v>
      </c>
      <c r="CI58" s="56"/>
      <c r="CJ58" s="56"/>
      <c r="CK58" s="57"/>
      <c r="CL58" s="56">
        <v>11629</v>
      </c>
      <c r="CM58" s="56">
        <f t="shared" ref="CM58:CX58" si="57">SUM(CM6:CM57)</f>
        <v>11077</v>
      </c>
      <c r="CN58" s="56">
        <f t="shared" si="57"/>
        <v>12585</v>
      </c>
      <c r="CO58" s="56">
        <f t="shared" si="57"/>
        <v>13859</v>
      </c>
      <c r="CP58" s="56">
        <f t="shared" si="57"/>
        <v>14650</v>
      </c>
      <c r="CQ58" s="56">
        <f t="shared" si="57"/>
        <v>15783.499999999998</v>
      </c>
      <c r="CR58" s="56">
        <f t="shared" si="57"/>
        <v>18492.3</v>
      </c>
      <c r="CS58" s="56">
        <f t="shared" si="57"/>
        <v>19604.942499999997</v>
      </c>
      <c r="CT58" s="56">
        <f t="shared" si="57"/>
        <v>20974.425124999998</v>
      </c>
      <c r="CU58" s="56">
        <f t="shared" si="57"/>
        <v>21893.8</v>
      </c>
      <c r="CV58" s="56">
        <f t="shared" si="57"/>
        <v>23877.3</v>
      </c>
      <c r="CW58" s="56">
        <f t="shared" si="57"/>
        <v>22001.5</v>
      </c>
      <c r="CX58" s="56">
        <f t="shared" si="57"/>
        <v>23113.100000000002</v>
      </c>
      <c r="CY58" s="56">
        <f>SUM(CY3:CY57)</f>
        <v>19615.599999999999</v>
      </c>
      <c r="CZ58" s="56">
        <f>SUM(CZ3:CZ57)</f>
        <v>19958.699999999997</v>
      </c>
      <c r="DA58" s="56">
        <f>SUM(DA3:DA57)</f>
        <v>21222.100000000002</v>
      </c>
      <c r="DB58" s="56">
        <f t="shared" ref="DB58:DN58" si="58">SUM(DB3:DB57)</f>
        <v>19974.100000000002</v>
      </c>
      <c r="DC58" s="56">
        <f t="shared" si="58"/>
        <v>21492.899999999998</v>
      </c>
      <c r="DD58" s="56">
        <f t="shared" si="58"/>
        <v>22319.4</v>
      </c>
      <c r="DE58" s="56">
        <f t="shared" si="58"/>
        <v>24539.899999999998</v>
      </c>
      <c r="DF58" s="56">
        <f t="shared" si="58"/>
        <v>28318.499999999996</v>
      </c>
      <c r="DG58" s="56">
        <f t="shared" si="58"/>
        <v>28542.100000000006</v>
      </c>
      <c r="DH58" s="56">
        <f t="shared" si="58"/>
        <v>25401.801999999996</v>
      </c>
      <c r="DI58" s="56">
        <f t="shared" si="58"/>
        <v>28755.239199999996</v>
      </c>
      <c r="DJ58" s="56">
        <f t="shared" si="58"/>
        <v>31116.771373000003</v>
      </c>
      <c r="DK58" s="56">
        <f t="shared" si="58"/>
        <v>33793.616248680002</v>
      </c>
      <c r="DL58" s="56">
        <f t="shared" si="58"/>
        <v>35317.457225544298</v>
      </c>
      <c r="DM58" s="56">
        <f t="shared" si="58"/>
        <v>39016.322110058369</v>
      </c>
      <c r="DN58" s="56">
        <f t="shared" si="58"/>
        <v>41709.241270424645</v>
      </c>
      <c r="DO58" s="56">
        <f>SUM(DO3:DO57)</f>
        <v>32690.064227195318</v>
      </c>
    </row>
    <row r="59" spans="2:119" x14ac:dyDescent="0.2">
      <c r="B59" t="s">
        <v>58</v>
      </c>
      <c r="C59" s="51"/>
      <c r="D59" s="51"/>
      <c r="E59" s="51"/>
      <c r="F59" s="51"/>
      <c r="G59" s="51"/>
      <c r="H59" s="51"/>
      <c r="I59" s="51"/>
      <c r="J59" s="51">
        <v>865.7</v>
      </c>
      <c r="K59" s="51">
        <v>859</v>
      </c>
      <c r="L59" s="51">
        <v>871.3</v>
      </c>
      <c r="M59" s="51">
        <v>845.7</v>
      </c>
      <c r="N59" s="51">
        <v>898.2</v>
      </c>
      <c r="O59" s="51">
        <v>806.5</v>
      </c>
      <c r="P59" s="47">
        <v>861</v>
      </c>
      <c r="Q59" s="51">
        <v>906.2</v>
      </c>
      <c r="R59" s="51">
        <v>1066.7</v>
      </c>
      <c r="S59" s="51">
        <v>922.5</v>
      </c>
      <c r="T59" s="51">
        <v>998.9</v>
      </c>
      <c r="U59" s="51">
        <v>1054.5999999999999</v>
      </c>
      <c r="V59" s="51">
        <v>1272.8</v>
      </c>
      <c r="W59" s="51">
        <v>1111.3</v>
      </c>
      <c r="X59" s="51">
        <v>1200.9000000000001</v>
      </c>
      <c r="Y59" s="51">
        <v>1155.2</v>
      </c>
      <c r="Z59" s="51">
        <v>899.6</v>
      </c>
      <c r="AA59" s="51">
        <v>816.4</v>
      </c>
      <c r="AB59" s="51">
        <v>947.4</v>
      </c>
      <c r="AC59" s="51">
        <v>1051.9000000000001</v>
      </c>
      <c r="AD59" s="51">
        <v>1431.3</v>
      </c>
      <c r="AE59" s="51">
        <v>1122.5</v>
      </c>
      <c r="AF59" s="51">
        <v>1023.9</v>
      </c>
      <c r="AG59" s="51">
        <v>987.6</v>
      </c>
      <c r="AH59" s="51">
        <v>1232.2</v>
      </c>
      <c r="AI59" s="51">
        <v>1180.0999999999999</v>
      </c>
      <c r="AJ59" s="51">
        <v>1228</v>
      </c>
      <c r="AK59" s="51">
        <v>1338.1</v>
      </c>
      <c r="AL59" s="51">
        <v>1321.7</v>
      </c>
      <c r="AM59" s="51">
        <v>1197.9000000000001</v>
      </c>
      <c r="AN59" s="51">
        <v>1146.7</v>
      </c>
      <c r="AO59" s="51">
        <v>1203.5999999999999</v>
      </c>
      <c r="AP59" s="51">
        <v>1248.3</v>
      </c>
      <c r="AQ59" s="51">
        <v>1158.3</v>
      </c>
      <c r="AR59" s="51">
        <v>1165.2</v>
      </c>
      <c r="AS59" s="51">
        <v>1198.0999999999999</v>
      </c>
      <c r="AT59" s="51">
        <v>1386.5</v>
      </c>
      <c r="AU59" s="51">
        <v>1222.7</v>
      </c>
      <c r="AV59" s="51">
        <v>1189.7</v>
      </c>
      <c r="AW59" s="51">
        <v>1267</v>
      </c>
      <c r="AX59" s="51">
        <v>1253.0999999999999</v>
      </c>
      <c r="AY59" s="51">
        <v>1192.7</v>
      </c>
      <c r="AZ59" s="51">
        <v>1033.9000000000001</v>
      </c>
      <c r="BA59" s="51">
        <v>1236.9000000000001</v>
      </c>
      <c r="BB59" s="51">
        <v>1389.2</v>
      </c>
      <c r="BC59" s="51">
        <v>1323</v>
      </c>
      <c r="BD59" s="51">
        <v>1298.4000000000001</v>
      </c>
      <c r="BE59" s="51">
        <v>1400.9</v>
      </c>
      <c r="BF59" s="51">
        <v>1466</v>
      </c>
      <c r="BG59" s="51">
        <v>1347.9</v>
      </c>
      <c r="BH59" s="51">
        <v>1571.7</v>
      </c>
      <c r="BI59" s="51">
        <v>1586.3</v>
      </c>
      <c r="BJ59" s="51">
        <v>1644.9</v>
      </c>
      <c r="BK59" s="51">
        <v>1571.3</v>
      </c>
      <c r="BL59" s="51">
        <v>1702.7</v>
      </c>
      <c r="BM59" s="51">
        <v>1562.3</v>
      </c>
      <c r="BN59" s="51">
        <v>1593.7</v>
      </c>
      <c r="BO59" s="51">
        <v>1010.5</v>
      </c>
      <c r="BP59" s="51">
        <v>1073.3</v>
      </c>
      <c r="BQ59" s="51">
        <v>1118.4000000000001</v>
      </c>
      <c r="BR59" s="51">
        <v>1229.4000000000001</v>
      </c>
      <c r="BS59" s="51">
        <v>1156.5</v>
      </c>
      <c r="BT59" s="51">
        <v>1119.2</v>
      </c>
      <c r="BU59" s="51">
        <v>1199.9000000000001</v>
      </c>
      <c r="BV59" s="51">
        <v>1719.8</v>
      </c>
      <c r="BW59" s="51">
        <v>1671.4</v>
      </c>
      <c r="BX59" s="51">
        <v>1398</v>
      </c>
      <c r="BY59" s="51">
        <v>1421.8</v>
      </c>
      <c r="BZ59" s="51">
        <v>2050.1999999999998</v>
      </c>
      <c r="CA59" s="51">
        <v>1867.5</v>
      </c>
      <c r="CB59" s="51">
        <v>1309.2</v>
      </c>
      <c r="CC59" s="51">
        <f t="shared" ref="CC59:CH59" si="59">+CC58-CC60</f>
        <v>1457.7569999999996</v>
      </c>
      <c r="CD59" s="51">
        <f t="shared" si="59"/>
        <v>1533.5039999999999</v>
      </c>
      <c r="CE59" s="51">
        <f>1626.7-125.8</f>
        <v>1500.9</v>
      </c>
      <c r="CF59" s="51">
        <f t="shared" si="59"/>
        <v>1212.56898</v>
      </c>
      <c r="CG59" s="51">
        <f t="shared" si="59"/>
        <v>1262.9284499999994</v>
      </c>
      <c r="CH59" s="51">
        <f t="shared" si="59"/>
        <v>1397.2809899999993</v>
      </c>
      <c r="CI59" s="51"/>
      <c r="CJ59" s="51"/>
      <c r="CL59" s="51">
        <v>2160</v>
      </c>
      <c r="CM59" s="51">
        <v>2177</v>
      </c>
      <c r="CN59" s="51">
        <v>2675</v>
      </c>
      <c r="CO59" s="51">
        <v>3224</v>
      </c>
      <c r="CP59" s="51">
        <v>3474</v>
      </c>
      <c r="CQ59" s="51">
        <v>3501</v>
      </c>
      <c r="CR59" s="51">
        <f>CR58-CR60</f>
        <v>4068.3059999999987</v>
      </c>
      <c r="CS59" s="51">
        <f>CS58-CS60</f>
        <v>-980.75749999999971</v>
      </c>
      <c r="CT59" s="51">
        <f>CT58-CT60</f>
        <v>3720.1251249999987</v>
      </c>
      <c r="CU59" s="51">
        <f>SUM(AE59:AH59)</f>
        <v>4366.2</v>
      </c>
      <c r="CV59" s="51">
        <f>SUM(AI59:AL59)</f>
        <v>5067.8999999999996</v>
      </c>
      <c r="CW59" s="51">
        <f>SUM(AM59:AP59)</f>
        <v>4796.5</v>
      </c>
      <c r="CX59" s="51">
        <f t="shared" ref="CX59:CY59" si="60">CX58-CX60</f>
        <v>23113.100000000002</v>
      </c>
      <c r="CY59" s="51">
        <f t="shared" si="60"/>
        <v>19615.599999999999</v>
      </c>
      <c r="CZ59" s="51"/>
      <c r="DA59" s="51"/>
      <c r="DB59" s="51">
        <v>4447.7</v>
      </c>
      <c r="DC59" s="51">
        <v>4681.7</v>
      </c>
      <c r="DD59" s="51">
        <v>4721.2</v>
      </c>
      <c r="DE59" s="49">
        <f t="shared" ref="DE59" si="61">SUM(BS59:BV59)</f>
        <v>5195.3999999999996</v>
      </c>
      <c r="DF59" s="49">
        <f t="shared" ref="DF59" si="62">SUM(BW59:BZ59)</f>
        <v>6541.4</v>
      </c>
      <c r="DG59" s="49">
        <f>SUM(CA59:CD59)</f>
        <v>6167.9609999999993</v>
      </c>
      <c r="DH59" s="49">
        <f>SUM(CE59:CH59)</f>
        <v>5373.6784199999984</v>
      </c>
      <c r="DI59" s="49">
        <f>DI58-DI60</f>
        <v>6038.600231999997</v>
      </c>
      <c r="DJ59" s="49">
        <f t="shared" ref="DJ59:DO59" si="63">DJ58-DJ60</f>
        <v>6534.5219883299978</v>
      </c>
      <c r="DK59" s="49">
        <f t="shared" si="63"/>
        <v>7096.659412222798</v>
      </c>
      <c r="DL59" s="49">
        <f t="shared" si="63"/>
        <v>7416.6660173643031</v>
      </c>
      <c r="DM59" s="49">
        <f t="shared" si="63"/>
        <v>8193.4276431122562</v>
      </c>
      <c r="DN59" s="49">
        <f t="shared" si="63"/>
        <v>8758.9406667891744</v>
      </c>
      <c r="DO59" s="49">
        <f t="shared" si="63"/>
        <v>6864.9134877110155</v>
      </c>
    </row>
    <row r="60" spans="2:119" x14ac:dyDescent="0.2">
      <c r="B60" t="s">
        <v>123</v>
      </c>
      <c r="C60" s="51"/>
      <c r="D60" s="51"/>
      <c r="E60" s="51"/>
      <c r="F60" s="51"/>
      <c r="G60" s="51"/>
      <c r="H60" s="51"/>
      <c r="I60" s="51"/>
      <c r="J60" s="51">
        <f t="shared" ref="J60:R60" si="64">J58-J59</f>
        <v>2455.1000000000004</v>
      </c>
      <c r="K60" s="51">
        <f t="shared" si="64"/>
        <v>2350.4366336633661</v>
      </c>
      <c r="L60" s="51">
        <f t="shared" si="64"/>
        <v>2294.3000000000002</v>
      </c>
      <c r="M60" s="51">
        <f t="shared" si="64"/>
        <v>2318.4333333333334</v>
      </c>
      <c r="N60" s="51">
        <f t="shared" si="64"/>
        <v>2557.1000000000004</v>
      </c>
      <c r="O60" s="51">
        <f t="shared" si="64"/>
        <v>2421.2000000000003</v>
      </c>
      <c r="P60" s="51">
        <f t="shared" si="64"/>
        <v>2562</v>
      </c>
      <c r="Q60" s="51">
        <f t="shared" si="64"/>
        <v>2793.5</v>
      </c>
      <c r="R60" s="51">
        <f t="shared" si="64"/>
        <v>4613.9000000000005</v>
      </c>
      <c r="S60" s="51">
        <f t="shared" ref="S60:AA60" si="65">S58-S59</f>
        <v>3313.5</v>
      </c>
      <c r="T60" s="51">
        <f t="shared" si="65"/>
        <v>3194.9</v>
      </c>
      <c r="U60" s="51">
        <f t="shared" si="65"/>
        <v>4844.6999999999989</v>
      </c>
      <c r="V60" s="51">
        <f t="shared" si="65"/>
        <v>5392.9000000000005</v>
      </c>
      <c r="W60" s="51">
        <f t="shared" si="65"/>
        <v>5130.5000000000009</v>
      </c>
      <c r="X60" s="51">
        <f t="shared" si="65"/>
        <v>5502.5999999999985</v>
      </c>
      <c r="Y60" s="51">
        <f t="shared" si="65"/>
        <v>5641.7000000000007</v>
      </c>
      <c r="Z60" s="51">
        <f t="shared" si="65"/>
        <v>4310.8999999999996</v>
      </c>
      <c r="AA60" s="51">
        <f t="shared" si="65"/>
        <v>4075.4</v>
      </c>
      <c r="AB60" s="51">
        <f t="shared" ref="AB60:AG60" si="66">AB58-AB59</f>
        <v>4166.1000000000004</v>
      </c>
      <c r="AC60" s="51">
        <f t="shared" si="66"/>
        <v>4510.1000000000004</v>
      </c>
      <c r="AD60" s="51">
        <f t="shared" si="66"/>
        <v>4502.7</v>
      </c>
      <c r="AE60" s="51">
        <f t="shared" si="66"/>
        <v>4363</v>
      </c>
      <c r="AF60" s="51">
        <f t="shared" si="66"/>
        <v>4724.8</v>
      </c>
      <c r="AG60" s="51">
        <f t="shared" si="66"/>
        <v>4667.2</v>
      </c>
      <c r="AH60" s="51">
        <f>+AH58-AH59</f>
        <v>4955.0000000000009</v>
      </c>
      <c r="AI60" s="51">
        <f>+AI58-AI59</f>
        <v>4659.1000000000004</v>
      </c>
      <c r="AJ60" s="51">
        <f>AJ58-AJ59</f>
        <v>5024.7999999999984</v>
      </c>
      <c r="AK60" s="51">
        <f>AK58-AK59</f>
        <v>4810</v>
      </c>
      <c r="AL60" s="51">
        <f>+AL58-AL59</f>
        <v>4725.6000000000004</v>
      </c>
      <c r="AM60" s="51">
        <f>+AM58-AM59</f>
        <v>4404.5</v>
      </c>
      <c r="AN60" s="51">
        <f>+AN58-AN59</f>
        <v>4453.7999999999993</v>
      </c>
      <c r="AO60" s="51">
        <f>+AO58-AO59</f>
        <v>4238.8999999999996</v>
      </c>
      <c r="AP60" s="51">
        <f>+AP58-AP59</f>
        <v>4709</v>
      </c>
      <c r="AQ60" s="51">
        <f t="shared" ref="AQ60:AT60" si="67">+AQ58-AQ59</f>
        <v>4443.7</v>
      </c>
      <c r="AR60" s="51">
        <f t="shared" si="67"/>
        <v>4764.5</v>
      </c>
      <c r="AS60" s="51">
        <f t="shared" si="67"/>
        <v>4574.5</v>
      </c>
      <c r="AT60" s="51">
        <f t="shared" si="67"/>
        <v>4422.3</v>
      </c>
      <c r="AU60" s="51">
        <f t="shared" ref="AU60:AV60" si="68">AU58-AU59</f>
        <v>3460.4000000000005</v>
      </c>
      <c r="AV60" s="51">
        <f t="shared" ref="AV60:AW60" si="69">AV58-AV59</f>
        <v>3745.9000000000005</v>
      </c>
      <c r="AW60" s="51">
        <f t="shared" si="69"/>
        <v>3608.6000000000004</v>
      </c>
      <c r="AX60" s="51">
        <f t="shared" ref="AX60:AY60" si="70">AX58-AX59</f>
        <v>3868.2000000000003</v>
      </c>
      <c r="AY60" s="51">
        <f t="shared" ref="AY60:AZ60" si="71">AY58-AY59</f>
        <v>3452</v>
      </c>
      <c r="AZ60" s="51">
        <f t="shared" si="71"/>
        <v>3944.7999999999997</v>
      </c>
      <c r="BA60" s="51">
        <f t="shared" ref="BA60:BC60" si="72">BA58-BA59</f>
        <v>3722.7999999999997</v>
      </c>
      <c r="BB60" s="51">
        <f t="shared" si="72"/>
        <v>3986.4000000000005</v>
      </c>
      <c r="BC60" s="51">
        <f t="shared" si="72"/>
        <v>3542.1000000000004</v>
      </c>
      <c r="BD60" s="51">
        <f t="shared" ref="BD60:BE60" si="73">BD58-BD59</f>
        <v>4106.3999999999996</v>
      </c>
      <c r="BE60" s="51">
        <f t="shared" si="73"/>
        <v>3790.7999999999997</v>
      </c>
      <c r="BF60" s="51">
        <f t="shared" ref="BF60:BG60" si="74">BF58-BF59</f>
        <v>4294.5</v>
      </c>
      <c r="BG60" s="51">
        <f t="shared" si="74"/>
        <v>3880.4</v>
      </c>
      <c r="BH60" s="51">
        <f t="shared" ref="BH60:BJ60" si="75">BH58-BH59</f>
        <v>4252.6000000000004</v>
      </c>
      <c r="BI60" s="51">
        <f t="shared" si="75"/>
        <v>4071.7</v>
      </c>
      <c r="BJ60" s="51">
        <f t="shared" si="75"/>
        <v>4515.7999999999993</v>
      </c>
      <c r="BK60" s="51">
        <f t="shared" ref="BK60:BL60" si="76">BK58-BK59</f>
        <v>4128.7</v>
      </c>
      <c r="BL60" s="51">
        <f t="shared" si="76"/>
        <v>4652.5</v>
      </c>
      <c r="BM60" s="51">
        <f t="shared" ref="BM60:BN60" si="77">BM58-BM59</f>
        <v>4499.5999999999995</v>
      </c>
      <c r="BN60" s="51">
        <f t="shared" si="77"/>
        <v>4844.9000000000005</v>
      </c>
      <c r="BO60" s="51">
        <f t="shared" ref="BO60:CA60" si="78">BO58-BO59</f>
        <v>4961.2999999999993</v>
      </c>
      <c r="BP60" s="51">
        <f t="shared" si="78"/>
        <v>5591.9000000000005</v>
      </c>
      <c r="BQ60" s="51">
        <f t="shared" si="78"/>
        <v>5369.9</v>
      </c>
      <c r="BR60" s="51">
        <f t="shared" si="78"/>
        <v>6093</v>
      </c>
      <c r="BS60" s="51">
        <f t="shared" si="78"/>
        <v>4703.2999999999975</v>
      </c>
      <c r="BT60" s="51">
        <f t="shared" si="78"/>
        <v>4380.1999999999989</v>
      </c>
      <c r="BU60" s="51">
        <f t="shared" si="78"/>
        <v>4540.6999999999989</v>
      </c>
      <c r="BV60" s="51">
        <f t="shared" si="78"/>
        <v>5720.2999999999993</v>
      </c>
      <c r="BW60" s="51">
        <f t="shared" si="78"/>
        <v>5134.2000000000007</v>
      </c>
      <c r="BX60" s="51">
        <f t="shared" si="78"/>
        <v>5341.9999999999973</v>
      </c>
      <c r="BY60" s="51">
        <f t="shared" si="78"/>
        <v>5351.199999999998</v>
      </c>
      <c r="BZ60" s="51">
        <f t="shared" si="78"/>
        <v>5949.7</v>
      </c>
      <c r="CA60" s="51">
        <f t="shared" si="78"/>
        <v>5942.5999999999995</v>
      </c>
      <c r="CB60" s="51">
        <f>CB58-CB59</f>
        <v>5178.7000000000016</v>
      </c>
      <c r="CC60" s="51">
        <f t="shared" ref="CC60:CH60" si="79">+CC58*0.79</f>
        <v>5483.9430000000011</v>
      </c>
      <c r="CD60" s="51">
        <f t="shared" si="79"/>
        <v>5768.8960000000015</v>
      </c>
      <c r="CE60" s="51">
        <f>CE58-CE59</f>
        <v>5459.0999999999985</v>
      </c>
      <c r="CF60" s="51">
        <f t="shared" si="79"/>
        <v>4561.569019999999</v>
      </c>
      <c r="CG60" s="51">
        <f t="shared" si="79"/>
        <v>4751.0165500000003</v>
      </c>
      <c r="CH60" s="51">
        <f t="shared" si="79"/>
        <v>5256.4380099999998</v>
      </c>
      <c r="CI60" s="51"/>
      <c r="CJ60" s="51"/>
      <c r="CL60" s="51">
        <f t="shared" ref="CL60:CQ60" si="80">CL58-CL59</f>
        <v>9469</v>
      </c>
      <c r="CM60" s="51">
        <f t="shared" si="80"/>
        <v>8900</v>
      </c>
      <c r="CN60" s="51">
        <f t="shared" si="80"/>
        <v>9910</v>
      </c>
      <c r="CO60" s="51">
        <f t="shared" si="80"/>
        <v>10635</v>
      </c>
      <c r="CP60" s="51">
        <f t="shared" si="80"/>
        <v>11176</v>
      </c>
      <c r="CQ60" s="51">
        <f t="shared" si="80"/>
        <v>12282.499999999998</v>
      </c>
      <c r="CR60" s="51">
        <f>CR58*CR79</f>
        <v>14423.994000000001</v>
      </c>
      <c r="CS60" s="51">
        <f>SUM(W60:Z60)</f>
        <v>20585.699999999997</v>
      </c>
      <c r="CT60" s="51">
        <f>SUM(AA60:AD60)</f>
        <v>17254.3</v>
      </c>
      <c r="CU60" s="51">
        <f>CU58-CU59</f>
        <v>17527.599999999999</v>
      </c>
      <c r="CV60" s="51">
        <f>CV58-CV59</f>
        <v>18809.400000000001</v>
      </c>
      <c r="CW60" s="51">
        <f>CW58-CW59</f>
        <v>17205</v>
      </c>
      <c r="CX60" s="51">
        <f t="shared" ref="CX60:CY60" si="81">CX58*CX79</f>
        <v>0</v>
      </c>
      <c r="CY60" s="51">
        <f t="shared" si="81"/>
        <v>0</v>
      </c>
      <c r="CZ60" s="51"/>
      <c r="DA60" s="51"/>
      <c r="DB60" s="51">
        <f t="shared" ref="DB60:DC60" si="82">+DB58-DB59</f>
        <v>15526.400000000001</v>
      </c>
      <c r="DC60" s="51">
        <f t="shared" si="82"/>
        <v>16811.199999999997</v>
      </c>
      <c r="DD60" s="51">
        <f>+DD58-DD59</f>
        <v>17598.2</v>
      </c>
      <c r="DE60" s="51">
        <f>+DE58-DE59</f>
        <v>19344.5</v>
      </c>
      <c r="DF60" s="51">
        <f t="shared" ref="DF60" si="83">+DF58-DF59</f>
        <v>21777.1</v>
      </c>
      <c r="DG60" s="51">
        <f>+DG58-DG59</f>
        <v>22374.139000000006</v>
      </c>
      <c r="DH60" s="51">
        <f>+DH58-DH59</f>
        <v>20028.123579999999</v>
      </c>
      <c r="DI60" s="51">
        <f>DI58*0.79</f>
        <v>22716.638967999999</v>
      </c>
      <c r="DJ60" s="51">
        <f t="shared" ref="DJ60:DO60" si="84">DJ58*0.79</f>
        <v>24582.249384670005</v>
      </c>
      <c r="DK60" s="51">
        <f t="shared" si="84"/>
        <v>26696.956836457204</v>
      </c>
      <c r="DL60" s="51">
        <f t="shared" si="84"/>
        <v>27900.791208179995</v>
      </c>
      <c r="DM60" s="51">
        <f t="shared" si="84"/>
        <v>30822.894466946113</v>
      </c>
      <c r="DN60" s="51">
        <f t="shared" si="84"/>
        <v>32950.300603635471</v>
      </c>
      <c r="DO60" s="51">
        <f t="shared" si="84"/>
        <v>25825.150739484303</v>
      </c>
    </row>
    <row r="61" spans="2:119" x14ac:dyDescent="0.2">
      <c r="B61" t="s">
        <v>59</v>
      </c>
      <c r="C61" s="51"/>
      <c r="D61" s="51"/>
      <c r="E61" s="51"/>
      <c r="F61" s="51"/>
      <c r="G61" s="51"/>
      <c r="H61" s="51"/>
      <c r="I61" s="51"/>
      <c r="J61" s="51">
        <v>1098</v>
      </c>
      <c r="K61" s="51">
        <v>1090</v>
      </c>
      <c r="L61" s="51">
        <v>1146.0999999999999</v>
      </c>
      <c r="M61" s="51">
        <v>1070.9000000000001</v>
      </c>
      <c r="N61" s="51">
        <v>1190</v>
      </c>
      <c r="O61" s="51">
        <v>1143</v>
      </c>
      <c r="P61" s="51">
        <v>1238</v>
      </c>
      <c r="Q61" s="51">
        <v>1302.3</v>
      </c>
      <c r="R61" s="51">
        <v>1422.1</v>
      </c>
      <c r="S61" s="51">
        <v>1336.8</v>
      </c>
      <c r="T61" s="51">
        <v>1524.7</v>
      </c>
      <c r="U61" s="51">
        <v>1477.8</v>
      </c>
      <c r="V61" s="51">
        <v>1755.8</v>
      </c>
      <c r="W61" s="51">
        <v>1550.5</v>
      </c>
      <c r="X61" s="51">
        <v>1700.1</v>
      </c>
      <c r="Y61" s="51">
        <v>1649.2</v>
      </c>
      <c r="Z61" s="51">
        <v>1718.6</v>
      </c>
      <c r="AA61" s="51">
        <v>1529.2</v>
      </c>
      <c r="AB61" s="51">
        <v>1708.2</v>
      </c>
      <c r="AC61" s="51">
        <v>1701.8</v>
      </c>
      <c r="AD61" s="51">
        <v>1953.3</v>
      </c>
      <c r="AE61" s="51">
        <v>1614.4</v>
      </c>
      <c r="AF61" s="51">
        <v>1755.4</v>
      </c>
      <c r="AG61" s="51">
        <v>1694.9</v>
      </c>
      <c r="AH61" s="51">
        <v>1988.7</v>
      </c>
      <c r="AI61" s="51">
        <v>1785.7</v>
      </c>
      <c r="AJ61" s="51">
        <v>2043</v>
      </c>
      <c r="AK61" s="51">
        <v>1917.8</v>
      </c>
      <c r="AL61" s="51">
        <v>2133.4</v>
      </c>
      <c r="AM61" s="51">
        <v>1847.5</v>
      </c>
      <c r="AN61" s="51">
        <v>1931.1</v>
      </c>
      <c r="AO61" s="51">
        <v>1757.4</v>
      </c>
      <c r="AP61" s="51">
        <v>1977.5</v>
      </c>
      <c r="AQ61" s="51">
        <v>1652</v>
      </c>
      <c r="AR61" s="51">
        <v>1867.6</v>
      </c>
      <c r="AS61" s="51">
        <v>1652.4</v>
      </c>
      <c r="AT61" s="51">
        <v>1953.6</v>
      </c>
      <c r="AU61" s="51">
        <v>1484.9</v>
      </c>
      <c r="AV61" s="51">
        <v>1663.9</v>
      </c>
      <c r="AW61" s="51">
        <v>1672.1</v>
      </c>
      <c r="AX61" s="51">
        <v>1799.9</v>
      </c>
      <c r="AY61" s="51">
        <v>1523.5</v>
      </c>
      <c r="AZ61" s="51">
        <v>1635.4</v>
      </c>
      <c r="BA61" s="51">
        <v>1575.7</v>
      </c>
      <c r="BB61" s="51">
        <v>1798.4</v>
      </c>
      <c r="BC61" s="51">
        <v>1473.9</v>
      </c>
      <c r="BD61" s="51">
        <v>1622.6</v>
      </c>
      <c r="BE61" s="51">
        <v>1565.4</v>
      </c>
      <c r="BF61" s="51">
        <v>1790.1</v>
      </c>
      <c r="BG61" s="51">
        <v>1567.7</v>
      </c>
      <c r="BH61" s="51">
        <v>1730.4</v>
      </c>
      <c r="BI61" s="51">
        <v>1578.5</v>
      </c>
      <c r="BJ61" s="51">
        <v>1803.5</v>
      </c>
      <c r="BK61" s="51">
        <v>1500</v>
      </c>
      <c r="BL61" s="51">
        <v>1653.7</v>
      </c>
      <c r="BM61" s="51">
        <v>1616.6</v>
      </c>
      <c r="BN61" s="51">
        <v>1861.5</v>
      </c>
      <c r="BO61" s="51">
        <v>1517.1</v>
      </c>
      <c r="BP61" s="51">
        <v>1586.3</v>
      </c>
      <c r="BQ61" s="51">
        <v>1412.3</v>
      </c>
      <c r="BR61" s="51">
        <v>1698.1</v>
      </c>
      <c r="BS61" s="51">
        <v>1549.6</v>
      </c>
      <c r="BT61" s="51">
        <v>1448.6</v>
      </c>
      <c r="BU61" s="51">
        <v>1569.1</v>
      </c>
      <c r="BV61" s="51">
        <v>1553.9</v>
      </c>
      <c r="BW61" s="51">
        <v>1576</v>
      </c>
      <c r="BX61" s="51">
        <v>1685.7</v>
      </c>
      <c r="BY61" s="51">
        <v>1577.9</v>
      </c>
      <c r="BZ61" s="51">
        <v>1592</v>
      </c>
      <c r="CA61" s="51">
        <v>1557.9</v>
      </c>
      <c r="CB61" s="51">
        <v>1781.9</v>
      </c>
      <c r="CC61" s="51">
        <f t="shared" ref="CC61:CC62" si="85">+BY61</f>
        <v>1577.9</v>
      </c>
      <c r="CD61" s="51">
        <f t="shared" ref="CD61:CD62" si="86">+BZ61</f>
        <v>1592</v>
      </c>
      <c r="CE61" s="51">
        <v>1749.2</v>
      </c>
      <c r="CF61" s="51">
        <f t="shared" ref="CF61:CF62" si="87">+CB61</f>
        <v>1781.9</v>
      </c>
      <c r="CG61" s="51">
        <f t="shared" ref="CG61:CG62" si="88">+CC61</f>
        <v>1577.9</v>
      </c>
      <c r="CH61" s="51">
        <f t="shared" ref="CH61:CH62" si="89">+CD61</f>
        <v>1592</v>
      </c>
      <c r="CI61" s="51"/>
      <c r="CJ61" s="51"/>
      <c r="CL61" s="51">
        <v>3417</v>
      </c>
      <c r="CM61" s="51">
        <v>3424</v>
      </c>
      <c r="CN61" s="51">
        <v>4055</v>
      </c>
      <c r="CO61" s="51">
        <v>4284</v>
      </c>
      <c r="CP61" s="51">
        <v>4497</v>
      </c>
      <c r="CQ61" s="51">
        <v>4752</v>
      </c>
      <c r="CR61" s="51">
        <f>CQ61*1.03</f>
        <v>4894.5600000000004</v>
      </c>
      <c r="CS61" s="51">
        <f>SUM(W61:Z61)</f>
        <v>6618.4</v>
      </c>
      <c r="CT61" s="51">
        <f>SUM(AA61:AD61)</f>
        <v>6892.5</v>
      </c>
      <c r="CU61" s="51">
        <f>SUM(AE61:AH61)</f>
        <v>7053.4000000000005</v>
      </c>
      <c r="CV61" s="51">
        <f t="shared" ref="CV61:CV62" si="90">SUM(AI61:AL61)</f>
        <v>7879.9</v>
      </c>
      <c r="CW61" s="51">
        <f t="shared" ref="CW61" si="91">SUM(AM61:AP61)</f>
        <v>7513.5</v>
      </c>
      <c r="CX61" s="51">
        <f>CW61*0.95</f>
        <v>7137.8249999999998</v>
      </c>
      <c r="CY61" s="51">
        <f>CX61*0.8</f>
        <v>5710.26</v>
      </c>
      <c r="CZ61" s="51"/>
      <c r="DA61" s="51"/>
      <c r="DB61" s="51">
        <v>5982.4</v>
      </c>
      <c r="DC61" s="51">
        <v>5975.1</v>
      </c>
      <c r="DD61" s="51">
        <v>6213.8</v>
      </c>
      <c r="DE61" s="49">
        <f t="shared" ref="DE61:DE62" si="92">SUM(BS61:BV61)</f>
        <v>6121.1999999999989</v>
      </c>
      <c r="DF61" s="49">
        <f t="shared" ref="DF61:DF62" si="93">SUM(BW61:BZ61)</f>
        <v>6431.6</v>
      </c>
      <c r="DG61" s="49">
        <f t="shared" ref="DG61:DG62" si="94">SUM(CA61:CD61)</f>
        <v>6509.7000000000007</v>
      </c>
      <c r="DH61" s="49">
        <f t="shared" ref="DH61:DH62" si="95">SUM(CE61:CH61)</f>
        <v>6701</v>
      </c>
      <c r="DI61" s="49">
        <f>+DI58*0.25</f>
        <v>7188.8097999999991</v>
      </c>
      <c r="DJ61" s="49">
        <f t="shared" ref="DJ61:DO61" si="96">+DJ58*0.25</f>
        <v>7779.1928432500008</v>
      </c>
      <c r="DK61" s="49">
        <f t="shared" si="96"/>
        <v>8448.4040621700005</v>
      </c>
      <c r="DL61" s="49">
        <f t="shared" si="96"/>
        <v>8829.3643063860745</v>
      </c>
      <c r="DM61" s="49">
        <f t="shared" si="96"/>
        <v>9754.0805275145922</v>
      </c>
      <c r="DN61" s="49">
        <f t="shared" si="96"/>
        <v>10427.310317606161</v>
      </c>
      <c r="DO61" s="49">
        <f t="shared" si="96"/>
        <v>8172.5160567988296</v>
      </c>
    </row>
    <row r="62" spans="2:119" x14ac:dyDescent="0.2">
      <c r="B62" t="s">
        <v>60</v>
      </c>
      <c r="C62" s="51"/>
      <c r="D62" s="51"/>
      <c r="E62" s="51"/>
      <c r="F62" s="51"/>
      <c r="G62" s="51"/>
      <c r="H62" s="51"/>
      <c r="I62" s="51"/>
      <c r="J62" s="51">
        <v>706</v>
      </c>
      <c r="K62" s="51">
        <v>702</v>
      </c>
      <c r="L62" s="51">
        <v>762.4</v>
      </c>
      <c r="M62" s="51">
        <v>751</v>
      </c>
      <c r="N62" s="51">
        <v>810</v>
      </c>
      <c r="O62" s="51">
        <v>741</v>
      </c>
      <c r="P62" s="51">
        <v>775</v>
      </c>
      <c r="Q62" s="51">
        <v>788.8</v>
      </c>
      <c r="R62" s="51">
        <v>890</v>
      </c>
      <c r="S62" s="51">
        <v>834.2</v>
      </c>
      <c r="T62" s="51">
        <v>854.4</v>
      </c>
      <c r="U62" s="51">
        <v>844.5</v>
      </c>
      <c r="V62" s="51">
        <v>953.6</v>
      </c>
      <c r="W62" s="51">
        <v>877.1</v>
      </c>
      <c r="X62" s="51">
        <v>951.5</v>
      </c>
      <c r="Y62" s="51">
        <v>953</v>
      </c>
      <c r="Z62" s="51">
        <v>1036.0999999999999</v>
      </c>
      <c r="AA62" s="51">
        <v>947.3</v>
      </c>
      <c r="AB62" s="51">
        <v>1040.4000000000001</v>
      </c>
      <c r="AC62" s="51">
        <v>1122.0999999999999</v>
      </c>
      <c r="AD62" s="51">
        <v>1216.7</v>
      </c>
      <c r="AE62" s="51">
        <v>1039.0999999999999</v>
      </c>
      <c r="AF62" s="51">
        <v>1187.2</v>
      </c>
      <c r="AG62" s="51">
        <v>1219.8</v>
      </c>
      <c r="AH62" s="51">
        <v>1438.1</v>
      </c>
      <c r="AI62" s="51">
        <v>1124</v>
      </c>
      <c r="AJ62" s="51">
        <v>1260.5999999999999</v>
      </c>
      <c r="AK62" s="51">
        <v>1280.9000000000001</v>
      </c>
      <c r="AL62" s="51">
        <v>1355.3</v>
      </c>
      <c r="AM62" s="51">
        <v>1151.5</v>
      </c>
      <c r="AN62" s="51">
        <v>1320.7</v>
      </c>
      <c r="AO62" s="51">
        <v>1342.8</v>
      </c>
      <c r="AP62" s="51">
        <v>1463.1</v>
      </c>
      <c r="AQ62" s="51">
        <v>1348.1</v>
      </c>
      <c r="AR62" s="51">
        <v>1330.4</v>
      </c>
      <c r="AS62" s="51">
        <v>1377.4</v>
      </c>
      <c r="AT62" s="51">
        <v>1475.4</v>
      </c>
      <c r="AU62" s="51">
        <v>1109.3</v>
      </c>
      <c r="AV62" s="51">
        <v>1195.4000000000001</v>
      </c>
      <c r="AW62" s="51">
        <v>1243.2</v>
      </c>
      <c r="AX62" s="51">
        <v>1185.7</v>
      </c>
      <c r="AY62" s="51">
        <v>1039.3</v>
      </c>
      <c r="AZ62" s="51">
        <v>1169.5</v>
      </c>
      <c r="BA62" s="51">
        <v>1143.4000000000001</v>
      </c>
      <c r="BB62" s="51">
        <v>1444.2</v>
      </c>
      <c r="BC62" s="51">
        <v>1221</v>
      </c>
      <c r="BD62" s="51">
        <v>1335.9</v>
      </c>
      <c r="BE62" s="51">
        <v>1236.4000000000001</v>
      </c>
      <c r="BF62" s="51">
        <v>1450.6</v>
      </c>
      <c r="BG62" s="51">
        <v>1258.3</v>
      </c>
      <c r="BH62" s="51">
        <v>1272.0999999999999</v>
      </c>
      <c r="BI62" s="51">
        <v>1340</v>
      </c>
      <c r="BJ62" s="51">
        <v>1486.9</v>
      </c>
      <c r="BK62" s="51">
        <v>1176.9000000000001</v>
      </c>
      <c r="BL62" s="51">
        <v>1333.1</v>
      </c>
      <c r="BM62" s="51">
        <v>1343.3</v>
      </c>
      <c r="BN62" s="51">
        <v>1453.8</v>
      </c>
      <c r="BO62" s="51">
        <v>1230.5</v>
      </c>
      <c r="BP62" s="51">
        <v>1402.2</v>
      </c>
      <c r="BQ62" s="51">
        <v>1380.9</v>
      </c>
      <c r="BR62" s="51">
        <v>1581.4</v>
      </c>
      <c r="BS62" s="51">
        <v>1392.1</v>
      </c>
      <c r="BT62" s="51">
        <v>1390.2</v>
      </c>
      <c r="BU62" s="51">
        <v>1465.4</v>
      </c>
      <c r="BV62" s="51">
        <v>1838</v>
      </c>
      <c r="BW62" s="51">
        <v>1672.1</v>
      </c>
      <c r="BX62" s="51">
        <v>1672.8</v>
      </c>
      <c r="BY62" s="51">
        <v>1708.9</v>
      </c>
      <c r="BZ62" s="51">
        <v>1959.4</v>
      </c>
      <c r="CA62" s="51">
        <v>1610.1</v>
      </c>
      <c r="CB62" s="51">
        <v>1625.1</v>
      </c>
      <c r="CC62" s="51">
        <f t="shared" si="85"/>
        <v>1708.9</v>
      </c>
      <c r="CD62" s="51">
        <f t="shared" si="86"/>
        <v>1959.4</v>
      </c>
      <c r="CE62" s="51">
        <v>1985.1</v>
      </c>
      <c r="CF62" s="51">
        <f t="shared" si="87"/>
        <v>1625.1</v>
      </c>
      <c r="CG62" s="51">
        <f t="shared" si="88"/>
        <v>1708.9</v>
      </c>
      <c r="CH62" s="51">
        <f t="shared" si="89"/>
        <v>1959.4</v>
      </c>
      <c r="CI62" s="51"/>
      <c r="CJ62" s="51"/>
      <c r="CL62" s="51">
        <v>2235</v>
      </c>
      <c r="CM62" s="51">
        <v>2149</v>
      </c>
      <c r="CN62" s="51">
        <v>2350</v>
      </c>
      <c r="CO62" s="51">
        <v>2691</v>
      </c>
      <c r="CP62" s="51">
        <v>3026</v>
      </c>
      <c r="CQ62" s="51">
        <v>3130</v>
      </c>
      <c r="CR62" s="51">
        <f>CQ62*1.02</f>
        <v>3192.6</v>
      </c>
      <c r="CS62" s="51">
        <f>SUM(W62:Z62)</f>
        <v>3817.7</v>
      </c>
      <c r="CT62" s="51">
        <f>SUM(AA62:AD62)</f>
        <v>4326.5</v>
      </c>
      <c r="CU62" s="51">
        <f>SUM(AE62:AH62)</f>
        <v>4884.2000000000007</v>
      </c>
      <c r="CV62" s="51">
        <f t="shared" si="90"/>
        <v>5020.8</v>
      </c>
      <c r="CW62" s="51">
        <f>SUM(AM62:AP62)</f>
        <v>5278.1</v>
      </c>
      <c r="CX62" s="51"/>
      <c r="CY62" s="51"/>
      <c r="CZ62" s="51"/>
      <c r="DA62" s="51"/>
      <c r="DB62" s="51">
        <v>5096.2</v>
      </c>
      <c r="DC62" s="51">
        <v>5051.2</v>
      </c>
      <c r="DD62" s="51">
        <v>5595</v>
      </c>
      <c r="DE62" s="49">
        <f t="shared" si="92"/>
        <v>6085.7000000000007</v>
      </c>
      <c r="DF62" s="49">
        <f t="shared" si="93"/>
        <v>7013.1999999999989</v>
      </c>
      <c r="DG62" s="49">
        <f t="shared" si="94"/>
        <v>6903.5</v>
      </c>
      <c r="DH62" s="49">
        <f t="shared" si="95"/>
        <v>7278.5</v>
      </c>
      <c r="DI62" s="49"/>
      <c r="DJ62" s="49"/>
      <c r="DK62" s="49"/>
      <c r="DL62" s="49"/>
      <c r="DM62" s="49"/>
      <c r="DN62" s="49"/>
      <c r="DO62" s="49"/>
    </row>
    <row r="63" spans="2:119" x14ac:dyDescent="0.2">
      <c r="B63" s="38" t="s">
        <v>251</v>
      </c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>
        <f t="shared" ref="Z63:AE63" si="97">Z62+Z61</f>
        <v>2754.7</v>
      </c>
      <c r="AA63" s="51">
        <f t="shared" si="97"/>
        <v>2476.5</v>
      </c>
      <c r="AB63" s="51">
        <f t="shared" si="97"/>
        <v>2748.6000000000004</v>
      </c>
      <c r="AC63" s="51">
        <f t="shared" si="97"/>
        <v>2823.8999999999996</v>
      </c>
      <c r="AD63" s="51">
        <f t="shared" si="97"/>
        <v>3170</v>
      </c>
      <c r="AE63" s="51">
        <f t="shared" si="97"/>
        <v>2653.5</v>
      </c>
      <c r="AF63" s="51">
        <f t="shared" ref="AF63:AH63" si="98">AF62+AF61</f>
        <v>2942.6000000000004</v>
      </c>
      <c r="AG63" s="51">
        <f t="shared" si="98"/>
        <v>2914.7</v>
      </c>
      <c r="AH63" s="51">
        <f t="shared" si="98"/>
        <v>3426.8</v>
      </c>
      <c r="AI63" s="51">
        <f>AI62+AI61</f>
        <v>2909.7</v>
      </c>
      <c r="AJ63" s="51">
        <f>AJ62+AJ61</f>
        <v>3303.6</v>
      </c>
      <c r="AK63" s="51">
        <f>AK62+AK61</f>
        <v>3198.7</v>
      </c>
      <c r="AL63" s="51">
        <f>AL62+AL61</f>
        <v>3488.7</v>
      </c>
      <c r="AM63" s="51">
        <f>+AM62+AM61</f>
        <v>2999</v>
      </c>
      <c r="AN63" s="51">
        <f>+AN62+AN61</f>
        <v>3251.8</v>
      </c>
      <c r="AO63" s="51">
        <f>+AO62+AO61</f>
        <v>3100.2</v>
      </c>
      <c r="AP63" s="51">
        <f>+AP62+AP61</f>
        <v>3440.6</v>
      </c>
      <c r="AQ63" s="51">
        <f t="shared" ref="AQ63:AT63" si="99">+AQ62+AQ61</f>
        <v>3000.1</v>
      </c>
      <c r="AR63" s="51">
        <f t="shared" si="99"/>
        <v>3198</v>
      </c>
      <c r="AS63" s="51">
        <f t="shared" si="99"/>
        <v>3029.8</v>
      </c>
      <c r="AT63" s="51">
        <f t="shared" si="99"/>
        <v>3429</v>
      </c>
      <c r="AU63" s="51">
        <f t="shared" ref="AU63:AV63" si="100">SUM(AU61:AU62)</f>
        <v>2594.1999999999998</v>
      </c>
      <c r="AV63" s="51">
        <f t="shared" ref="AV63:AW63" si="101">SUM(AV61:AV62)</f>
        <v>2859.3</v>
      </c>
      <c r="AW63" s="51">
        <f t="shared" si="101"/>
        <v>2915.3</v>
      </c>
      <c r="AX63" s="51">
        <f t="shared" ref="AX63:AY63" si="102">SUM(AX61:AX62)</f>
        <v>2985.6000000000004</v>
      </c>
      <c r="AY63" s="51">
        <f t="shared" ref="AY63:AZ63" si="103">SUM(AY61:AY62)</f>
        <v>2562.8000000000002</v>
      </c>
      <c r="AZ63" s="51">
        <f t="shared" si="103"/>
        <v>2804.9</v>
      </c>
      <c r="BA63" s="51">
        <f t="shared" ref="BA63:BC63" si="104">SUM(BA61:BA62)</f>
        <v>2719.1000000000004</v>
      </c>
      <c r="BB63" s="51">
        <f t="shared" si="104"/>
        <v>3242.6000000000004</v>
      </c>
      <c r="BC63" s="51">
        <f t="shared" si="104"/>
        <v>2694.9</v>
      </c>
      <c r="BD63" s="51">
        <f t="shared" ref="BD63:BE63" si="105">SUM(BD61:BD62)</f>
        <v>2958.5</v>
      </c>
      <c r="BE63" s="51">
        <f t="shared" si="105"/>
        <v>2801.8</v>
      </c>
      <c r="BF63" s="51">
        <f t="shared" ref="BF63:BG63" si="106">SUM(BF61:BF62)</f>
        <v>3240.7</v>
      </c>
      <c r="BG63" s="51">
        <f t="shared" si="106"/>
        <v>2826</v>
      </c>
      <c r="BH63" s="51">
        <f t="shared" ref="BH63:BI63" si="107">SUM(BH61:BH62)</f>
        <v>3002.5</v>
      </c>
      <c r="BI63" s="51">
        <f t="shared" ref="BI63:BJ63" si="108">SUM(BI61:BI62)</f>
        <v>2918.5</v>
      </c>
      <c r="BJ63" s="51">
        <f t="shared" si="108"/>
        <v>3290.4</v>
      </c>
      <c r="BK63" s="51">
        <f t="shared" ref="BK63:BL63" si="109">SUM(BK61:BK62)</f>
        <v>2676.9</v>
      </c>
      <c r="BL63" s="51">
        <f t="shared" si="109"/>
        <v>2986.8</v>
      </c>
      <c r="BM63" s="51">
        <f t="shared" ref="BM63:BN63" si="110">SUM(BM61:BM62)</f>
        <v>2959.8999999999996</v>
      </c>
      <c r="BN63" s="51">
        <f t="shared" si="110"/>
        <v>3315.3</v>
      </c>
      <c r="BO63" s="51">
        <f t="shared" ref="BO63:CA63" si="111">SUM(BO61:BO62)</f>
        <v>2747.6</v>
      </c>
      <c r="BP63" s="51">
        <f t="shared" si="111"/>
        <v>2988.5</v>
      </c>
      <c r="BQ63" s="51">
        <f t="shared" si="111"/>
        <v>2793.2</v>
      </c>
      <c r="BR63" s="51">
        <f t="shared" si="111"/>
        <v>3279.5</v>
      </c>
      <c r="BS63" s="51">
        <f t="shared" si="111"/>
        <v>2941.7</v>
      </c>
      <c r="BT63" s="51">
        <f t="shared" si="111"/>
        <v>2838.8</v>
      </c>
      <c r="BU63" s="51">
        <f t="shared" si="111"/>
        <v>3034.5</v>
      </c>
      <c r="BV63" s="51">
        <f t="shared" si="111"/>
        <v>3391.9</v>
      </c>
      <c r="BW63" s="51">
        <f t="shared" si="111"/>
        <v>3248.1</v>
      </c>
      <c r="BX63" s="51">
        <f t="shared" si="111"/>
        <v>3358.5</v>
      </c>
      <c r="BY63" s="51">
        <f t="shared" si="111"/>
        <v>3286.8</v>
      </c>
      <c r="BZ63" s="51">
        <f t="shared" si="111"/>
        <v>3551.4</v>
      </c>
      <c r="CA63" s="51">
        <f t="shared" si="111"/>
        <v>3168</v>
      </c>
      <c r="CB63" s="51">
        <f t="shared" ref="CB63:CH63" si="112">SUM(CB61:CB62)</f>
        <v>3407</v>
      </c>
      <c r="CC63" s="51">
        <f t="shared" si="112"/>
        <v>3286.8</v>
      </c>
      <c r="CD63" s="51">
        <f t="shared" si="112"/>
        <v>3551.4</v>
      </c>
      <c r="CE63" s="51">
        <f t="shared" si="112"/>
        <v>3734.3</v>
      </c>
      <c r="CF63" s="51">
        <f t="shared" si="112"/>
        <v>3407</v>
      </c>
      <c r="CG63" s="51">
        <f t="shared" si="112"/>
        <v>3286.8</v>
      </c>
      <c r="CH63" s="51">
        <f t="shared" si="112"/>
        <v>3551.4</v>
      </c>
      <c r="CI63" s="51"/>
      <c r="CJ63" s="51"/>
      <c r="CL63" s="51">
        <f t="shared" ref="CL63:CR63" si="113">CL62+CL61</f>
        <v>5652</v>
      </c>
      <c r="CM63" s="51">
        <f t="shared" si="113"/>
        <v>5573</v>
      </c>
      <c r="CN63" s="51">
        <f t="shared" si="113"/>
        <v>6405</v>
      </c>
      <c r="CO63" s="51">
        <f t="shared" si="113"/>
        <v>6975</v>
      </c>
      <c r="CP63" s="51">
        <f t="shared" si="113"/>
        <v>7523</v>
      </c>
      <c r="CQ63" s="51">
        <f t="shared" si="113"/>
        <v>7882</v>
      </c>
      <c r="CR63" s="51">
        <f t="shared" si="113"/>
        <v>8087.16</v>
      </c>
      <c r="CS63" s="51">
        <f>CS62+CS61</f>
        <v>10436.099999999999</v>
      </c>
      <c r="CT63" s="51">
        <f t="shared" ref="CT63:CZ63" si="114">CT62+CT61</f>
        <v>11219</v>
      </c>
      <c r="CU63" s="51">
        <f>CU62+CU61</f>
        <v>11937.600000000002</v>
      </c>
      <c r="CV63" s="51">
        <f>CV62+CV61</f>
        <v>12900.7</v>
      </c>
      <c r="CW63" s="51">
        <f>CW62+CW61</f>
        <v>12791.6</v>
      </c>
      <c r="CX63" s="51">
        <f t="shared" si="114"/>
        <v>7137.8249999999998</v>
      </c>
      <c r="CY63" s="51">
        <f t="shared" si="114"/>
        <v>5710.26</v>
      </c>
      <c r="CZ63" s="51">
        <f t="shared" si="114"/>
        <v>0</v>
      </c>
      <c r="DA63" s="51"/>
      <c r="DB63" s="51">
        <f>DB62+DB61</f>
        <v>11078.599999999999</v>
      </c>
      <c r="DC63" s="51">
        <f t="shared" ref="DC63:DD63" si="115">DC62+DC61</f>
        <v>11026.3</v>
      </c>
      <c r="DD63" s="51">
        <f t="shared" si="115"/>
        <v>11808.8</v>
      </c>
      <c r="DE63" s="51">
        <f>DE62+DE61</f>
        <v>12206.9</v>
      </c>
      <c r="DF63" s="51">
        <f t="shared" ref="DF63:DH63" si="116">DF62+DF61</f>
        <v>13444.8</v>
      </c>
      <c r="DG63" s="51">
        <f t="shared" si="116"/>
        <v>13413.2</v>
      </c>
      <c r="DH63" s="51">
        <f t="shared" si="116"/>
        <v>13979.5</v>
      </c>
      <c r="DI63" s="51">
        <f t="shared" ref="DI63" si="117">DI62+DI61</f>
        <v>7188.8097999999991</v>
      </c>
      <c r="DJ63" s="51">
        <f t="shared" ref="DJ63" si="118">DJ62+DJ61</f>
        <v>7779.1928432500008</v>
      </c>
      <c r="DK63" s="51">
        <f t="shared" ref="DK63" si="119">DK62+DK61</f>
        <v>8448.4040621700005</v>
      </c>
      <c r="DL63" s="51">
        <f t="shared" ref="DL63" si="120">DL62+DL61</f>
        <v>8829.3643063860745</v>
      </c>
      <c r="DM63" s="51">
        <f t="shared" ref="DM63" si="121">DM62+DM61</f>
        <v>9754.0805275145922</v>
      </c>
      <c r="DN63" s="51">
        <f t="shared" ref="DN63" si="122">DN62+DN61</f>
        <v>10427.310317606161</v>
      </c>
      <c r="DO63" s="51">
        <f t="shared" ref="DO63" si="123">DO62+DO61</f>
        <v>8172.5160567988296</v>
      </c>
    </row>
    <row r="64" spans="2:119" x14ac:dyDescent="0.2">
      <c r="B64" s="38" t="s">
        <v>252</v>
      </c>
      <c r="C64" s="51"/>
      <c r="D64" s="51"/>
      <c r="E64" s="51"/>
      <c r="F64" s="51"/>
      <c r="G64" s="51"/>
      <c r="H64" s="51"/>
      <c r="I64" s="51"/>
      <c r="J64" s="51">
        <f t="shared" ref="J64:S64" si="124">J60-J61-J62</f>
        <v>651.10000000000036</v>
      </c>
      <c r="K64" s="51">
        <f t="shared" si="124"/>
        <v>558.43663366336614</v>
      </c>
      <c r="L64" s="51">
        <f t="shared" si="124"/>
        <v>385.8000000000003</v>
      </c>
      <c r="M64" s="51">
        <f t="shared" si="124"/>
        <v>496.5333333333333</v>
      </c>
      <c r="N64" s="51">
        <f t="shared" si="124"/>
        <v>557.10000000000036</v>
      </c>
      <c r="O64" s="51">
        <f t="shared" si="124"/>
        <v>537.20000000000027</v>
      </c>
      <c r="P64" s="51">
        <f t="shared" si="124"/>
        <v>549</v>
      </c>
      <c r="Q64" s="51">
        <f t="shared" si="124"/>
        <v>702.40000000000009</v>
      </c>
      <c r="R64" s="51">
        <f t="shared" si="124"/>
        <v>2301.8000000000006</v>
      </c>
      <c r="S64" s="51">
        <f t="shared" si="124"/>
        <v>1142.5</v>
      </c>
      <c r="T64" s="51">
        <f t="shared" ref="T64:Y64" si="125">T60-T61-T62</f>
        <v>815.80000000000007</v>
      </c>
      <c r="U64" s="51">
        <f t="shared" si="125"/>
        <v>2522.3999999999987</v>
      </c>
      <c r="V64" s="51">
        <f t="shared" si="125"/>
        <v>2683.5000000000005</v>
      </c>
      <c r="W64" s="51">
        <f t="shared" si="125"/>
        <v>2702.900000000001</v>
      </c>
      <c r="X64" s="51">
        <f t="shared" si="125"/>
        <v>2850.9999999999986</v>
      </c>
      <c r="Y64" s="51">
        <f t="shared" si="125"/>
        <v>3039.5000000000009</v>
      </c>
      <c r="Z64" s="51">
        <f t="shared" ref="Z64:AE64" si="126">Z60-Z63</f>
        <v>1556.1999999999998</v>
      </c>
      <c r="AA64" s="51">
        <f t="shared" si="126"/>
        <v>1598.9</v>
      </c>
      <c r="AB64" s="51">
        <f t="shared" si="126"/>
        <v>1417.5</v>
      </c>
      <c r="AC64" s="51">
        <f t="shared" si="126"/>
        <v>1686.2000000000007</v>
      </c>
      <c r="AD64" s="51">
        <f t="shared" si="126"/>
        <v>1332.6999999999998</v>
      </c>
      <c r="AE64" s="51">
        <f t="shared" si="126"/>
        <v>1709.5</v>
      </c>
      <c r="AF64" s="51">
        <f t="shared" ref="AF64:AH64" si="127">AF60-AF63</f>
        <v>1782.1999999999998</v>
      </c>
      <c r="AG64" s="51">
        <f t="shared" si="127"/>
        <v>1752.5</v>
      </c>
      <c r="AH64" s="51">
        <f t="shared" si="127"/>
        <v>1528.2000000000007</v>
      </c>
      <c r="AI64" s="51">
        <f>AI60-AI63</f>
        <v>1749.4000000000005</v>
      </c>
      <c r="AJ64" s="51">
        <f>AJ60-AJ63</f>
        <v>1721.1999999999985</v>
      </c>
      <c r="AK64" s="51">
        <f>AK60-AK63</f>
        <v>1611.3000000000002</v>
      </c>
      <c r="AL64" s="51">
        <f>AL60-AL63</f>
        <v>1236.9000000000005</v>
      </c>
      <c r="AM64" s="51">
        <f>+AM60-AM63</f>
        <v>1405.5</v>
      </c>
      <c r="AN64" s="51">
        <f>+AN60-AN63</f>
        <v>1201.9999999999991</v>
      </c>
      <c r="AO64" s="51">
        <f>+AO60-AO63</f>
        <v>1138.6999999999998</v>
      </c>
      <c r="AP64" s="51">
        <f>+AP60-AP63</f>
        <v>1268.4000000000001</v>
      </c>
      <c r="AQ64" s="51">
        <f t="shared" ref="AQ64:AT64" si="128">+AQ60-AQ63</f>
        <v>1443.6</v>
      </c>
      <c r="AR64" s="51">
        <f t="shared" si="128"/>
        <v>1566.5</v>
      </c>
      <c r="AS64" s="51">
        <f t="shared" si="128"/>
        <v>1544.6999999999998</v>
      </c>
      <c r="AT64" s="51">
        <f t="shared" si="128"/>
        <v>993.30000000000018</v>
      </c>
      <c r="AU64" s="51">
        <f t="shared" ref="AU64:AV64" si="129">AU60-AU63</f>
        <v>866.20000000000073</v>
      </c>
      <c r="AV64" s="51">
        <f t="shared" ref="AV64:AW64" si="130">AV60-AV63</f>
        <v>886.60000000000036</v>
      </c>
      <c r="AW64" s="51">
        <f t="shared" si="130"/>
        <v>693.30000000000018</v>
      </c>
      <c r="AX64" s="51">
        <f t="shared" ref="AX64:AY64" si="131">AX60-AX63</f>
        <v>882.59999999999991</v>
      </c>
      <c r="AY64" s="51">
        <f t="shared" ref="AY64:AZ64" si="132">AY60-AY63</f>
        <v>889.19999999999982</v>
      </c>
      <c r="AZ64" s="51">
        <f t="shared" si="132"/>
        <v>1139.8999999999996</v>
      </c>
      <c r="BA64" s="51">
        <f t="shared" ref="BA64:BC64" si="133">BA60-BA63</f>
        <v>1003.6999999999994</v>
      </c>
      <c r="BB64" s="51">
        <f t="shared" si="133"/>
        <v>743.80000000000018</v>
      </c>
      <c r="BC64" s="51">
        <f t="shared" si="133"/>
        <v>847.20000000000027</v>
      </c>
      <c r="BD64" s="51">
        <f t="shared" ref="BD64:BE64" si="134">BD60-BD63</f>
        <v>1147.8999999999996</v>
      </c>
      <c r="BE64" s="51">
        <f t="shared" si="134"/>
        <v>988.99999999999955</v>
      </c>
      <c r="BF64" s="51">
        <f t="shared" ref="BF64:BG64" si="135">BF60-BF63</f>
        <v>1053.8000000000002</v>
      </c>
      <c r="BG64" s="51">
        <f t="shared" si="135"/>
        <v>1054.4000000000001</v>
      </c>
      <c r="BH64" s="51">
        <f t="shared" ref="BH64:BI64" si="136">BH60-BH63</f>
        <v>1250.1000000000004</v>
      </c>
      <c r="BI64" s="51">
        <f t="shared" ref="BI64:BJ64" si="137">BI60-BI63</f>
        <v>1153.1999999999998</v>
      </c>
      <c r="BJ64" s="51">
        <f t="shared" si="137"/>
        <v>1225.3999999999992</v>
      </c>
      <c r="BK64" s="51">
        <f t="shared" ref="BK64:BL64" si="138">BK60-BK63</f>
        <v>1451.7999999999997</v>
      </c>
      <c r="BL64" s="51">
        <f t="shared" si="138"/>
        <v>1665.6999999999998</v>
      </c>
      <c r="BM64" s="51">
        <f t="shared" ref="BM64:BN64" si="139">BM60-BM63</f>
        <v>1539.6999999999998</v>
      </c>
      <c r="BN64" s="51">
        <f t="shared" si="139"/>
        <v>1529.6000000000004</v>
      </c>
      <c r="BO64" s="51">
        <f t="shared" ref="BO64:CA64" si="140">BO60-BO63</f>
        <v>2213.6999999999994</v>
      </c>
      <c r="BP64" s="51">
        <f t="shared" si="140"/>
        <v>2603.4000000000005</v>
      </c>
      <c r="BQ64" s="51">
        <f t="shared" si="140"/>
        <v>2576.6999999999998</v>
      </c>
      <c r="BR64" s="51">
        <f t="shared" si="140"/>
        <v>2813.5</v>
      </c>
      <c r="BS64" s="51">
        <f t="shared" si="140"/>
        <v>1761.5999999999976</v>
      </c>
      <c r="BT64" s="51">
        <f t="shared" si="140"/>
        <v>1541.3999999999987</v>
      </c>
      <c r="BU64" s="51">
        <f t="shared" si="140"/>
        <v>1506.1999999999989</v>
      </c>
      <c r="BV64" s="51">
        <f t="shared" si="140"/>
        <v>2328.3999999999992</v>
      </c>
      <c r="BW64" s="51">
        <f t="shared" si="140"/>
        <v>1886.1000000000008</v>
      </c>
      <c r="BX64" s="51">
        <f t="shared" si="140"/>
        <v>1983.4999999999973</v>
      </c>
      <c r="BY64" s="51">
        <f t="shared" si="140"/>
        <v>2064.3999999999978</v>
      </c>
      <c r="BZ64" s="51">
        <f t="shared" si="140"/>
        <v>2398.2999999999997</v>
      </c>
      <c r="CA64" s="51">
        <f t="shared" si="140"/>
        <v>2774.5999999999995</v>
      </c>
      <c r="CB64" s="51">
        <f t="shared" ref="CB64:CH64" si="141">CB60-CB63</f>
        <v>1771.7000000000016</v>
      </c>
      <c r="CC64" s="51">
        <f t="shared" si="141"/>
        <v>2197.1430000000009</v>
      </c>
      <c r="CD64" s="51">
        <f t="shared" si="141"/>
        <v>2217.4960000000015</v>
      </c>
      <c r="CE64" s="51">
        <f t="shared" si="141"/>
        <v>1724.7999999999984</v>
      </c>
      <c r="CF64" s="51">
        <f t="shared" si="141"/>
        <v>1154.569019999999</v>
      </c>
      <c r="CG64" s="51">
        <f t="shared" si="141"/>
        <v>1464.2165500000001</v>
      </c>
      <c r="CH64" s="51">
        <f t="shared" si="141"/>
        <v>1705.0380099999998</v>
      </c>
      <c r="CI64" s="51"/>
      <c r="CJ64" s="51"/>
      <c r="CL64" s="51">
        <f t="shared" ref="CL64:CT64" si="142">CL60-CL61-CL62</f>
        <v>3817</v>
      </c>
      <c r="CM64" s="51">
        <f t="shared" si="142"/>
        <v>3327</v>
      </c>
      <c r="CN64" s="51">
        <f t="shared" si="142"/>
        <v>3505</v>
      </c>
      <c r="CO64" s="51">
        <f t="shared" si="142"/>
        <v>3660</v>
      </c>
      <c r="CP64" s="51">
        <f t="shared" si="142"/>
        <v>3653</v>
      </c>
      <c r="CQ64" s="51">
        <f t="shared" si="142"/>
        <v>4400.4999999999982</v>
      </c>
      <c r="CR64" s="51">
        <f t="shared" si="142"/>
        <v>6336.8340000000007</v>
      </c>
      <c r="CS64" s="51">
        <f>CS60-CS61-CS62</f>
        <v>10149.599999999999</v>
      </c>
      <c r="CT64" s="51">
        <f t="shared" si="142"/>
        <v>6035.2999999999993</v>
      </c>
      <c r="CU64" s="51">
        <f>CU60-CU61-CU62</f>
        <v>5589.9999999999964</v>
      </c>
      <c r="CV64" s="51">
        <f>CV60-CV61-CV62</f>
        <v>5908.7000000000016</v>
      </c>
      <c r="CW64" s="51">
        <f>CW60-CW61-CW62</f>
        <v>4413.3999999999996</v>
      </c>
      <c r="CX64" s="51">
        <f t="shared" ref="CX64:CZ64" si="143">CX60-CX61-CX62</f>
        <v>-7137.8249999999998</v>
      </c>
      <c r="CY64" s="51">
        <f t="shared" si="143"/>
        <v>-5710.26</v>
      </c>
      <c r="CZ64" s="51">
        <f t="shared" si="143"/>
        <v>0</v>
      </c>
      <c r="DA64" s="51"/>
      <c r="DB64" s="51">
        <f t="shared" ref="DB64:DD64" si="144">+DB60-DB63</f>
        <v>4447.8000000000029</v>
      </c>
      <c r="DC64" s="51">
        <f t="shared" si="144"/>
        <v>5784.8999999999978</v>
      </c>
      <c r="DD64" s="51">
        <f t="shared" si="144"/>
        <v>5789.4000000000015</v>
      </c>
      <c r="DE64" s="51">
        <f>+DE60-DE63</f>
        <v>7137.6</v>
      </c>
      <c r="DF64" s="51">
        <f>+DF60-DF63</f>
        <v>8332.2999999999993</v>
      </c>
      <c r="DG64" s="51">
        <f t="shared" ref="DG64:DH64" si="145">+DG60-DG63</f>
        <v>8960.9390000000058</v>
      </c>
      <c r="DH64" s="51">
        <f t="shared" si="145"/>
        <v>6048.6235799999995</v>
      </c>
      <c r="DI64" s="51">
        <f t="shared" ref="DI64" si="146">+DI60-DI63</f>
        <v>15527.829168</v>
      </c>
      <c r="DJ64" s="51">
        <f t="shared" ref="DJ64" si="147">+DJ60-DJ63</f>
        <v>16803.056541420003</v>
      </c>
      <c r="DK64" s="51">
        <f t="shared" ref="DK64" si="148">+DK60-DK63</f>
        <v>18248.552774287204</v>
      </c>
      <c r="DL64" s="51">
        <f t="shared" ref="DL64" si="149">+DL60-DL63</f>
        <v>19071.426901793922</v>
      </c>
      <c r="DM64" s="51">
        <f t="shared" ref="DM64" si="150">+DM60-DM63</f>
        <v>21068.813939431522</v>
      </c>
      <c r="DN64" s="51">
        <f t="shared" ref="DN64" si="151">+DN60-DN63</f>
        <v>22522.990286029308</v>
      </c>
      <c r="DO64" s="51">
        <f t="shared" ref="DO64" si="152">+DO60-DO63</f>
        <v>17652.634682685471</v>
      </c>
    </row>
    <row r="65" spans="2:197" x14ac:dyDescent="0.2">
      <c r="B65" t="s">
        <v>78</v>
      </c>
      <c r="C65" s="51"/>
      <c r="D65" s="51"/>
      <c r="E65" s="51"/>
      <c r="F65" s="51"/>
      <c r="G65" s="51"/>
      <c r="H65" s="51"/>
      <c r="I65" s="51"/>
      <c r="J65" s="51">
        <v>69.099999999999994</v>
      </c>
      <c r="K65" s="51">
        <v>99</v>
      </c>
      <c r="L65" s="51">
        <v>45.4</v>
      </c>
      <c r="M65" s="51">
        <v>85</v>
      </c>
      <c r="N65" s="51">
        <v>85.2</v>
      </c>
      <c r="O65" s="51">
        <v>32</v>
      </c>
      <c r="P65" s="51">
        <v>47</v>
      </c>
      <c r="Q65" s="51">
        <v>-4.8</v>
      </c>
      <c r="R65" s="51">
        <v>38.9</v>
      </c>
      <c r="S65" s="51">
        <v>38.299999999999997</v>
      </c>
      <c r="T65" s="51">
        <v>1.8</v>
      </c>
      <c r="U65" s="51">
        <v>49.8</v>
      </c>
      <c r="V65" s="51">
        <v>32.1</v>
      </c>
      <c r="W65" s="51">
        <v>20.3</v>
      </c>
      <c r="X65" s="51">
        <v>32.299999999999997</v>
      </c>
      <c r="Y65" s="51">
        <v>2.5</v>
      </c>
      <c r="Z65" s="51">
        <v>-48.2</v>
      </c>
      <c r="AA65" s="51">
        <v>-70.7</v>
      </c>
      <c r="AB65" s="51">
        <v>-24.1</v>
      </c>
      <c r="AC65" s="51">
        <f>-44-22.9</f>
        <v>-66.900000000000006</v>
      </c>
      <c r="AD65" s="51">
        <v>-67.8</v>
      </c>
      <c r="AE65" s="51">
        <v>74.5</v>
      </c>
      <c r="AF65" s="51">
        <f>-36.5+18.1-18.4</f>
        <v>-36.799999999999997</v>
      </c>
      <c r="AG65" s="51">
        <f>-30.9+9.2-21.7</f>
        <v>-43.4</v>
      </c>
      <c r="AH65" s="51">
        <v>-39.4</v>
      </c>
      <c r="AI65" s="51">
        <v>-11.2</v>
      </c>
      <c r="AJ65" s="51">
        <v>-57.6</v>
      </c>
      <c r="AK65" s="51">
        <f>-22.8-60.6</f>
        <v>-83.4</v>
      </c>
      <c r="AL65" s="51">
        <v>-26.8</v>
      </c>
      <c r="AM65" s="51">
        <f>-19.2-26.8</f>
        <v>-46</v>
      </c>
      <c r="AN65" s="51">
        <f>-15.8-0.7</f>
        <v>-16.5</v>
      </c>
      <c r="AO65" s="51">
        <f>-21.3+22</f>
        <v>0.69999999999999929</v>
      </c>
      <c r="AP65" s="51">
        <v>-52</v>
      </c>
      <c r="AQ65" s="51">
        <f>-16.7+50.5</f>
        <v>33.799999999999997</v>
      </c>
      <c r="AR65" s="51">
        <v>11.9</v>
      </c>
      <c r="AS65" s="51">
        <v>-31.3</v>
      </c>
      <c r="AT65" s="51">
        <v>9.1</v>
      </c>
      <c r="AU65" s="51">
        <v>56</v>
      </c>
      <c r="AV65" s="51">
        <v>53.8</v>
      </c>
      <c r="AW65" s="51">
        <v>93.5</v>
      </c>
      <c r="AX65" s="51">
        <v>137.19999999999999</v>
      </c>
      <c r="AY65" s="51">
        <v>92.7</v>
      </c>
      <c r="AZ65" s="51">
        <v>-123.3</v>
      </c>
      <c r="BA65" s="51">
        <v>86.5</v>
      </c>
      <c r="BB65" s="51">
        <v>44.7</v>
      </c>
      <c r="BC65" s="51">
        <v>-149</v>
      </c>
      <c r="BD65" s="51">
        <v>21.2</v>
      </c>
      <c r="BE65" s="51">
        <v>27.2</v>
      </c>
      <c r="BF65" s="51">
        <v>15.8</v>
      </c>
      <c r="BG65" s="51">
        <v>78.3</v>
      </c>
      <c r="BH65" s="51">
        <v>60.4</v>
      </c>
      <c r="BI65" s="51">
        <f>-16.8+66.7</f>
        <v>49.900000000000006</v>
      </c>
      <c r="BJ65" s="51">
        <f>-10.2+122.1</f>
        <v>111.89999999999999</v>
      </c>
      <c r="BK65" s="51">
        <v>67.5</v>
      </c>
      <c r="BL65" s="51">
        <v>38</v>
      </c>
      <c r="BM65" s="51">
        <f>-37.3+21.9</f>
        <v>-15.399999999999999</v>
      </c>
      <c r="BN65" s="51">
        <f>-35.7+20.4</f>
        <v>-15.300000000000004</v>
      </c>
      <c r="BO65" s="51">
        <v>55.9</v>
      </c>
      <c r="BP65" s="51">
        <v>91.5</v>
      </c>
      <c r="BQ65" s="51">
        <v>90.1</v>
      </c>
      <c r="BR65" s="51">
        <v>82.7</v>
      </c>
      <c r="BS65" s="51">
        <v>78.2</v>
      </c>
      <c r="BT65" s="51">
        <v>81.2</v>
      </c>
      <c r="BU65" s="51">
        <v>83.8</v>
      </c>
      <c r="BV65" s="51">
        <v>83.4</v>
      </c>
      <c r="BW65" s="51">
        <v>-34.6</v>
      </c>
      <c r="BX65" s="51">
        <v>81.5</v>
      </c>
      <c r="BY65" s="51">
        <v>77.599999999999994</v>
      </c>
      <c r="BZ65" s="51">
        <v>77.3</v>
      </c>
      <c r="CA65" s="51">
        <v>-37.700000000000003</v>
      </c>
      <c r="CB65" s="51">
        <f>-71-48.2</f>
        <v>-119.2</v>
      </c>
      <c r="CC65" s="51">
        <v>0</v>
      </c>
      <c r="CD65" s="51">
        <v>0</v>
      </c>
      <c r="CE65" s="51">
        <f>-68.6+104.3</f>
        <v>35.700000000000003</v>
      </c>
      <c r="CF65" s="51">
        <v>0</v>
      </c>
      <c r="CG65" s="51">
        <v>0</v>
      </c>
      <c r="CH65" s="51">
        <v>0</v>
      </c>
      <c r="CI65" s="51"/>
      <c r="CJ65" s="51"/>
      <c r="CL65" s="51">
        <v>134</v>
      </c>
      <c r="CM65" s="51">
        <v>214</v>
      </c>
      <c r="CN65" s="51">
        <v>85</v>
      </c>
      <c r="CO65" s="51">
        <v>279</v>
      </c>
      <c r="CP65" s="51">
        <v>313</v>
      </c>
      <c r="CQ65" s="51">
        <v>201</v>
      </c>
      <c r="CR65" s="51">
        <v>100</v>
      </c>
      <c r="CS65" s="51">
        <f>SUM(W65:Z65)</f>
        <v>6.8999999999999915</v>
      </c>
      <c r="CT65" s="51">
        <f>SUM(AA65:AD65)</f>
        <v>-229.5</v>
      </c>
      <c r="CU65" s="51">
        <f>SUM(AE65:AH65)</f>
        <v>-45.099999999999994</v>
      </c>
      <c r="CV65" s="51">
        <f t="shared" ref="CV65" si="153">SUM(AI65:AL65)</f>
        <v>-179</v>
      </c>
      <c r="CW65" s="51">
        <f>SUM(AM65:AP65)</f>
        <v>-113.8</v>
      </c>
      <c r="CX65" s="51"/>
      <c r="CY65" s="51"/>
      <c r="CZ65" s="51"/>
      <c r="DA65" s="51"/>
      <c r="DB65" s="51"/>
      <c r="DC65" s="53"/>
      <c r="DD65" s="53"/>
      <c r="DI65" s="49">
        <f>+DH84*$DQ$82</f>
        <v>-20.852836779999979</v>
      </c>
      <c r="DJ65" s="49">
        <f t="shared" ref="DJ65:DO65" si="154">+DI84*$DQ$82</f>
        <v>103.20297386976002</v>
      </c>
      <c r="DK65" s="49">
        <f t="shared" si="154"/>
        <v>238.45304999207809</v>
      </c>
      <c r="DL65" s="49">
        <f t="shared" si="154"/>
        <v>386.34909658631238</v>
      </c>
      <c r="DM65" s="49">
        <f t="shared" si="154"/>
        <v>542.01130457335432</v>
      </c>
      <c r="DN65" s="49">
        <f t="shared" si="154"/>
        <v>714.8979065253933</v>
      </c>
      <c r="DO65" s="49">
        <f t="shared" si="154"/>
        <v>900.80101206583095</v>
      </c>
    </row>
    <row r="66" spans="2:197" x14ac:dyDescent="0.2">
      <c r="B66" t="s">
        <v>81</v>
      </c>
      <c r="C66" s="51"/>
      <c r="D66" s="51"/>
      <c r="E66" s="51"/>
      <c r="F66" s="51"/>
      <c r="G66" s="51"/>
      <c r="H66" s="51"/>
      <c r="I66" s="51"/>
      <c r="J66" s="51">
        <f t="shared" ref="J66:S66" si="155">J64+J65</f>
        <v>720.20000000000039</v>
      </c>
      <c r="K66" s="51">
        <f t="shared" si="155"/>
        <v>657.43663366336614</v>
      </c>
      <c r="L66" s="51">
        <f t="shared" si="155"/>
        <v>431.20000000000027</v>
      </c>
      <c r="M66" s="51">
        <f t="shared" si="155"/>
        <v>581.5333333333333</v>
      </c>
      <c r="N66" s="51">
        <f t="shared" si="155"/>
        <v>642.30000000000041</v>
      </c>
      <c r="O66" s="51">
        <f t="shared" si="155"/>
        <v>569.20000000000027</v>
      </c>
      <c r="P66" s="51">
        <f t="shared" si="155"/>
        <v>596</v>
      </c>
      <c r="Q66" s="51">
        <f t="shared" si="155"/>
        <v>697.60000000000014</v>
      </c>
      <c r="R66" s="51">
        <f t="shared" si="155"/>
        <v>2340.7000000000007</v>
      </c>
      <c r="S66" s="51">
        <f t="shared" si="155"/>
        <v>1180.8</v>
      </c>
      <c r="T66" s="51">
        <f t="shared" ref="T66:AA66" si="156">T64+T65</f>
        <v>817.6</v>
      </c>
      <c r="U66" s="51">
        <f t="shared" si="156"/>
        <v>2572.1999999999989</v>
      </c>
      <c r="V66" s="51">
        <f t="shared" si="156"/>
        <v>2715.6000000000004</v>
      </c>
      <c r="W66" s="51">
        <f t="shared" si="156"/>
        <v>2723.2000000000012</v>
      </c>
      <c r="X66" s="51">
        <f t="shared" si="156"/>
        <v>2883.2999999999988</v>
      </c>
      <c r="Y66" s="51">
        <f t="shared" si="156"/>
        <v>3042.0000000000009</v>
      </c>
      <c r="Z66" s="51">
        <f t="shared" si="156"/>
        <v>1507.9999999999998</v>
      </c>
      <c r="AA66" s="51">
        <f t="shared" si="156"/>
        <v>1528.2</v>
      </c>
      <c r="AB66" s="51">
        <f t="shared" ref="AB66:AG66" si="157">AB64+AB65</f>
        <v>1393.4</v>
      </c>
      <c r="AC66" s="51">
        <f t="shared" si="157"/>
        <v>1619.3000000000006</v>
      </c>
      <c r="AD66" s="51">
        <f t="shared" si="157"/>
        <v>1264.8999999999999</v>
      </c>
      <c r="AE66" s="51">
        <f t="shared" si="157"/>
        <v>1784</v>
      </c>
      <c r="AF66" s="51">
        <f t="shared" si="157"/>
        <v>1745.3999999999999</v>
      </c>
      <c r="AG66" s="51">
        <f t="shared" si="157"/>
        <v>1709.1</v>
      </c>
      <c r="AH66" s="51">
        <f>AH64+AH65</f>
        <v>1488.8000000000006</v>
      </c>
      <c r="AI66" s="51">
        <f>AI64+AI65</f>
        <v>1738.2000000000005</v>
      </c>
      <c r="AJ66" s="51">
        <f>AJ64+AJ65</f>
        <v>1663.5999999999985</v>
      </c>
      <c r="AK66" s="51">
        <f>AK64+AK65</f>
        <v>1527.9</v>
      </c>
      <c r="AL66" s="51">
        <f>AL64+AL65</f>
        <v>1210.1000000000006</v>
      </c>
      <c r="AM66" s="51">
        <f>+AM64+AM65</f>
        <v>1359.5</v>
      </c>
      <c r="AN66" s="51">
        <f>+AN64+AN65</f>
        <v>1185.4999999999991</v>
      </c>
      <c r="AO66" s="51">
        <f>+AO64+AO65</f>
        <v>1139.3999999999999</v>
      </c>
      <c r="AP66" s="51">
        <f>+AP64+AP65</f>
        <v>1216.4000000000001</v>
      </c>
      <c r="AQ66" s="51">
        <f t="shared" ref="AQ66:AS66" si="158">+AQ64+AQ65</f>
        <v>1477.3999999999999</v>
      </c>
      <c r="AR66" s="51">
        <f t="shared" si="158"/>
        <v>1578.4</v>
      </c>
      <c r="AS66" s="51">
        <f t="shared" si="158"/>
        <v>1513.3999999999999</v>
      </c>
      <c r="AT66" s="51">
        <f>+AT64+AT65</f>
        <v>1002.4000000000002</v>
      </c>
      <c r="AU66" s="51">
        <f t="shared" ref="AU66:AV66" si="159">AU64-AU65</f>
        <v>810.20000000000073</v>
      </c>
      <c r="AV66" s="51">
        <f t="shared" ref="AV66:AW66" si="160">AV64-AV65</f>
        <v>832.80000000000041</v>
      </c>
      <c r="AW66" s="51">
        <f t="shared" si="160"/>
        <v>599.80000000000018</v>
      </c>
      <c r="AX66" s="51">
        <f t="shared" ref="AX66:AY66" si="161">AX64-AX65</f>
        <v>745.39999999999986</v>
      </c>
      <c r="AY66" s="51">
        <f t="shared" ref="AY66:AZ66" si="162">AY64-AY65</f>
        <v>796.49999999999977</v>
      </c>
      <c r="AZ66" s="51">
        <f t="shared" si="162"/>
        <v>1263.1999999999996</v>
      </c>
      <c r="BA66" s="51">
        <f t="shared" ref="BA66:BC66" si="163">BA64-BA65</f>
        <v>917.19999999999936</v>
      </c>
      <c r="BB66" s="51">
        <f t="shared" si="163"/>
        <v>699.10000000000014</v>
      </c>
      <c r="BC66" s="51">
        <f t="shared" si="163"/>
        <v>996.20000000000027</v>
      </c>
      <c r="BD66" s="51">
        <f t="shared" ref="BD66:BE66" si="164">BD64-BD65</f>
        <v>1126.6999999999996</v>
      </c>
      <c r="BE66" s="51">
        <f t="shared" si="164"/>
        <v>961.7999999999995</v>
      </c>
      <c r="BF66" s="51">
        <f t="shared" ref="BF66:BG66" si="165">BF64-BF65</f>
        <v>1038.0000000000002</v>
      </c>
      <c r="BG66" s="51">
        <f t="shared" si="165"/>
        <v>976.10000000000014</v>
      </c>
      <c r="BH66" s="51">
        <f t="shared" ref="BH66:BJ66" si="166">BH64-BH65</f>
        <v>1189.7000000000003</v>
      </c>
      <c r="BI66" s="51">
        <f t="shared" si="166"/>
        <v>1103.2999999999997</v>
      </c>
      <c r="BJ66" s="51">
        <f t="shared" si="166"/>
        <v>1113.4999999999991</v>
      </c>
      <c r="BK66" s="51">
        <f t="shared" ref="BK66:BL66" si="167">BK64-BK65</f>
        <v>1384.2999999999997</v>
      </c>
      <c r="BL66" s="51">
        <f t="shared" si="167"/>
        <v>1627.6999999999998</v>
      </c>
      <c r="BM66" s="51">
        <f t="shared" ref="BM66:BN66" si="168">BM64-BM65</f>
        <v>1555.1</v>
      </c>
      <c r="BN66" s="51">
        <f t="shared" si="168"/>
        <v>1544.9000000000003</v>
      </c>
      <c r="BO66" s="51">
        <f t="shared" ref="BO66:CH66" si="169">BO64-BO65</f>
        <v>2157.7999999999993</v>
      </c>
      <c r="BP66" s="51">
        <f t="shared" si="169"/>
        <v>2511.9000000000005</v>
      </c>
      <c r="BQ66" s="51">
        <f t="shared" si="169"/>
        <v>2486.6</v>
      </c>
      <c r="BR66" s="51">
        <f t="shared" si="169"/>
        <v>2730.8</v>
      </c>
      <c r="BS66" s="51">
        <f t="shared" si="169"/>
        <v>1683.3999999999976</v>
      </c>
      <c r="BT66" s="51">
        <f t="shared" si="169"/>
        <v>1460.1999999999987</v>
      </c>
      <c r="BU66" s="51">
        <f t="shared" si="169"/>
        <v>1422.399999999999</v>
      </c>
      <c r="BV66" s="51">
        <f t="shared" si="169"/>
        <v>2244.9999999999991</v>
      </c>
      <c r="BW66" s="51">
        <f t="shared" si="169"/>
        <v>1920.7000000000007</v>
      </c>
      <c r="BX66" s="51">
        <f t="shared" si="169"/>
        <v>1901.9999999999973</v>
      </c>
      <c r="BY66" s="51">
        <f t="shared" si="169"/>
        <v>1986.7999999999979</v>
      </c>
      <c r="BZ66" s="51">
        <f t="shared" si="169"/>
        <v>2320.9999999999995</v>
      </c>
      <c r="CA66" s="51">
        <f t="shared" si="169"/>
        <v>2812.2999999999993</v>
      </c>
      <c r="CB66" s="51">
        <f t="shared" si="169"/>
        <v>1890.9000000000017</v>
      </c>
      <c r="CC66" s="51">
        <f t="shared" si="169"/>
        <v>2197.1430000000009</v>
      </c>
      <c r="CD66" s="51">
        <f t="shared" si="169"/>
        <v>2217.4960000000015</v>
      </c>
      <c r="CE66" s="51">
        <f t="shared" si="169"/>
        <v>1689.0999999999983</v>
      </c>
      <c r="CF66" s="51">
        <f t="shared" si="169"/>
        <v>1154.569019999999</v>
      </c>
      <c r="CG66" s="51">
        <f t="shared" si="169"/>
        <v>1464.2165500000001</v>
      </c>
      <c r="CH66" s="51">
        <f t="shared" si="169"/>
        <v>1705.0380099999998</v>
      </c>
      <c r="CI66" s="51"/>
      <c r="CJ66" s="51"/>
      <c r="CL66" s="51">
        <f t="shared" ref="CL66:CQ66" si="170">CL64+CL65</f>
        <v>3951</v>
      </c>
      <c r="CM66" s="51">
        <f t="shared" si="170"/>
        <v>3541</v>
      </c>
      <c r="CN66" s="51">
        <f t="shared" si="170"/>
        <v>3590</v>
      </c>
      <c r="CO66" s="51">
        <f t="shared" si="170"/>
        <v>3939</v>
      </c>
      <c r="CP66" s="51">
        <f t="shared" si="170"/>
        <v>3966</v>
      </c>
      <c r="CQ66" s="51">
        <f t="shared" si="170"/>
        <v>4601.4999999999982</v>
      </c>
      <c r="CR66" s="51">
        <f t="shared" ref="CR66" si="171">CR64+CR65</f>
        <v>6436.8340000000007</v>
      </c>
      <c r="CS66" s="51">
        <f t="shared" ref="CS66:DB66" si="172">CS64+CS65</f>
        <v>10156.499999999998</v>
      </c>
      <c r="CT66" s="51">
        <f t="shared" si="172"/>
        <v>5805.7999999999993</v>
      </c>
      <c r="CU66" s="51">
        <f t="shared" si="172"/>
        <v>5544.899999999996</v>
      </c>
      <c r="CV66" s="51">
        <f t="shared" si="172"/>
        <v>5729.7000000000016</v>
      </c>
      <c r="CW66" s="51">
        <f t="shared" si="172"/>
        <v>4299.5999999999995</v>
      </c>
      <c r="CX66" s="51">
        <f t="shared" si="172"/>
        <v>-7137.8249999999998</v>
      </c>
      <c r="CY66" s="51">
        <f t="shared" si="172"/>
        <v>-5710.26</v>
      </c>
      <c r="CZ66" s="51">
        <f t="shared" si="172"/>
        <v>0</v>
      </c>
      <c r="DA66" s="51">
        <f t="shared" si="172"/>
        <v>0</v>
      </c>
      <c r="DB66" s="51">
        <f t="shared" si="172"/>
        <v>4447.8000000000029</v>
      </c>
      <c r="DC66" s="51">
        <f t="shared" ref="DC66:DO66" si="173">DC64+DC65</f>
        <v>5784.8999999999978</v>
      </c>
      <c r="DD66" s="51">
        <f t="shared" si="173"/>
        <v>5789.4000000000015</v>
      </c>
      <c r="DE66" s="51">
        <f t="shared" si="173"/>
        <v>7137.6</v>
      </c>
      <c r="DF66" s="51">
        <f t="shared" si="173"/>
        <v>8332.2999999999993</v>
      </c>
      <c r="DG66" s="51">
        <f t="shared" si="173"/>
        <v>8960.9390000000058</v>
      </c>
      <c r="DH66" s="51">
        <f t="shared" si="173"/>
        <v>6048.6235799999995</v>
      </c>
      <c r="DI66" s="51">
        <f t="shared" si="173"/>
        <v>15506.976331219999</v>
      </c>
      <c r="DJ66" s="51">
        <f t="shared" si="173"/>
        <v>16906.259515289763</v>
      </c>
      <c r="DK66" s="51">
        <f t="shared" si="173"/>
        <v>18487.00582427928</v>
      </c>
      <c r="DL66" s="51">
        <f t="shared" si="173"/>
        <v>19457.775998380235</v>
      </c>
      <c r="DM66" s="51">
        <f t="shared" si="173"/>
        <v>21610.825244004878</v>
      </c>
      <c r="DN66" s="51">
        <f t="shared" si="173"/>
        <v>23237.888192554699</v>
      </c>
      <c r="DO66" s="51">
        <f t="shared" si="173"/>
        <v>18553.435694751301</v>
      </c>
    </row>
    <row r="67" spans="2:197" x14ac:dyDescent="0.2">
      <c r="B67" t="s">
        <v>82</v>
      </c>
      <c r="C67" s="51"/>
      <c r="D67" s="51"/>
      <c r="E67" s="51"/>
      <c r="F67" s="51"/>
      <c r="G67" s="51"/>
      <c r="H67" s="51"/>
      <c r="I67" s="51"/>
      <c r="J67" s="51">
        <v>230</v>
      </c>
      <c r="K67" s="51">
        <v>208</v>
      </c>
      <c r="L67" s="51">
        <v>205.3</v>
      </c>
      <c r="M67" s="51">
        <v>224.1</v>
      </c>
      <c r="N67" s="51">
        <v>195</v>
      </c>
      <c r="O67" s="51">
        <v>222</v>
      </c>
      <c r="P67" s="51">
        <v>219</v>
      </c>
      <c r="Q67" s="51">
        <v>220.6</v>
      </c>
      <c r="R67" s="51">
        <v>226.6</v>
      </c>
      <c r="S67" s="51">
        <v>257.60000000000002</v>
      </c>
      <c r="T67" s="51">
        <v>263.10000000000002</v>
      </c>
      <c r="U67" s="51">
        <v>263.3</v>
      </c>
      <c r="V67" s="51">
        <v>197.9</v>
      </c>
      <c r="W67" s="51">
        <v>-8</v>
      </c>
      <c r="X67" s="51">
        <v>247.5</v>
      </c>
      <c r="Y67" s="51">
        <v>320</v>
      </c>
      <c r="Z67" s="51">
        <v>295.89999999999998</v>
      </c>
      <c r="AA67" s="51">
        <v>370.3</v>
      </c>
      <c r="AB67" s="51">
        <v>346</v>
      </c>
      <c r="AC67" s="51">
        <v>127.7</v>
      </c>
      <c r="AD67" s="51">
        <v>265.7</v>
      </c>
      <c r="AE67" s="51">
        <v>486.4</v>
      </c>
      <c r="AF67" s="51">
        <v>387.6</v>
      </c>
      <c r="AG67" s="51">
        <v>368.4</v>
      </c>
      <c r="AH67" s="51">
        <v>240</v>
      </c>
      <c r="AI67" s="51">
        <v>363.3</v>
      </c>
      <c r="AJ67" s="51">
        <v>334</v>
      </c>
      <c r="AK67" s="51">
        <v>273.89999999999998</v>
      </c>
      <c r="AL67" s="51">
        <v>240.5</v>
      </c>
      <c r="AM67" s="51">
        <v>332.2</v>
      </c>
      <c r="AN67" s="51">
        <v>262.10000000000002</v>
      </c>
      <c r="AO67" s="51">
        <v>251.9</v>
      </c>
      <c r="AP67" s="51">
        <v>185.2</v>
      </c>
      <c r="AQ67" s="51">
        <v>403.1</v>
      </c>
      <c r="AR67" s="51">
        <v>308.7</v>
      </c>
      <c r="AS67" s="51">
        <v>310.3</v>
      </c>
      <c r="AT67" s="51">
        <v>182.4</v>
      </c>
      <c r="AU67" s="51">
        <v>162.9</v>
      </c>
      <c r="AV67" s="51">
        <v>206.9</v>
      </c>
      <c r="AW67" s="51">
        <v>154.9</v>
      </c>
      <c r="AX67" s="51">
        <v>85.1</v>
      </c>
      <c r="AY67" s="51">
        <v>88.4</v>
      </c>
      <c r="AZ67" s="51">
        <v>78.900000000000006</v>
      </c>
      <c r="BA67" s="51">
        <v>248.1</v>
      </c>
      <c r="BB67" s="51">
        <v>0</v>
      </c>
      <c r="BC67" s="51">
        <v>126.7</v>
      </c>
      <c r="BD67" s="51">
        <v>196.8</v>
      </c>
      <c r="BE67" s="51">
        <v>192.7</v>
      </c>
      <c r="BF67" s="51">
        <v>120.2</v>
      </c>
      <c r="BG67" s="51">
        <v>172</v>
      </c>
      <c r="BH67" s="51">
        <v>252.5</v>
      </c>
      <c r="BI67" s="51">
        <v>36</v>
      </c>
      <c r="BJ67" s="51">
        <v>0</v>
      </c>
      <c r="BK67" s="51">
        <v>223.6</v>
      </c>
      <c r="BL67" s="51">
        <v>264.7</v>
      </c>
      <c r="BM67" s="51">
        <v>261.5</v>
      </c>
      <c r="BN67" s="51">
        <v>0</v>
      </c>
      <c r="BO67" s="51">
        <v>183.4</v>
      </c>
      <c r="BP67" s="51">
        <v>154.5</v>
      </c>
      <c r="BQ67" s="51">
        <v>180.1</v>
      </c>
      <c r="BR67" s="51">
        <v>167.4</v>
      </c>
      <c r="BS67" s="51">
        <v>251.9</v>
      </c>
      <c r="BT67" s="51">
        <v>231.7</v>
      </c>
      <c r="BU67" s="51">
        <v>258.2</v>
      </c>
      <c r="BV67" s="51">
        <v>352.3</v>
      </c>
      <c r="BW67" s="51">
        <v>143.19999999999999</v>
      </c>
      <c r="BX67" s="51">
        <v>203.7</v>
      </c>
      <c r="BY67" s="51">
        <v>293.2</v>
      </c>
      <c r="BZ67" s="51">
        <v>113.8</v>
      </c>
      <c r="CA67" s="51">
        <v>273.8</v>
      </c>
      <c r="CB67" s="51">
        <v>187.2</v>
      </c>
      <c r="CC67" s="51">
        <f t="shared" ref="CC67:CH67" si="174">+CC66*0.1</f>
        <v>219.71430000000009</v>
      </c>
      <c r="CD67" s="51">
        <f t="shared" si="174"/>
        <v>221.74960000000016</v>
      </c>
      <c r="CE67" s="51">
        <v>184.8</v>
      </c>
      <c r="CF67" s="51">
        <f t="shared" si="174"/>
        <v>115.4569019999999</v>
      </c>
      <c r="CG67" s="51">
        <f t="shared" si="174"/>
        <v>146.42165500000002</v>
      </c>
      <c r="CH67" s="51">
        <f t="shared" si="174"/>
        <v>170.50380099999998</v>
      </c>
      <c r="CI67" s="51"/>
      <c r="CJ67" s="51"/>
      <c r="CL67" s="51">
        <v>850</v>
      </c>
      <c r="CM67" s="51">
        <v>779</v>
      </c>
      <c r="CN67" s="51">
        <v>788</v>
      </c>
      <c r="CO67" s="51">
        <v>866</v>
      </c>
      <c r="CP67" s="51">
        <v>832</v>
      </c>
      <c r="CQ67" s="51">
        <v>912</v>
      </c>
      <c r="CR67" s="51">
        <f>CR66*0.22</f>
        <v>1416.1034800000002</v>
      </c>
      <c r="CS67" s="51">
        <f>SUM(W67:Z67)</f>
        <v>855.4</v>
      </c>
      <c r="CT67" s="51">
        <f>SUM(AA67:AD67)</f>
        <v>1109.7</v>
      </c>
      <c r="CU67" s="51">
        <f>SUM(AE67:AH67)</f>
        <v>1482.4</v>
      </c>
      <c r="CV67" s="51">
        <f>SUM(AI67:AL67)</f>
        <v>1211.6999999999998</v>
      </c>
      <c r="CW67" s="51">
        <f>SUM(AM67:AP67)</f>
        <v>1031.3999999999999</v>
      </c>
      <c r="CX67" s="51">
        <f t="shared" ref="CX67:CZ67" si="175">CX66*0.28</f>
        <v>-1998.5910000000001</v>
      </c>
      <c r="CY67" s="51">
        <f t="shared" si="175"/>
        <v>-1598.8728000000003</v>
      </c>
      <c r="CZ67" s="51">
        <f t="shared" si="175"/>
        <v>0</v>
      </c>
      <c r="DA67" s="51"/>
      <c r="DB67" s="51"/>
      <c r="DC67" s="51"/>
      <c r="DD67" s="51"/>
      <c r="DE67" s="51"/>
      <c r="DF67" s="51"/>
      <c r="DG67" s="49">
        <f t="shared" ref="DG67" si="176">SUM(CA67:CD67)</f>
        <v>902.46390000000019</v>
      </c>
      <c r="DH67" s="49">
        <f t="shared" ref="DH67" si="177">SUM(CE67:CH67)</f>
        <v>617.18235799999991</v>
      </c>
      <c r="DI67" s="51">
        <f>DI66*0.2</f>
        <v>3101.3952662440001</v>
      </c>
      <c r="DJ67" s="51">
        <f t="shared" ref="DJ67:DO67" si="178">DJ66*0.2</f>
        <v>3381.2519030579529</v>
      </c>
      <c r="DK67" s="51">
        <f t="shared" si="178"/>
        <v>3697.4011648558562</v>
      </c>
      <c r="DL67" s="51">
        <f t="shared" si="178"/>
        <v>3891.5551996760473</v>
      </c>
      <c r="DM67" s="51">
        <f t="shared" si="178"/>
        <v>4322.1650488009755</v>
      </c>
      <c r="DN67" s="51">
        <f t="shared" si="178"/>
        <v>4647.5776385109402</v>
      </c>
      <c r="DO67" s="51">
        <f t="shared" si="178"/>
        <v>3710.6871389502603</v>
      </c>
    </row>
    <row r="68" spans="2:197" x14ac:dyDescent="0.2">
      <c r="B68" t="s">
        <v>83</v>
      </c>
      <c r="C68" s="51"/>
      <c r="D68" s="51"/>
      <c r="E68" s="51"/>
      <c r="F68" s="51"/>
      <c r="G68" s="51"/>
      <c r="H68" s="51"/>
      <c r="I68" s="51"/>
      <c r="J68" s="51">
        <f t="shared" ref="J68:T68" si="179">J66-J67</f>
        <v>490.20000000000039</v>
      </c>
      <c r="K68" s="51">
        <f t="shared" si="179"/>
        <v>449.43663366336614</v>
      </c>
      <c r="L68" s="51">
        <f t="shared" si="179"/>
        <v>225.90000000000026</v>
      </c>
      <c r="M68" s="51">
        <f t="shared" si="179"/>
        <v>357.43333333333328</v>
      </c>
      <c r="N68" s="51">
        <f t="shared" si="179"/>
        <v>447.30000000000041</v>
      </c>
      <c r="O68" s="51">
        <f t="shared" si="179"/>
        <v>347.20000000000027</v>
      </c>
      <c r="P68" s="51">
        <f t="shared" si="179"/>
        <v>377</v>
      </c>
      <c r="Q68" s="51">
        <f t="shared" si="179"/>
        <v>477.00000000000011</v>
      </c>
      <c r="R68" s="51">
        <f t="shared" si="179"/>
        <v>2114.1000000000008</v>
      </c>
      <c r="S68" s="51">
        <f t="shared" si="179"/>
        <v>923.19999999999993</v>
      </c>
      <c r="T68" s="51">
        <f t="shared" si="179"/>
        <v>554.5</v>
      </c>
      <c r="U68" s="51">
        <f t="shared" ref="U68:Z68" si="180">U66-U67</f>
        <v>2308.8999999999987</v>
      </c>
      <c r="V68" s="51">
        <f t="shared" si="180"/>
        <v>2517.7000000000003</v>
      </c>
      <c r="W68" s="51">
        <f t="shared" si="180"/>
        <v>2731.2000000000012</v>
      </c>
      <c r="X68" s="51">
        <f t="shared" si="180"/>
        <v>2635.7999999999988</v>
      </c>
      <c r="Y68" s="51">
        <f t="shared" si="180"/>
        <v>2722.0000000000009</v>
      </c>
      <c r="Z68" s="51">
        <f t="shared" si="180"/>
        <v>1212.0999999999999</v>
      </c>
      <c r="AA68" s="51">
        <f t="shared" ref="AA68:AF68" si="181">AA66-AA67</f>
        <v>1157.9000000000001</v>
      </c>
      <c r="AB68" s="51">
        <f t="shared" si="181"/>
        <v>1047.4000000000001</v>
      </c>
      <c r="AC68" s="51">
        <f t="shared" si="181"/>
        <v>1491.6000000000006</v>
      </c>
      <c r="AD68" s="51">
        <f t="shared" si="181"/>
        <v>999.19999999999982</v>
      </c>
      <c r="AE68" s="51">
        <f t="shared" si="181"/>
        <v>1297.5999999999999</v>
      </c>
      <c r="AF68" s="51">
        <f t="shared" si="181"/>
        <v>1357.7999999999997</v>
      </c>
      <c r="AG68" s="51">
        <f t="shared" ref="AG68:AM68" si="182">AG66-AG67</f>
        <v>1340.6999999999998</v>
      </c>
      <c r="AH68" s="51">
        <f t="shared" si="182"/>
        <v>1248.8000000000006</v>
      </c>
      <c r="AI68" s="51">
        <f>AI66-AI67</f>
        <v>1374.9000000000005</v>
      </c>
      <c r="AJ68" s="51">
        <f>AJ66-AJ67</f>
        <v>1329.5999999999985</v>
      </c>
      <c r="AK68" s="51">
        <f>AK66-AK67</f>
        <v>1254</v>
      </c>
      <c r="AL68" s="51">
        <f t="shared" si="182"/>
        <v>969.60000000000059</v>
      </c>
      <c r="AM68" s="51">
        <f t="shared" si="182"/>
        <v>1027.3</v>
      </c>
      <c r="AN68" s="51">
        <f t="shared" ref="AN68:AP68" si="183">AN66-AN67</f>
        <v>923.39999999999907</v>
      </c>
      <c r="AO68" s="51">
        <f t="shared" si="183"/>
        <v>887.49999999999989</v>
      </c>
      <c r="AP68" s="51">
        <f t="shared" si="183"/>
        <v>1031.2</v>
      </c>
      <c r="AQ68" s="51">
        <f t="shared" ref="AQ68:AU68" si="184">AQ66-AQ67</f>
        <v>1074.2999999999997</v>
      </c>
      <c r="AR68" s="51">
        <f t="shared" si="184"/>
        <v>1269.7</v>
      </c>
      <c r="AS68" s="51">
        <f t="shared" si="184"/>
        <v>1203.0999999999999</v>
      </c>
      <c r="AT68" s="51">
        <f>AT66-AT67</f>
        <v>820.00000000000023</v>
      </c>
      <c r="AU68" s="51">
        <f t="shared" si="184"/>
        <v>647.30000000000075</v>
      </c>
      <c r="AV68" s="51">
        <f t="shared" ref="AV68:AW68" si="185">AV66-AV67</f>
        <v>625.90000000000043</v>
      </c>
      <c r="AW68" s="51">
        <f t="shared" si="185"/>
        <v>444.9000000000002</v>
      </c>
      <c r="AX68" s="51">
        <f t="shared" ref="AX68:AY68" si="186">AX66-AX67</f>
        <v>660.29999999999984</v>
      </c>
      <c r="AY68" s="51">
        <f t="shared" ref="AY68:AZ68" si="187">AY66-AY67</f>
        <v>708.0999999999998</v>
      </c>
      <c r="AZ68" s="51">
        <f t="shared" si="187"/>
        <v>1184.2999999999995</v>
      </c>
      <c r="BA68" s="51">
        <f t="shared" ref="BA68:BB68" si="188">BA66-BA67</f>
        <v>669.09999999999934</v>
      </c>
      <c r="BB68" s="51">
        <f t="shared" si="188"/>
        <v>699.10000000000014</v>
      </c>
      <c r="BC68" s="51">
        <f t="shared" ref="BC68:BD68" si="189">BC66-BC67</f>
        <v>869.50000000000023</v>
      </c>
      <c r="BD68" s="51">
        <f t="shared" si="189"/>
        <v>929.89999999999964</v>
      </c>
      <c r="BE68" s="51">
        <f t="shared" ref="BE68:BF68" si="190">BE66-BE67</f>
        <v>769.09999999999945</v>
      </c>
      <c r="BF68" s="51">
        <f t="shared" si="190"/>
        <v>917.80000000000018</v>
      </c>
      <c r="BG68" s="51">
        <f t="shared" ref="BG68:BH68" si="191">BG66-BG67</f>
        <v>804.10000000000014</v>
      </c>
      <c r="BH68" s="51">
        <f t="shared" si="191"/>
        <v>937.20000000000027</v>
      </c>
      <c r="BI68" s="51">
        <f t="shared" ref="BI68:BJ68" si="192">BI66-BI67</f>
        <v>1067.2999999999997</v>
      </c>
      <c r="BJ68" s="51">
        <f t="shared" si="192"/>
        <v>1113.4999999999991</v>
      </c>
      <c r="BK68" s="51">
        <f t="shared" ref="BK68:BL68" si="193">BK66-BK67</f>
        <v>1160.6999999999998</v>
      </c>
      <c r="BL68" s="51">
        <f t="shared" si="193"/>
        <v>1362.9999999999998</v>
      </c>
      <c r="BM68" s="51">
        <f t="shared" ref="BM68:BN68" si="194">BM66-BM67</f>
        <v>1293.5999999999999</v>
      </c>
      <c r="BN68" s="51">
        <f t="shared" si="194"/>
        <v>1544.9000000000003</v>
      </c>
      <c r="BO68" s="51">
        <f t="shared" ref="BO68:CA68" si="195">BO66-BO67</f>
        <v>1974.3999999999992</v>
      </c>
      <c r="BP68" s="51">
        <f t="shared" si="195"/>
        <v>2357.4000000000005</v>
      </c>
      <c r="BQ68" s="51">
        <f t="shared" si="195"/>
        <v>2306.5</v>
      </c>
      <c r="BR68" s="51">
        <f t="shared" si="195"/>
        <v>2563.4</v>
      </c>
      <c r="BS68" s="51">
        <f t="shared" si="195"/>
        <v>1431.4999999999975</v>
      </c>
      <c r="BT68" s="51">
        <f t="shared" si="195"/>
        <v>1228.4999999999986</v>
      </c>
      <c r="BU68" s="51">
        <f t="shared" si="195"/>
        <v>1164.1999999999989</v>
      </c>
      <c r="BV68" s="51">
        <f t="shared" si="195"/>
        <v>1892.6999999999991</v>
      </c>
      <c r="BW68" s="51">
        <f t="shared" si="195"/>
        <v>1777.5000000000007</v>
      </c>
      <c r="BX68" s="51">
        <f t="shared" si="195"/>
        <v>1698.2999999999972</v>
      </c>
      <c r="BY68" s="51">
        <f t="shared" si="195"/>
        <v>1693.5999999999979</v>
      </c>
      <c r="BZ68" s="51">
        <f t="shared" si="195"/>
        <v>2207.1999999999994</v>
      </c>
      <c r="CA68" s="51">
        <f t="shared" si="195"/>
        <v>2538.4999999999991</v>
      </c>
      <c r="CB68" s="51">
        <f>+CB66-CB67</f>
        <v>1703.7000000000016</v>
      </c>
      <c r="CC68" s="51">
        <f t="shared" ref="CC68:CH68" si="196">+CC66-CC67</f>
        <v>1977.4287000000008</v>
      </c>
      <c r="CD68" s="51">
        <f t="shared" si="196"/>
        <v>1995.7464000000014</v>
      </c>
      <c r="CE68" s="51">
        <f t="shared" si="196"/>
        <v>1504.2999999999984</v>
      </c>
      <c r="CF68" s="51">
        <f t="shared" si="196"/>
        <v>1039.1121179999991</v>
      </c>
      <c r="CG68" s="51">
        <f t="shared" si="196"/>
        <v>1317.794895</v>
      </c>
      <c r="CH68" s="51">
        <f t="shared" si="196"/>
        <v>1534.5342089999997</v>
      </c>
      <c r="CI68" s="51"/>
      <c r="CJ68" s="51"/>
      <c r="CL68" s="51">
        <f t="shared" ref="CL68:CR68" si="197">CL66-CL67</f>
        <v>3101</v>
      </c>
      <c r="CM68" s="51">
        <f t="shared" si="197"/>
        <v>2762</v>
      </c>
      <c r="CN68" s="51">
        <f t="shared" si="197"/>
        <v>2802</v>
      </c>
      <c r="CO68" s="51">
        <f t="shared" si="197"/>
        <v>3073</v>
      </c>
      <c r="CP68" s="51">
        <f t="shared" si="197"/>
        <v>3134</v>
      </c>
      <c r="CQ68" s="51">
        <f t="shared" si="197"/>
        <v>3689.4999999999982</v>
      </c>
      <c r="CR68" s="51">
        <f t="shared" si="197"/>
        <v>5020.730520000001</v>
      </c>
      <c r="CS68" s="51">
        <f>CS66-CS67</f>
        <v>9301.0999999999985</v>
      </c>
      <c r="CT68" s="51">
        <f>CT66-CT67</f>
        <v>4696.0999999999995</v>
      </c>
      <c r="CU68" s="51">
        <f>CU66-CU67</f>
        <v>4062.4999999999959</v>
      </c>
      <c r="CV68" s="51">
        <f>CV66-CV67</f>
        <v>4518.0000000000018</v>
      </c>
      <c r="CW68" s="51">
        <f t="shared" ref="CW68:CZ68" si="198">CW66-CW67</f>
        <v>3268.2</v>
      </c>
      <c r="CX68" s="51">
        <f t="shared" si="198"/>
        <v>-5139.2339999999995</v>
      </c>
      <c r="CY68" s="51">
        <f t="shared" si="198"/>
        <v>-4111.3872000000001</v>
      </c>
      <c r="CZ68" s="51">
        <f t="shared" si="198"/>
        <v>0</v>
      </c>
      <c r="DA68" s="51">
        <f>DA66-DA67</f>
        <v>0</v>
      </c>
      <c r="DB68" s="51">
        <f>DB66-DB67</f>
        <v>4447.8000000000029</v>
      </c>
      <c r="DC68" s="51">
        <f t="shared" ref="DC68:DF68" si="199">DC66-DC67</f>
        <v>5784.8999999999978</v>
      </c>
      <c r="DD68" s="51">
        <f t="shared" si="199"/>
        <v>5789.4000000000015</v>
      </c>
      <c r="DE68" s="51">
        <f t="shared" si="199"/>
        <v>7137.6</v>
      </c>
      <c r="DF68" s="51">
        <f t="shared" si="199"/>
        <v>8332.2999999999993</v>
      </c>
      <c r="DG68" s="51">
        <f>+DG66-DG67</f>
        <v>8058.4751000000051</v>
      </c>
      <c r="DH68" s="51">
        <f t="shared" ref="DH68:DM68" si="200">+DH66-DH67</f>
        <v>5431.4412219999995</v>
      </c>
      <c r="DI68" s="51">
        <f t="shared" si="200"/>
        <v>12405.581064975999</v>
      </c>
      <c r="DJ68" s="51">
        <f t="shared" si="200"/>
        <v>13525.00761223181</v>
      </c>
      <c r="DK68" s="51">
        <f t="shared" si="200"/>
        <v>14789.604659423425</v>
      </c>
      <c r="DL68" s="51">
        <f t="shared" si="200"/>
        <v>15566.220798704187</v>
      </c>
      <c r="DM68" s="51">
        <f t="shared" si="200"/>
        <v>17288.660195203902</v>
      </c>
      <c r="DN68" s="51">
        <f>+DN66-DN67</f>
        <v>18590.310554043761</v>
      </c>
      <c r="DO68" s="51">
        <f>+DO66-DO67</f>
        <v>14842.748555801041</v>
      </c>
      <c r="DP68" s="54">
        <f>+DO68*(1+$DQ$83)</f>
        <v>14694.321070243031</v>
      </c>
      <c r="DQ68" s="54">
        <f t="shared" ref="DQ68:GB68" si="201">+DP68*(1+$DQ$83)</f>
        <v>14547.3778595406</v>
      </c>
      <c r="DR68" s="54">
        <f t="shared" si="201"/>
        <v>14401.904080945194</v>
      </c>
      <c r="DS68" s="54">
        <f t="shared" si="201"/>
        <v>14257.885040135743</v>
      </c>
      <c r="DT68" s="54">
        <f t="shared" si="201"/>
        <v>14115.306189734385</v>
      </c>
      <c r="DU68" s="54">
        <f t="shared" si="201"/>
        <v>13974.15312783704</v>
      </c>
      <c r="DV68" s="54">
        <f t="shared" si="201"/>
        <v>13834.41159655867</v>
      </c>
      <c r="DW68" s="54">
        <f t="shared" si="201"/>
        <v>13696.067480593083</v>
      </c>
      <c r="DX68" s="54">
        <f t="shared" si="201"/>
        <v>13559.106805787153</v>
      </c>
      <c r="DY68" s="54">
        <f t="shared" si="201"/>
        <v>13423.515737729282</v>
      </c>
      <c r="DZ68" s="54">
        <f t="shared" si="201"/>
        <v>13289.28058035199</v>
      </c>
      <c r="EA68" s="54">
        <f t="shared" si="201"/>
        <v>13156.38777454847</v>
      </c>
      <c r="EB68" s="54">
        <f t="shared" si="201"/>
        <v>13024.823896802985</v>
      </c>
      <c r="EC68" s="54">
        <f t="shared" si="201"/>
        <v>12894.575657834956</v>
      </c>
      <c r="ED68" s="54">
        <f t="shared" si="201"/>
        <v>12765.629901256605</v>
      </c>
      <c r="EE68" s="54">
        <f t="shared" si="201"/>
        <v>12637.973602244039</v>
      </c>
      <c r="EF68" s="54">
        <f t="shared" si="201"/>
        <v>12511.593866221599</v>
      </c>
      <c r="EG68" s="54">
        <f t="shared" si="201"/>
        <v>12386.477927559383</v>
      </c>
      <c r="EH68" s="54">
        <f t="shared" si="201"/>
        <v>12262.613148283788</v>
      </c>
      <c r="EI68" s="54">
        <f t="shared" si="201"/>
        <v>12139.987016800951</v>
      </c>
      <c r="EJ68" s="54">
        <f t="shared" si="201"/>
        <v>12018.587146632941</v>
      </c>
      <c r="EK68" s="54">
        <f t="shared" si="201"/>
        <v>11898.401275166611</v>
      </c>
      <c r="EL68" s="54">
        <f t="shared" si="201"/>
        <v>11779.417262414945</v>
      </c>
      <c r="EM68" s="54">
        <f t="shared" si="201"/>
        <v>11661.623089790795</v>
      </c>
      <c r="EN68" s="54">
        <f t="shared" si="201"/>
        <v>11545.006858892888</v>
      </c>
      <c r="EO68" s="54">
        <f t="shared" si="201"/>
        <v>11429.556790303959</v>
      </c>
      <c r="EP68" s="54">
        <f t="shared" si="201"/>
        <v>11315.261222400919</v>
      </c>
      <c r="EQ68" s="54">
        <f t="shared" si="201"/>
        <v>11202.108610176911</v>
      </c>
      <c r="ER68" s="54">
        <f t="shared" si="201"/>
        <v>11090.087524075141</v>
      </c>
      <c r="ES68" s="54">
        <f t="shared" si="201"/>
        <v>10979.186648834389</v>
      </c>
      <c r="ET68" s="54">
        <f t="shared" si="201"/>
        <v>10869.394782346046</v>
      </c>
      <c r="EU68" s="54">
        <f t="shared" si="201"/>
        <v>10760.700834522586</v>
      </c>
      <c r="EV68" s="54">
        <f t="shared" si="201"/>
        <v>10653.093826177359</v>
      </c>
      <c r="EW68" s="54">
        <f t="shared" si="201"/>
        <v>10546.562887915585</v>
      </c>
      <c r="EX68" s="54">
        <f t="shared" si="201"/>
        <v>10441.097259036429</v>
      </c>
      <c r="EY68" s="54">
        <f t="shared" si="201"/>
        <v>10336.686286446065</v>
      </c>
      <c r="EZ68" s="54">
        <f t="shared" si="201"/>
        <v>10233.319423581604</v>
      </c>
      <c r="FA68" s="54">
        <f t="shared" si="201"/>
        <v>10130.986229345788</v>
      </c>
      <c r="FB68" s="54">
        <f t="shared" si="201"/>
        <v>10029.676367052331</v>
      </c>
      <c r="FC68" s="54">
        <f t="shared" si="201"/>
        <v>9929.3796033818071</v>
      </c>
      <c r="FD68" s="54">
        <f t="shared" si="201"/>
        <v>9830.0858073479885</v>
      </c>
      <c r="FE68" s="54">
        <f t="shared" si="201"/>
        <v>9731.7849492745081</v>
      </c>
      <c r="FF68" s="54">
        <f t="shared" si="201"/>
        <v>9634.467099781763</v>
      </c>
      <c r="FG68" s="54">
        <f t="shared" si="201"/>
        <v>9538.122428783945</v>
      </c>
      <c r="FH68" s="54">
        <f t="shared" si="201"/>
        <v>9442.7412044961056</v>
      </c>
      <c r="FI68" s="54">
        <f t="shared" si="201"/>
        <v>9348.3137924511448</v>
      </c>
      <c r="FJ68" s="54">
        <f t="shared" si="201"/>
        <v>9254.8306545266332</v>
      </c>
      <c r="FK68" s="54">
        <f t="shared" si="201"/>
        <v>9162.2823479813669</v>
      </c>
      <c r="FL68" s="54">
        <f t="shared" si="201"/>
        <v>9070.6595245015524</v>
      </c>
      <c r="FM68" s="54">
        <f t="shared" si="201"/>
        <v>8979.9529292565367</v>
      </c>
      <c r="FN68" s="54">
        <f t="shared" si="201"/>
        <v>8890.1533999639705</v>
      </c>
      <c r="FO68" s="54">
        <f t="shared" si="201"/>
        <v>8801.2518659643301</v>
      </c>
      <c r="FP68" s="54">
        <f t="shared" si="201"/>
        <v>8713.2393473046868</v>
      </c>
      <c r="FQ68" s="54">
        <f t="shared" si="201"/>
        <v>8626.1069538316406</v>
      </c>
      <c r="FR68" s="54">
        <f t="shared" si="201"/>
        <v>8539.8458842933233</v>
      </c>
      <c r="FS68" s="54">
        <f t="shared" si="201"/>
        <v>8454.4474254503893</v>
      </c>
      <c r="FT68" s="54">
        <f t="shared" si="201"/>
        <v>8369.9029511958852</v>
      </c>
      <c r="FU68" s="54">
        <f t="shared" si="201"/>
        <v>8286.2039216839257</v>
      </c>
      <c r="FV68" s="54">
        <f t="shared" si="201"/>
        <v>8203.3418824670862</v>
      </c>
      <c r="FW68" s="54">
        <f t="shared" si="201"/>
        <v>8121.3084636424155</v>
      </c>
      <c r="FX68" s="54">
        <f t="shared" si="201"/>
        <v>8040.0953790059912</v>
      </c>
      <c r="FY68" s="54">
        <f t="shared" si="201"/>
        <v>7959.694425215931</v>
      </c>
      <c r="FZ68" s="54">
        <f t="shared" si="201"/>
        <v>7880.0974809637719</v>
      </c>
      <c r="GA68" s="54">
        <f t="shared" si="201"/>
        <v>7801.2965061541345</v>
      </c>
      <c r="GB68" s="54">
        <f t="shared" si="201"/>
        <v>7723.2835410925927</v>
      </c>
      <c r="GC68" s="54">
        <f t="shared" ref="GC68:GO68" si="202">+GB68*(1+$DQ$83)</f>
        <v>7646.0507056816668</v>
      </c>
      <c r="GD68" s="54">
        <f t="shared" si="202"/>
        <v>7569.59019862485</v>
      </c>
      <c r="GE68" s="54">
        <f t="shared" si="202"/>
        <v>7493.8942966386012</v>
      </c>
      <c r="GF68" s="54">
        <f t="shared" si="202"/>
        <v>7418.9553536722151</v>
      </c>
      <c r="GG68" s="54">
        <f t="shared" si="202"/>
        <v>7344.765800135493</v>
      </c>
      <c r="GH68" s="54">
        <f t="shared" si="202"/>
        <v>7271.3181421341378</v>
      </c>
      <c r="GI68" s="54">
        <f t="shared" si="202"/>
        <v>7198.6049607127961</v>
      </c>
      <c r="GJ68" s="54">
        <f t="shared" si="202"/>
        <v>7126.6189111056683</v>
      </c>
      <c r="GK68" s="54">
        <f t="shared" si="202"/>
        <v>7055.3527219946118</v>
      </c>
      <c r="GL68" s="54">
        <f t="shared" si="202"/>
        <v>6984.7991947746659</v>
      </c>
      <c r="GM68" s="54">
        <f t="shared" si="202"/>
        <v>6914.9512028269191</v>
      </c>
      <c r="GN68" s="54">
        <f t="shared" si="202"/>
        <v>6845.8016907986503</v>
      </c>
      <c r="GO68" s="54">
        <f t="shared" si="202"/>
        <v>6777.3436738906639</v>
      </c>
    </row>
    <row r="69" spans="2:197" s="58" customFormat="1" x14ac:dyDescent="0.2">
      <c r="B69" s="58" t="s">
        <v>56</v>
      </c>
      <c r="C69" s="59"/>
      <c r="D69" s="59"/>
      <c r="E69" s="59"/>
      <c r="F69" s="59"/>
      <c r="G69" s="59"/>
      <c r="H69" s="59"/>
      <c r="I69" s="59"/>
      <c r="J69" s="59">
        <f t="shared" ref="J69:S69" si="203">J68/J70</f>
        <v>0.4500550863018733</v>
      </c>
      <c r="K69" s="59">
        <f t="shared" si="203"/>
        <v>0.41270581603614886</v>
      </c>
      <c r="L69" s="59">
        <f t="shared" si="203"/>
        <v>0.20724770642201859</v>
      </c>
      <c r="M69" s="59">
        <f t="shared" si="203"/>
        <v>0.32761992056217532</v>
      </c>
      <c r="N69" s="59">
        <f t="shared" si="203"/>
        <v>0.40905349794238721</v>
      </c>
      <c r="O69" s="59">
        <f t="shared" si="203"/>
        <v>0.31941122355105822</v>
      </c>
      <c r="P69" s="59">
        <f t="shared" si="203"/>
        <v>0.34736939095181057</v>
      </c>
      <c r="Q69" s="59">
        <f t="shared" si="203"/>
        <v>0.43905995147329013</v>
      </c>
      <c r="R69" s="59">
        <f t="shared" si="203"/>
        <v>1.9411494109340131</v>
      </c>
      <c r="S69" s="59">
        <f t="shared" si="203"/>
        <v>0.84706650921799576</v>
      </c>
      <c r="T69" s="59">
        <f t="shared" ref="T69:Z69" si="204">T68/T70</f>
        <v>0.50877207469820052</v>
      </c>
      <c r="U69" s="59">
        <f t="shared" si="204"/>
        <v>2.117813888471034</v>
      </c>
      <c r="V69" s="59">
        <f t="shared" si="204"/>
        <v>2.3042440483381479</v>
      </c>
      <c r="W69" s="59">
        <f t="shared" si="204"/>
        <v>2.4963987218204564</v>
      </c>
      <c r="X69" s="59">
        <f t="shared" si="204"/>
        <v>2.4096936275406082</v>
      </c>
      <c r="Y69" s="59">
        <f t="shared" si="204"/>
        <v>2.4881693125175399</v>
      </c>
      <c r="Z69" s="59">
        <f t="shared" si="204"/>
        <v>1.1054354299305693</v>
      </c>
      <c r="AA69" s="59">
        <f t="shared" ref="AA69:AF69" si="205">AA68/AA70</f>
        <v>1.0552687795737732</v>
      </c>
      <c r="AB69" s="59">
        <f t="shared" si="205"/>
        <v>0.95460042854031091</v>
      </c>
      <c r="AC69" s="59">
        <f t="shared" si="205"/>
        <v>1.3588746375286636</v>
      </c>
      <c r="AD69" s="59">
        <f t="shared" si="205"/>
        <v>0.90717029507547786</v>
      </c>
      <c r="AE69" s="59">
        <f t="shared" si="205"/>
        <v>1.1759950553105565</v>
      </c>
      <c r="AF69" s="59">
        <f t="shared" si="205"/>
        <v>1.2301063501137424</v>
      </c>
      <c r="AG69" s="59">
        <f>AG68/AG70</f>
        <v>1.2130858000104956</v>
      </c>
      <c r="AH69" s="59">
        <f>AH68/AH70</f>
        <v>1.1256930791689996</v>
      </c>
      <c r="AI69" s="59">
        <f>+AI68/AI70</f>
        <v>1.236420863309353</v>
      </c>
      <c r="AJ69" s="59">
        <f t="shared" ref="AJ69:AP69" si="206">AJ68/AJ70</f>
        <v>1.1491789109766626</v>
      </c>
      <c r="AK69" s="59">
        <f t="shared" si="206"/>
        <v>1.125833938596263</v>
      </c>
      <c r="AL69" s="59">
        <f t="shared" si="206"/>
        <v>0.86959641255605435</v>
      </c>
      <c r="AM69" s="59">
        <f t="shared" si="206"/>
        <v>0.91970961062075252</v>
      </c>
      <c r="AN69" s="59">
        <f t="shared" si="206"/>
        <v>0.82593917710196696</v>
      </c>
      <c r="AO69" s="59">
        <f t="shared" si="206"/>
        <v>0.79266479166089832</v>
      </c>
      <c r="AP69" s="59">
        <f t="shared" si="206"/>
        <v>0.92577297374941636</v>
      </c>
      <c r="AQ69" s="59">
        <f t="shared" ref="AQ69:AU69" si="207">AQ68/AQ70</f>
        <v>0.98390293403280205</v>
      </c>
      <c r="AR69" s="59">
        <f t="shared" si="207"/>
        <v>1.1712699843271033</v>
      </c>
      <c r="AS69" s="59">
        <f t="shared" si="207"/>
        <v>1.1096077774918676</v>
      </c>
      <c r="AT69" s="59">
        <f t="shared" si="207"/>
        <v>0.75997983273029257</v>
      </c>
      <c r="AU69" s="59">
        <f t="shared" si="207"/>
        <v>0.60167163024847725</v>
      </c>
      <c r="AV69" s="59">
        <f t="shared" ref="AV69:AW69" si="208">AV68/AV70</f>
        <v>0.58146556449260467</v>
      </c>
      <c r="AW69" s="59">
        <f t="shared" si="208"/>
        <v>0.41409698190408312</v>
      </c>
      <c r="AX69" s="59">
        <f t="shared" ref="AX69:AY69" si="209">AX68/AX70</f>
        <v>0.61722567202630041</v>
      </c>
      <c r="AY69" s="59">
        <f t="shared" ref="AY69:AZ69" si="210">AY68/AY70</f>
        <v>0.66361397366161945</v>
      </c>
      <c r="AZ69" s="59">
        <f t="shared" si="210"/>
        <v>1.1114093304704269</v>
      </c>
      <c r="BA69" s="59">
        <f t="shared" ref="BA69:BB69" si="211">BA68/BA70</f>
        <v>0.62816912780157641</v>
      </c>
      <c r="BB69" s="59">
        <f t="shared" si="211"/>
        <v>0.65649788288588629</v>
      </c>
      <c r="BC69" s="59">
        <f t="shared" ref="BC69:BD69" si="212">BC68/BC70</f>
        <v>0.81791030736307424</v>
      </c>
      <c r="BD69" s="59">
        <f t="shared" si="212"/>
        <v>0.87719546488340971</v>
      </c>
      <c r="BE69" s="59">
        <f t="shared" ref="BE69:BF69" si="213">BE68/BE70</f>
        <v>0.72502842232080689</v>
      </c>
      <c r="BF69" s="59">
        <f t="shared" si="213"/>
        <v>0.86462715897721909</v>
      </c>
      <c r="BG69" s="59">
        <f t="shared" ref="BG69:BH69" si="214">BG68/BG70</f>
        <v>0.76123774739516781</v>
      </c>
      <c r="BH69" s="59">
        <f t="shared" si="214"/>
        <v>0.88656809603541764</v>
      </c>
      <c r="BI69" s="59">
        <f t="shared" ref="BI69:BJ69" si="215">BI68/BI70</f>
        <v>1.0106768305674578</v>
      </c>
      <c r="BJ69" s="59">
        <f t="shared" si="215"/>
        <v>1.0593754489382929</v>
      </c>
      <c r="BK69" s="59">
        <f t="shared" ref="BK69:BL69" si="216">BK68/BK70</f>
        <v>1.10559809647003</v>
      </c>
      <c r="BL69" s="59">
        <f t="shared" si="216"/>
        <v>1.3230312266431112</v>
      </c>
      <c r="BM69" s="59">
        <f t="shared" ref="BM69:BN69" si="217">BM68/BM70</f>
        <v>1.2604526170761319</v>
      </c>
      <c r="BN69" s="59">
        <f t="shared" si="217"/>
        <v>1.5171587522157357</v>
      </c>
      <c r="BO69" s="59">
        <f t="shared" ref="BO69:CH69" si="218">BO68/BO70</f>
        <v>2.0065020259125745</v>
      </c>
      <c r="BP69" s="59">
        <f t="shared" si="218"/>
        <v>2.5495603646864158</v>
      </c>
      <c r="BQ69" s="59">
        <f t="shared" si="218"/>
        <v>2.5112852685055542</v>
      </c>
      <c r="BR69" s="59">
        <f t="shared" si="218"/>
        <v>2.8025162953520257</v>
      </c>
      <c r="BS69" s="59">
        <f t="shared" si="218"/>
        <v>1.5701212991368967</v>
      </c>
      <c r="BT69" s="59">
        <f t="shared" si="218"/>
        <v>1.3486809603794077</v>
      </c>
      <c r="BU69" s="59">
        <f t="shared" si="218"/>
        <v>1.2773432314084667</v>
      </c>
      <c r="BV69" s="59">
        <f t="shared" si="218"/>
        <v>2.0739849505419174</v>
      </c>
      <c r="BW69" s="59">
        <f t="shared" si="218"/>
        <v>1.9481587023235432</v>
      </c>
      <c r="BX69" s="59">
        <f t="shared" si="218"/>
        <v>1.8654765461607379</v>
      </c>
      <c r="BY69" s="59">
        <f t="shared" si="218"/>
        <v>1.8595642497235774</v>
      </c>
      <c r="BZ69" s="59">
        <f t="shared" si="218"/>
        <v>2.4266811792579883</v>
      </c>
      <c r="CA69" s="59">
        <f t="shared" si="218"/>
        <v>2.8006398940864949</v>
      </c>
      <c r="CB69" s="59">
        <f t="shared" si="218"/>
        <v>1.8868363346401771</v>
      </c>
      <c r="CC69" s="59">
        <f t="shared" si="218"/>
        <v>2.1899890358163341</v>
      </c>
      <c r="CD69" s="59">
        <f t="shared" si="218"/>
        <v>2.2102757658316179</v>
      </c>
      <c r="CE69" s="59">
        <f t="shared" si="218"/>
        <v>1.6653695464212195</v>
      </c>
      <c r="CF69" s="59">
        <f t="shared" si="218"/>
        <v>1.1503727159705199</v>
      </c>
      <c r="CG69" s="59">
        <f t="shared" si="218"/>
        <v>1.4588948258740615</v>
      </c>
      <c r="CH69" s="59">
        <f t="shared" si="218"/>
        <v>1.698841015495697</v>
      </c>
      <c r="CI69" s="59"/>
      <c r="CJ69" s="59"/>
      <c r="CL69" s="59">
        <f t="shared" ref="CL69:CQ69" si="219">CL68/CL70</f>
        <v>2.842346471127406</v>
      </c>
      <c r="CM69" s="59">
        <f t="shared" si="219"/>
        <v>2.5456221198156683</v>
      </c>
      <c r="CN69" s="59">
        <f t="shared" si="219"/>
        <v>2.5920444033302497</v>
      </c>
      <c r="CO69" s="59">
        <f t="shared" si="219"/>
        <v>2.8218549127640036</v>
      </c>
      <c r="CP69" s="59">
        <f t="shared" si="219"/>
        <v>2.8752293577981654</v>
      </c>
      <c r="CQ69" s="59">
        <f t="shared" si="219"/>
        <v>3.3973296500920793</v>
      </c>
      <c r="CR69" s="59">
        <f>CR68/CR70</f>
        <v>4.6034064101817682</v>
      </c>
      <c r="CS69" s="59">
        <f>CS68/CS70</f>
        <v>8.4973446654406342</v>
      </c>
      <c r="CT69" s="59">
        <f>CT68/CT70</f>
        <v>4.275411286763509</v>
      </c>
      <c r="CU69" s="59">
        <f>CU68/CU70</f>
        <v>3.6749972635404955</v>
      </c>
      <c r="CV69" s="59">
        <f>CV68/CV70</f>
        <v>4.0179277124291426</v>
      </c>
      <c r="CW69" s="59">
        <f t="shared" ref="CW69:DB69" si="220">CW68/CW70</f>
        <v>2.9255428662478531</v>
      </c>
      <c r="CX69" s="59">
        <f t="shared" si="220"/>
        <v>-4.6004067580559385</v>
      </c>
      <c r="CY69" s="59">
        <f t="shared" si="220"/>
        <v>-3.6803254064447515</v>
      </c>
      <c r="CZ69" s="59">
        <f t="shared" si="220"/>
        <v>0</v>
      </c>
      <c r="DA69" s="59">
        <f t="shared" si="220"/>
        <v>0</v>
      </c>
      <c r="DB69" s="59">
        <f t="shared" si="220"/>
        <v>4.2278543339831955</v>
      </c>
      <c r="DC69" s="59">
        <f t="shared" ref="DC69:DO69" si="221">DC68/DC70</f>
        <v>5.5964832001021589</v>
      </c>
      <c r="DD69" s="59">
        <f t="shared" si="221"/>
        <v>6.1873453003364398</v>
      </c>
      <c r="DE69" s="59" t="e">
        <f t="shared" si="221"/>
        <v>#DIV/0!</v>
      </c>
      <c r="DF69" s="59">
        <f t="shared" si="221"/>
        <v>9.1486073635293117</v>
      </c>
      <c r="DG69" s="59">
        <f t="shared" si="221"/>
        <v>8.9161656552021782</v>
      </c>
      <c r="DH69" s="59">
        <f t="shared" si="221"/>
        <v>6.0130006011405053</v>
      </c>
      <c r="DI69" s="59">
        <f t="shared" si="221"/>
        <v>13.733880815841767</v>
      </c>
      <c r="DJ69" s="59">
        <f t="shared" si="221"/>
        <v>14.97316744833215</v>
      </c>
      <c r="DK69" s="59">
        <f t="shared" si="221"/>
        <v>16.373168386234905</v>
      </c>
      <c r="DL69" s="59">
        <f t="shared" si="221"/>
        <v>17.232938955680762</v>
      </c>
      <c r="DM69" s="59">
        <f t="shared" si="221"/>
        <v>19.139804684914807</v>
      </c>
      <c r="DN69" s="59">
        <f t="shared" si="221"/>
        <v>20.580826334652329</v>
      </c>
      <c r="DO69" s="59">
        <f t="shared" si="221"/>
        <v>16.432002546047077</v>
      </c>
    </row>
    <row r="70" spans="2:197" x14ac:dyDescent="0.2">
      <c r="B70" t="s">
        <v>84</v>
      </c>
      <c r="C70" s="51"/>
      <c r="D70" s="51"/>
      <c r="E70" s="51"/>
      <c r="F70" s="51"/>
      <c r="G70" s="51"/>
      <c r="H70" s="51"/>
      <c r="I70" s="51"/>
      <c r="J70" s="51">
        <v>1089.2</v>
      </c>
      <c r="K70" s="51">
        <v>1089</v>
      </c>
      <c r="L70" s="51">
        <v>1090</v>
      </c>
      <c r="M70" s="51">
        <v>1091</v>
      </c>
      <c r="N70" s="51">
        <v>1093.5</v>
      </c>
      <c r="O70" s="51">
        <v>1087</v>
      </c>
      <c r="P70" s="51">
        <v>1085.3</v>
      </c>
      <c r="Q70" s="51">
        <v>1086.412</v>
      </c>
      <c r="R70" s="51">
        <v>1089.097</v>
      </c>
      <c r="S70" s="51">
        <v>1089.8789999999999</v>
      </c>
      <c r="T70" s="51">
        <f>S70</f>
        <v>1089.8789999999999</v>
      </c>
      <c r="U70" s="51">
        <v>1090.2280000000001</v>
      </c>
      <c r="V70" s="51">
        <v>1092.636</v>
      </c>
      <c r="W70" s="51">
        <v>1094.056</v>
      </c>
      <c r="X70" s="51">
        <v>1093.8320000000001</v>
      </c>
      <c r="Y70" s="51">
        <v>1093.9770000000001</v>
      </c>
      <c r="Z70" s="51">
        <v>1096.491</v>
      </c>
      <c r="AA70" s="51">
        <v>1097.2560000000001</v>
      </c>
      <c r="AB70" s="51">
        <v>1097.213</v>
      </c>
      <c r="AC70" s="51">
        <v>1097.673</v>
      </c>
      <c r="AD70" s="51">
        <v>1101.4469999999999</v>
      </c>
      <c r="AE70" s="51">
        <v>1103.4059999999999</v>
      </c>
      <c r="AF70" s="51">
        <v>1103.807</v>
      </c>
      <c r="AG70" s="51">
        <v>1105.1980000000001</v>
      </c>
      <c r="AH70" s="51">
        <v>1109.3610000000001</v>
      </c>
      <c r="AI70" s="51">
        <v>1112</v>
      </c>
      <c r="AJ70" s="51">
        <v>1157</v>
      </c>
      <c r="AK70" s="51">
        <v>1113.8409999999999</v>
      </c>
      <c r="AL70" s="51">
        <v>1115</v>
      </c>
      <c r="AM70" s="51">
        <v>1116.9829999999999</v>
      </c>
      <c r="AN70" s="51">
        <v>1118</v>
      </c>
      <c r="AO70" s="51">
        <v>1119.6410000000001</v>
      </c>
      <c r="AP70" s="51">
        <v>1113.8800000000001</v>
      </c>
      <c r="AQ70" s="51">
        <v>1091.876</v>
      </c>
      <c r="AR70" s="51">
        <v>1084.037</v>
      </c>
      <c r="AS70" s="51">
        <v>1084.2570000000001</v>
      </c>
      <c r="AT70" s="51">
        <v>1078.9760000000001</v>
      </c>
      <c r="AU70" s="51">
        <v>1075.836</v>
      </c>
      <c r="AV70" s="51">
        <v>1076.4179999999999</v>
      </c>
      <c r="AW70" s="51">
        <v>1074.386</v>
      </c>
      <c r="AX70" s="51">
        <v>1069.787</v>
      </c>
      <c r="AY70" s="51">
        <v>1067.0360000000001</v>
      </c>
      <c r="AZ70" s="51">
        <v>1065.5840000000001</v>
      </c>
      <c r="BA70" s="51">
        <v>1065.1590000000001</v>
      </c>
      <c r="BB70" s="51">
        <v>1064.893</v>
      </c>
      <c r="BC70" s="51">
        <v>1063.075</v>
      </c>
      <c r="BD70" s="51">
        <v>1060.0830000000001</v>
      </c>
      <c r="BE70" s="51">
        <v>1060.7860000000001</v>
      </c>
      <c r="BF70" s="51">
        <v>1061.498</v>
      </c>
      <c r="BG70" s="51">
        <v>1056.306</v>
      </c>
      <c r="BH70" s="51">
        <v>1057.1099999999999</v>
      </c>
      <c r="BI70" s="51">
        <v>1056.0250000000001</v>
      </c>
      <c r="BJ70" s="51">
        <v>1051.0909999999999</v>
      </c>
      <c r="BK70" s="51">
        <v>1049.8389999999999</v>
      </c>
      <c r="BL70" s="51">
        <v>1030.21</v>
      </c>
      <c r="BM70" s="51">
        <v>1026.298</v>
      </c>
      <c r="BN70" s="51">
        <v>1018.285</v>
      </c>
      <c r="BO70" s="51">
        <v>984.00099999999998</v>
      </c>
      <c r="BP70" s="51">
        <v>924.63</v>
      </c>
      <c r="BQ70" s="51">
        <v>918.45399999999995</v>
      </c>
      <c r="BR70" s="51">
        <v>914.678</v>
      </c>
      <c r="BS70" s="51">
        <v>911.71299999999997</v>
      </c>
      <c r="BT70" s="51">
        <v>910.89</v>
      </c>
      <c r="BU70" s="51">
        <v>911.423</v>
      </c>
      <c r="BV70" s="51">
        <v>912.59100000000001</v>
      </c>
      <c r="BW70" s="51">
        <v>912.4</v>
      </c>
      <c r="BX70" s="51">
        <v>910.38400000000001</v>
      </c>
      <c r="BY70" s="51">
        <v>910.75099999999998</v>
      </c>
      <c r="BZ70" s="51">
        <v>909.55499999999995</v>
      </c>
      <c r="CA70" s="51">
        <v>906.4</v>
      </c>
      <c r="CB70" s="51">
        <v>902.94</v>
      </c>
      <c r="CC70" s="51">
        <f t="shared" ref="CC70:CH70" si="222">+CB70</f>
        <v>902.94</v>
      </c>
      <c r="CD70" s="51">
        <f t="shared" si="222"/>
        <v>902.94</v>
      </c>
      <c r="CE70" s="51">
        <v>903.28300000000002</v>
      </c>
      <c r="CF70" s="51">
        <f t="shared" si="222"/>
        <v>903.28300000000002</v>
      </c>
      <c r="CG70" s="51">
        <f t="shared" si="222"/>
        <v>903.28300000000002</v>
      </c>
      <c r="CH70" s="51">
        <f t="shared" si="222"/>
        <v>903.28300000000002</v>
      </c>
      <c r="CI70" s="51"/>
      <c r="CJ70" s="51"/>
      <c r="CL70" s="51">
        <v>1091</v>
      </c>
      <c r="CM70" s="51">
        <v>1085</v>
      </c>
      <c r="CN70" s="51">
        <v>1081</v>
      </c>
      <c r="CO70" s="51">
        <v>1089</v>
      </c>
      <c r="CP70" s="51">
        <v>1090</v>
      </c>
      <c r="CQ70" s="51">
        <v>1086</v>
      </c>
      <c r="CR70" s="51">
        <f>AVERAGE(S70:V70)</f>
        <v>1090.6554999999998</v>
      </c>
      <c r="CS70" s="51">
        <f>AVERAGE(W70:Z70)</f>
        <v>1094.5889999999999</v>
      </c>
      <c r="CT70" s="51">
        <f>AVERAGE(AA70:AD70)</f>
        <v>1098.39725</v>
      </c>
      <c r="CU70" s="51">
        <f>AVERAGE(AE70:AH70)</f>
        <v>1105.443</v>
      </c>
      <c r="CV70" s="51">
        <f>AVERAGE(AI70:AL70)</f>
        <v>1124.4602500000001</v>
      </c>
      <c r="CW70" s="51">
        <f>AVERAGE(AM70:AP70)</f>
        <v>1117.1260000000002</v>
      </c>
      <c r="CX70" s="51">
        <f t="shared" ref="CX70:DA70" si="223">CW70</f>
        <v>1117.1260000000002</v>
      </c>
      <c r="CY70" s="51">
        <f t="shared" si="223"/>
        <v>1117.1260000000002</v>
      </c>
      <c r="CZ70" s="51">
        <f t="shared" si="223"/>
        <v>1117.1260000000002</v>
      </c>
      <c r="DA70" s="51">
        <f t="shared" si="223"/>
        <v>1117.1260000000002</v>
      </c>
      <c r="DB70" s="51">
        <v>1052.0229999999999</v>
      </c>
      <c r="DC70" s="51">
        <v>1033.6669999999999</v>
      </c>
      <c r="DD70" s="51">
        <v>935.68399999999997</v>
      </c>
      <c r="DE70" s="51"/>
      <c r="DF70" s="51">
        <f>AVERAGE(BW70:BZ70)</f>
        <v>910.77249999999992</v>
      </c>
      <c r="DG70" s="49">
        <f>AVERAGE(CA70:CD70)</f>
        <v>903.80500000000006</v>
      </c>
      <c r="DH70" s="49">
        <f>AVERAGE(CE70:CH70)</f>
        <v>903.28300000000002</v>
      </c>
      <c r="DI70" s="49">
        <f>+DH70</f>
        <v>903.28300000000002</v>
      </c>
      <c r="DJ70" s="49">
        <f t="shared" ref="DJ70:DO70" si="224">+DI70</f>
        <v>903.28300000000002</v>
      </c>
      <c r="DK70" s="49">
        <f t="shared" si="224"/>
        <v>903.28300000000002</v>
      </c>
      <c r="DL70" s="49">
        <f t="shared" si="224"/>
        <v>903.28300000000002</v>
      </c>
      <c r="DM70" s="49">
        <f t="shared" si="224"/>
        <v>903.28300000000002</v>
      </c>
      <c r="DN70" s="49">
        <f t="shared" si="224"/>
        <v>903.28300000000002</v>
      </c>
      <c r="DO70" s="49">
        <f t="shared" si="224"/>
        <v>903.28300000000002</v>
      </c>
    </row>
    <row r="71" spans="2:197" x14ac:dyDescent="0.2">
      <c r="Q71" s="51"/>
    </row>
    <row r="72" spans="2:197" s="55" customFormat="1" x14ac:dyDescent="0.2">
      <c r="B72" s="55" t="s">
        <v>383</v>
      </c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1">
        <f t="shared" ref="X72:AP72" si="225">X58/T58-1</f>
        <v>0.59843101721588976</v>
      </c>
      <c r="Y72" s="61">
        <f t="shared" si="225"/>
        <v>0.15215364534775344</v>
      </c>
      <c r="Z72" s="61">
        <f t="shared" si="225"/>
        <v>-0.21831165519000262</v>
      </c>
      <c r="AA72" s="61">
        <f t="shared" si="225"/>
        <v>-0.21628376429876006</v>
      </c>
      <c r="AB72" s="61">
        <f t="shared" si="225"/>
        <v>-0.23718952785858127</v>
      </c>
      <c r="AC72" s="61">
        <f t="shared" si="225"/>
        <v>-0.18168576851211593</v>
      </c>
      <c r="AD72" s="61">
        <f t="shared" si="225"/>
        <v>0.13885423663755869</v>
      </c>
      <c r="AE72" s="61">
        <f t="shared" si="225"/>
        <v>0.12136636820802149</v>
      </c>
      <c r="AF72" s="61">
        <f t="shared" si="225"/>
        <v>0.12422020142759349</v>
      </c>
      <c r="AG72" s="61">
        <f t="shared" si="225"/>
        <v>1.6684645810859378E-2</v>
      </c>
      <c r="AH72" s="61">
        <f t="shared" si="225"/>
        <v>4.2669362992922233E-2</v>
      </c>
      <c r="AI72" s="61">
        <f t="shared" si="225"/>
        <v>6.4479081214109835E-2</v>
      </c>
      <c r="AJ72" s="61">
        <f t="shared" si="225"/>
        <v>8.768939064484127E-2</v>
      </c>
      <c r="AK72" s="61">
        <f t="shared" si="225"/>
        <v>8.7235622833698789E-2</v>
      </c>
      <c r="AL72" s="61">
        <f t="shared" si="225"/>
        <v>-2.2611197310576814E-2</v>
      </c>
      <c r="AM72" s="61">
        <f t="shared" si="225"/>
        <v>-4.0553500479517668E-2</v>
      </c>
      <c r="AN72" s="61">
        <f t="shared" si="225"/>
        <v>-0.10432126407369491</v>
      </c>
      <c r="AO72" s="61">
        <f t="shared" si="225"/>
        <v>-0.11476716383923491</v>
      </c>
      <c r="AP72" s="61">
        <f t="shared" si="225"/>
        <v>-1.4882674912770955E-2</v>
      </c>
      <c r="AQ72" s="61">
        <f t="shared" ref="AQ72:AT72" si="226">AQ58/AM58-1</f>
        <v>-7.1397972297715384E-5</v>
      </c>
      <c r="AR72" s="61">
        <f t="shared" si="226"/>
        <v>5.8780466029819012E-2</v>
      </c>
      <c r="AS72" s="61">
        <f t="shared" si="226"/>
        <v>6.0652273771244936E-2</v>
      </c>
      <c r="AT72" s="61">
        <f t="shared" si="226"/>
        <v>-2.492739999664273E-2</v>
      </c>
      <c r="AU72" s="61">
        <f t="shared" ref="AU72" si="227">AU58/AQ58-1</f>
        <v>-0.16403070332024272</v>
      </c>
      <c r="AV72" s="61">
        <f t="shared" ref="AV72" si="228">AV58/AR58-1</f>
        <v>-0.16764760443192728</v>
      </c>
      <c r="AW72" s="61">
        <f t="shared" ref="AW72" si="229">AW58/AS58-1</f>
        <v>-0.155389252676437</v>
      </c>
      <c r="AX72" s="61">
        <f t="shared" ref="AX72" si="230">AX58/AT58-1</f>
        <v>-0.11835490979203966</v>
      </c>
      <c r="AY72" s="61">
        <f t="shared" ref="AY72:BB72" si="231">AY58/AU58-1</f>
        <v>-8.1996967820462396E-3</v>
      </c>
      <c r="AZ72" s="61">
        <f t="shared" si="231"/>
        <v>8.73247426857926E-3</v>
      </c>
      <c r="BA72" s="61">
        <f t="shared" si="231"/>
        <v>1.7249159077856957E-2</v>
      </c>
      <c r="BB72" s="61">
        <f t="shared" si="231"/>
        <v>4.9655360943510418E-2</v>
      </c>
      <c r="BC72" s="61">
        <f t="shared" ref="BC72" si="232">BC58/AY58-1</f>
        <v>4.7451934462936274E-2</v>
      </c>
      <c r="BD72" s="61">
        <f t="shared" ref="BD72" si="233">BD58/AZ58-1</f>
        <v>8.5584590354911949E-2</v>
      </c>
      <c r="BE72" s="61">
        <f t="shared" ref="BE72" si="234">BE58/BA58-1</f>
        <v>4.6777022803798696E-2</v>
      </c>
      <c r="BF72" s="61">
        <f t="shared" ref="BF72" si="235">BF58/BB58-1</f>
        <v>7.1601309621251552E-2</v>
      </c>
      <c r="BG72" s="61">
        <f t="shared" ref="BG72" si="236">BG58/BC58-1</f>
        <v>7.4654169492918809E-2</v>
      </c>
      <c r="BH72" s="61">
        <f t="shared" ref="BH72:BO72" si="237">BH58/BD58-1</f>
        <v>7.761619301361744E-2</v>
      </c>
      <c r="BI72" s="61">
        <f t="shared" si="237"/>
        <v>8.9816437775680491E-2</v>
      </c>
      <c r="BJ72" s="61">
        <f t="shared" si="237"/>
        <v>6.9473136012498937E-2</v>
      </c>
      <c r="BK72" s="61">
        <f t="shared" si="237"/>
        <v>9.0220530573991597E-2</v>
      </c>
      <c r="BL72" s="61">
        <f t="shared" si="237"/>
        <v>9.115258485998301E-2</v>
      </c>
      <c r="BM72" s="61">
        <f t="shared" si="237"/>
        <v>7.1385648639094912E-2</v>
      </c>
      <c r="BN72" s="61">
        <f t="shared" si="237"/>
        <v>4.5108510396545842E-2</v>
      </c>
      <c r="BO72" s="61">
        <f t="shared" si="237"/>
        <v>4.7684210526315551E-2</v>
      </c>
      <c r="BP72" s="61">
        <f>BP58/BL58-1</f>
        <v>4.8778952668680819E-2</v>
      </c>
      <c r="BQ72" s="61">
        <f>BQ58/BM58-1</f>
        <v>7.0340982200300273E-2</v>
      </c>
      <c r="BR72" s="61">
        <f>BR58/BN58-1</f>
        <v>0.13726586525020945</v>
      </c>
      <c r="BS72" s="61">
        <f>BS58/BO58-1</f>
        <v>-1.8754814293848066E-2</v>
      </c>
      <c r="BT72" s="61">
        <f t="shared" ref="BS72:CA72" si="238">BT58/BP58-1</f>
        <v>-0.17490847986557068</v>
      </c>
      <c r="BU72" s="61">
        <f t="shared" si="238"/>
        <v>-0.1152381979871463</v>
      </c>
      <c r="BV72" s="61">
        <f t="shared" si="238"/>
        <v>1.6073964820277453E-2</v>
      </c>
      <c r="BW72" s="61">
        <f t="shared" si="238"/>
        <v>0.16140482610328055</v>
      </c>
      <c r="BX72" s="61">
        <f t="shared" si="238"/>
        <v>0.22558824599047145</v>
      </c>
      <c r="BY72" s="61">
        <f t="shared" si="238"/>
        <v>0.17984182838030871</v>
      </c>
      <c r="BZ72" s="61">
        <f t="shared" si="238"/>
        <v>7.5240924181126712E-2</v>
      </c>
      <c r="CA72" s="61">
        <f t="shared" si="238"/>
        <v>0.14759903608792735</v>
      </c>
      <c r="CB72" s="61">
        <f t="shared" ref="CB72" si="239">CB58/BX58-1</f>
        <v>-3.7403560830859939E-2</v>
      </c>
      <c r="CC72" s="61">
        <f t="shared" ref="CC72" si="240">CC58/BY58-1</f>
        <v>2.4907721836704866E-2</v>
      </c>
      <c r="CD72" s="61">
        <f t="shared" ref="CD72" si="241">CD58/BZ58-1</f>
        <v>-8.7188589857372989E-2</v>
      </c>
      <c r="CE72" s="61">
        <f t="shared" ref="CE72" si="242">CE58/CA58-1</f>
        <v>-0.10884623756417977</v>
      </c>
      <c r="CF72" s="61">
        <f t="shared" ref="CF72" si="243">CF58/CB58-1</f>
        <v>-0.11001433437630082</v>
      </c>
      <c r="CG72" s="61">
        <f t="shared" ref="CG72" si="244">CG58/CC58-1</f>
        <v>-0.13364953829753534</v>
      </c>
      <c r="CH72" s="61">
        <f t="shared" ref="CH72" si="245">CH58/CD58-1</f>
        <v>-8.8831206178790811E-2</v>
      </c>
      <c r="CI72" s="61"/>
      <c r="CJ72" s="61"/>
      <c r="CK72" s="61"/>
      <c r="CL72" s="60"/>
      <c r="CM72" s="60"/>
      <c r="CN72" s="60"/>
      <c r="CO72" s="60"/>
      <c r="CP72" s="62">
        <f t="shared" ref="CP72:DB72" si="246">CP58/CO58-1</f>
        <v>5.7074825023450515E-2</v>
      </c>
      <c r="CQ72" s="62">
        <f t="shared" si="246"/>
        <v>7.7372013651876959E-2</v>
      </c>
      <c r="CR72" s="62">
        <f t="shared" si="246"/>
        <v>0.17162226375645462</v>
      </c>
      <c r="CS72" s="62">
        <f t="shared" si="246"/>
        <v>6.0167880685474406E-2</v>
      </c>
      <c r="CT72" s="62">
        <f t="shared" si="246"/>
        <v>6.985394754409513E-2</v>
      </c>
      <c r="CU72" s="62">
        <f t="shared" si="246"/>
        <v>4.383313819191037E-2</v>
      </c>
      <c r="CV72" s="62">
        <f t="shared" si="246"/>
        <v>9.0596424558550881E-2</v>
      </c>
      <c r="CW72" s="62">
        <f t="shared" si="246"/>
        <v>-7.8559971186021871E-2</v>
      </c>
      <c r="CX72" s="62">
        <f t="shared" si="246"/>
        <v>5.0523827920823772E-2</v>
      </c>
      <c r="CY72" s="62">
        <f t="shared" si="246"/>
        <v>-0.15132111226966538</v>
      </c>
      <c r="CZ72" s="62">
        <f t="shared" si="246"/>
        <v>1.7491180488998559E-2</v>
      </c>
      <c r="DA72" s="62">
        <f t="shared" si="246"/>
        <v>6.3300715978495958E-2</v>
      </c>
      <c r="DB72" s="62">
        <f t="shared" si="246"/>
        <v>-5.8806621399390302E-2</v>
      </c>
      <c r="DC72" s="62">
        <f t="shared" ref="DC72:DE72" si="247">DC58/DB58-1</f>
        <v>7.6038469818414667E-2</v>
      </c>
      <c r="DD72" s="62">
        <f t="shared" si="247"/>
        <v>3.8454559412643308E-2</v>
      </c>
      <c r="DE72" s="62">
        <f t="shared" si="247"/>
        <v>9.9487441418675937E-2</v>
      </c>
      <c r="DF72" s="62">
        <f t="shared" ref="DF72" si="248">DF58/DE58-1</f>
        <v>0.15397780757052804</v>
      </c>
      <c r="DG72" s="62">
        <f t="shared" ref="DG72:DO72" si="249">DG58/DF58-1</f>
        <v>7.8958984409487343E-3</v>
      </c>
      <c r="DH72" s="62">
        <f t="shared" si="249"/>
        <v>-0.11002336898826681</v>
      </c>
      <c r="DI72" s="62">
        <f t="shared" si="249"/>
        <v>0.13201572077445523</v>
      </c>
      <c r="DJ72" s="62">
        <f t="shared" si="249"/>
        <v>8.2125283555283701E-2</v>
      </c>
      <c r="DK72" s="62">
        <f t="shared" si="249"/>
        <v>8.6025791159126896E-2</v>
      </c>
      <c r="DL72" s="62">
        <f t="shared" si="249"/>
        <v>4.5092569130532612E-2</v>
      </c>
      <c r="DM72" s="62">
        <f t="shared" si="249"/>
        <v>0.10473191376413049</v>
      </c>
      <c r="DN72" s="62">
        <f t="shared" si="249"/>
        <v>6.9020323155268626E-2</v>
      </c>
      <c r="DO72" s="62">
        <f t="shared" si="249"/>
        <v>-0.21623929777942719</v>
      </c>
    </row>
    <row r="73" spans="2:197" s="38" customFormat="1" x14ac:dyDescent="0.2">
      <c r="B73" s="38" t="s">
        <v>381</v>
      </c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>
        <f t="shared" ref="BA73:BB73" si="250">+BB3/AX3-1</f>
        <v>10.029411764705882</v>
      </c>
      <c r="BC73" s="66">
        <f t="shared" ref="BC73" si="251">+BC3/AY3-1</f>
        <v>6.8469945355191246</v>
      </c>
      <c r="BD73" s="66">
        <f t="shared" ref="BD73" si="252">+BD3/AZ3-1</f>
        <v>3.544018058690745</v>
      </c>
      <c r="BE73" s="66">
        <f t="shared" ref="BE73" si="253">+BE3/BA3-1</f>
        <v>2.3052917232021706</v>
      </c>
      <c r="BF73" s="66">
        <f t="shared" ref="BF73" si="254">+BF3/BB3-1</f>
        <v>1.9955555555555557</v>
      </c>
      <c r="BG73" s="66">
        <f t="shared" ref="BG73" si="255">+BG3/BC3-1</f>
        <v>1.5967966573816157</v>
      </c>
      <c r="BH73" s="66">
        <f t="shared" ref="BH73:BK73" si="256">+BH3/BD3-1</f>
        <v>1.3854942871336311</v>
      </c>
      <c r="BI73" s="66">
        <f t="shared" si="256"/>
        <v>1.1662561576354684</v>
      </c>
      <c r="BJ73" s="66">
        <f t="shared" si="256"/>
        <v>0.9258160237388724</v>
      </c>
      <c r="BK73" s="66">
        <f t="shared" si="256"/>
        <v>0.81898632341110211</v>
      </c>
      <c r="BL73" s="66">
        <f t="shared" ref="BL73" si="257">+BL3/BH3-1</f>
        <v>0.62390670553935856</v>
      </c>
      <c r="BM73" s="66">
        <f t="shared" ref="BM73" si="258">+BM3/BI3-1</f>
        <v>0.54671214705324989</v>
      </c>
      <c r="BN73" s="66">
        <f t="shared" ref="BN73" si="259">+BN3/BJ3-1</f>
        <v>0.42480739599383677</v>
      </c>
      <c r="BO73" s="66">
        <f t="shared" ref="BO73" si="260">+BO3/BK3-1</f>
        <v>0.29691876750700286</v>
      </c>
      <c r="BP73" s="66">
        <f t="shared" ref="BO73:CH73" si="261">+BP3/BL3-1</f>
        <v>0.31892793023852284</v>
      </c>
      <c r="BQ73" s="66">
        <f t="shared" si="261"/>
        <v>0.23927958833619201</v>
      </c>
      <c r="BR73" s="66">
        <f t="shared" si="261"/>
        <v>0.3064777765761868</v>
      </c>
      <c r="BS73" s="66">
        <f t="shared" si="261"/>
        <v>0.39752188245992959</v>
      </c>
      <c r="BT73" s="66">
        <f t="shared" si="261"/>
        <v>0.19572192513368969</v>
      </c>
      <c r="BU73" s="66">
        <f t="shared" si="261"/>
        <v>9.4018783984181731E-2</v>
      </c>
      <c r="BV73" s="66">
        <f t="shared" si="261"/>
        <v>0.24360566178296517</v>
      </c>
      <c r="BW73" s="66">
        <f t="shared" si="261"/>
        <v>0.18138929559134542</v>
      </c>
      <c r="BX73" s="66">
        <f t="shared" si="261"/>
        <v>0.24865831842576025</v>
      </c>
      <c r="BY73" s="66">
        <f t="shared" si="261"/>
        <v>0.44596060003614668</v>
      </c>
      <c r="BZ73" s="66">
        <f t="shared" si="261"/>
        <v>0.25379392971246006</v>
      </c>
      <c r="CA73" s="66">
        <f t="shared" si="261"/>
        <v>0.19891214541448621</v>
      </c>
      <c r="CB73" s="66">
        <f t="shared" si="261"/>
        <v>0.24505079447772871</v>
      </c>
      <c r="CC73" s="66">
        <f t="shared" si="261"/>
        <v>0.15642772326729593</v>
      </c>
      <c r="CD73" s="66">
        <f t="shared" si="261"/>
        <v>2.7870680044593144E-2</v>
      </c>
      <c r="CE73" s="66">
        <f t="shared" si="261"/>
        <v>0.13541606845460286</v>
      </c>
      <c r="CF73" s="66">
        <f t="shared" si="261"/>
        <v>0.14999999999999991</v>
      </c>
      <c r="CG73" s="66">
        <f t="shared" si="261"/>
        <v>0.14999999999999991</v>
      </c>
      <c r="CH73" s="66">
        <f t="shared" si="261"/>
        <v>0.14999999999999969</v>
      </c>
      <c r="CI73" s="66"/>
      <c r="CJ73" s="66"/>
      <c r="CK73" s="66"/>
      <c r="CL73" s="48"/>
      <c r="CM73" s="48"/>
      <c r="CN73" s="48"/>
      <c r="CO73" s="48"/>
      <c r="CP73" s="67"/>
      <c r="CQ73" s="67"/>
      <c r="CR73" s="67"/>
      <c r="CS73" s="67"/>
      <c r="CT73" s="67"/>
      <c r="CU73" s="67"/>
      <c r="CV73" s="67"/>
      <c r="CW73" s="67"/>
      <c r="CX73" s="67"/>
      <c r="CY73" s="67"/>
      <c r="CZ73" s="67"/>
      <c r="DA73" s="67"/>
      <c r="DB73" s="67"/>
      <c r="DC73" s="67"/>
      <c r="DD73" s="67"/>
      <c r="DE73" s="67"/>
      <c r="DF73" s="67"/>
    </row>
    <row r="74" spans="2:197" s="38" customFormat="1" x14ac:dyDescent="0.2">
      <c r="B74" s="38" t="s">
        <v>498</v>
      </c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  <c r="BF74" s="66"/>
      <c r="BG74" s="66"/>
      <c r="BH74" s="66">
        <f t="shared" ref="BH74:BO74" si="262">+BH6/BD6-1</f>
        <v>6.1865284974093253</v>
      </c>
      <c r="BI74" s="66">
        <f t="shared" si="262"/>
        <v>3.6553846153846159</v>
      </c>
      <c r="BJ74" s="66">
        <f t="shared" si="262"/>
        <v>1.8140293637846656</v>
      </c>
      <c r="BK74" s="66">
        <f t="shared" si="262"/>
        <v>0.51656314699792971</v>
      </c>
      <c r="BL74" s="66">
        <f t="shared" si="262"/>
        <v>0.58687815428983425</v>
      </c>
      <c r="BM74" s="66">
        <f t="shared" si="262"/>
        <v>0.74421678783873069</v>
      </c>
      <c r="BN74" s="66">
        <f t="shared" si="262"/>
        <v>0.77971014492753632</v>
      </c>
      <c r="BO74" s="66">
        <f t="shared" si="262"/>
        <v>0.72354948805460761</v>
      </c>
      <c r="BP74" s="66">
        <f>+BP6/BL6-1</f>
        <v>0.607451158564289</v>
      </c>
      <c r="BQ74" s="66">
        <f>+BQ6/BM6-1</f>
        <v>0.28836680560818495</v>
      </c>
      <c r="BR74" s="66">
        <f>+BR6/BN6-1</f>
        <v>0.36840390879478835</v>
      </c>
      <c r="BS74" s="66">
        <f>+BS6/BO6-1</f>
        <v>0.75643564356435644</v>
      </c>
      <c r="BT74" s="66">
        <f>+BT6/BP6-1</f>
        <v>0.11701526286037311</v>
      </c>
      <c r="BU74" s="66">
        <f>+BU6/BQ6-1</f>
        <v>0.33676470588235285</v>
      </c>
      <c r="BV74" s="66">
        <f>+BV6/BR6-1</f>
        <v>0.17900499880980725</v>
      </c>
      <c r="BW74" s="66">
        <f>+BW6/BS6-1</f>
        <v>-9.0868094701240132E-2</v>
      </c>
      <c r="BX74" s="66">
        <f>+BX6/BT6-1</f>
        <v>0.44003036437246967</v>
      </c>
      <c r="BY74" s="66">
        <f>+BY6/BU6-1</f>
        <v>0.304950495049505</v>
      </c>
      <c r="BZ74" s="66">
        <f>+BZ6/BV6-1</f>
        <v>0.30708661417322825</v>
      </c>
      <c r="CA74" s="66">
        <f>+CA6/BW6-1</f>
        <v>0.21056547619047628</v>
      </c>
      <c r="CB74" s="66">
        <f>+CB6/BX6-1</f>
        <v>6.519065190651907E-2</v>
      </c>
      <c r="CC74" s="66">
        <f>+CC6/BY6-1</f>
        <v>0.14634968807958182</v>
      </c>
      <c r="CD74" s="66">
        <f>+CD6/BZ6-1</f>
        <v>9.3296261970960748E-2</v>
      </c>
      <c r="CE74" s="66">
        <f>+CE6/CA6-1</f>
        <v>7.9696783446015163E-2</v>
      </c>
      <c r="CF74" s="66">
        <f>+CF6/CB6-1</f>
        <v>0.19999999999999996</v>
      </c>
      <c r="CG74" s="66">
        <f>+CG6/CC6-1</f>
        <v>0.19999999999999996</v>
      </c>
      <c r="CH74" s="66">
        <f>+CH6/CD6-1</f>
        <v>0.19999999999999996</v>
      </c>
      <c r="CI74" s="66"/>
      <c r="CJ74" s="66"/>
      <c r="CK74" s="66"/>
      <c r="CL74" s="48"/>
      <c r="CM74" s="48"/>
      <c r="CN74" s="48"/>
      <c r="CO74" s="48"/>
      <c r="CP74" s="67"/>
      <c r="CQ74" s="67"/>
      <c r="CR74" s="67"/>
      <c r="CS74" s="67"/>
      <c r="CT74" s="67"/>
      <c r="CU74" s="67"/>
      <c r="CV74" s="67"/>
      <c r="CW74" s="67"/>
      <c r="CX74" s="67"/>
      <c r="CY74" s="67"/>
      <c r="CZ74" s="67"/>
      <c r="DA74" s="67"/>
      <c r="DB74" s="67"/>
      <c r="DC74" s="67"/>
      <c r="DD74" s="67"/>
      <c r="DE74" s="67"/>
      <c r="DF74" s="67"/>
    </row>
    <row r="75" spans="2:197" s="38" customFormat="1" x14ac:dyDescent="0.2">
      <c r="B75" s="38" t="s">
        <v>499</v>
      </c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  <c r="BF75" s="66"/>
      <c r="BG75" s="66"/>
      <c r="BH75" s="66"/>
      <c r="BI75" s="66"/>
      <c r="BJ75" s="66"/>
      <c r="BK75" s="66"/>
      <c r="BL75" s="66"/>
      <c r="BM75" s="66"/>
      <c r="BN75" s="66">
        <f>+BN7/BJ7-1</f>
        <v>2.9571428571428569</v>
      </c>
      <c r="BO75" s="66">
        <f>+BO7/BK7-1</f>
        <v>2.6835016835016838</v>
      </c>
      <c r="BP75" s="66">
        <f>+BP7/BL7-1</f>
        <v>1.3206239168110918</v>
      </c>
      <c r="BQ75" s="66">
        <f>+BQ7/BM7-1</f>
        <v>0.86035502958579868</v>
      </c>
      <c r="BR75" s="66">
        <f>+BR7/BN7-1</f>
        <v>1.1552346570397112</v>
      </c>
      <c r="BS75" s="66">
        <f>+BS7/BO7-1</f>
        <v>0.71846435100548445</v>
      </c>
      <c r="BT75" s="66">
        <f>+BT7/BP7-1</f>
        <v>0.55787901418969366</v>
      </c>
      <c r="BU75" s="66">
        <f>+BU7/BQ7-1</f>
        <v>0.49109414758269732</v>
      </c>
      <c r="BV75" s="66">
        <f>+BV7/BR7-1</f>
        <v>0.57230597431602481</v>
      </c>
      <c r="BW75" s="66">
        <f>+BW7/BS7-1</f>
        <v>0.43085106382978733</v>
      </c>
      <c r="BX75" s="66">
        <f>+BX7/BT7-1</f>
        <v>0.63614573346116976</v>
      </c>
      <c r="BY75" s="66">
        <f>+BY7/BU7-1</f>
        <v>0.43131399317406149</v>
      </c>
      <c r="BZ75" s="66">
        <f>+BZ7/BV7-1</f>
        <v>0.43501420454545459</v>
      </c>
      <c r="CA75" s="66">
        <f>+CA7/BW7-1</f>
        <v>0.7449814126394052</v>
      </c>
      <c r="CB75" s="66">
        <f>+CB7/BX7-1</f>
        <v>0.72428948139466742</v>
      </c>
      <c r="CC75" s="66">
        <f>+CC7/BY7-1</f>
        <v>0.84113263785394943</v>
      </c>
      <c r="CD75" s="66">
        <f>+CD7/BZ7-1</f>
        <v>0.99950507300173208</v>
      </c>
      <c r="CE75" s="66">
        <f>+CE7/CA7-1</f>
        <v>0.59970174691095024</v>
      </c>
      <c r="CF75" s="66">
        <f>+CF7/CB7-1</f>
        <v>0.19999999999999996</v>
      </c>
      <c r="CG75" s="66">
        <f>+CG7/CC7-1</f>
        <v>0.14999999999999991</v>
      </c>
      <c r="CH75" s="66">
        <f>+CH7/CD7-1</f>
        <v>0.14999999999999991</v>
      </c>
      <c r="CI75" s="66"/>
      <c r="CJ75" s="66"/>
      <c r="CK75" s="66"/>
      <c r="CL75" s="48"/>
      <c r="CM75" s="48"/>
      <c r="CN75" s="48"/>
      <c r="CO75" s="48"/>
      <c r="CP75" s="67"/>
      <c r="CQ75" s="67"/>
      <c r="CR75" s="67"/>
      <c r="CS75" s="67"/>
      <c r="CT75" s="67"/>
      <c r="CU75" s="67"/>
      <c r="CV75" s="67"/>
      <c r="CW75" s="67"/>
      <c r="CX75" s="67"/>
      <c r="CY75" s="67"/>
      <c r="CZ75" s="67"/>
      <c r="DA75" s="67"/>
      <c r="DB75" s="67"/>
      <c r="DC75" s="67"/>
      <c r="DD75" s="67"/>
      <c r="DE75" s="67"/>
      <c r="DF75" s="67"/>
    </row>
    <row r="76" spans="2:197" s="38" customFormat="1" x14ac:dyDescent="0.2">
      <c r="B76" s="38" t="s">
        <v>500</v>
      </c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>
        <f t="shared" ref="BC76" si="263">+BC8/AY8-1</f>
        <v>0.97927461139896388</v>
      </c>
      <c r="BD76" s="66">
        <f t="shared" ref="BD76" si="264">+BD8/AZ8-1</f>
        <v>2.612612612612613</v>
      </c>
      <c r="BE76" s="66">
        <f t="shared" ref="BE76" si="265">+BE8/BA8-1</f>
        <v>2.0844155844155843</v>
      </c>
      <c r="BF76" s="66">
        <f t="shared" ref="BF76" si="266">+BF8/BB8-1</f>
        <v>4.212328767123287</v>
      </c>
      <c r="BG76" s="66">
        <f t="shared" ref="BG76" si="267">+BG8/BC8-1</f>
        <v>0.93717277486910988</v>
      </c>
      <c r="BH76" s="66">
        <f t="shared" ref="BH76:BO76" si="268">+BH8/BD8-1</f>
        <v>1.57356608478803</v>
      </c>
      <c r="BI76" s="66">
        <f t="shared" si="268"/>
        <v>1.6778947368421053</v>
      </c>
      <c r="BJ76" s="66">
        <f t="shared" si="268"/>
        <v>0.88173455978975035</v>
      </c>
      <c r="BK76" s="66">
        <f t="shared" si="268"/>
        <v>1.0405405405405403</v>
      </c>
      <c r="BL76" s="66">
        <f t="shared" si="268"/>
        <v>0.42635658914728669</v>
      </c>
      <c r="BM76" s="66">
        <f t="shared" si="268"/>
        <v>0.31210691823899372</v>
      </c>
      <c r="BN76" s="66">
        <f t="shared" si="268"/>
        <v>0.34916201117318435</v>
      </c>
      <c r="BO76" s="66">
        <f t="shared" si="268"/>
        <v>0.34834437086092707</v>
      </c>
      <c r="BP76" s="66">
        <f>+BP8/BL8-1</f>
        <v>0.57540760869565233</v>
      </c>
      <c r="BQ76" s="66">
        <f>+BQ8/BM8-1</f>
        <v>0.44218094667465535</v>
      </c>
      <c r="BR76" s="66">
        <f>+BR8/BN8-1</f>
        <v>0.38716356107660466</v>
      </c>
      <c r="BS76" s="66">
        <f>+BS8/BO8-1</f>
        <v>0.31385068762278978</v>
      </c>
      <c r="BT76" s="66">
        <f>+BT8/BP8-1</f>
        <v>0.1297973264338077</v>
      </c>
      <c r="BU76" s="66">
        <f>+BU8/BQ8-1</f>
        <v>0.29123390112172842</v>
      </c>
      <c r="BV76" s="66">
        <f>+BV8/BR8-1</f>
        <v>0.17014925373134338</v>
      </c>
      <c r="BW76" s="66">
        <f>+BW8/BS8-1</f>
        <v>0.16635514018691588</v>
      </c>
      <c r="BX76" s="66">
        <f>+BX8/BT8-1</f>
        <v>0.36068702290076327</v>
      </c>
      <c r="BY76" s="66">
        <f>+BY8/BU8-1</f>
        <v>0.25611325611325597</v>
      </c>
      <c r="BZ76" s="66">
        <f>+BZ8/BV8-1</f>
        <v>0.37723214285714279</v>
      </c>
      <c r="CA76" s="66">
        <f>+CA8/BW8-1</f>
        <v>0.34423076923076912</v>
      </c>
      <c r="CB76" s="66">
        <f>+CB8/BX8-1</f>
        <v>0.29312762973352036</v>
      </c>
      <c r="CC76" s="66">
        <f>+CC8/BY8-1</f>
        <v>0.46849385245901631</v>
      </c>
      <c r="CD76" s="66">
        <f>+CD8/BZ8-1</f>
        <v>0.41768927992590865</v>
      </c>
      <c r="CE76" s="66">
        <f>+CE8/CA8-1</f>
        <v>0.37696709585121613</v>
      </c>
      <c r="CF76" s="66">
        <f>+CF8/CB8-1</f>
        <v>0.19999999999999996</v>
      </c>
      <c r="CG76" s="66">
        <f>+CG8/CC8-1</f>
        <v>0.19999999999999996</v>
      </c>
      <c r="CH76" s="66">
        <f>+CH8/CD8-1</f>
        <v>0.19999999999999996</v>
      </c>
      <c r="CI76" s="66"/>
      <c r="CJ76" s="66"/>
      <c r="CK76" s="66"/>
      <c r="CL76" s="48"/>
      <c r="CM76" s="48"/>
      <c r="CN76" s="48"/>
      <c r="CO76" s="48"/>
      <c r="CP76" s="67"/>
      <c r="CQ76" s="67"/>
      <c r="CR76" s="67"/>
      <c r="CS76" s="67"/>
      <c r="CT76" s="67"/>
      <c r="CU76" s="67"/>
      <c r="CV76" s="67"/>
      <c r="CW76" s="67"/>
      <c r="CX76" s="67"/>
      <c r="CY76" s="67"/>
      <c r="CZ76" s="67"/>
      <c r="DA76" s="67"/>
      <c r="DB76" s="67"/>
      <c r="DC76" s="67"/>
      <c r="DD76" s="67"/>
      <c r="DE76" s="67"/>
      <c r="DF76" s="67"/>
    </row>
    <row r="77" spans="2:197" s="38" customFormat="1" x14ac:dyDescent="0.2">
      <c r="B77" s="38" t="s">
        <v>56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66">
        <f t="shared" ref="O77:AS77" si="269">O69/K69-1</f>
        <v>-0.22605591891372567</v>
      </c>
      <c r="P77" s="66">
        <f t="shared" si="269"/>
        <v>0.67610728701847322</v>
      </c>
      <c r="Q77" s="66">
        <f t="shared" si="269"/>
        <v>0.34015035080861589</v>
      </c>
      <c r="R77" s="66">
        <f t="shared" si="269"/>
        <v>3.7454658637521607</v>
      </c>
      <c r="S77" s="66">
        <f t="shared" si="269"/>
        <v>1.6519622566819141</v>
      </c>
      <c r="T77" s="66">
        <f t="shared" si="269"/>
        <v>0.46464279222800253</v>
      </c>
      <c r="U77" s="66">
        <f t="shared" si="269"/>
        <v>3.8235187048251413</v>
      </c>
      <c r="V77" s="66">
        <f t="shared" si="269"/>
        <v>0.1870513600647703</v>
      </c>
      <c r="W77" s="66">
        <f t="shared" si="269"/>
        <v>1.9471106396652482</v>
      </c>
      <c r="X77" s="66">
        <f t="shared" si="269"/>
        <v>3.7362930227057349</v>
      </c>
      <c r="Y77" s="66">
        <f t="shared" si="269"/>
        <v>0.17487628448498183</v>
      </c>
      <c r="Z77" s="66">
        <f t="shared" si="269"/>
        <v>-0.52026113261404561</v>
      </c>
      <c r="AA77" s="66">
        <f t="shared" si="269"/>
        <v>-0.57728356037442752</v>
      </c>
      <c r="AB77" s="66">
        <f t="shared" si="269"/>
        <v>-0.60384987633693532</v>
      </c>
      <c r="AC77" s="66">
        <f t="shared" si="269"/>
        <v>-0.45386568723743781</v>
      </c>
      <c r="AD77" s="66">
        <f t="shared" si="269"/>
        <v>-0.17935478589422826</v>
      </c>
      <c r="AE77" s="66">
        <f t="shared" si="269"/>
        <v>0.1144033426114861</v>
      </c>
      <c r="AF77" s="66">
        <f t="shared" si="269"/>
        <v>0.28860862968049394</v>
      </c>
      <c r="AG77" s="66">
        <f t="shared" si="269"/>
        <v>-0.10728645122357194</v>
      </c>
      <c r="AH77" s="66">
        <f t="shared" si="269"/>
        <v>0.24088397214917667</v>
      </c>
      <c r="AI77" s="66">
        <f t="shared" si="269"/>
        <v>5.1382705842108578E-2</v>
      </c>
      <c r="AJ77" s="66">
        <f t="shared" si="269"/>
        <v>-6.5788977619371525E-2</v>
      </c>
      <c r="AK77" s="66">
        <f t="shared" si="269"/>
        <v>-7.1925548393590666E-2</v>
      </c>
      <c r="AL77" s="66">
        <f t="shared" si="269"/>
        <v>-0.22750132460794636</v>
      </c>
      <c r="AM77" s="66">
        <f t="shared" si="269"/>
        <v>-0.25615165684029639</v>
      </c>
      <c r="AN77" s="66">
        <f t="shared" si="269"/>
        <v>-0.28127885987742418</v>
      </c>
      <c r="AO77" s="66">
        <f t="shared" si="269"/>
        <v>-0.29593098547977148</v>
      </c>
      <c r="AP77" s="66">
        <f t="shared" si="269"/>
        <v>6.4600727857465623E-2</v>
      </c>
      <c r="AQ77" s="66">
        <f t="shared" si="269"/>
        <v>6.9797382424570564E-2</v>
      </c>
      <c r="AR77" s="66">
        <f t="shared" si="269"/>
        <v>0.41810682529532461</v>
      </c>
      <c r="AS77" s="66">
        <f t="shared" si="269"/>
        <v>0.39984491447748982</v>
      </c>
      <c r="AT77" s="66">
        <f t="shared" ref="AT77" si="270">+AT69/AP69-1</f>
        <v>-0.17908617525056403</v>
      </c>
      <c r="AU77" s="66">
        <f t="shared" ref="AU77" si="271">+AU69/AQ69-1</f>
        <v>-0.38848476873388582</v>
      </c>
      <c r="AV77" s="66">
        <f t="shared" ref="AV77" si="272">+AV69/AR69-1</f>
        <v>-0.50355974944012782</v>
      </c>
      <c r="AW77" s="66">
        <f t="shared" ref="AW77" si="273">+AW69/AS69-1</f>
        <v>-0.6268077871262776</v>
      </c>
      <c r="AX77" s="66">
        <f t="shared" ref="AX77:BB77" si="274">+AX69/AT69-1</f>
        <v>-0.18783940646311048</v>
      </c>
      <c r="AY77" s="66">
        <f t="shared" si="274"/>
        <v>0.10295041397840432</v>
      </c>
      <c r="AZ77" s="66">
        <f t="shared" si="274"/>
        <v>0.91139320767904608</v>
      </c>
      <c r="BA77" s="66">
        <f t="shared" si="274"/>
        <v>0.5169613768087753</v>
      </c>
      <c r="BB77" s="66">
        <f t="shared" si="274"/>
        <v>6.3626988700353992E-2</v>
      </c>
      <c r="BC77" s="66">
        <f t="shared" ref="BC77" si="275">+BC69/AY69-1</f>
        <v>0.23250916922393094</v>
      </c>
      <c r="BD77" s="66">
        <f t="shared" ref="BD77" si="276">+BD69/AZ69-1</f>
        <v>-0.21073591805089609</v>
      </c>
      <c r="BE77" s="66">
        <f t="shared" ref="BE77" si="277">+BE69/BA69-1</f>
        <v>0.15419301941534758</v>
      </c>
      <c r="BF77" s="66">
        <f t="shared" ref="BF77" si="278">+BF69/BB69-1</f>
        <v>0.3170296226644651</v>
      </c>
      <c r="BG77" s="66">
        <f t="shared" ref="BG77" si="279">+BG69/BC69-1</f>
        <v>-6.9289455650238252E-2</v>
      </c>
      <c r="BH77" s="66">
        <f t="shared" ref="BH77:BK77" si="280">+BH69/BD69-1</f>
        <v>1.0684769275743689E-2</v>
      </c>
      <c r="BI77" s="66">
        <f t="shared" si="280"/>
        <v>0.39398235910848012</v>
      </c>
      <c r="BJ77" s="66">
        <f t="shared" si="280"/>
        <v>0.22523961679788629</v>
      </c>
      <c r="BK77" s="66">
        <f t="shared" si="280"/>
        <v>0.45236898755113963</v>
      </c>
      <c r="BL77" s="66">
        <f t="shared" ref="BL77" si="281">+BL69/BH69-1</f>
        <v>0.49230638070497101</v>
      </c>
      <c r="BM77" s="66">
        <f t="shared" ref="BM77" si="282">+BM69/BI69-1</f>
        <v>0.24713714508369033</v>
      </c>
      <c r="BN77" s="66">
        <f t="shared" ref="BN77" si="283">+BN69/BJ69-1</f>
        <v>0.43212564887758509</v>
      </c>
      <c r="BO77" s="66">
        <f t="shared" ref="BO77" si="284">+BO69/BK69-1</f>
        <v>0.81485662133370518</v>
      </c>
      <c r="BP77" s="66">
        <f t="shared" ref="BO77:BZ77" si="285">+BP69/BL69-1</f>
        <v>0.92705985568862292</v>
      </c>
      <c r="BQ77" s="66">
        <f t="shared" si="285"/>
        <v>0.99236784825039681</v>
      </c>
      <c r="BR77" s="66">
        <f t="shared" si="285"/>
        <v>0.84721360982104787</v>
      </c>
      <c r="BS77" s="66">
        <f t="shared" si="285"/>
        <v>-0.21748332228930001</v>
      </c>
      <c r="BT77" s="66">
        <f t="shared" si="285"/>
        <v>-0.47101430542308842</v>
      </c>
      <c r="BU77" s="66">
        <f t="shared" si="285"/>
        <v>-0.49135876858442151</v>
      </c>
      <c r="BV77" s="66">
        <f t="shared" si="285"/>
        <v>-0.25995614941414535</v>
      </c>
      <c r="BW77" s="66">
        <f t="shared" si="285"/>
        <v>0.24076955289661717</v>
      </c>
      <c r="BX77" s="66">
        <f t="shared" si="285"/>
        <v>0.38318594312768117</v>
      </c>
      <c r="BY77" s="66">
        <f t="shared" si="285"/>
        <v>0.45580624220564636</v>
      </c>
      <c r="BZ77" s="66">
        <f t="shared" si="285"/>
        <v>0.17005727482444555</v>
      </c>
      <c r="CA77" s="66">
        <f>+CA69/BW69-1</f>
        <v>0.43758303199128945</v>
      </c>
      <c r="CB77" s="66">
        <f t="shared" ref="CB77:CH77" si="286">+CB69/BX69-1</f>
        <v>1.1450043970479884E-2</v>
      </c>
      <c r="CC77" s="66">
        <f t="shared" si="286"/>
        <v>0.17768936251698442</v>
      </c>
      <c r="CD77" s="66">
        <f t="shared" si="286"/>
        <v>-8.9177521660484982E-2</v>
      </c>
      <c r="CE77" s="66">
        <f t="shared" si="286"/>
        <v>-0.4053610569721513</v>
      </c>
      <c r="CF77" s="66">
        <f t="shared" si="286"/>
        <v>-0.39031664016057965</v>
      </c>
      <c r="CG77" s="66">
        <f t="shared" si="286"/>
        <v>-0.33383464391169981</v>
      </c>
      <c r="CH77" s="66">
        <f t="shared" si="286"/>
        <v>-0.23138956606326144</v>
      </c>
      <c r="CI77" s="66"/>
      <c r="CJ77" s="66"/>
      <c r="CK77" s="66"/>
      <c r="CL77" s="48"/>
      <c r="CM77" s="67">
        <f t="shared" ref="CM77:DF77" si="287">CM69/CL69-1</f>
        <v>-0.10439415262209151</v>
      </c>
      <c r="CN77" s="67">
        <f t="shared" si="287"/>
        <v>1.8236125131542602E-2</v>
      </c>
      <c r="CO77" s="67">
        <f t="shared" si="287"/>
        <v>8.8659943146997877E-2</v>
      </c>
      <c r="CP77" s="67">
        <f t="shared" si="287"/>
        <v>1.8914666658705448E-2</v>
      </c>
      <c r="CQ77" s="67">
        <f t="shared" si="287"/>
        <v>0.18158561537982321</v>
      </c>
      <c r="CR77" s="67">
        <f t="shared" si="287"/>
        <v>0.355007280514271</v>
      </c>
      <c r="CS77" s="67">
        <f t="shared" si="287"/>
        <v>0.84588192053742906</v>
      </c>
      <c r="CT77" s="67">
        <f t="shared" si="287"/>
        <v>-0.49685325768272748</v>
      </c>
      <c r="CU77" s="67">
        <f t="shared" si="287"/>
        <v>-0.14043421391571609</v>
      </c>
      <c r="CV77" s="67">
        <f t="shared" si="287"/>
        <v>9.3314477344200064E-2</v>
      </c>
      <c r="CW77" s="67">
        <f t="shared" si="287"/>
        <v>-0.27187767535042584</v>
      </c>
      <c r="CX77" s="67">
        <f t="shared" si="287"/>
        <v>-2.5724967872223239</v>
      </c>
      <c r="CY77" s="67">
        <f t="shared" si="287"/>
        <v>-0.19999999999999984</v>
      </c>
      <c r="CZ77" s="67">
        <f t="shared" si="287"/>
        <v>-1</v>
      </c>
      <c r="DA77" s="67" t="e">
        <f t="shared" si="287"/>
        <v>#DIV/0!</v>
      </c>
      <c r="DB77" s="67" t="e">
        <f t="shared" si="287"/>
        <v>#DIV/0!</v>
      </c>
      <c r="DC77" s="67">
        <f t="shared" si="287"/>
        <v>0.32371712883247206</v>
      </c>
      <c r="DD77" s="67">
        <f t="shared" si="287"/>
        <v>0.10557739192775473</v>
      </c>
      <c r="DE77" s="67" t="e">
        <f t="shared" si="287"/>
        <v>#DIV/0!</v>
      </c>
      <c r="DF77" s="67" t="e">
        <f t="shared" si="287"/>
        <v>#DIV/0!</v>
      </c>
    </row>
    <row r="78" spans="2:197" x14ac:dyDescent="0.2">
      <c r="DC78" s="47"/>
      <c r="DD78" s="47"/>
      <c r="DE78" s="47"/>
      <c r="DF78" s="47"/>
    </row>
    <row r="79" spans="2:197" x14ac:dyDescent="0.2">
      <c r="B79" t="s">
        <v>123</v>
      </c>
      <c r="J79" s="64">
        <f t="shared" ref="J79:V79" si="288">J60/J58</f>
        <v>0.73930980486629738</v>
      </c>
      <c r="K79" s="64">
        <f t="shared" si="288"/>
        <v>0.73235178068634854</v>
      </c>
      <c r="L79" s="64">
        <f t="shared" si="288"/>
        <v>0.72475991913065463</v>
      </c>
      <c r="M79" s="64">
        <f t="shared" si="288"/>
        <v>0.73272302052168059</v>
      </c>
      <c r="N79" s="64">
        <f t="shared" si="288"/>
        <v>0.74005151506381495</v>
      </c>
      <c r="O79" s="64">
        <f t="shared" si="288"/>
        <v>0.75013167270812031</v>
      </c>
      <c r="P79" s="64">
        <f t="shared" si="288"/>
        <v>0.74846625766871167</v>
      </c>
      <c r="Q79" s="64">
        <f t="shared" si="288"/>
        <v>0.75506122118009567</v>
      </c>
      <c r="R79" s="64">
        <f t="shared" si="288"/>
        <v>0.81222054008379396</v>
      </c>
      <c r="S79" s="64">
        <f t="shared" si="288"/>
        <v>0.78222379603399439</v>
      </c>
      <c r="T79" s="64">
        <f t="shared" si="288"/>
        <v>0.76181506032714963</v>
      </c>
      <c r="U79" s="64">
        <f t="shared" si="288"/>
        <v>0.82123302764734796</v>
      </c>
      <c r="V79" s="64">
        <f t="shared" si="288"/>
        <v>0.80905231258532484</v>
      </c>
      <c r="W79" s="64">
        <v>0.75800000000000001</v>
      </c>
      <c r="X79" s="64">
        <v>0.75800000000000001</v>
      </c>
      <c r="Y79" s="64">
        <v>0.75800000000000001</v>
      </c>
      <c r="Z79" s="64">
        <v>0.75800000000000001</v>
      </c>
      <c r="AA79" s="64">
        <f t="shared" ref="AA79:AT79" si="289">AA60/AA58</f>
        <v>0.83310846723087617</v>
      </c>
      <c r="AB79" s="64">
        <f t="shared" si="289"/>
        <v>0.81472572601936055</v>
      </c>
      <c r="AC79" s="64">
        <f t="shared" si="289"/>
        <v>0.81087738223660555</v>
      </c>
      <c r="AD79" s="64">
        <f t="shared" si="289"/>
        <v>0.75879676440849342</v>
      </c>
      <c r="AE79" s="64">
        <f t="shared" si="289"/>
        <v>0.79536961079208823</v>
      </c>
      <c r="AF79" s="64">
        <f t="shared" si="289"/>
        <v>0.82189016647241986</v>
      </c>
      <c r="AG79" s="64">
        <f t="shared" si="289"/>
        <v>0.82535191341868852</v>
      </c>
      <c r="AH79" s="64">
        <f t="shared" si="289"/>
        <v>0.80084690974915962</v>
      </c>
      <c r="AI79" s="64">
        <f t="shared" si="289"/>
        <v>0.79790039731470075</v>
      </c>
      <c r="AJ79" s="64">
        <f t="shared" si="289"/>
        <v>0.80360798362333674</v>
      </c>
      <c r="AK79" s="64">
        <f t="shared" si="289"/>
        <v>0.78235552447097467</v>
      </c>
      <c r="AL79" s="64">
        <f t="shared" si="289"/>
        <v>0.78143965075322874</v>
      </c>
      <c r="AM79" s="64">
        <f t="shared" si="289"/>
        <v>0.78618092246180205</v>
      </c>
      <c r="AN79" s="64">
        <f t="shared" si="289"/>
        <v>0.79525042406927948</v>
      </c>
      <c r="AO79" s="64">
        <f t="shared" si="289"/>
        <v>0.77885163068442809</v>
      </c>
      <c r="AP79" s="64">
        <f t="shared" si="289"/>
        <v>0.79045876487670585</v>
      </c>
      <c r="AQ79" s="64">
        <f t="shared" si="289"/>
        <v>0.79323455908604068</v>
      </c>
      <c r="AR79" s="64">
        <f t="shared" si="289"/>
        <v>0.80349764743578933</v>
      </c>
      <c r="AS79" s="64">
        <f t="shared" si="289"/>
        <v>0.79245054221667877</v>
      </c>
      <c r="AT79" s="64">
        <f t="shared" si="289"/>
        <v>0.76131042556121742</v>
      </c>
      <c r="AU79" s="64">
        <f t="shared" ref="AU79:AV79" si="290">AU60/AU58</f>
        <v>0.73891225897375679</v>
      </c>
      <c r="AV79" s="64">
        <f t="shared" si="290"/>
        <v>0.75895534484155935</v>
      </c>
      <c r="AW79" s="64">
        <f t="shared" ref="AW79:AX79" si="291">AW60/AW58</f>
        <v>0.74013454754286656</v>
      </c>
      <c r="AX79" s="64">
        <f t="shared" si="291"/>
        <v>0.75531603303848638</v>
      </c>
      <c r="AY79" s="64">
        <f t="shared" ref="AY79" si="292">AY60/AY58</f>
        <v>0.74321269403836632</v>
      </c>
      <c r="AZ79" s="64">
        <f t="shared" ref="AZ79" si="293">AZ60/AZ58</f>
        <v>0.79233534858497201</v>
      </c>
      <c r="BA79" s="64">
        <f t="shared" ref="BA79" si="294">BA60/BA58</f>
        <v>0.75060991592233395</v>
      </c>
      <c r="BB79" s="64">
        <f t="shared" ref="BB79" si="295">BB60/BB58</f>
        <v>0.7415730337078652</v>
      </c>
      <c r="BC79" s="64">
        <f t="shared" ref="BC79:BD79" si="296">BC60/BC58</f>
        <v>0.72806314361472535</v>
      </c>
      <c r="BD79" s="64">
        <f t="shared" si="296"/>
        <v>0.75976909413854343</v>
      </c>
      <c r="BE79" s="64">
        <f t="shared" ref="BE79:BF79" si="297">BE60/BE58</f>
        <v>0.73016545640156405</v>
      </c>
      <c r="BF79" s="64">
        <f t="shared" si="297"/>
        <v>0.74550820241298499</v>
      </c>
      <c r="BG79" s="64">
        <f t="shared" ref="BG79:BH79" si="298">BG60/BG58</f>
        <v>0.74219153453321351</v>
      </c>
      <c r="BH79" s="64">
        <f t="shared" si="298"/>
        <v>0.73014782892364749</v>
      </c>
      <c r="BI79" s="64">
        <f t="shared" ref="BI79:BK79" si="299">BI60/BI58</f>
        <v>0.71963591375044178</v>
      </c>
      <c r="BJ79" s="64">
        <f t="shared" si="299"/>
        <v>0.73300112000259698</v>
      </c>
      <c r="BK79" s="64">
        <f t="shared" si="299"/>
        <v>0.72433333333333327</v>
      </c>
      <c r="BL79" s="64">
        <f t="shared" ref="BL79" si="300">BL60/BL58</f>
        <v>0.7320776686807654</v>
      </c>
      <c r="BM79" s="64">
        <f t="shared" ref="BM79" si="301">BM60/BM58</f>
        <v>0.74227552417558851</v>
      </c>
      <c r="BN79" s="64">
        <f t="shared" ref="BN79:BO79" si="302">BN60/BN58</f>
        <v>0.75247724660640514</v>
      </c>
      <c r="BO79" s="64">
        <f t="shared" si="302"/>
        <v>0.83078803710773974</v>
      </c>
      <c r="BP79" s="64">
        <f t="shared" ref="BP79:BQ79" si="303">BP60/BP58</f>
        <v>0.83896957330612731</v>
      </c>
      <c r="BQ79" s="64">
        <f t="shared" si="303"/>
        <v>0.82762819228457374</v>
      </c>
      <c r="BR79" s="64">
        <f t="shared" ref="BR79:BS79" si="304">BR60/BR58</f>
        <v>0.8321042281219273</v>
      </c>
      <c r="BS79" s="64">
        <f t="shared" si="304"/>
        <v>0.80263831530086338</v>
      </c>
      <c r="BT79" s="64">
        <f t="shared" ref="BT79:BZ79" si="305">BT60/BT58</f>
        <v>0.79648688947885227</v>
      </c>
      <c r="BU79" s="64">
        <f t="shared" si="305"/>
        <v>0.79098003692993768</v>
      </c>
      <c r="BV79" s="64">
        <f t="shared" si="305"/>
        <v>0.76884719291407366</v>
      </c>
      <c r="BW79" s="64">
        <f t="shared" si="305"/>
        <v>0.75440813447748922</v>
      </c>
      <c r="BX79" s="64">
        <f t="shared" si="305"/>
        <v>0.7925816023738872</v>
      </c>
      <c r="BY79" s="64">
        <f t="shared" si="305"/>
        <v>0.79007825188247449</v>
      </c>
      <c r="BZ79" s="64">
        <f t="shared" si="305"/>
        <v>0.74372179652245651</v>
      </c>
      <c r="CA79" s="64">
        <f>CA60/CA58</f>
        <v>0.76088654434642322</v>
      </c>
      <c r="CB79" s="64">
        <f t="shared" ref="CB79:CH79" si="306">CB60/CB58</f>
        <v>0.79820897362783039</v>
      </c>
      <c r="CC79" s="64">
        <f t="shared" si="306"/>
        <v>0.79</v>
      </c>
      <c r="CD79" s="64">
        <f t="shared" si="306"/>
        <v>0.79</v>
      </c>
      <c r="CE79" s="64">
        <f t="shared" si="306"/>
        <v>0.78435344827586195</v>
      </c>
      <c r="CF79" s="64">
        <f t="shared" si="306"/>
        <v>0.78999999999999992</v>
      </c>
      <c r="CG79" s="64">
        <f t="shared" si="306"/>
        <v>0.79</v>
      </c>
      <c r="CH79" s="64">
        <f t="shared" si="306"/>
        <v>0.79</v>
      </c>
      <c r="CI79" s="64"/>
      <c r="CJ79" s="64"/>
      <c r="CP79" s="64">
        <f>CP60/CP58</f>
        <v>0.76286689419795217</v>
      </c>
      <c r="CQ79" s="64">
        <f>CQ60/CQ58</f>
        <v>0.77818608040041815</v>
      </c>
      <c r="CR79" s="64">
        <v>0.78</v>
      </c>
      <c r="CS79" s="64">
        <f>CS60/CS58</f>
        <v>1.0500260329761233</v>
      </c>
      <c r="CT79" s="64">
        <f>CT60/CT58</f>
        <v>0.82263518056731488</v>
      </c>
      <c r="CU79" s="64">
        <f>CU60/CU58</f>
        <v>0.80057367839296967</v>
      </c>
      <c r="CV79" s="64">
        <f>CV60/CV58</f>
        <v>0.78775238406352488</v>
      </c>
      <c r="CW79" s="64">
        <f>CW60/CW58</f>
        <v>0.78199213689975688</v>
      </c>
      <c r="CX79" s="64"/>
      <c r="CY79" s="64"/>
      <c r="CZ79" s="64"/>
      <c r="DA79" s="64"/>
      <c r="DB79" s="64"/>
      <c r="DC79" s="64"/>
      <c r="DD79" s="64"/>
      <c r="DE79" s="64">
        <f t="shared" ref="DE79:DO79" si="307">DE60/DE58</f>
        <v>0.78828764583392763</v>
      </c>
      <c r="DF79" s="64">
        <f t="shared" si="307"/>
        <v>0.7690061267369388</v>
      </c>
      <c r="DG79" s="64">
        <f t="shared" si="307"/>
        <v>0.78389953787562938</v>
      </c>
      <c r="DH79" s="64">
        <f t="shared" si="307"/>
        <v>0.78845286566677442</v>
      </c>
      <c r="DI79" s="64">
        <f>DI60/DI58</f>
        <v>0.79</v>
      </c>
      <c r="DJ79" s="64">
        <f t="shared" si="307"/>
        <v>0.79000000000000015</v>
      </c>
      <c r="DK79" s="64">
        <f t="shared" si="307"/>
        <v>0.79</v>
      </c>
      <c r="DL79" s="64">
        <f t="shared" si="307"/>
        <v>0.79</v>
      </c>
      <c r="DM79" s="64">
        <f t="shared" si="307"/>
        <v>0.79</v>
      </c>
      <c r="DN79" s="64">
        <f t="shared" si="307"/>
        <v>0.79</v>
      </c>
      <c r="DO79" s="64">
        <f t="shared" si="307"/>
        <v>0.79</v>
      </c>
    </row>
    <row r="80" spans="2:197" x14ac:dyDescent="0.2">
      <c r="B80" t="s">
        <v>59</v>
      </c>
      <c r="J80" s="64">
        <f t="shared" ref="J80:AT80" si="308">J61/J58</f>
        <v>0.33064321850156586</v>
      </c>
      <c r="K80" s="64">
        <f t="shared" si="308"/>
        <v>0.33962346804642624</v>
      </c>
      <c r="L80" s="64">
        <f t="shared" si="308"/>
        <v>0.36204826889057362</v>
      </c>
      <c r="M80" s="64">
        <f t="shared" si="308"/>
        <v>0.33844970713412842</v>
      </c>
      <c r="N80" s="64">
        <f t="shared" si="308"/>
        <v>0.3443984603362949</v>
      </c>
      <c r="O80" s="64">
        <f t="shared" si="308"/>
        <v>0.35412213030950829</v>
      </c>
      <c r="P80" s="64">
        <f t="shared" si="308"/>
        <v>0.36167104878761319</v>
      </c>
      <c r="Q80" s="64">
        <f t="shared" si="308"/>
        <v>0.35200151363624077</v>
      </c>
      <c r="R80" s="64">
        <f t="shared" si="308"/>
        <v>0.25034327359785935</v>
      </c>
      <c r="S80" s="64">
        <f t="shared" si="308"/>
        <v>0.31558073654390933</v>
      </c>
      <c r="T80" s="64">
        <f t="shared" si="308"/>
        <v>0.36356049406266394</v>
      </c>
      <c r="U80" s="64">
        <f t="shared" si="308"/>
        <v>0.25050429711999733</v>
      </c>
      <c r="V80" s="64">
        <f t="shared" si="308"/>
        <v>0.26340819418815725</v>
      </c>
      <c r="W80" s="64">
        <f t="shared" si="308"/>
        <v>0.24840590855202022</v>
      </c>
      <c r="X80" s="64">
        <f t="shared" si="308"/>
        <v>0.25361378384426048</v>
      </c>
      <c r="Y80" s="64">
        <f t="shared" si="308"/>
        <v>0.24264002707116478</v>
      </c>
      <c r="Z80" s="64">
        <f t="shared" si="308"/>
        <v>0.32983398906055078</v>
      </c>
      <c r="AA80" s="64">
        <f t="shared" si="308"/>
        <v>0.31260476716137209</v>
      </c>
      <c r="AB80" s="64">
        <f t="shared" si="308"/>
        <v>0.33405690818421824</v>
      </c>
      <c r="AC80" s="64">
        <f t="shared" si="308"/>
        <v>0.30596907587198846</v>
      </c>
      <c r="AD80" s="64">
        <f t="shared" si="308"/>
        <v>0.32917087967644082</v>
      </c>
      <c r="AE80" s="64">
        <f t="shared" si="308"/>
        <v>0.29430316288396685</v>
      </c>
      <c r="AF80" s="64">
        <f t="shared" si="308"/>
        <v>0.3053559935289718</v>
      </c>
      <c r="AG80" s="64">
        <f t="shared" si="308"/>
        <v>0.2997276649925727</v>
      </c>
      <c r="AH80" s="64">
        <f t="shared" si="308"/>
        <v>0.32142164468580292</v>
      </c>
      <c r="AI80" s="64">
        <f t="shared" si="308"/>
        <v>0.30581244006028224</v>
      </c>
      <c r="AJ80" s="64">
        <f t="shared" si="308"/>
        <v>0.32673362333674522</v>
      </c>
      <c r="AK80" s="64">
        <f t="shared" si="308"/>
        <v>0.31193376815601565</v>
      </c>
      <c r="AL80" s="64">
        <f t="shared" si="308"/>
        <v>0.35278554065450696</v>
      </c>
      <c r="AM80" s="64">
        <f t="shared" si="308"/>
        <v>0.32976938454947874</v>
      </c>
      <c r="AN80" s="64">
        <f t="shared" si="308"/>
        <v>0.34480849924113921</v>
      </c>
      <c r="AO80" s="64">
        <f t="shared" si="308"/>
        <v>0.32290307762976572</v>
      </c>
      <c r="AP80" s="64">
        <f t="shared" si="308"/>
        <v>0.33194568008997366</v>
      </c>
      <c r="AQ80" s="64">
        <f t="shared" si="308"/>
        <v>0.29489468047126027</v>
      </c>
      <c r="AR80" s="64">
        <f t="shared" si="308"/>
        <v>0.3149569118167867</v>
      </c>
      <c r="AS80" s="64">
        <f t="shared" si="308"/>
        <v>0.28624883068288121</v>
      </c>
      <c r="AT80" s="64">
        <f t="shared" si="308"/>
        <v>0.3363173116650599</v>
      </c>
      <c r="AU80" s="64">
        <f t="shared" ref="AU80:AV80" si="309">AU61/AU58</f>
        <v>0.31707629561615169</v>
      </c>
      <c r="AV80" s="64">
        <f t="shared" si="309"/>
        <v>0.33712213307399302</v>
      </c>
      <c r="AW80" s="64">
        <f t="shared" ref="AW80:AX80" si="310">AW61/AW58</f>
        <v>0.34295266223644266</v>
      </c>
      <c r="AX80" s="64">
        <f t="shared" si="310"/>
        <v>0.35145373245074496</v>
      </c>
      <c r="AY80" s="64">
        <f t="shared" ref="AY80" si="311">AY61/AY58</f>
        <v>0.32800826748767414</v>
      </c>
      <c r="AZ80" s="64">
        <f t="shared" ref="AZ80" si="312">AZ61/AZ58</f>
        <v>0.32847932191134233</v>
      </c>
      <c r="BA80" s="64">
        <f t="shared" ref="BA80" si="313">BA61/BA58</f>
        <v>0.31770066737907537</v>
      </c>
      <c r="BB80" s="64">
        <f t="shared" ref="BB80" si="314">BB61/BB58</f>
        <v>0.33454870154029315</v>
      </c>
      <c r="BC80" s="64">
        <f t="shared" ref="BC80:BD80" si="315">BC61/BC58</f>
        <v>0.30295369057162236</v>
      </c>
      <c r="BD80" s="64">
        <f t="shared" si="315"/>
        <v>0.30021462403789223</v>
      </c>
      <c r="BE80" s="64">
        <f t="shared" ref="BE80:BF80" si="316">BE61/BE58</f>
        <v>0.30151973342065225</v>
      </c>
      <c r="BF80" s="64">
        <f t="shared" si="316"/>
        <v>0.31075427480253448</v>
      </c>
      <c r="BG80" s="64">
        <f t="shared" ref="BG80:BH80" si="317">BG61/BG58</f>
        <v>0.29984889925979763</v>
      </c>
      <c r="BH80" s="64">
        <f t="shared" si="317"/>
        <v>0.29710008069639271</v>
      </c>
      <c r="BI80" s="64">
        <f t="shared" ref="BI80:BK80" si="318">BI61/BI58</f>
        <v>0.27898550724637683</v>
      </c>
      <c r="BJ80" s="64">
        <f t="shared" si="318"/>
        <v>0.29274270780917755</v>
      </c>
      <c r="BK80" s="64">
        <f t="shared" si="318"/>
        <v>0.26315789473684209</v>
      </c>
      <c r="BL80" s="64">
        <f t="shared" ref="BL80" si="319">BL61/BL58</f>
        <v>0.26021210976837866</v>
      </c>
      <c r="BM80" s="64">
        <f t="shared" ref="BM80" si="320">BM61/BM58</f>
        <v>0.26668206337946848</v>
      </c>
      <c r="BN80" s="64">
        <f t="shared" ref="BN80:BO80" si="321">BN61/BN58</f>
        <v>0.28911564625850339</v>
      </c>
      <c r="BO80" s="64">
        <f t="shared" si="321"/>
        <v>0.25404400683211092</v>
      </c>
      <c r="BP80" s="64">
        <f t="shared" ref="BP80:BQ80" si="322">BP61/BP58</f>
        <v>0.23799735941907216</v>
      </c>
      <c r="BQ80" s="64">
        <f t="shared" si="322"/>
        <v>0.2176687267851363</v>
      </c>
      <c r="BR80" s="64">
        <f t="shared" ref="BR80:BS80" si="323">BR61/BR58</f>
        <v>0.23190483994318803</v>
      </c>
      <c r="BS80" s="64">
        <f t="shared" si="323"/>
        <v>0.26444588552510334</v>
      </c>
      <c r="BT80" s="64">
        <f t="shared" ref="BT80:BZ80" si="324">BT61/BT58</f>
        <v>0.26341055387860496</v>
      </c>
      <c r="BU80" s="64">
        <f t="shared" si="324"/>
        <v>0.27333379786085082</v>
      </c>
      <c r="BV80" s="64">
        <f t="shared" si="324"/>
        <v>0.20885471969462779</v>
      </c>
      <c r="BW80" s="64">
        <f t="shared" si="324"/>
        <v>0.23157399788409544</v>
      </c>
      <c r="BX80" s="64">
        <f t="shared" si="324"/>
        <v>0.25010385756676567</v>
      </c>
      <c r="BY80" s="64">
        <f t="shared" si="324"/>
        <v>0.23296914218219408</v>
      </c>
      <c r="BZ80" s="64">
        <f t="shared" si="324"/>
        <v>0.19900248753109415</v>
      </c>
      <c r="CA80" s="64">
        <f>CA61/CA58</f>
        <v>0.1994724779452248</v>
      </c>
      <c r="CB80" s="64">
        <f t="shared" ref="CB80:CH80" si="325">CB61/CB58</f>
        <v>0.27464973257910874</v>
      </c>
      <c r="CC80" s="64">
        <f t="shared" si="325"/>
        <v>0.22730743189708572</v>
      </c>
      <c r="CD80" s="64">
        <f t="shared" si="325"/>
        <v>0.21801051709027164</v>
      </c>
      <c r="CE80" s="64">
        <f t="shared" si="325"/>
        <v>0.2513218390804598</v>
      </c>
      <c r="CF80" s="64">
        <f t="shared" si="325"/>
        <v>0.30860017547207919</v>
      </c>
      <c r="CG80" s="64">
        <f t="shared" si="325"/>
        <v>0.26237353351252801</v>
      </c>
      <c r="CH80" s="64">
        <f t="shared" si="325"/>
        <v>0.23926468791363148</v>
      </c>
      <c r="CI80" s="64"/>
      <c r="CJ80" s="64"/>
      <c r="CL80" s="64">
        <f t="shared" ref="CL80:DE80" si="326">CL61/CL58</f>
        <v>0.29383437956832059</v>
      </c>
      <c r="CM80" s="64">
        <f t="shared" si="326"/>
        <v>0.30910896452107972</v>
      </c>
      <c r="CN80" s="64">
        <f t="shared" si="326"/>
        <v>0.32220897894318634</v>
      </c>
      <c r="CO80" s="64">
        <f t="shared" si="326"/>
        <v>0.30911321163143085</v>
      </c>
      <c r="CP80" s="64">
        <f t="shared" si="326"/>
        <v>0.30696245733788396</v>
      </c>
      <c r="CQ80" s="64">
        <f t="shared" si="326"/>
        <v>0.30107390629454817</v>
      </c>
      <c r="CR80" s="64">
        <f t="shared" si="326"/>
        <v>0.26468097532486495</v>
      </c>
      <c r="CS80" s="64">
        <f t="shared" si="326"/>
        <v>0.33758834028714957</v>
      </c>
      <c r="CT80" s="64">
        <f t="shared" si="326"/>
        <v>0.32861448926124026</v>
      </c>
      <c r="CU80" s="64">
        <f t="shared" si="326"/>
        <v>0.32216426568252204</v>
      </c>
      <c r="CV80" s="64">
        <f t="shared" si="326"/>
        <v>0.33001637538582668</v>
      </c>
      <c r="CW80" s="64">
        <f t="shared" si="326"/>
        <v>0.34149944321978049</v>
      </c>
      <c r="CX80" s="64">
        <f t="shared" si="326"/>
        <v>0.30882162063937763</v>
      </c>
      <c r="CY80" s="64">
        <f t="shared" si="326"/>
        <v>0.29110809763657503</v>
      </c>
      <c r="CZ80" s="64">
        <f t="shared" si="326"/>
        <v>0</v>
      </c>
      <c r="DA80" s="64">
        <f t="shared" si="326"/>
        <v>0</v>
      </c>
      <c r="DB80" s="64">
        <f t="shared" si="326"/>
        <v>0.29950786268217339</v>
      </c>
      <c r="DC80" s="64">
        <f t="shared" si="326"/>
        <v>0.27800343369205649</v>
      </c>
      <c r="DD80" s="64">
        <f t="shared" si="326"/>
        <v>0.2784035413138346</v>
      </c>
      <c r="DE80" s="64">
        <f t="shared" si="326"/>
        <v>0.24943866926923092</v>
      </c>
      <c r="DF80" s="64">
        <f>DF61/DF58</f>
        <v>0.22711654925225563</v>
      </c>
      <c r="DG80" s="64">
        <f t="shared" ref="DG80:DO80" si="327">DG61/DG58</f>
        <v>0.22807361756843397</v>
      </c>
      <c r="DH80" s="64">
        <f t="shared" si="327"/>
        <v>0.26380018236501496</v>
      </c>
      <c r="DI80" s="64">
        <f t="shared" si="327"/>
        <v>0.25</v>
      </c>
      <c r="DJ80" s="64">
        <f t="shared" si="327"/>
        <v>0.25</v>
      </c>
      <c r="DK80" s="64">
        <f t="shared" si="327"/>
        <v>0.25</v>
      </c>
      <c r="DL80" s="64">
        <f t="shared" si="327"/>
        <v>0.25</v>
      </c>
      <c r="DM80" s="64">
        <f t="shared" si="327"/>
        <v>0.25</v>
      </c>
      <c r="DN80" s="64">
        <f t="shared" si="327"/>
        <v>0.25</v>
      </c>
      <c r="DO80" s="64">
        <f t="shared" si="327"/>
        <v>0.25</v>
      </c>
    </row>
    <row r="81" spans="2:121" x14ac:dyDescent="0.2">
      <c r="B81" t="s">
        <v>60</v>
      </c>
      <c r="J81" s="64">
        <f t="shared" ref="J81:AT81" si="328">J62/J58</f>
        <v>0.21259937364490483</v>
      </c>
      <c r="K81" s="64">
        <f t="shared" si="328"/>
        <v>0.2187299766684323</v>
      </c>
      <c r="L81" s="64">
        <f t="shared" si="328"/>
        <v>0.24083901945918626</v>
      </c>
      <c r="M81" s="64">
        <f t="shared" si="328"/>
        <v>0.23734777295520629</v>
      </c>
      <c r="N81" s="64">
        <f t="shared" si="328"/>
        <v>0.23442248140537719</v>
      </c>
      <c r="O81" s="64">
        <f t="shared" si="328"/>
        <v>0.22957523933451063</v>
      </c>
      <c r="P81" s="64">
        <f t="shared" si="328"/>
        <v>0.22640958223780311</v>
      </c>
      <c r="Q81" s="64">
        <f t="shared" si="328"/>
        <v>0.21320647620077304</v>
      </c>
      <c r="R81" s="64">
        <f t="shared" si="328"/>
        <v>0.15667359081787136</v>
      </c>
      <c r="S81" s="64">
        <f t="shared" si="328"/>
        <v>0.19693106704438151</v>
      </c>
      <c r="T81" s="64">
        <f t="shared" si="328"/>
        <v>0.20372931470265629</v>
      </c>
      <c r="U81" s="64">
        <f t="shared" si="328"/>
        <v>0.14315257742444021</v>
      </c>
      <c r="V81" s="64">
        <f t="shared" si="328"/>
        <v>0.14306074380785214</v>
      </c>
      <c r="W81" s="64">
        <f t="shared" si="328"/>
        <v>0.14052036271588322</v>
      </c>
      <c r="X81" s="64">
        <f t="shared" si="328"/>
        <v>0.14194077720593723</v>
      </c>
      <c r="Y81" s="64">
        <f t="shared" si="328"/>
        <v>0.14021097853433181</v>
      </c>
      <c r="Z81" s="64">
        <f t="shared" si="328"/>
        <v>0.19884847903272238</v>
      </c>
      <c r="AA81" s="64">
        <f t="shared" si="328"/>
        <v>0.19365059896152745</v>
      </c>
      <c r="AB81" s="64">
        <f t="shared" si="328"/>
        <v>0.20346142563801703</v>
      </c>
      <c r="AC81" s="64">
        <f t="shared" si="328"/>
        <v>0.20174397698669541</v>
      </c>
      <c r="AD81" s="64">
        <f t="shared" si="328"/>
        <v>0.2050387596899225</v>
      </c>
      <c r="AE81" s="64">
        <f t="shared" si="328"/>
        <v>0.1894266703126424</v>
      </c>
      <c r="AF81" s="64">
        <f t="shared" si="328"/>
        <v>0.20651625584914851</v>
      </c>
      <c r="AG81" s="64">
        <f t="shared" si="328"/>
        <v>0.2157105467921058</v>
      </c>
      <c r="AH81" s="64">
        <f t="shared" si="328"/>
        <v>0.23243147142487713</v>
      </c>
      <c r="AI81" s="64">
        <f t="shared" si="328"/>
        <v>0.19249212220852172</v>
      </c>
      <c r="AJ81" s="64">
        <f t="shared" si="328"/>
        <v>0.20160568065506657</v>
      </c>
      <c r="AK81" s="64">
        <f t="shared" si="328"/>
        <v>0.20834078821099203</v>
      </c>
      <c r="AL81" s="64">
        <f t="shared" si="328"/>
        <v>0.22411654788087243</v>
      </c>
      <c r="AM81" s="64">
        <f t="shared" si="328"/>
        <v>0.20553691275167782</v>
      </c>
      <c r="AN81" s="64">
        <f t="shared" si="328"/>
        <v>0.23581823051513262</v>
      </c>
      <c r="AO81" s="64">
        <f t="shared" si="328"/>
        <v>0.24672485071198896</v>
      </c>
      <c r="AP81" s="64">
        <f t="shared" si="328"/>
        <v>0.2455978379467208</v>
      </c>
      <c r="AQ81" s="64">
        <f t="shared" si="328"/>
        <v>0.24064619778650481</v>
      </c>
      <c r="AR81" s="64">
        <f t="shared" si="328"/>
        <v>0.22436210938158763</v>
      </c>
      <c r="AS81" s="64">
        <f t="shared" si="328"/>
        <v>0.23860998510203374</v>
      </c>
      <c r="AT81" s="64">
        <f t="shared" si="328"/>
        <v>0.25399394022861865</v>
      </c>
      <c r="AU81" s="64">
        <f t="shared" ref="AU81:AV81" si="329">AU62/AU58</f>
        <v>0.23687301146676343</v>
      </c>
      <c r="AV81" s="64">
        <f t="shared" si="329"/>
        <v>0.24219952994570063</v>
      </c>
      <c r="AW81" s="64">
        <f t="shared" ref="AW81:AX81" si="330">AW62/AW58</f>
        <v>0.25498400196898841</v>
      </c>
      <c r="AX81" s="64">
        <f t="shared" si="330"/>
        <v>0.2315232460508074</v>
      </c>
      <c r="AY81" s="64">
        <f t="shared" ref="AY81" si="331">AY62/AY58</f>
        <v>0.22376041509677697</v>
      </c>
      <c r="AZ81" s="64">
        <f t="shared" ref="AZ81" si="332">AZ62/AZ58</f>
        <v>0.23490067688352381</v>
      </c>
      <c r="BA81" s="64">
        <f t="shared" ref="BA81" si="333">BA62/BA58</f>
        <v>0.230538137387342</v>
      </c>
      <c r="BB81" s="64">
        <f t="shared" ref="BB81" si="334">BB62/BB58</f>
        <v>0.26865838232011308</v>
      </c>
      <c r="BC81" s="64">
        <f t="shared" ref="BC81:BD81" si="335">BC62/BC58</f>
        <v>0.25097120305851883</v>
      </c>
      <c r="BD81" s="64">
        <f t="shared" si="335"/>
        <v>0.24716918294849025</v>
      </c>
      <c r="BE81" s="64">
        <f t="shared" ref="BE81:BF81" si="336">BE62/BE58</f>
        <v>0.23814935377621976</v>
      </c>
      <c r="BF81" s="64">
        <f t="shared" si="336"/>
        <v>0.25181841854005726</v>
      </c>
      <c r="BG81" s="64">
        <f t="shared" ref="BG81:BH81" si="337">BG62/BG58</f>
        <v>0.24067096379320235</v>
      </c>
      <c r="BH81" s="64">
        <f t="shared" si="337"/>
        <v>0.21841251309170198</v>
      </c>
      <c r="BI81" s="64">
        <f t="shared" ref="BI81:BK81" si="338">BI62/BI58</f>
        <v>0.23683280311063981</v>
      </c>
      <c r="BJ81" s="64">
        <f t="shared" si="338"/>
        <v>0.24135244371581155</v>
      </c>
      <c r="BK81" s="64">
        <f t="shared" si="338"/>
        <v>0.20647368421052634</v>
      </c>
      <c r="BL81" s="64">
        <f t="shared" ref="BL81" si="339">BL62/BL58</f>
        <v>0.20976523162134944</v>
      </c>
      <c r="BM81" s="64">
        <f t="shared" ref="BM81" si="340">BM62/BM58</f>
        <v>0.22159718900014846</v>
      </c>
      <c r="BN81" s="64">
        <f t="shared" ref="BN81:BO81" si="341">BN62/BN58</f>
        <v>0.22579442735998506</v>
      </c>
      <c r="BO81" s="64">
        <f t="shared" si="341"/>
        <v>0.20605177668374697</v>
      </c>
      <c r="BP81" s="64">
        <f t="shared" ref="BP81:BQ81" si="342">BP62/BP58</f>
        <v>0.21037628278221207</v>
      </c>
      <c r="BQ81" s="64">
        <f t="shared" si="342"/>
        <v>0.21282924648983556</v>
      </c>
      <c r="BR81" s="64">
        <f t="shared" ref="BR81:BS81" si="343">BR62/BR58</f>
        <v>0.21596744236862234</v>
      </c>
      <c r="BS81" s="64">
        <f t="shared" si="343"/>
        <v>0.23756783507969564</v>
      </c>
      <c r="BT81" s="64">
        <f t="shared" ref="BT81:BZ81" si="344">BT62/BT58</f>
        <v>0.25279121358693685</v>
      </c>
      <c r="BU81" s="64">
        <f t="shared" si="344"/>
        <v>0.25526948402606009</v>
      </c>
      <c r="BV81" s="64">
        <f t="shared" si="344"/>
        <v>0.24703969032674294</v>
      </c>
      <c r="BW81" s="64">
        <f t="shared" si="344"/>
        <v>0.24569472199365225</v>
      </c>
      <c r="BX81" s="64">
        <f t="shared" si="344"/>
        <v>0.24818991097922857</v>
      </c>
      <c r="BY81" s="64">
        <f t="shared" si="344"/>
        <v>0.25231064520891783</v>
      </c>
      <c r="BZ81" s="64">
        <f t="shared" si="344"/>
        <v>0.24492806160077002</v>
      </c>
      <c r="CA81" s="64">
        <f>CA62/CA58</f>
        <v>0.20615613116349343</v>
      </c>
      <c r="CB81" s="64">
        <f t="shared" ref="CB81:CH81" si="345">CB62/CB58</f>
        <v>0.25048166587031234</v>
      </c>
      <c r="CC81" s="64">
        <f t="shared" si="345"/>
        <v>0.2461788898972874</v>
      </c>
      <c r="CD81" s="64">
        <f t="shared" si="345"/>
        <v>0.26832274320771249</v>
      </c>
      <c r="CE81" s="64">
        <f t="shared" si="345"/>
        <v>0.28521551724137933</v>
      </c>
      <c r="CF81" s="64">
        <f t="shared" si="345"/>
        <v>0.2814446069699062</v>
      </c>
      <c r="CG81" s="64">
        <f t="shared" si="345"/>
        <v>0.28415624020505675</v>
      </c>
      <c r="CH81" s="64">
        <f t="shared" si="345"/>
        <v>0.29448192807661405</v>
      </c>
      <c r="CI81" s="64"/>
      <c r="CJ81" s="64"/>
      <c r="DC81" s="53"/>
      <c r="DD81" s="53"/>
    </row>
    <row r="82" spans="2:121" x14ac:dyDescent="0.2">
      <c r="B82" t="s">
        <v>206</v>
      </c>
      <c r="J82" s="64">
        <f t="shared" ref="J82:V82" si="346">J67/J66</f>
        <v>0.31935573451818922</v>
      </c>
      <c r="K82" s="64">
        <f t="shared" si="346"/>
        <v>0.31638030092874975</v>
      </c>
      <c r="L82" s="64">
        <f t="shared" si="346"/>
        <v>0.47611317254174368</v>
      </c>
      <c r="M82" s="64">
        <f t="shared" si="346"/>
        <v>0.38536054109824602</v>
      </c>
      <c r="N82" s="64">
        <f t="shared" si="346"/>
        <v>0.30359645025688908</v>
      </c>
      <c r="O82" s="64">
        <f t="shared" si="346"/>
        <v>0.3900210822206604</v>
      </c>
      <c r="P82" s="64">
        <f t="shared" si="346"/>
        <v>0.3674496644295302</v>
      </c>
      <c r="Q82" s="64">
        <f t="shared" si="346"/>
        <v>0.31622706422018343</v>
      </c>
      <c r="R82" s="64">
        <f t="shared" si="346"/>
        <v>9.6808646985944338E-2</v>
      </c>
      <c r="S82" s="64">
        <f t="shared" si="346"/>
        <v>0.21815718157181574</v>
      </c>
      <c r="T82" s="64">
        <f t="shared" si="346"/>
        <v>0.32179549902152643</v>
      </c>
      <c r="U82" s="64">
        <f t="shared" si="346"/>
        <v>0.10236373532384734</v>
      </c>
      <c r="V82" s="64">
        <f t="shared" si="346"/>
        <v>7.2875239357784644E-2</v>
      </c>
      <c r="W82" s="64">
        <v>0.22</v>
      </c>
      <c r="X82" s="64">
        <v>0.22</v>
      </c>
      <c r="Y82" s="64">
        <v>0.22</v>
      </c>
      <c r="Z82" s="64">
        <v>0.22</v>
      </c>
      <c r="AA82" s="64">
        <f t="shared" ref="AA82:AT82" si="347">AA67/AA66</f>
        <v>0.24231121580944903</v>
      </c>
      <c r="AB82" s="64">
        <f t="shared" si="347"/>
        <v>0.24831347782402755</v>
      </c>
      <c r="AC82" s="64">
        <f t="shared" si="347"/>
        <v>7.8861236336688664E-2</v>
      </c>
      <c r="AD82" s="64">
        <f t="shared" si="347"/>
        <v>0.21005613091944028</v>
      </c>
      <c r="AE82" s="64">
        <f t="shared" si="347"/>
        <v>0.27264573991031388</v>
      </c>
      <c r="AF82" s="64">
        <f t="shared" si="347"/>
        <v>0.22206943966998971</v>
      </c>
      <c r="AG82" s="64">
        <f t="shared" si="347"/>
        <v>0.21555204493593119</v>
      </c>
      <c r="AH82" s="64">
        <f t="shared" si="347"/>
        <v>0.16120365394948946</v>
      </c>
      <c r="AI82" s="64">
        <f t="shared" si="347"/>
        <v>0.20900931998619257</v>
      </c>
      <c r="AJ82" s="64">
        <f t="shared" si="347"/>
        <v>0.20076941572493406</v>
      </c>
      <c r="AK82" s="64">
        <f t="shared" si="347"/>
        <v>0.17926565874730019</v>
      </c>
      <c r="AL82" s="64">
        <f t="shared" si="347"/>
        <v>0.19874390546235837</v>
      </c>
      <c r="AM82" s="64">
        <f t="shared" si="347"/>
        <v>0.24435454211107024</v>
      </c>
      <c r="AN82" s="64">
        <f t="shared" si="347"/>
        <v>0.22108814846056535</v>
      </c>
      <c r="AO82" s="64">
        <f t="shared" si="347"/>
        <v>0.22108127084430404</v>
      </c>
      <c r="AP82" s="64">
        <f t="shared" si="347"/>
        <v>0.15225254850378164</v>
      </c>
      <c r="AQ82" s="64">
        <f t="shared" si="347"/>
        <v>0.27284418573169084</v>
      </c>
      <c r="AR82" s="64">
        <f t="shared" si="347"/>
        <v>0.1955778003041054</v>
      </c>
      <c r="AS82" s="64">
        <f t="shared" si="347"/>
        <v>0.20503502048367916</v>
      </c>
      <c r="AT82" s="64">
        <f t="shared" si="347"/>
        <v>0.18196328810853948</v>
      </c>
      <c r="AU82" s="64">
        <f t="shared" ref="AU82:AV82" si="348">AU67/AU66</f>
        <v>0.20106146630461597</v>
      </c>
      <c r="AV82" s="64">
        <f t="shared" si="348"/>
        <v>0.24843900096061469</v>
      </c>
      <c r="AW82" s="64">
        <f t="shared" ref="AW82:AX82" si="349">AW67/AW66</f>
        <v>0.25825275091697225</v>
      </c>
      <c r="AX82" s="64">
        <f t="shared" si="349"/>
        <v>0.11416689026026296</v>
      </c>
      <c r="AY82" s="64">
        <f t="shared" ref="AY82" si="350">AY67/AY66</f>
        <v>0.1109855618330195</v>
      </c>
      <c r="AZ82" s="64">
        <f t="shared" ref="AZ82" si="351">AZ67/AZ66</f>
        <v>6.2460417986067156E-2</v>
      </c>
      <c r="BA82" s="64">
        <f t="shared" ref="BA82" si="352">BA67/BA66</f>
        <v>0.27049716528565215</v>
      </c>
      <c r="BB82" s="64">
        <f t="shared" ref="BB82" si="353">BB67/BB66</f>
        <v>0</v>
      </c>
      <c r="BC82" s="64">
        <f t="shared" ref="BC82:BD82" si="354">BC67/BC66</f>
        <v>0.12718329652680183</v>
      </c>
      <c r="BD82" s="64">
        <f t="shared" si="354"/>
        <v>0.17466938847963084</v>
      </c>
      <c r="BE82" s="64">
        <f t="shared" ref="BE82:BF82" si="355">BE67/BE66</f>
        <v>0.20035350384695372</v>
      </c>
      <c r="BF82" s="64">
        <f t="shared" si="355"/>
        <v>0.11579961464354525</v>
      </c>
      <c r="BG82" s="64">
        <f t="shared" ref="BG82:BH82" si="356">BG67/BG66</f>
        <v>0.17621145374449337</v>
      </c>
      <c r="BH82" s="64">
        <f t="shared" si="356"/>
        <v>0.212238379423384</v>
      </c>
      <c r="BI82" s="64">
        <f t="shared" ref="BI82:BK82" si="357">BI67/BI66</f>
        <v>3.2629384573552078E-2</v>
      </c>
      <c r="BJ82" s="64">
        <f t="shared" si="357"/>
        <v>0</v>
      </c>
      <c r="BK82" s="64">
        <f t="shared" si="357"/>
        <v>0.16152568084952687</v>
      </c>
      <c r="BL82" s="64">
        <f t="shared" ref="BL82" si="358">BL67/BL66</f>
        <v>0.16262210481046876</v>
      </c>
      <c r="BM82" s="64">
        <f t="shared" ref="BM82" si="359">BM67/BM66</f>
        <v>0.16815638865667804</v>
      </c>
      <c r="BN82" s="64">
        <f t="shared" ref="BN82:BO82" si="360">BN67/BN66</f>
        <v>0</v>
      </c>
      <c r="BO82" s="64">
        <f t="shared" si="360"/>
        <v>8.4993975345259085E-2</v>
      </c>
      <c r="BP82" s="64">
        <f t="shared" ref="BP82:BQ82" si="361">BP67/BP66</f>
        <v>6.1507225606114879E-2</v>
      </c>
      <c r="BQ82" s="64">
        <f t="shared" si="361"/>
        <v>7.2428215233652379E-2</v>
      </c>
      <c r="BR82" s="64">
        <f t="shared" ref="BR82:BS82" si="362">BR67/BR66</f>
        <v>6.1300717738391679E-2</v>
      </c>
      <c r="BS82" s="64">
        <f t="shared" si="362"/>
        <v>0.14963763811334227</v>
      </c>
      <c r="BT82" s="64">
        <f t="shared" ref="BT82:BZ82" si="363">BT67/BT66</f>
        <v>0.15867689357622258</v>
      </c>
      <c r="BU82" s="64">
        <f t="shared" si="363"/>
        <v>0.18152418447694052</v>
      </c>
      <c r="BV82" s="64">
        <f t="shared" si="363"/>
        <v>0.15692650334075731</v>
      </c>
      <c r="BW82" s="64">
        <f t="shared" si="363"/>
        <v>7.4556151403134235E-2</v>
      </c>
      <c r="BX82" s="64">
        <f t="shared" si="363"/>
        <v>0.1070977917981074</v>
      </c>
      <c r="BY82" s="64">
        <f t="shared" si="363"/>
        <v>0.1475739883229315</v>
      </c>
      <c r="BZ82" s="64">
        <f t="shared" si="363"/>
        <v>4.903059026281776E-2</v>
      </c>
      <c r="CA82" s="64">
        <f>CA67/CA66</f>
        <v>9.7358034349109293E-2</v>
      </c>
      <c r="CB82" s="64">
        <f t="shared" ref="CB82:CH82" si="364">CB67/CB66</f>
        <v>9.9000475963826662E-2</v>
      </c>
      <c r="CC82" s="64">
        <f t="shared" si="364"/>
        <v>0.1</v>
      </c>
      <c r="CD82" s="64">
        <f t="shared" si="364"/>
        <v>0.1</v>
      </c>
      <c r="CE82" s="64">
        <f t="shared" si="364"/>
        <v>0.10940737670949038</v>
      </c>
      <c r="CF82" s="64">
        <f t="shared" si="364"/>
        <v>0.1</v>
      </c>
      <c r="CG82" s="64">
        <f t="shared" si="364"/>
        <v>0.1</v>
      </c>
      <c r="CH82" s="64">
        <f t="shared" si="364"/>
        <v>0.1</v>
      </c>
      <c r="CI82" s="64"/>
      <c r="CJ82" s="64"/>
      <c r="DC82" s="53"/>
      <c r="DD82" s="53"/>
      <c r="DG82" s="79">
        <f>+DG67/DG66</f>
        <v>0.10071086300219202</v>
      </c>
      <c r="DH82" s="79">
        <f t="shared" ref="DH82:DO82" si="365">+DH67/DH66</f>
        <v>0.10203682702966282</v>
      </c>
      <c r="DI82" s="79">
        <f t="shared" si="365"/>
        <v>0.2</v>
      </c>
      <c r="DJ82" s="79">
        <f t="shared" si="365"/>
        <v>0.2</v>
      </c>
      <c r="DK82" s="79">
        <f t="shared" si="365"/>
        <v>0.2</v>
      </c>
      <c r="DL82" s="79">
        <f t="shared" si="365"/>
        <v>0.2</v>
      </c>
      <c r="DM82" s="79">
        <f t="shared" si="365"/>
        <v>0.19999999999999998</v>
      </c>
      <c r="DN82" s="79">
        <f t="shared" si="365"/>
        <v>0.2</v>
      </c>
      <c r="DO82" s="79">
        <f t="shared" si="365"/>
        <v>0.2</v>
      </c>
      <c r="DP82" s="52" t="s">
        <v>271</v>
      </c>
      <c r="DQ82" s="66">
        <v>0.01</v>
      </c>
    </row>
    <row r="83" spans="2:121" x14ac:dyDescent="0.2">
      <c r="DP83" s="47" t="s">
        <v>243</v>
      </c>
      <c r="DQ83" s="63">
        <v>-0.01</v>
      </c>
    </row>
    <row r="84" spans="2:121" x14ac:dyDescent="0.2">
      <c r="B84" t="s">
        <v>187</v>
      </c>
      <c r="AD84" s="51">
        <f>4498-6662+1155.8</f>
        <v>-1008.2</v>
      </c>
      <c r="AE84" s="51">
        <f>+AD84+AE68</f>
        <v>289.39999999999986</v>
      </c>
      <c r="AI84" s="51">
        <f>+AI86-AI99</f>
        <v>1939.5</v>
      </c>
      <c r="AJ84" s="51">
        <f t="shared" ref="AJ84" si="366">+AJ86-AJ99</f>
        <v>2544.1999999999989</v>
      </c>
      <c r="AK84" s="51">
        <f t="shared" ref="AK84" si="367">+AK86-AK99</f>
        <v>2923.8999999999996</v>
      </c>
      <c r="AL84" s="51">
        <f>+AL86-AL99</f>
        <v>3939.9000000000015</v>
      </c>
      <c r="AM84" s="51">
        <f>+AM86-AM99</f>
        <v>4031.9000000000005</v>
      </c>
      <c r="AN84" s="51">
        <f>+AN86-AN99</f>
        <v>4299.8</v>
      </c>
      <c r="AO84" s="51">
        <f>+AO86-AO99</f>
        <v>6604.2000000000007</v>
      </c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1"/>
      <c r="BU84" s="51"/>
      <c r="BV84" s="51"/>
      <c r="BW84" s="51">
        <f t="shared" ref="BW84" si="368">+BW86-BW99</f>
        <v>-9920.7000000000007</v>
      </c>
      <c r="BX84" s="51">
        <f t="shared" ref="BX84" si="369">+BX86-BX99</f>
        <v>-9768.9999999999982</v>
      </c>
      <c r="BY84" s="51">
        <f>+BY86-BY99</f>
        <v>-9909.6000000000022</v>
      </c>
      <c r="BZ84" s="51">
        <f>+BZ86-BZ99</f>
        <v>-9763.5</v>
      </c>
      <c r="CA84" s="51">
        <f>+CA86-CA99</f>
        <v>-11213.199999999999</v>
      </c>
      <c r="CB84" s="51">
        <f>+CB86-CB99</f>
        <v>-11489.9</v>
      </c>
      <c r="CC84" s="51">
        <f t="shared" ref="CC84:CH84" si="370">+CB84+CC68</f>
        <v>-9512.4712999999992</v>
      </c>
      <c r="CD84" s="51">
        <f t="shared" si="370"/>
        <v>-7516.7248999999974</v>
      </c>
      <c r="CE84" s="51">
        <f t="shared" si="370"/>
        <v>-6012.4248999999991</v>
      </c>
      <c r="CF84" s="51">
        <f t="shared" si="370"/>
        <v>-4973.312782</v>
      </c>
      <c r="CG84" s="51">
        <f t="shared" si="370"/>
        <v>-3655.517887</v>
      </c>
      <c r="CH84" s="51">
        <f t="shared" si="370"/>
        <v>-2120.9836780000005</v>
      </c>
      <c r="CI84" s="51"/>
      <c r="CJ84" s="51"/>
      <c r="CR84" s="51"/>
      <c r="CS84" s="51"/>
      <c r="CT84" s="51"/>
      <c r="CU84" s="51"/>
      <c r="CV84" s="51"/>
      <c r="CW84" s="51"/>
      <c r="CX84" s="51"/>
      <c r="CY84" s="51"/>
      <c r="CZ84" s="51"/>
      <c r="DA84" s="51"/>
      <c r="DB84" s="51"/>
      <c r="DG84" s="49">
        <f>+CD84</f>
        <v>-7516.7248999999974</v>
      </c>
      <c r="DH84" s="49">
        <f>+DG84+DH68</f>
        <v>-2085.283677999998</v>
      </c>
      <c r="DI84" s="49">
        <f t="shared" ref="DI84:DO84" si="371">+DH84+DI68</f>
        <v>10320.297386976001</v>
      </c>
      <c r="DJ84" s="49">
        <f t="shared" si="371"/>
        <v>23845.304999207809</v>
      </c>
      <c r="DK84" s="49">
        <f t="shared" si="371"/>
        <v>38634.909658631237</v>
      </c>
      <c r="DL84" s="49">
        <f t="shared" si="371"/>
        <v>54201.130457335428</v>
      </c>
      <c r="DM84" s="49">
        <f t="shared" si="371"/>
        <v>71489.790652539334</v>
      </c>
      <c r="DN84" s="49">
        <f t="shared" si="371"/>
        <v>90080.101206583087</v>
      </c>
      <c r="DO84" s="49">
        <f t="shared" si="371"/>
        <v>104922.84976238412</v>
      </c>
      <c r="DP84" s="47" t="s">
        <v>242</v>
      </c>
      <c r="DQ84" s="63">
        <v>7.0000000000000007E-2</v>
      </c>
    </row>
    <row r="85" spans="2:121" x14ac:dyDescent="0.2">
      <c r="DP85" s="47" t="s">
        <v>244</v>
      </c>
      <c r="DQ85" s="51">
        <f>NPV(DQ84,DH68:GO68)+Main!J5-Main!J6</f>
        <v>176233.00067496923</v>
      </c>
    </row>
    <row r="86" spans="2:121" s="49" customFormat="1" x14ac:dyDescent="0.2">
      <c r="B86" s="49" t="s">
        <v>174</v>
      </c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>
        <f>5993.2+733.8+1779.5</f>
        <v>8506.5</v>
      </c>
      <c r="AI86" s="51">
        <f>6506.4+206.7+1898.7</f>
        <v>8611.7999999999993</v>
      </c>
      <c r="AJ86" s="51">
        <f>6113.5+216.3+2943</f>
        <v>9272.7999999999993</v>
      </c>
      <c r="AK86" s="51">
        <f>6597.7+186.6+3219.6</f>
        <v>10003.9</v>
      </c>
      <c r="AL86" s="51">
        <f>5922.5+974.6+4029.8</f>
        <v>10926.900000000001</v>
      </c>
      <c r="AM86" s="51">
        <f>4122.2+802.4+4521.1</f>
        <v>9445.7000000000007</v>
      </c>
      <c r="AN86" s="51">
        <f>4345.8+915.7+4547.6</f>
        <v>9809.1</v>
      </c>
      <c r="AO86" s="51">
        <f>5319.2+1580.7+5224.3</f>
        <v>12124.2</v>
      </c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51"/>
      <c r="BW86" s="51">
        <f>3002.4+49+3232.4</f>
        <v>6283.8</v>
      </c>
      <c r="BX86" s="51">
        <f>3220+51.2+3474.9</f>
        <v>6746.1</v>
      </c>
      <c r="BY86" s="51">
        <f>3788.2+37.1+3350.5</f>
        <v>7175.7999999999993</v>
      </c>
      <c r="BZ86" s="51">
        <f>3818.5+90.1+3212.6</f>
        <v>7121.2</v>
      </c>
      <c r="CA86" s="51">
        <f>2459.2+109.1+2727.3</f>
        <v>5295.6</v>
      </c>
      <c r="CB86" s="51">
        <f>2622.9+113.8+2587.2</f>
        <v>5323.9</v>
      </c>
      <c r="CC86" s="51"/>
      <c r="CD86" s="51"/>
      <c r="CE86" s="51"/>
      <c r="CF86" s="51"/>
      <c r="CG86" s="51"/>
      <c r="CH86" s="51"/>
      <c r="CI86" s="51"/>
      <c r="CJ86" s="51"/>
      <c r="CL86" s="51"/>
      <c r="CM86" s="51"/>
      <c r="CN86" s="51"/>
      <c r="CO86" s="51"/>
      <c r="CP86" s="51"/>
      <c r="CQ86" s="51"/>
      <c r="CR86" s="51"/>
      <c r="CS86" s="51"/>
      <c r="CT86" s="51"/>
      <c r="CU86" s="51"/>
      <c r="CV86" s="51"/>
      <c r="CW86" s="51"/>
      <c r="CX86" s="51"/>
      <c r="CY86" s="51"/>
      <c r="CZ86" s="51"/>
      <c r="DA86" s="51"/>
      <c r="DB86" s="51"/>
      <c r="DP86" s="60" t="s">
        <v>266</v>
      </c>
      <c r="DQ86" s="65">
        <f>+DQ85/Main!J3</f>
        <v>195.17686742748046</v>
      </c>
    </row>
    <row r="87" spans="2:121" s="49" customFormat="1" x14ac:dyDescent="0.2">
      <c r="B87" s="50" t="s">
        <v>287</v>
      </c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>
        <v>3493.8</v>
      </c>
      <c r="AI87" s="51">
        <v>3694.3</v>
      </c>
      <c r="AJ87" s="51">
        <v>3833.6</v>
      </c>
      <c r="AK87" s="51">
        <v>3533.2</v>
      </c>
      <c r="AL87" s="51">
        <v>3597.7</v>
      </c>
      <c r="AM87" s="51">
        <v>3402.1</v>
      </c>
      <c r="AN87" s="51">
        <v>3181.7</v>
      </c>
      <c r="AO87" s="51">
        <v>3268.2</v>
      </c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>
        <v>5592.8</v>
      </c>
      <c r="BX87" s="51">
        <v>5829.4</v>
      </c>
      <c r="BY87" s="51">
        <v>5914.3</v>
      </c>
      <c r="BZ87" s="51">
        <v>6672.8</v>
      </c>
      <c r="CA87" s="51">
        <v>6322.5</v>
      </c>
      <c r="CB87" s="51">
        <v>6364.5</v>
      </c>
      <c r="CC87" s="51"/>
      <c r="CD87" s="51"/>
      <c r="CE87" s="51"/>
      <c r="CF87" s="51"/>
      <c r="CG87" s="51"/>
      <c r="CH87" s="51"/>
      <c r="CI87" s="51"/>
      <c r="CJ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  <c r="CY87" s="51"/>
      <c r="CZ87" s="51"/>
      <c r="DA87" s="51"/>
      <c r="DB87" s="51"/>
    </row>
    <row r="88" spans="2:121" s="49" customFormat="1" x14ac:dyDescent="0.2">
      <c r="B88" s="50" t="s">
        <v>288</v>
      </c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>
        <v>664.3</v>
      </c>
      <c r="AI88" s="51">
        <v>488.8</v>
      </c>
      <c r="AJ88" s="51">
        <v>612.9</v>
      </c>
      <c r="AK88" s="51">
        <v>564.4</v>
      </c>
      <c r="AL88" s="51">
        <v>640.20000000000005</v>
      </c>
      <c r="AM88" s="51">
        <v>529.20000000000005</v>
      </c>
      <c r="AN88" s="51">
        <v>590</v>
      </c>
      <c r="AO88" s="51">
        <v>527.29999999999995</v>
      </c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>
        <v>1065.8</v>
      </c>
      <c r="BX88" s="51">
        <v>1073.4000000000001</v>
      </c>
      <c r="BY88" s="51">
        <v>1110.7</v>
      </c>
      <c r="BZ88" s="51">
        <v>1454.4</v>
      </c>
      <c r="CA88" s="51">
        <v>1483.2</v>
      </c>
      <c r="CB88" s="51">
        <v>1307.9000000000001</v>
      </c>
      <c r="CC88" s="51"/>
      <c r="CD88" s="51"/>
      <c r="CE88" s="51"/>
      <c r="CF88" s="51"/>
      <c r="CG88" s="51"/>
      <c r="CH88" s="51"/>
      <c r="CI88" s="51"/>
      <c r="CJ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  <c r="CY88" s="51"/>
      <c r="CZ88" s="51"/>
      <c r="DA88" s="51"/>
      <c r="DB88" s="51"/>
    </row>
    <row r="89" spans="2:121" s="49" customFormat="1" x14ac:dyDescent="0.2">
      <c r="B89" s="50" t="s">
        <v>289</v>
      </c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>
        <v>2517.6999999999998</v>
      </c>
      <c r="AI89" s="51">
        <v>2767.2</v>
      </c>
      <c r="AJ89" s="51">
        <v>2870.2</v>
      </c>
      <c r="AK89" s="51">
        <v>2513.3000000000002</v>
      </c>
      <c r="AL89" s="51">
        <v>2299.8000000000002</v>
      </c>
      <c r="AM89" s="51">
        <v>2424.1999999999998</v>
      </c>
      <c r="AN89" s="51">
        <v>2320.8000000000002</v>
      </c>
      <c r="AO89" s="51">
        <v>2553.4</v>
      </c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>
        <v>3660.8</v>
      </c>
      <c r="BX89" s="51">
        <v>3824.9</v>
      </c>
      <c r="BY89" s="51">
        <v>3907.4</v>
      </c>
      <c r="BZ89" s="51">
        <v>3886</v>
      </c>
      <c r="CA89" s="51">
        <v>3893</v>
      </c>
      <c r="CB89" s="51">
        <v>3899.4</v>
      </c>
      <c r="CC89" s="51"/>
      <c r="CD89" s="51"/>
      <c r="CE89" s="51"/>
      <c r="CF89" s="51"/>
      <c r="CG89" s="51"/>
      <c r="CH89" s="51"/>
      <c r="CI89" s="51"/>
      <c r="CJ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  <c r="CY89" s="51"/>
      <c r="CZ89" s="51"/>
      <c r="DA89" s="51"/>
      <c r="DB89" s="51"/>
    </row>
    <row r="90" spans="2:121" s="49" customFormat="1" x14ac:dyDescent="0.2">
      <c r="B90" s="50" t="s">
        <v>290</v>
      </c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>
        <v>828.3</v>
      </c>
      <c r="AI90" s="51">
        <v>550.1</v>
      </c>
      <c r="AJ90" s="51">
        <v>436.5</v>
      </c>
      <c r="AK90" s="51">
        <v>378.4</v>
      </c>
      <c r="AL90" s="51">
        <v>158.5</v>
      </c>
      <c r="AM90" s="51">
        <v>324</v>
      </c>
      <c r="AN90" s="51">
        <v>0</v>
      </c>
      <c r="AO90" s="51">
        <v>0</v>
      </c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>
        <v>3233.7</v>
      </c>
      <c r="BX90" s="51">
        <v>3296.6</v>
      </c>
      <c r="BY90" s="51">
        <v>3050.6</v>
      </c>
      <c r="BZ90" s="51">
        <v>2530.6</v>
      </c>
      <c r="CA90" s="51">
        <v>2697.7</v>
      </c>
      <c r="CB90" s="51">
        <v>2806.7</v>
      </c>
      <c r="CC90" s="51"/>
      <c r="CD90" s="51"/>
      <c r="CE90" s="51"/>
      <c r="CF90" s="51"/>
      <c r="CG90" s="51"/>
      <c r="CH90" s="51"/>
      <c r="CI90" s="51"/>
      <c r="CJ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  <c r="CY90" s="51"/>
      <c r="CZ90" s="51"/>
      <c r="DA90" s="51"/>
      <c r="DB90" s="51"/>
    </row>
    <row r="91" spans="2:121" s="49" customFormat="1" x14ac:dyDescent="0.2">
      <c r="B91" s="50" t="s">
        <v>291</v>
      </c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>
        <v>608.9</v>
      </c>
      <c r="AI91" s="51">
        <v>1140.8</v>
      </c>
      <c r="AJ91" s="51">
        <v>867.3</v>
      </c>
      <c r="AK91" s="51">
        <v>799.1</v>
      </c>
      <c r="AL91" s="51">
        <v>654.9</v>
      </c>
      <c r="AM91" s="51">
        <v>998.5</v>
      </c>
      <c r="AN91" s="51">
        <v>953.3</v>
      </c>
      <c r="AO91" s="51">
        <v>790.1</v>
      </c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51"/>
      <c r="BX91" s="51"/>
      <c r="BY91" s="51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L91" s="51"/>
      <c r="CM91" s="51"/>
      <c r="CN91" s="51"/>
      <c r="CO91" s="51"/>
      <c r="CP91" s="51"/>
      <c r="CQ91" s="51"/>
      <c r="CR91" s="51"/>
      <c r="CS91" s="51"/>
      <c r="CT91" s="51"/>
      <c r="CU91" s="51"/>
      <c r="CV91" s="51"/>
      <c r="CW91" s="51"/>
      <c r="CX91" s="51"/>
      <c r="CY91" s="51"/>
      <c r="CZ91" s="51"/>
      <c r="DA91" s="51"/>
      <c r="DB91" s="51"/>
    </row>
    <row r="92" spans="2:121" s="49" customFormat="1" x14ac:dyDescent="0.2">
      <c r="B92" s="50" t="s">
        <v>292</v>
      </c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>
        <v>4818.8</v>
      </c>
      <c r="AI92" s="51">
        <v>4731.3</v>
      </c>
      <c r="AJ92" s="51">
        <v>4955.3999999999996</v>
      </c>
      <c r="AK92" s="51">
        <v>5221.8999999999996</v>
      </c>
      <c r="AL92" s="51">
        <v>5128.1000000000004</v>
      </c>
      <c r="AM92" s="51">
        <v>5266.7</v>
      </c>
      <c r="AN92" s="51">
        <v>5142.8</v>
      </c>
      <c r="AO92" s="51">
        <v>5031.1000000000004</v>
      </c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51">
        <f>3877.4+8087.8</f>
        <v>11965.2</v>
      </c>
      <c r="BX92" s="51">
        <f>3884.2+7985.4</f>
        <v>11869.599999999999</v>
      </c>
      <c r="BY92" s="51">
        <f>3884.1+7887.7</f>
        <v>11771.8</v>
      </c>
      <c r="BZ92" s="51">
        <f>3892+7691.9</f>
        <v>11583.9</v>
      </c>
      <c r="CA92" s="51">
        <f>3892+7482.4</f>
        <v>11374.4</v>
      </c>
      <c r="CB92" s="51">
        <f>3891.8+7497.7</f>
        <v>11389.5</v>
      </c>
      <c r="CC92" s="51"/>
      <c r="CD92" s="51"/>
      <c r="CE92" s="51"/>
      <c r="CF92" s="51"/>
      <c r="CG92" s="51"/>
      <c r="CH92" s="51"/>
      <c r="CI92" s="51"/>
      <c r="CJ92" s="51"/>
      <c r="CL92" s="51"/>
      <c r="CM92" s="51"/>
      <c r="CN92" s="51"/>
      <c r="CO92" s="51"/>
      <c r="CP92" s="51"/>
      <c r="CQ92" s="51"/>
      <c r="CR92" s="51"/>
      <c r="CS92" s="51"/>
      <c r="CT92" s="51"/>
      <c r="CU92" s="51"/>
      <c r="CV92" s="51"/>
      <c r="CW92" s="51"/>
      <c r="CX92" s="51"/>
      <c r="CY92" s="51"/>
      <c r="CZ92" s="51"/>
      <c r="DA92" s="51"/>
      <c r="DB92" s="51"/>
    </row>
    <row r="93" spans="2:121" s="49" customFormat="1" x14ac:dyDescent="0.2">
      <c r="B93" s="50" t="s">
        <v>388</v>
      </c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1"/>
      <c r="BU93" s="51"/>
      <c r="BV93" s="51"/>
      <c r="BW93" s="51">
        <v>2649.9</v>
      </c>
      <c r="BX93" s="51">
        <v>2674.9</v>
      </c>
      <c r="BY93" s="51">
        <v>2625.6</v>
      </c>
      <c r="BZ93" s="51">
        <v>2489.3000000000002</v>
      </c>
      <c r="CA93" s="51">
        <v>2464.9</v>
      </c>
      <c r="CB93" s="51">
        <v>2371.9</v>
      </c>
      <c r="CC93" s="51"/>
      <c r="CD93" s="51"/>
      <c r="CE93" s="51"/>
      <c r="CF93" s="51"/>
      <c r="CG93" s="51"/>
      <c r="CH93" s="51"/>
      <c r="CI93" s="51"/>
      <c r="CJ93" s="51"/>
      <c r="CL93" s="51"/>
      <c r="CM93" s="51"/>
      <c r="CN93" s="51"/>
      <c r="CO93" s="51"/>
      <c r="CP93" s="51"/>
      <c r="CQ93" s="51"/>
      <c r="CR93" s="51"/>
      <c r="CS93" s="51"/>
      <c r="CT93" s="51"/>
      <c r="CU93" s="51"/>
      <c r="CV93" s="51"/>
      <c r="CW93" s="51"/>
      <c r="CX93" s="51"/>
      <c r="CY93" s="51"/>
      <c r="CZ93" s="51"/>
      <c r="DA93" s="51"/>
      <c r="DB93" s="51"/>
    </row>
    <row r="94" spans="2:121" s="49" customFormat="1" x14ac:dyDescent="0.2">
      <c r="B94" s="50" t="s">
        <v>293</v>
      </c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>
        <v>1622.4</v>
      </c>
      <c r="AI94" s="51">
        <v>1743.3</v>
      </c>
      <c r="AJ94" s="51">
        <v>1976.9</v>
      </c>
      <c r="AK94" s="51">
        <v>2215.8000000000002</v>
      </c>
      <c r="AL94" s="51">
        <v>2493.4</v>
      </c>
      <c r="AM94" s="51">
        <v>2093.1999999999998</v>
      </c>
      <c r="AN94" s="51">
        <v>2195</v>
      </c>
      <c r="AO94" s="51">
        <v>2387.8000000000002</v>
      </c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1"/>
      <c r="BU94" s="51"/>
      <c r="BV94" s="51"/>
      <c r="BW94" s="51">
        <v>0</v>
      </c>
      <c r="BX94" s="51">
        <v>0</v>
      </c>
      <c r="BY94" s="51">
        <v>0</v>
      </c>
      <c r="BZ94" s="51">
        <v>0</v>
      </c>
      <c r="CA94" s="51">
        <v>0</v>
      </c>
      <c r="CB94" s="51">
        <v>0</v>
      </c>
      <c r="CC94" s="51"/>
      <c r="CD94" s="51"/>
      <c r="CE94" s="51"/>
      <c r="CF94" s="51"/>
      <c r="CG94" s="51"/>
      <c r="CH94" s="51"/>
      <c r="CI94" s="51"/>
      <c r="CJ94" s="51"/>
      <c r="CL94" s="51"/>
      <c r="CM94" s="51"/>
      <c r="CN94" s="51"/>
      <c r="CO94" s="51"/>
      <c r="CP94" s="51"/>
      <c r="CQ94" s="51"/>
      <c r="CR94" s="51"/>
      <c r="CS94" s="51"/>
      <c r="CT94" s="51"/>
      <c r="CU94" s="51"/>
      <c r="CV94" s="51"/>
      <c r="CW94" s="51"/>
      <c r="CX94" s="51"/>
      <c r="CY94" s="51"/>
      <c r="CZ94" s="51"/>
      <c r="DA94" s="51"/>
      <c r="DB94" s="51"/>
    </row>
    <row r="95" spans="2:121" s="49" customFormat="1" x14ac:dyDescent="0.2">
      <c r="B95" s="50" t="s">
        <v>294</v>
      </c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>
        <v>7940.7</v>
      </c>
      <c r="AI95" s="51">
        <v>7967.7</v>
      </c>
      <c r="AJ95" s="51">
        <v>7953.7</v>
      </c>
      <c r="AK95" s="51">
        <v>7812.2</v>
      </c>
      <c r="AL95" s="51">
        <v>7760.3</v>
      </c>
      <c r="AM95" s="51">
        <v>7754.6</v>
      </c>
      <c r="AN95" s="51">
        <v>7619.9</v>
      </c>
      <c r="AO95" s="51">
        <v>7638.9</v>
      </c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  <c r="BB95" s="51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1"/>
      <c r="BU95" s="51"/>
      <c r="BV95" s="51"/>
      <c r="BW95" s="51">
        <v>8630.1</v>
      </c>
      <c r="BX95" s="51">
        <v>8855.5</v>
      </c>
      <c r="BY95" s="51">
        <v>8920.4</v>
      </c>
      <c r="BZ95" s="51">
        <v>8985.1</v>
      </c>
      <c r="CA95" s="51">
        <v>9102.7000000000007</v>
      </c>
      <c r="CB95" s="51">
        <v>9128.2000000000007</v>
      </c>
      <c r="CC95" s="51"/>
      <c r="CD95" s="51"/>
      <c r="CE95" s="51"/>
      <c r="CF95" s="51"/>
      <c r="CG95" s="51"/>
      <c r="CH95" s="51"/>
      <c r="CI95" s="51"/>
      <c r="CJ95" s="51"/>
      <c r="CL95" s="51"/>
      <c r="CM95" s="51"/>
      <c r="CN95" s="51"/>
      <c r="CO95" s="51"/>
      <c r="CP95" s="51"/>
      <c r="CQ95" s="51"/>
      <c r="CR95" s="51"/>
      <c r="CS95" s="51"/>
      <c r="CT95" s="51"/>
      <c r="CU95" s="51"/>
      <c r="CV95" s="51"/>
      <c r="CW95" s="51"/>
      <c r="CX95" s="51"/>
      <c r="CY95" s="51"/>
      <c r="CZ95" s="51"/>
      <c r="DA95" s="51"/>
      <c r="DB95" s="51"/>
    </row>
    <row r="96" spans="2:121" s="49" customFormat="1" x14ac:dyDescent="0.2">
      <c r="B96" s="50" t="s">
        <v>389</v>
      </c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1"/>
      <c r="BU96" s="51"/>
      <c r="BV96" s="51"/>
      <c r="BW96" s="51">
        <v>3756.2</v>
      </c>
      <c r="BX96" s="51">
        <v>3638.6</v>
      </c>
      <c r="BY96" s="51">
        <v>3710.4</v>
      </c>
      <c r="BZ96" s="51">
        <v>4082.7</v>
      </c>
      <c r="CA96" s="51">
        <v>4285.3</v>
      </c>
      <c r="CB96" s="51">
        <v>4471.6000000000004</v>
      </c>
      <c r="CC96" s="51"/>
      <c r="CD96" s="51"/>
      <c r="CE96" s="51"/>
      <c r="CF96" s="51"/>
      <c r="CG96" s="51"/>
      <c r="CH96" s="51"/>
      <c r="CI96" s="51"/>
      <c r="CJ96" s="51"/>
      <c r="CL96" s="51"/>
      <c r="CM96" s="51"/>
      <c r="CN96" s="51"/>
      <c r="CO96" s="51"/>
      <c r="CP96" s="51"/>
      <c r="CQ96" s="51"/>
      <c r="CR96" s="51"/>
      <c r="CS96" s="51"/>
      <c r="CT96" s="51"/>
      <c r="CU96" s="51"/>
      <c r="CV96" s="51"/>
      <c r="CW96" s="51"/>
      <c r="CX96" s="51"/>
      <c r="CY96" s="51"/>
      <c r="CZ96" s="51"/>
      <c r="DA96" s="51"/>
      <c r="DB96" s="51"/>
    </row>
    <row r="97" spans="2:106" s="49" customFormat="1" x14ac:dyDescent="0.2">
      <c r="B97" s="50" t="s">
        <v>295</v>
      </c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>
        <f>SUM(AH86:AH95)</f>
        <v>31001.4</v>
      </c>
      <c r="AI97" s="51">
        <f>SUM(AI86:AI95)</f>
        <v>31695.3</v>
      </c>
      <c r="AJ97" s="51">
        <f t="shared" ref="AJ97" si="372">SUM(AJ86:AJ95)</f>
        <v>32779.299999999996</v>
      </c>
      <c r="AK97" s="51">
        <f>SUM(AK86:AK95)</f>
        <v>33042.199999999997</v>
      </c>
      <c r="AL97" s="51">
        <f>SUM(AL86:AL95)</f>
        <v>33659.80000000001</v>
      </c>
      <c r="AM97" s="51">
        <f>SUM(AM86:AM95)</f>
        <v>32238.200000000004</v>
      </c>
      <c r="AN97" s="51">
        <f>SUM(AN86:AN95)</f>
        <v>31812.6</v>
      </c>
      <c r="AO97" s="51">
        <f>SUM(AO86:AO95)</f>
        <v>34321</v>
      </c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1"/>
      <c r="BU97" s="51"/>
      <c r="BV97" s="51"/>
      <c r="BW97" s="51">
        <f t="shared" ref="BW97" si="373">SUM(BW86:BW96)</f>
        <v>46838.299999999996</v>
      </c>
      <c r="BX97" s="51">
        <f t="shared" ref="BX97" si="374">SUM(BX86:BX96)</f>
        <v>47808.999999999993</v>
      </c>
      <c r="BY97" s="51">
        <f>SUM(BY86:BY96)</f>
        <v>48187</v>
      </c>
      <c r="BZ97" s="51">
        <f>SUM(BZ86:BZ96)</f>
        <v>48806</v>
      </c>
      <c r="CA97" s="51">
        <f>SUM(CA86:CA96)</f>
        <v>46919.3</v>
      </c>
      <c r="CB97" s="51">
        <f>SUM(CB86:CB96)</f>
        <v>47063.6</v>
      </c>
      <c r="CC97" s="51"/>
      <c r="CD97" s="51"/>
      <c r="CE97" s="51"/>
      <c r="CF97" s="51"/>
      <c r="CG97" s="51"/>
      <c r="CH97" s="51"/>
      <c r="CI97" s="51"/>
      <c r="CJ97" s="51"/>
      <c r="CL97" s="51"/>
      <c r="CM97" s="51"/>
      <c r="CN97" s="51"/>
      <c r="CO97" s="51"/>
      <c r="CP97" s="51"/>
      <c r="CQ97" s="51"/>
      <c r="CR97" s="51"/>
      <c r="CS97" s="51"/>
      <c r="CT97" s="51"/>
      <c r="CU97" s="51"/>
      <c r="CV97" s="51"/>
      <c r="CW97" s="51"/>
      <c r="CX97" s="51"/>
      <c r="CY97" s="51"/>
      <c r="CZ97" s="51"/>
      <c r="DA97" s="51"/>
      <c r="DB97" s="51"/>
    </row>
    <row r="99" spans="2:106" s="49" customFormat="1" x14ac:dyDescent="0.2">
      <c r="B99" s="50" t="s">
        <v>175</v>
      </c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>
        <f>156+6770.5</f>
        <v>6926.5</v>
      </c>
      <c r="AI99" s="51">
        <f>1539.9+5132.4</f>
        <v>6672.2999999999993</v>
      </c>
      <c r="AJ99" s="51">
        <f>1528.5+5200.1</f>
        <v>6728.6</v>
      </c>
      <c r="AK99" s="51">
        <f>1628.7+5451.3</f>
        <v>7080</v>
      </c>
      <c r="AL99" s="51">
        <f>1522.3+5464.7</f>
        <v>6987</v>
      </c>
      <c r="AM99" s="51">
        <f>10.6+5403.2</f>
        <v>5413.8</v>
      </c>
      <c r="AN99" s="51">
        <f>9.1+5500.2</f>
        <v>5509.3</v>
      </c>
      <c r="AO99" s="51">
        <f>9.1+5510.9</f>
        <v>5520</v>
      </c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1"/>
      <c r="BU99" s="51"/>
      <c r="BV99" s="51"/>
      <c r="BW99" s="51">
        <f>4.9+16199.6</f>
        <v>16204.5</v>
      </c>
      <c r="BX99" s="51">
        <f>1778.5+14736.6</f>
        <v>16515.099999999999</v>
      </c>
      <c r="BY99" s="51">
        <f>1563+15522.4</f>
        <v>17085.400000000001</v>
      </c>
      <c r="BZ99" s="51">
        <f>1538.3+15346.4</f>
        <v>16884.7</v>
      </c>
      <c r="CA99" s="51">
        <f>1355.9+15152.9</f>
        <v>16508.8</v>
      </c>
      <c r="CB99" s="51">
        <f>2121.8+14692</f>
        <v>16813.8</v>
      </c>
      <c r="CC99" s="51"/>
      <c r="CD99" s="51"/>
      <c r="CE99" s="51"/>
      <c r="CF99" s="51"/>
      <c r="CG99" s="51"/>
      <c r="CH99" s="51"/>
      <c r="CI99" s="51"/>
      <c r="CJ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/>
      <c r="CV99" s="51"/>
      <c r="CW99" s="51"/>
      <c r="CX99" s="51"/>
      <c r="CY99" s="51"/>
      <c r="CZ99" s="51"/>
      <c r="DA99" s="51"/>
      <c r="DB99" s="51"/>
    </row>
    <row r="100" spans="2:106" s="49" customFormat="1" x14ac:dyDescent="0.2">
      <c r="B100" s="50" t="s">
        <v>296</v>
      </c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>
        <v>1072.2</v>
      </c>
      <c r="AI100" s="51">
        <v>1183.2</v>
      </c>
      <c r="AJ100" s="51">
        <v>1187.5999999999999</v>
      </c>
      <c r="AK100" s="51">
        <v>1154.3</v>
      </c>
      <c r="AL100" s="51">
        <v>1125.2</v>
      </c>
      <c r="AM100" s="51">
        <v>1246.3</v>
      </c>
      <c r="AN100" s="51">
        <v>1201.5999999999999</v>
      </c>
      <c r="AO100" s="51">
        <v>1328.7</v>
      </c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1"/>
      <c r="BU100" s="51"/>
      <c r="BV100" s="51"/>
      <c r="BW100" s="51">
        <v>1639.6</v>
      </c>
      <c r="BX100" s="51">
        <v>1597.8</v>
      </c>
      <c r="BY100" s="51">
        <v>1566.8</v>
      </c>
      <c r="BZ100" s="51">
        <v>1670.6</v>
      </c>
      <c r="CA100" s="51">
        <v>1433.3</v>
      </c>
      <c r="CB100" s="51">
        <v>1659.3</v>
      </c>
      <c r="CC100" s="51"/>
      <c r="CD100" s="51"/>
      <c r="CE100" s="51"/>
      <c r="CF100" s="51"/>
      <c r="CG100" s="51"/>
      <c r="CH100" s="51"/>
      <c r="CI100" s="51"/>
      <c r="CJ100" s="51"/>
      <c r="CL100" s="51"/>
      <c r="CM100" s="51"/>
      <c r="CN100" s="51"/>
      <c r="CO100" s="51"/>
      <c r="CP100" s="51"/>
      <c r="CQ100" s="51"/>
      <c r="CR100" s="51"/>
      <c r="CS100" s="51"/>
      <c r="CT100" s="51"/>
      <c r="CU100" s="51"/>
      <c r="CV100" s="51"/>
      <c r="CW100" s="51"/>
      <c r="CX100" s="51"/>
      <c r="CY100" s="51"/>
      <c r="CZ100" s="51"/>
      <c r="DA100" s="51"/>
      <c r="DB100" s="51"/>
    </row>
    <row r="101" spans="2:106" s="49" customFormat="1" x14ac:dyDescent="0.2">
      <c r="B101" s="50" t="s">
        <v>297</v>
      </c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>
        <v>851.8</v>
      </c>
      <c r="AI101" s="51">
        <v>524</v>
      </c>
      <c r="AJ101" s="51">
        <v>584.70000000000005</v>
      </c>
      <c r="AK101" s="51">
        <v>689.3</v>
      </c>
      <c r="AL101" s="51">
        <v>804.7</v>
      </c>
      <c r="AM101" s="51">
        <v>533.79999999999995</v>
      </c>
      <c r="AN101" s="51">
        <v>602.9</v>
      </c>
      <c r="AO101" s="51">
        <v>772.7</v>
      </c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1"/>
      <c r="BU101" s="51"/>
      <c r="BV101" s="51"/>
      <c r="BW101" s="51">
        <v>649.9</v>
      </c>
      <c r="BX101" s="51">
        <v>755.5</v>
      </c>
      <c r="BY101" s="51">
        <v>836.6</v>
      </c>
      <c r="BZ101" s="51">
        <v>958.1</v>
      </c>
      <c r="CA101" s="51">
        <v>693.1</v>
      </c>
      <c r="CB101" s="51">
        <v>835.8</v>
      </c>
      <c r="CC101" s="51"/>
      <c r="CD101" s="51"/>
      <c r="CE101" s="51"/>
      <c r="CF101" s="51"/>
      <c r="CG101" s="51"/>
      <c r="CH101" s="51"/>
      <c r="CI101" s="51"/>
      <c r="CJ101" s="51"/>
      <c r="CL101" s="51"/>
      <c r="CM101" s="51"/>
      <c r="CN101" s="51"/>
      <c r="CO101" s="51"/>
      <c r="CP101" s="51"/>
      <c r="CQ101" s="51"/>
      <c r="CR101" s="51"/>
      <c r="CS101" s="51"/>
      <c r="CT101" s="51"/>
      <c r="CU101" s="51"/>
      <c r="CV101" s="51"/>
      <c r="CW101" s="51"/>
      <c r="CX101" s="51"/>
      <c r="CY101" s="51"/>
      <c r="CZ101" s="51"/>
      <c r="DA101" s="51"/>
      <c r="DB101" s="51"/>
    </row>
    <row r="102" spans="2:106" s="49" customFormat="1" x14ac:dyDescent="0.2">
      <c r="B102" s="50" t="s">
        <v>298</v>
      </c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>
        <v>1372.6</v>
      </c>
      <c r="AI102" s="51">
        <v>1489.5</v>
      </c>
      <c r="AJ102" s="51">
        <v>1807.6</v>
      </c>
      <c r="AK102" s="51">
        <v>1882.3</v>
      </c>
      <c r="AL102" s="51">
        <v>1771.3</v>
      </c>
      <c r="AM102" s="51">
        <v>1619.8</v>
      </c>
      <c r="AN102" s="51">
        <v>1628.6</v>
      </c>
      <c r="AO102" s="51">
        <v>1695.6</v>
      </c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1"/>
      <c r="BU102" s="51"/>
      <c r="BV102" s="51"/>
      <c r="BW102" s="51">
        <v>5821.4</v>
      </c>
      <c r="BX102" s="51">
        <v>7035.8</v>
      </c>
      <c r="BY102" s="51">
        <v>7185.6</v>
      </c>
      <c r="BZ102" s="51">
        <v>6845.8</v>
      </c>
      <c r="CA102" s="51">
        <v>6768.7</v>
      </c>
      <c r="CB102" s="51">
        <v>7991.4</v>
      </c>
      <c r="CC102" s="51"/>
      <c r="CD102" s="51"/>
      <c r="CE102" s="51"/>
      <c r="CF102" s="51"/>
      <c r="CG102" s="51"/>
      <c r="CH102" s="51"/>
      <c r="CI102" s="51"/>
      <c r="CJ102" s="51"/>
      <c r="CL102" s="51"/>
      <c r="CM102" s="51"/>
      <c r="CN102" s="51"/>
      <c r="CO102" s="51"/>
      <c r="CP102" s="51"/>
      <c r="CQ102" s="51"/>
      <c r="CR102" s="51"/>
      <c r="CS102" s="51"/>
      <c r="CT102" s="51"/>
      <c r="CU102" s="51"/>
      <c r="CV102" s="51"/>
      <c r="CW102" s="51"/>
      <c r="CX102" s="51"/>
      <c r="CY102" s="51"/>
      <c r="CZ102" s="51"/>
      <c r="DA102" s="51"/>
      <c r="DB102" s="51"/>
    </row>
    <row r="103" spans="2:106" s="49" customFormat="1" x14ac:dyDescent="0.2">
      <c r="B103" s="50" t="s">
        <v>299</v>
      </c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>
        <v>540</v>
      </c>
      <c r="AI103" s="51">
        <v>0</v>
      </c>
      <c r="AJ103" s="51">
        <v>542.29999999999995</v>
      </c>
      <c r="AK103" s="51">
        <v>0</v>
      </c>
      <c r="AL103" s="51">
        <v>542.29999999999995</v>
      </c>
      <c r="AM103" s="51">
        <v>0</v>
      </c>
      <c r="AN103" s="51">
        <v>543.6</v>
      </c>
      <c r="AO103" s="51">
        <v>0</v>
      </c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1"/>
      <c r="BU103" s="51"/>
      <c r="BV103" s="51"/>
      <c r="BW103" s="51">
        <v>0</v>
      </c>
      <c r="BX103" s="51">
        <v>770.8</v>
      </c>
      <c r="BY103" s="51">
        <v>0</v>
      </c>
      <c r="BZ103" s="51">
        <v>885.5</v>
      </c>
      <c r="CA103" s="51">
        <v>0</v>
      </c>
      <c r="CB103" s="51">
        <v>882.2</v>
      </c>
      <c r="CC103" s="51"/>
      <c r="CD103" s="51"/>
      <c r="CE103" s="51"/>
      <c r="CF103" s="51"/>
      <c r="CG103" s="51"/>
      <c r="CH103" s="51"/>
      <c r="CI103" s="51"/>
      <c r="CJ103" s="51"/>
      <c r="CL103" s="51"/>
      <c r="CM103" s="51"/>
      <c r="CN103" s="51"/>
      <c r="CO103" s="51"/>
      <c r="CP103" s="51"/>
      <c r="CQ103" s="51"/>
      <c r="CR103" s="51"/>
      <c r="CS103" s="51"/>
      <c r="CT103" s="51"/>
      <c r="CU103" s="51"/>
      <c r="CV103" s="51"/>
      <c r="CW103" s="51"/>
      <c r="CX103" s="51"/>
      <c r="CY103" s="51"/>
      <c r="CZ103" s="51"/>
      <c r="DA103" s="51"/>
      <c r="DB103" s="51"/>
    </row>
    <row r="104" spans="2:106" s="49" customFormat="1" x14ac:dyDescent="0.2">
      <c r="B104" s="50" t="s">
        <v>82</v>
      </c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>
        <v>457.5</v>
      </c>
      <c r="AI104" s="51">
        <v>315.2</v>
      </c>
      <c r="AJ104" s="51">
        <v>183.1</v>
      </c>
      <c r="AK104" s="51">
        <v>144.4</v>
      </c>
      <c r="AL104" s="51">
        <v>261.60000000000002</v>
      </c>
      <c r="AM104" s="51">
        <v>388.8</v>
      </c>
      <c r="AN104" s="51">
        <v>33.5</v>
      </c>
      <c r="AO104" s="51">
        <v>338.2</v>
      </c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1"/>
      <c r="BU104" s="51"/>
      <c r="BV104" s="51"/>
      <c r="BW104" s="51">
        <v>791.6</v>
      </c>
      <c r="BX104" s="51">
        <v>529.9</v>
      </c>
      <c r="BY104" s="51">
        <v>203.5</v>
      </c>
      <c r="BZ104" s="51">
        <v>126.9</v>
      </c>
      <c r="CA104" s="51">
        <v>598.29999999999995</v>
      </c>
      <c r="CB104" s="51">
        <v>126.6</v>
      </c>
      <c r="CC104" s="51"/>
      <c r="CD104" s="51"/>
      <c r="CE104" s="51"/>
      <c r="CF104" s="51"/>
      <c r="CG104" s="51"/>
      <c r="CH104" s="51"/>
      <c r="CI104" s="51"/>
      <c r="CJ104" s="51"/>
      <c r="CL104" s="51"/>
      <c r="CM104" s="51"/>
      <c r="CN104" s="51"/>
      <c r="CO104" s="51"/>
      <c r="CP104" s="51"/>
      <c r="CQ104" s="51"/>
      <c r="CR104" s="51"/>
      <c r="CS104" s="51"/>
      <c r="CT104" s="51"/>
      <c r="CU104" s="51"/>
      <c r="CV104" s="51"/>
      <c r="CW104" s="51"/>
      <c r="CX104" s="51"/>
      <c r="CY104" s="51"/>
      <c r="CZ104" s="51"/>
      <c r="DA104" s="51"/>
      <c r="DB104" s="51"/>
    </row>
    <row r="105" spans="2:106" s="49" customFormat="1" x14ac:dyDescent="0.2">
      <c r="B105" s="50" t="s">
        <v>300</v>
      </c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>
        <v>2651.3</v>
      </c>
      <c r="AI105" s="51">
        <v>2600</v>
      </c>
      <c r="AJ105" s="51">
        <v>2786.7</v>
      </c>
      <c r="AK105" s="51">
        <v>2720.3</v>
      </c>
      <c r="AL105" s="51">
        <v>2903.5</v>
      </c>
      <c r="AM105" s="51">
        <v>2754.4</v>
      </c>
      <c r="AN105" s="51">
        <v>2590.4</v>
      </c>
      <c r="AO105" s="51">
        <v>2816.4</v>
      </c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1"/>
      <c r="BU105" s="51"/>
      <c r="BV105" s="51"/>
      <c r="BW105" s="51">
        <v>2806.8</v>
      </c>
      <c r="BX105" s="51">
        <v>2624.9</v>
      </c>
      <c r="BY105" s="51">
        <v>2326.5</v>
      </c>
      <c r="BZ105" s="51">
        <v>3027.5</v>
      </c>
      <c r="CA105" s="51">
        <v>2536.6999999999998</v>
      </c>
      <c r="CB105" s="51">
        <v>2003.5</v>
      </c>
      <c r="CC105" s="51"/>
      <c r="CD105" s="51"/>
      <c r="CE105" s="51"/>
      <c r="CF105" s="51"/>
      <c r="CG105" s="51"/>
      <c r="CH105" s="51"/>
      <c r="CI105" s="51"/>
      <c r="CJ105" s="51"/>
      <c r="CL105" s="51"/>
      <c r="CM105" s="51"/>
      <c r="CN105" s="51"/>
      <c r="CO105" s="51"/>
      <c r="CP105" s="51"/>
      <c r="CQ105" s="51"/>
      <c r="CR105" s="51"/>
      <c r="CS105" s="51"/>
      <c r="CT105" s="51"/>
      <c r="CU105" s="51"/>
      <c r="CV105" s="51"/>
      <c r="CW105" s="51"/>
      <c r="CX105" s="51"/>
      <c r="CY105" s="51"/>
      <c r="CZ105" s="51"/>
      <c r="DA105" s="51"/>
      <c r="DB105" s="51"/>
    </row>
    <row r="106" spans="2:106" s="49" customFormat="1" x14ac:dyDescent="0.2">
      <c r="B106" s="50" t="s">
        <v>301</v>
      </c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>
        <v>1887.4</v>
      </c>
      <c r="AI106" s="51">
        <v>1866.4</v>
      </c>
      <c r="AJ106" s="51">
        <v>1848.6</v>
      </c>
      <c r="AK106" s="51">
        <v>1805.9</v>
      </c>
      <c r="AL106" s="51">
        <v>3068.5</v>
      </c>
      <c r="AM106" s="51">
        <v>2766.5</v>
      </c>
      <c r="AN106" s="51">
        <v>2714.5</v>
      </c>
      <c r="AO106" s="51">
        <v>2702.4</v>
      </c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1"/>
      <c r="BU106" s="51"/>
      <c r="BV106" s="51"/>
      <c r="BW106" s="51">
        <v>3969.8</v>
      </c>
      <c r="BX106" s="51">
        <v>3918.5</v>
      </c>
      <c r="BY106" s="51">
        <v>3878.8</v>
      </c>
      <c r="BZ106" s="51">
        <v>1954.1</v>
      </c>
      <c r="CA106" s="51">
        <v>1940.3</v>
      </c>
      <c r="CB106" s="51">
        <v>1888.6</v>
      </c>
      <c r="CC106" s="51"/>
      <c r="CD106" s="51"/>
      <c r="CE106" s="51"/>
      <c r="CF106" s="51"/>
      <c r="CG106" s="51"/>
      <c r="CH106" s="51"/>
      <c r="CI106" s="51"/>
      <c r="CJ106" s="51"/>
      <c r="CL106" s="51"/>
      <c r="CM106" s="51"/>
      <c r="CN106" s="51"/>
      <c r="CO106" s="51"/>
      <c r="CP106" s="51"/>
      <c r="CQ106" s="51"/>
      <c r="CR106" s="51"/>
      <c r="CS106" s="51"/>
      <c r="CT106" s="51"/>
      <c r="CU106" s="51"/>
      <c r="CV106" s="51"/>
      <c r="CW106" s="51"/>
      <c r="CX106" s="51"/>
      <c r="CY106" s="51"/>
      <c r="CZ106" s="51"/>
      <c r="DA106" s="51"/>
      <c r="DB106" s="51"/>
    </row>
    <row r="107" spans="2:106" s="49" customFormat="1" x14ac:dyDescent="0.2">
      <c r="B107" s="50" t="s">
        <v>82</v>
      </c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>
        <v>1234.8</v>
      </c>
      <c r="AI107" s="51">
        <v>1224.3</v>
      </c>
      <c r="AJ107" s="51">
        <v>1283</v>
      </c>
      <c r="AK107" s="51">
        <v>1058.8</v>
      </c>
      <c r="AL107" s="51">
        <v>1086.3</v>
      </c>
      <c r="AM107" s="51">
        <v>1158.3</v>
      </c>
      <c r="AN107" s="51">
        <v>1207.5</v>
      </c>
      <c r="AO107" s="51">
        <v>1275.0999999999999</v>
      </c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1"/>
      <c r="BU107" s="51"/>
      <c r="BV107" s="51"/>
      <c r="BW107" s="51">
        <f>3917.5+2200.6</f>
        <v>6118.1</v>
      </c>
      <c r="BX107" s="51">
        <f>3738+1857.3</f>
        <v>5595.3</v>
      </c>
      <c r="BY107" s="51">
        <f>3768.5+1632.5</f>
        <v>5401</v>
      </c>
      <c r="BZ107" s="51">
        <f>3920+1733.7</f>
        <v>5653.7</v>
      </c>
      <c r="CA107" s="51">
        <f>1286.1+3978.1</f>
        <v>5264.2</v>
      </c>
      <c r="CB107" s="51">
        <f>3557.6+862.5</f>
        <v>4420.1000000000004</v>
      </c>
      <c r="CC107" s="51"/>
      <c r="CD107" s="51"/>
      <c r="CE107" s="51"/>
      <c r="CF107" s="51"/>
      <c r="CG107" s="51"/>
      <c r="CH107" s="51"/>
      <c r="CI107" s="51"/>
      <c r="CJ107" s="51"/>
      <c r="CL107" s="51"/>
      <c r="CM107" s="51"/>
      <c r="CN107" s="51"/>
      <c r="CO107" s="51"/>
      <c r="CP107" s="51"/>
      <c r="CQ107" s="51"/>
      <c r="CR107" s="51"/>
      <c r="CS107" s="51"/>
      <c r="CT107" s="51"/>
      <c r="CU107" s="51"/>
      <c r="CV107" s="51"/>
      <c r="CW107" s="51"/>
      <c r="CX107" s="51"/>
      <c r="CY107" s="51"/>
      <c r="CZ107" s="51"/>
      <c r="DA107" s="51"/>
      <c r="DB107" s="51"/>
    </row>
    <row r="108" spans="2:106" s="49" customFormat="1" x14ac:dyDescent="0.2">
      <c r="B108" s="50" t="s">
        <v>302</v>
      </c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>
        <v>1594.5</v>
      </c>
      <c r="AI108" s="51">
        <v>1886.2</v>
      </c>
      <c r="AJ108" s="51">
        <v>1550.1</v>
      </c>
      <c r="AK108" s="51">
        <v>1449</v>
      </c>
      <c r="AL108" s="51">
        <v>1573.8</v>
      </c>
      <c r="AM108" s="51">
        <v>1533.9</v>
      </c>
      <c r="AN108" s="51">
        <v>1472.8</v>
      </c>
      <c r="AO108" s="51">
        <v>1815</v>
      </c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1"/>
      <c r="BU108" s="51"/>
      <c r="BV108" s="51"/>
      <c r="BW108" s="51">
        <v>1737.3</v>
      </c>
      <c r="BX108" s="51">
        <v>1801.9</v>
      </c>
      <c r="BY108" s="51">
        <v>1748.7</v>
      </c>
      <c r="BZ108" s="51">
        <v>1644.3</v>
      </c>
      <c r="CA108" s="51">
        <v>1713.9</v>
      </c>
      <c r="CB108" s="51">
        <v>1783.1</v>
      </c>
      <c r="CC108" s="51"/>
      <c r="CD108" s="51"/>
      <c r="CE108" s="51"/>
      <c r="CF108" s="51"/>
      <c r="CG108" s="51"/>
      <c r="CH108" s="51"/>
      <c r="CI108" s="51"/>
      <c r="CJ108" s="51"/>
      <c r="CL108" s="51"/>
      <c r="CM108" s="51"/>
      <c r="CN108" s="51"/>
      <c r="CO108" s="51"/>
      <c r="CP108" s="51"/>
      <c r="CQ108" s="51"/>
      <c r="CR108" s="51"/>
      <c r="CS108" s="51"/>
      <c r="CT108" s="51"/>
      <c r="CU108" s="51"/>
      <c r="CV108" s="51"/>
      <c r="CW108" s="51"/>
      <c r="CX108" s="51"/>
      <c r="CY108" s="51"/>
      <c r="CZ108" s="51"/>
      <c r="DA108" s="51"/>
      <c r="DB108" s="51"/>
    </row>
    <row r="109" spans="2:106" s="49" customFormat="1" x14ac:dyDescent="0.2">
      <c r="B109" s="50" t="s">
        <v>303</v>
      </c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>
        <v>12412.8</v>
      </c>
      <c r="AI109" s="51">
        <v>13934.2</v>
      </c>
      <c r="AJ109" s="51">
        <v>14277</v>
      </c>
      <c r="AK109" s="51">
        <v>15057.9</v>
      </c>
      <c r="AL109" s="51">
        <v>13535.6</v>
      </c>
      <c r="AM109" s="51">
        <v>14822.6</v>
      </c>
      <c r="AN109" s="51">
        <v>14307.9</v>
      </c>
      <c r="AO109" s="51">
        <v>16056.9</v>
      </c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1"/>
      <c r="BU109" s="51"/>
      <c r="BV109" s="51"/>
      <c r="BW109" s="51">
        <v>7099.3</v>
      </c>
      <c r="BX109" s="51">
        <v>6663.5</v>
      </c>
      <c r="BY109" s="51">
        <v>7954.1</v>
      </c>
      <c r="BZ109" s="51">
        <v>9154.7999999999993</v>
      </c>
      <c r="CA109" s="51">
        <v>9462</v>
      </c>
      <c r="CB109" s="51">
        <v>8659.2000000000007</v>
      </c>
      <c r="CC109" s="51"/>
      <c r="CD109" s="51"/>
      <c r="CE109" s="51"/>
      <c r="CF109" s="51"/>
      <c r="CG109" s="51"/>
      <c r="CH109" s="51"/>
      <c r="CI109" s="51"/>
      <c r="CJ109" s="51"/>
      <c r="CL109" s="51"/>
      <c r="CM109" s="51"/>
      <c r="CN109" s="51"/>
      <c r="CO109" s="51"/>
      <c r="CP109" s="51"/>
      <c r="CQ109" s="51"/>
      <c r="CR109" s="51"/>
      <c r="CS109" s="51"/>
      <c r="CT109" s="51"/>
      <c r="CU109" s="51"/>
      <c r="CV109" s="51"/>
      <c r="CW109" s="51"/>
      <c r="CX109" s="51"/>
      <c r="CY109" s="51"/>
      <c r="CZ109" s="51"/>
      <c r="DA109" s="51"/>
      <c r="DB109" s="51"/>
    </row>
    <row r="110" spans="2:106" s="49" customFormat="1" x14ac:dyDescent="0.2">
      <c r="B110" s="50" t="s">
        <v>304</v>
      </c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>
        <f>SUM(AH99:AH109)</f>
        <v>31001.4</v>
      </c>
      <c r="AI110" s="51">
        <f>SUM(AI99:AI109)</f>
        <v>31695.3</v>
      </c>
      <c r="AJ110" s="51">
        <f t="shared" ref="AJ110" si="375">SUM(AJ99:AJ109)</f>
        <v>32779.300000000003</v>
      </c>
      <c r="AK110" s="51">
        <f>SUM(AK99:AK109)</f>
        <v>33042.199999999997</v>
      </c>
      <c r="AL110" s="51">
        <f>SUM(AL99:AL109)</f>
        <v>33659.799999999996</v>
      </c>
      <c r="AM110" s="51">
        <f>SUM(AM99:AM109)</f>
        <v>32238.199999999997</v>
      </c>
      <c r="AN110" s="51">
        <f>SUM(AN99:AN109)</f>
        <v>31812.6</v>
      </c>
      <c r="AO110" s="51">
        <f>SUM(AO99:AO109)</f>
        <v>34321</v>
      </c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1"/>
      <c r="BU110" s="51"/>
      <c r="BV110" s="51"/>
      <c r="BW110" s="51">
        <f t="shared" ref="BW110" si="376">SUM(BW99:BW109)</f>
        <v>46838.3</v>
      </c>
      <c r="BX110" s="51">
        <f t="shared" ref="BX110" si="377">SUM(BX99:BX109)</f>
        <v>47809.000000000007</v>
      </c>
      <c r="BY110" s="51">
        <f>SUM(BY99:BY109)</f>
        <v>48187</v>
      </c>
      <c r="BZ110" s="51">
        <f>SUM(BZ99:BZ109)</f>
        <v>48806</v>
      </c>
      <c r="CA110" s="51">
        <f>SUM(CA99:CA109)</f>
        <v>46919.299999999996</v>
      </c>
      <c r="CB110" s="51">
        <f>SUM(CB99:CB109)</f>
        <v>47063.599999999991</v>
      </c>
      <c r="CC110" s="51"/>
      <c r="CD110" s="51"/>
      <c r="CE110" s="51"/>
      <c r="CF110" s="51"/>
      <c r="CG110" s="51"/>
      <c r="CH110" s="51"/>
      <c r="CI110" s="51"/>
      <c r="CJ110" s="51"/>
      <c r="CL110" s="51"/>
      <c r="CM110" s="51"/>
      <c r="CN110" s="51"/>
      <c r="CO110" s="51"/>
      <c r="CP110" s="51"/>
      <c r="CQ110" s="51"/>
      <c r="CR110" s="51"/>
      <c r="CS110" s="51"/>
      <c r="CT110" s="51"/>
      <c r="CU110" s="51"/>
      <c r="CV110" s="51"/>
      <c r="CW110" s="51"/>
      <c r="CX110" s="51"/>
      <c r="CY110" s="51"/>
      <c r="CZ110" s="51"/>
      <c r="DA110" s="51"/>
      <c r="DB110" s="51"/>
    </row>
    <row r="112" spans="2:106" x14ac:dyDescent="0.2">
      <c r="B112" s="50" t="s">
        <v>390</v>
      </c>
      <c r="BW112" s="51">
        <f>BW68</f>
        <v>1777.5000000000007</v>
      </c>
      <c r="CA112" s="51">
        <f>CA68</f>
        <v>2538.4999999999991</v>
      </c>
    </row>
    <row r="113" spans="2:106" x14ac:dyDescent="0.2">
      <c r="B113" s="50" t="s">
        <v>391</v>
      </c>
      <c r="BW113" s="51">
        <v>1355.3</v>
      </c>
      <c r="CA113" s="51">
        <v>1902.9</v>
      </c>
    </row>
    <row r="114" spans="2:106" x14ac:dyDescent="0.2">
      <c r="B114" s="50" t="s">
        <v>392</v>
      </c>
      <c r="BW114" s="51">
        <v>350.3</v>
      </c>
      <c r="CA114" s="51">
        <v>435.7</v>
      </c>
    </row>
    <row r="115" spans="2:106" x14ac:dyDescent="0.2">
      <c r="B115" s="50" t="s">
        <v>388</v>
      </c>
      <c r="BW115" s="51">
        <v>-119.1</v>
      </c>
      <c r="CA115" s="51">
        <v>-506.6</v>
      </c>
    </row>
    <row r="116" spans="2:106" x14ac:dyDescent="0.2">
      <c r="B116" s="50" t="s">
        <v>393</v>
      </c>
      <c r="BW116" s="51">
        <v>85.5</v>
      </c>
      <c r="CA116" s="51">
        <v>101</v>
      </c>
    </row>
    <row r="117" spans="2:106" x14ac:dyDescent="0.2">
      <c r="B117" s="50" t="s">
        <v>394</v>
      </c>
      <c r="BW117" s="51">
        <v>-302.2</v>
      </c>
      <c r="CA117" s="51">
        <v>426.1</v>
      </c>
    </row>
    <row r="118" spans="2:106" x14ac:dyDescent="0.2">
      <c r="B118" s="50" t="s">
        <v>395</v>
      </c>
      <c r="BW118" s="51">
        <v>299.3</v>
      </c>
      <c r="CA118" s="51">
        <v>153</v>
      </c>
    </row>
    <row r="119" spans="2:106" x14ac:dyDescent="0.2">
      <c r="B119" s="50" t="s">
        <v>78</v>
      </c>
      <c r="BW119" s="51">
        <v>-102.8</v>
      </c>
      <c r="CA119" s="51">
        <v>-45.5</v>
      </c>
    </row>
    <row r="120" spans="2:106" x14ac:dyDescent="0.2">
      <c r="B120" s="50" t="s">
        <v>396</v>
      </c>
      <c r="BW120" s="51">
        <v>131.1</v>
      </c>
      <c r="CA120" s="51">
        <v>32.6</v>
      </c>
    </row>
    <row r="121" spans="2:106" s="49" customFormat="1" x14ac:dyDescent="0.2">
      <c r="B121" s="50" t="s">
        <v>305</v>
      </c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>
        <v>1176.0999999999999</v>
      </c>
      <c r="AJ121" s="51">
        <f>3216.4-AI121</f>
        <v>2040.3000000000002</v>
      </c>
      <c r="AK121" s="51">
        <f>5289.8-AJ121-AI121</f>
        <v>2073.4</v>
      </c>
      <c r="AL121" s="52">
        <f>7234.5-AK121-AJ121-AI121</f>
        <v>1944.7000000000003</v>
      </c>
      <c r="AM121" s="52">
        <v>852.5</v>
      </c>
      <c r="AN121" s="52">
        <f>2158.5-AM121</f>
        <v>1306</v>
      </c>
      <c r="AO121" s="51">
        <f>3702.8-AN121-AM121</f>
        <v>1544.3000000000002</v>
      </c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  <c r="BB121" s="51"/>
      <c r="BC121" s="51"/>
      <c r="BD121" s="51"/>
      <c r="BE121" s="51"/>
      <c r="BF121" s="51"/>
      <c r="BG121" s="51"/>
      <c r="BH121" s="51"/>
      <c r="BI121" s="51"/>
      <c r="BJ121" s="51"/>
      <c r="BK121" s="51"/>
      <c r="BL121" s="51"/>
      <c r="BM121" s="51"/>
      <c r="BN121" s="51"/>
      <c r="BO121" s="51"/>
      <c r="BP121" s="51"/>
      <c r="BQ121" s="51"/>
      <c r="BR121" s="51"/>
      <c r="BS121" s="51"/>
      <c r="BT121" s="51"/>
      <c r="BU121" s="51"/>
      <c r="BV121" s="51"/>
      <c r="BW121" s="51">
        <f>SUM(BW113:BW120)</f>
        <v>1697.3999999999999</v>
      </c>
      <c r="BX121" s="51"/>
      <c r="BY121" s="51"/>
      <c r="BZ121" s="51"/>
      <c r="CA121" s="51">
        <f>SUM(CA113:CA120)</f>
        <v>2499.1999999999998</v>
      </c>
      <c r="CB121" s="51"/>
      <c r="CC121" s="51"/>
      <c r="CD121" s="51"/>
      <c r="CE121" s="51"/>
      <c r="CF121" s="51"/>
      <c r="CG121" s="51"/>
      <c r="CH121" s="51"/>
      <c r="CI121" s="51"/>
      <c r="CJ121" s="51"/>
      <c r="CL121" s="51"/>
      <c r="CM121" s="51"/>
      <c r="CN121" s="51"/>
      <c r="CO121" s="51"/>
      <c r="CP121" s="51"/>
      <c r="CQ121" s="51"/>
      <c r="CR121" s="51"/>
      <c r="CS121" s="51">
        <v>7295.6</v>
      </c>
      <c r="CT121" s="51">
        <v>4335.5</v>
      </c>
      <c r="CU121" s="51">
        <v>6856.8</v>
      </c>
      <c r="CV121" s="51"/>
      <c r="CW121" s="51"/>
      <c r="CX121" s="51"/>
      <c r="CY121" s="51"/>
      <c r="CZ121" s="51"/>
      <c r="DA121" s="51"/>
      <c r="DB121" s="51"/>
    </row>
    <row r="122" spans="2:106" x14ac:dyDescent="0.2">
      <c r="BW122" s="51"/>
    </row>
    <row r="123" spans="2:106" x14ac:dyDescent="0.2">
      <c r="B123" s="50" t="s">
        <v>397</v>
      </c>
      <c r="BW123" s="51">
        <v>-300.3</v>
      </c>
      <c r="CA123" s="51">
        <v>-365.4</v>
      </c>
    </row>
    <row r="124" spans="2:106" x14ac:dyDescent="0.2">
      <c r="B124" s="50" t="s">
        <v>394</v>
      </c>
      <c r="BW124" s="51">
        <f>4-19.4+284.8-291.5</f>
        <v>-22.099999999999966</v>
      </c>
      <c r="CA124" s="51">
        <f>26.7-14.6+81.4-116.7</f>
        <v>-23.200000000000003</v>
      </c>
    </row>
    <row r="125" spans="2:106" x14ac:dyDescent="0.2">
      <c r="B125" s="50" t="s">
        <v>398</v>
      </c>
      <c r="BW125" s="51">
        <f>-747.4-191.8</f>
        <v>-939.2</v>
      </c>
      <c r="CA125" s="51">
        <v>-491.8</v>
      </c>
    </row>
    <row r="126" spans="2:106" x14ac:dyDescent="0.2">
      <c r="B126" s="50" t="s">
        <v>78</v>
      </c>
      <c r="BW126" s="51">
        <v>-21.9</v>
      </c>
      <c r="CA126" s="51">
        <v>-133.4</v>
      </c>
    </row>
    <row r="127" spans="2:106" x14ac:dyDescent="0.2">
      <c r="B127" s="50" t="s">
        <v>399</v>
      </c>
      <c r="BW127" s="51">
        <f>SUM(BW123:BW126)</f>
        <v>-1283.5</v>
      </c>
      <c r="CA127" s="51">
        <f>SUM(CA123:CA126)</f>
        <v>-1013.8</v>
      </c>
    </row>
    <row r="128" spans="2:106" x14ac:dyDescent="0.2">
      <c r="BW128" s="51"/>
    </row>
    <row r="129" spans="2:79" x14ac:dyDescent="0.2">
      <c r="B129" s="50" t="s">
        <v>299</v>
      </c>
      <c r="BW129" s="51">
        <v>-774.8</v>
      </c>
      <c r="CA129" s="51">
        <v>-885.5</v>
      </c>
    </row>
    <row r="130" spans="2:79" x14ac:dyDescent="0.2">
      <c r="B130" s="50" t="s">
        <v>402</v>
      </c>
      <c r="BW130" s="51">
        <v>-3.7</v>
      </c>
      <c r="CA130" s="52">
        <f>499.7-710.1</f>
        <v>-210.40000000000003</v>
      </c>
    </row>
    <row r="131" spans="2:79" x14ac:dyDescent="0.2">
      <c r="B131" s="38" t="s">
        <v>401</v>
      </c>
      <c r="BW131" s="51">
        <v>0</v>
      </c>
      <c r="CA131" s="51">
        <v>-1500</v>
      </c>
    </row>
    <row r="132" spans="2:79" x14ac:dyDescent="0.2">
      <c r="B132" s="38" t="s">
        <v>78</v>
      </c>
      <c r="BW132" s="51">
        <v>-279.89999999999998</v>
      </c>
      <c r="CA132" s="51">
        <v>-282.39999999999998</v>
      </c>
    </row>
    <row r="133" spans="2:79" x14ac:dyDescent="0.2">
      <c r="B133" s="38" t="s">
        <v>400</v>
      </c>
      <c r="BW133" s="51">
        <f>SUM(BW129:BW132)</f>
        <v>-1058.4000000000001</v>
      </c>
      <c r="CA133" s="51">
        <f>SUM(CA129:CA132)</f>
        <v>-2878.3</v>
      </c>
    </row>
    <row r="135" spans="2:79" x14ac:dyDescent="0.2">
      <c r="B135" s="38" t="s">
        <v>403</v>
      </c>
      <c r="BW135" s="51">
        <v>-10.199999999999999</v>
      </c>
      <c r="CA135" s="51">
        <v>33.6</v>
      </c>
    </row>
    <row r="136" spans="2:79" x14ac:dyDescent="0.2">
      <c r="B136" s="38" t="s">
        <v>404</v>
      </c>
      <c r="BW136" s="51">
        <f>+BW135+BW133+BW127+BW121</f>
        <v>-654.7000000000005</v>
      </c>
      <c r="CA136" s="51">
        <f>+CA135+CA133+CA127+CA121</f>
        <v>-1359.3000000000002</v>
      </c>
    </row>
    <row r="138" spans="2:79" x14ac:dyDescent="0.2">
      <c r="B138" t="s">
        <v>502</v>
      </c>
    </row>
  </sheetData>
  <phoneticPr fontId="2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3"/>
  <sheetViews>
    <sheetView workbookViewId="0"/>
  </sheetViews>
  <sheetFormatPr defaultRowHeight="12.75" x14ac:dyDescent="0.2"/>
  <cols>
    <col min="1" max="1" width="5.7109375" style="1" customWidth="1"/>
    <col min="2" max="2" width="13.28515625" style="1" customWidth="1"/>
    <col min="3" max="3" width="10.140625" style="1" bestFit="1" customWidth="1"/>
    <col min="4" max="16384" width="9.140625" style="1"/>
  </cols>
  <sheetData>
    <row r="1" spans="1:5" x14ac:dyDescent="0.2">
      <c r="A1" s="15" t="s">
        <v>6</v>
      </c>
    </row>
    <row r="2" spans="1:5" x14ac:dyDescent="0.2">
      <c r="B2" s="1" t="s">
        <v>50</v>
      </c>
      <c r="C2" s="1" t="s">
        <v>7</v>
      </c>
    </row>
    <row r="3" spans="1:5" x14ac:dyDescent="0.2">
      <c r="B3" s="1" t="s">
        <v>48</v>
      </c>
      <c r="C3" s="1" t="s">
        <v>85</v>
      </c>
    </row>
    <row r="4" spans="1:5" x14ac:dyDescent="0.2">
      <c r="B4" s="1" t="s">
        <v>3</v>
      </c>
      <c r="C4" s="1" t="s">
        <v>86</v>
      </c>
    </row>
    <row r="5" spans="1:5" x14ac:dyDescent="0.2">
      <c r="B5" s="1" t="s">
        <v>1</v>
      </c>
      <c r="C5" s="1" t="s">
        <v>87</v>
      </c>
    </row>
    <row r="6" spans="1:5" x14ac:dyDescent="0.2">
      <c r="B6" s="1" t="s">
        <v>4</v>
      </c>
      <c r="C6" s="1" t="s">
        <v>88</v>
      </c>
    </row>
    <row r="7" spans="1:5" x14ac:dyDescent="0.2">
      <c r="C7" s="1" t="s">
        <v>8</v>
      </c>
    </row>
    <row r="8" spans="1:5" x14ac:dyDescent="0.2">
      <c r="C8" s="1" t="s">
        <v>29</v>
      </c>
    </row>
    <row r="9" spans="1:5" x14ac:dyDescent="0.2">
      <c r="C9" s="1" t="s">
        <v>30</v>
      </c>
    </row>
    <row r="12" spans="1:5" x14ac:dyDescent="0.2">
      <c r="B12" s="1" t="s">
        <v>164</v>
      </c>
      <c r="C12" s="6"/>
      <c r="D12" s="6" t="s">
        <v>165</v>
      </c>
      <c r="E12" s="6" t="s">
        <v>166</v>
      </c>
    </row>
    <row r="13" spans="1:5" x14ac:dyDescent="0.2">
      <c r="C13" s="43">
        <v>40165</v>
      </c>
      <c r="D13" s="35">
        <v>117723</v>
      </c>
      <c r="E13" s="35">
        <v>53829</v>
      </c>
    </row>
    <row r="14" spans="1:5" x14ac:dyDescent="0.2">
      <c r="C14" s="43">
        <f t="shared" ref="C14:C20" si="0">C13-7</f>
        <v>40158</v>
      </c>
      <c r="D14" s="35">
        <v>116406</v>
      </c>
      <c r="E14" s="35">
        <v>52891</v>
      </c>
    </row>
    <row r="15" spans="1:5" x14ac:dyDescent="0.2">
      <c r="C15" s="43">
        <f t="shared" si="0"/>
        <v>40151</v>
      </c>
      <c r="D15" s="35">
        <v>128647</v>
      </c>
      <c r="E15" s="35">
        <v>56775</v>
      </c>
    </row>
    <row r="16" spans="1:5" x14ac:dyDescent="0.2">
      <c r="C16" s="43">
        <f t="shared" si="0"/>
        <v>40144</v>
      </c>
      <c r="D16" s="35">
        <v>104242</v>
      </c>
      <c r="E16" s="35">
        <v>44896</v>
      </c>
    </row>
    <row r="17" spans="3:5" x14ac:dyDescent="0.2">
      <c r="C17" s="43">
        <f t="shared" si="0"/>
        <v>40137</v>
      </c>
      <c r="D17" s="35">
        <v>116685</v>
      </c>
      <c r="E17" s="35">
        <v>53770</v>
      </c>
    </row>
    <row r="18" spans="3:5" x14ac:dyDescent="0.2">
      <c r="C18" s="43">
        <f t="shared" si="0"/>
        <v>40130</v>
      </c>
      <c r="D18" s="35">
        <v>113476</v>
      </c>
      <c r="E18" s="35">
        <v>51112</v>
      </c>
    </row>
    <row r="19" spans="3:5" x14ac:dyDescent="0.2">
      <c r="C19" s="43">
        <f t="shared" si="0"/>
        <v>40123</v>
      </c>
      <c r="D19" s="35">
        <v>122441</v>
      </c>
      <c r="E19" s="35">
        <v>54445</v>
      </c>
    </row>
    <row r="20" spans="3:5" x14ac:dyDescent="0.2">
      <c r="C20" s="43">
        <f t="shared" si="0"/>
        <v>40116</v>
      </c>
      <c r="D20" s="35">
        <v>114922</v>
      </c>
      <c r="E20" s="35">
        <v>51865</v>
      </c>
    </row>
    <row r="21" spans="3:5" x14ac:dyDescent="0.2">
      <c r="C21" s="43">
        <v>39234</v>
      </c>
      <c r="D21" s="35">
        <v>118958</v>
      </c>
      <c r="E21" s="35">
        <v>50496</v>
      </c>
    </row>
    <row r="22" spans="3:5" x14ac:dyDescent="0.2">
      <c r="C22" s="43">
        <f>C21-7</f>
        <v>39227</v>
      </c>
      <c r="D22" s="35">
        <v>123390</v>
      </c>
      <c r="E22" s="35">
        <v>53736</v>
      </c>
    </row>
    <row r="23" spans="3:5" x14ac:dyDescent="0.2">
      <c r="C23" s="43">
        <f>C21-365</f>
        <v>38869</v>
      </c>
      <c r="D23" s="35">
        <v>132085</v>
      </c>
      <c r="E23" s="35">
        <v>54804</v>
      </c>
    </row>
  </sheetData>
  <phoneticPr fontId="2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7"/>
  <sheetViews>
    <sheetView workbookViewId="0">
      <selection activeCell="C4" sqref="C4"/>
    </sheetView>
  </sheetViews>
  <sheetFormatPr defaultRowHeight="12.75" x14ac:dyDescent="0.2"/>
  <cols>
    <col min="1" max="1" width="6.140625" customWidth="1"/>
    <col min="2" max="2" width="12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14</v>
      </c>
    </row>
    <row r="3" spans="1:3" x14ac:dyDescent="0.2">
      <c r="B3" t="s">
        <v>3</v>
      </c>
      <c r="C3" t="s">
        <v>232</v>
      </c>
    </row>
    <row r="4" spans="1:3" x14ac:dyDescent="0.2">
      <c r="B4" t="s">
        <v>2</v>
      </c>
      <c r="C4" t="s">
        <v>281</v>
      </c>
    </row>
    <row r="5" spans="1:3" x14ac:dyDescent="0.2">
      <c r="B5" t="s">
        <v>92</v>
      </c>
    </row>
    <row r="6" spans="1:3" x14ac:dyDescent="0.2">
      <c r="C6" s="20" t="s">
        <v>233</v>
      </c>
    </row>
    <row r="7" spans="1:3" x14ac:dyDescent="0.2">
      <c r="C7" t="s">
        <v>234</v>
      </c>
    </row>
  </sheetData>
  <phoneticPr fontId="2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28"/>
  <sheetViews>
    <sheetView workbookViewId="0">
      <selection activeCell="C26" sqref="C26"/>
    </sheetView>
  </sheetViews>
  <sheetFormatPr defaultRowHeight="12.75" x14ac:dyDescent="0.2"/>
  <cols>
    <col min="1" max="1" width="5" style="1" bestFit="1" customWidth="1"/>
    <col min="2" max="2" width="12.28515625" style="1" customWidth="1"/>
    <col min="3" max="16384" width="9.140625" style="1"/>
  </cols>
  <sheetData>
    <row r="1" spans="1:8" x14ac:dyDescent="0.2">
      <c r="A1" s="15" t="s">
        <v>6</v>
      </c>
    </row>
    <row r="2" spans="1:8" x14ac:dyDescent="0.2">
      <c r="A2" s="15"/>
      <c r="B2" s="1" t="s">
        <v>50</v>
      </c>
      <c r="C2" s="1" t="s">
        <v>15</v>
      </c>
    </row>
    <row r="3" spans="1:8" x14ac:dyDescent="0.2">
      <c r="A3" s="15"/>
    </row>
    <row r="4" spans="1:8" x14ac:dyDescent="0.2">
      <c r="B4" s="1" t="s">
        <v>9</v>
      </c>
    </row>
    <row r="5" spans="1:8" x14ac:dyDescent="0.2">
      <c r="B5" s="1" t="s">
        <v>10</v>
      </c>
    </row>
    <row r="6" spans="1:8" x14ac:dyDescent="0.2">
      <c r="B6" s="1" t="s">
        <v>11</v>
      </c>
    </row>
    <row r="8" spans="1:8" x14ac:dyDescent="0.2">
      <c r="B8" s="1" t="s">
        <v>31</v>
      </c>
    </row>
    <row r="9" spans="1:8" x14ac:dyDescent="0.2">
      <c r="B9" s="1" t="s">
        <v>32</v>
      </c>
    </row>
    <row r="11" spans="1:8" x14ac:dyDescent="0.2">
      <c r="B11" s="29">
        <v>38338</v>
      </c>
    </row>
    <row r="12" spans="1:8" x14ac:dyDescent="0.2">
      <c r="B12" s="1" t="s">
        <v>44</v>
      </c>
    </row>
    <row r="13" spans="1:8" x14ac:dyDescent="0.2">
      <c r="B13" s="1" t="s">
        <v>42</v>
      </c>
    </row>
    <row r="14" spans="1:8" x14ac:dyDescent="0.2">
      <c r="B14" s="1" t="s">
        <v>43</v>
      </c>
    </row>
    <row r="16" spans="1:8" x14ac:dyDescent="0.2">
      <c r="C16" s="6">
        <v>2004</v>
      </c>
      <c r="D16" s="6">
        <v>2005</v>
      </c>
      <c r="E16" s="6">
        <v>2006</v>
      </c>
      <c r="F16" s="6">
        <v>2007</v>
      </c>
      <c r="G16" s="6">
        <v>2008</v>
      </c>
      <c r="H16" s="6"/>
    </row>
    <row r="17" spans="2:8" x14ac:dyDescent="0.2">
      <c r="B17" s="1" t="s">
        <v>45</v>
      </c>
      <c r="C17" s="6">
        <v>660</v>
      </c>
      <c r="D17" s="6">
        <v>810</v>
      </c>
      <c r="E17" s="6"/>
      <c r="F17" s="6"/>
      <c r="G17" s="6">
        <v>1200</v>
      </c>
      <c r="H17" s="6"/>
    </row>
    <row r="18" spans="2:8" x14ac:dyDescent="0.2">
      <c r="C18" s="6"/>
      <c r="D18" s="6"/>
      <c r="E18" s="6"/>
      <c r="F18" s="6"/>
      <c r="G18" s="6"/>
      <c r="H18" s="6"/>
    </row>
    <row r="19" spans="2:8" x14ac:dyDescent="0.2">
      <c r="C19" s="6" t="s">
        <v>3</v>
      </c>
      <c r="D19" s="6" t="s">
        <v>89</v>
      </c>
      <c r="E19" s="6"/>
      <c r="F19" s="6"/>
      <c r="G19" s="6"/>
      <c r="H19" s="6"/>
    </row>
    <row r="20" spans="2:8" x14ac:dyDescent="0.2">
      <c r="C20" s="6"/>
      <c r="D20" s="6"/>
      <c r="E20" s="6"/>
      <c r="F20" s="6"/>
      <c r="G20" s="6"/>
      <c r="H20" s="6"/>
    </row>
    <row r="21" spans="2:8" x14ac:dyDescent="0.2">
      <c r="C21" s="6"/>
      <c r="D21" s="6"/>
      <c r="E21" s="6"/>
      <c r="F21" s="6"/>
      <c r="G21" s="6"/>
      <c r="H21" s="6"/>
    </row>
    <row r="22" spans="2:8" x14ac:dyDescent="0.2">
      <c r="C22" s="6"/>
      <c r="D22" s="6"/>
      <c r="E22" s="6"/>
      <c r="F22" s="6"/>
      <c r="G22" s="6"/>
      <c r="H22" s="6"/>
    </row>
    <row r="23" spans="2:8" x14ac:dyDescent="0.2">
      <c r="C23" s="6"/>
      <c r="D23" s="6"/>
      <c r="E23" s="6"/>
      <c r="F23" s="6"/>
      <c r="G23" s="6"/>
      <c r="H23" s="6"/>
    </row>
    <row r="24" spans="2:8" x14ac:dyDescent="0.2">
      <c r="C24" s="6"/>
      <c r="D24" s="6" t="s">
        <v>165</v>
      </c>
      <c r="E24" s="6" t="s">
        <v>166</v>
      </c>
      <c r="F24" s="6"/>
      <c r="G24" s="6"/>
      <c r="H24" s="6"/>
    </row>
    <row r="25" spans="2:8" x14ac:dyDescent="0.2">
      <c r="B25" s="1" t="s">
        <v>164</v>
      </c>
      <c r="C25" s="30">
        <v>39234</v>
      </c>
      <c r="D25" s="17">
        <v>62826</v>
      </c>
      <c r="E25" s="17">
        <v>31426</v>
      </c>
      <c r="F25" s="6"/>
    </row>
    <row r="26" spans="2:8" x14ac:dyDescent="0.2">
      <c r="C26" s="30">
        <f>C25-7</f>
        <v>39227</v>
      </c>
      <c r="D26" s="17">
        <v>69314</v>
      </c>
      <c r="E26" s="17">
        <v>35541</v>
      </c>
      <c r="F26" s="6"/>
    </row>
    <row r="27" spans="2:8" x14ac:dyDescent="0.2">
      <c r="C27" s="30">
        <v>38869</v>
      </c>
      <c r="D27" s="17">
        <v>70448</v>
      </c>
      <c r="E27" s="17">
        <v>34206</v>
      </c>
      <c r="F27" s="6"/>
    </row>
    <row r="28" spans="2:8" x14ac:dyDescent="0.2">
      <c r="C28" s="6"/>
      <c r="D28" s="6"/>
      <c r="E28" s="6"/>
      <c r="F28" s="6"/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2"/>
  <sheetViews>
    <sheetView workbookViewId="0">
      <selection activeCell="C3" sqref="C3"/>
    </sheetView>
  </sheetViews>
  <sheetFormatPr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16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2"/>
  <sheetViews>
    <sheetView workbookViewId="0"/>
  </sheetViews>
  <sheetFormatPr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17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C2"/>
  <sheetViews>
    <sheetView workbookViewId="0"/>
  </sheetViews>
  <sheetFormatPr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18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1C9301-788F-493B-9914-82249B6113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830DB33-9879-4F08-8048-D3D7A603A8F0}">
  <ds:schemaRefs>
    <ds:schemaRef ds:uri="http://schemas.microsoft.com/office/2006/metadata/properties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18E07D1-7A30-4E93-B1F2-5A094F0E42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Master</vt:lpstr>
      <vt:lpstr>Main</vt:lpstr>
      <vt:lpstr>Model</vt:lpstr>
      <vt:lpstr>Zyprexa</vt:lpstr>
      <vt:lpstr>Cymbalta</vt:lpstr>
      <vt:lpstr>Strattera</vt:lpstr>
      <vt:lpstr>Forteo</vt:lpstr>
      <vt:lpstr>Evista</vt:lpstr>
      <vt:lpstr>Cialis</vt:lpstr>
      <vt:lpstr>Gemzar</vt:lpstr>
      <vt:lpstr>Alimta</vt:lpstr>
      <vt:lpstr>Exenatide</vt:lpstr>
      <vt:lpstr>Effient</vt:lpstr>
      <vt:lpstr>Enzastaurin</vt:lpstr>
      <vt:lpstr>Arzoxifene</vt:lpstr>
      <vt:lpstr>LY2062430</vt:lpstr>
      <vt:lpstr>LY2140023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2004-12-10T18:45:06Z</dcterms:created>
  <dcterms:modified xsi:type="dcterms:W3CDTF">2023-05-02T16:58:28Z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