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3942582-8DAA-47F5-8676-22F0109D89DB}" xr6:coauthVersionLast="47" xr6:coauthVersionMax="47" xr10:uidLastSave="{00000000-0000-0000-0000-000000000000}"/>
  <bookViews>
    <workbookView xWindow="-51720" yWindow="-120" windowWidth="51840" windowHeight="2112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1" i="2" l="1"/>
  <c r="Y20" i="2"/>
  <c r="X20" i="2"/>
  <c r="X21" i="2" s="1"/>
  <c r="Y18" i="2"/>
  <c r="X18" i="2"/>
  <c r="Y10" i="2"/>
  <c r="Y11" i="2"/>
  <c r="X11" i="2"/>
  <c r="X10" i="2"/>
  <c r="Y15" i="2"/>
  <c r="X15" i="2"/>
  <c r="Y16" i="2"/>
  <c r="X16" i="2"/>
  <c r="X9" i="2"/>
  <c r="Q48" i="2"/>
  <c r="Q45" i="2"/>
  <c r="Q40" i="2"/>
  <c r="Q38" i="2"/>
  <c r="Q35" i="2"/>
  <c r="Q31" i="2"/>
  <c r="Q30" i="2" s="1"/>
  <c r="Q10" i="2"/>
  <c r="Q9" i="2"/>
  <c r="Q11" i="2" s="1"/>
  <c r="P47" i="2"/>
  <c r="O48" i="2"/>
  <c r="P45" i="2"/>
  <c r="O30" i="2"/>
  <c r="P40" i="2"/>
  <c r="O38" i="2"/>
  <c r="P35" i="2"/>
  <c r="P31" i="2"/>
  <c r="P30" i="2" s="1"/>
  <c r="P9" i="2"/>
  <c r="P17" i="2"/>
  <c r="P10" i="2"/>
  <c r="O17" i="2"/>
  <c r="O10" i="2"/>
  <c r="O9" i="2"/>
  <c r="O11" i="2" s="1"/>
  <c r="R17" i="2"/>
  <c r="R22" i="2"/>
  <c r="R14" i="2"/>
  <c r="AD14" i="2"/>
  <c r="AE14" i="2" s="1"/>
  <c r="AF14" i="2" s="1"/>
  <c r="R13" i="2"/>
  <c r="R12" i="2"/>
  <c r="AD12" i="2"/>
  <c r="AE12" i="2" s="1"/>
  <c r="AF12" i="2" s="1"/>
  <c r="AG12" i="2" s="1"/>
  <c r="AH12" i="2" s="1"/>
  <c r="AI12" i="2" s="1"/>
  <c r="AJ12" i="2" s="1"/>
  <c r="AK12" i="2" s="1"/>
  <c r="AC62" i="2"/>
  <c r="AC63" i="2" s="1"/>
  <c r="AC57" i="2"/>
  <c r="AC58" i="2" s="1"/>
  <c r="Y9" i="2"/>
  <c r="N45" i="2"/>
  <c r="N40" i="2"/>
  <c r="N48" i="2" s="1"/>
  <c r="N35" i="2"/>
  <c r="N31" i="2"/>
  <c r="N38" i="2" s="1"/>
  <c r="AD2" i="2"/>
  <c r="AE2" i="2" s="1"/>
  <c r="AF2" i="2" s="1"/>
  <c r="AG2" i="2" s="1"/>
  <c r="AH2" i="2" s="1"/>
  <c r="AI2" i="2" s="1"/>
  <c r="AJ2" i="2" s="1"/>
  <c r="AK2" i="2" s="1"/>
  <c r="R2" i="2"/>
  <c r="V2" i="2" s="1"/>
  <c r="Q2" i="2"/>
  <c r="U2" i="2" s="1"/>
  <c r="P2" i="2"/>
  <c r="T2" i="2" s="1"/>
  <c r="O2" i="2"/>
  <c r="S2" i="2" s="1"/>
  <c r="Z15" i="2"/>
  <c r="Z10" i="2"/>
  <c r="AA15" i="2"/>
  <c r="AA10" i="2"/>
  <c r="AA9" i="2"/>
  <c r="AA11" i="2" s="1"/>
  <c r="AA26" i="2" s="1"/>
  <c r="Z9" i="2"/>
  <c r="G10" i="2"/>
  <c r="G15" i="2"/>
  <c r="G9" i="2"/>
  <c r="K10" i="2"/>
  <c r="H10" i="2"/>
  <c r="H9" i="2"/>
  <c r="L10" i="2"/>
  <c r="I10" i="2"/>
  <c r="I9" i="2"/>
  <c r="M15" i="2"/>
  <c r="L15" i="2"/>
  <c r="K15" i="2"/>
  <c r="J15" i="2"/>
  <c r="I15" i="2"/>
  <c r="H15" i="2"/>
  <c r="F15" i="2"/>
  <c r="F16" i="2" s="1"/>
  <c r="E15" i="2"/>
  <c r="E16" i="2" s="1"/>
  <c r="D15" i="2"/>
  <c r="D16" i="2" s="1"/>
  <c r="C15" i="2"/>
  <c r="C16" i="2" s="1"/>
  <c r="M10" i="2"/>
  <c r="AB9" i="2"/>
  <c r="AC9" i="2"/>
  <c r="M9" i="2"/>
  <c r="L9" i="2"/>
  <c r="K9" i="2"/>
  <c r="J9" i="2"/>
  <c r="N9" i="2"/>
  <c r="R9" i="2" s="1"/>
  <c r="J10" i="2"/>
  <c r="N10" i="2"/>
  <c r="AB10" i="2"/>
  <c r="AB15" i="2"/>
  <c r="AC10" i="2"/>
  <c r="AC15" i="2"/>
  <c r="N15" i="2"/>
  <c r="G4" i="1"/>
  <c r="G7" i="1" s="1"/>
  <c r="AD13" i="2" l="1"/>
  <c r="AE13" i="2" s="1"/>
  <c r="AF13" i="2" s="1"/>
  <c r="AG13" i="2" s="1"/>
  <c r="AH13" i="2" s="1"/>
  <c r="AI13" i="2" s="1"/>
  <c r="AJ13" i="2" s="1"/>
  <c r="AK13" i="2" s="1"/>
  <c r="P38" i="2"/>
  <c r="P48" i="2"/>
  <c r="AD17" i="2"/>
  <c r="H11" i="2"/>
  <c r="H26" i="2" s="1"/>
  <c r="Q15" i="2"/>
  <c r="R15" i="2"/>
  <c r="P15" i="2"/>
  <c r="AD22" i="2"/>
  <c r="AE22" i="2" s="1"/>
  <c r="AF22" i="2" s="1"/>
  <c r="AG22" i="2" s="1"/>
  <c r="AH22" i="2" s="1"/>
  <c r="AI22" i="2" s="1"/>
  <c r="AJ22" i="2" s="1"/>
  <c r="AK22" i="2" s="1"/>
  <c r="AG14" i="2"/>
  <c r="AH14" i="2" s="1"/>
  <c r="AI14" i="2" s="1"/>
  <c r="AJ14" i="2" s="1"/>
  <c r="AK14" i="2" s="1"/>
  <c r="P11" i="2"/>
  <c r="P26" i="2" s="1"/>
  <c r="Q26" i="2"/>
  <c r="R11" i="2"/>
  <c r="R26" i="2" s="1"/>
  <c r="R25" i="2"/>
  <c r="AC25" i="2"/>
  <c r="AB25" i="2"/>
  <c r="AD9" i="2"/>
  <c r="O15" i="2"/>
  <c r="I11" i="2"/>
  <c r="I26" i="2" s="1"/>
  <c r="AA25" i="2"/>
  <c r="Z11" i="2"/>
  <c r="Z26" i="2" s="1"/>
  <c r="L25" i="2"/>
  <c r="N30" i="2"/>
  <c r="M25" i="2"/>
  <c r="N11" i="2"/>
  <c r="N26" i="2" s="1"/>
  <c r="P25" i="2"/>
  <c r="AA16" i="2"/>
  <c r="K25" i="2"/>
  <c r="Q25" i="2"/>
  <c r="N25" i="2"/>
  <c r="G11" i="2"/>
  <c r="K11" i="2"/>
  <c r="K26" i="2" s="1"/>
  <c r="H16" i="2"/>
  <c r="H18" i="2" s="1"/>
  <c r="H20" i="2" s="1"/>
  <c r="H21" i="2" s="1"/>
  <c r="L11" i="2"/>
  <c r="L26" i="2" s="1"/>
  <c r="J11" i="2"/>
  <c r="J26" i="2" s="1"/>
  <c r="M11" i="2"/>
  <c r="M26" i="2" s="1"/>
  <c r="AB11" i="2"/>
  <c r="AB26" i="2" s="1"/>
  <c r="AC11" i="2"/>
  <c r="AC26" i="2" s="1"/>
  <c r="N16" i="2"/>
  <c r="N18" i="2" s="1"/>
  <c r="AD15" i="2" l="1"/>
  <c r="P16" i="2"/>
  <c r="P18" i="2" s="1"/>
  <c r="O25" i="2"/>
  <c r="AA18" i="2"/>
  <c r="AA27" i="2"/>
  <c r="AA20" i="2"/>
  <c r="AA21" i="2" s="1"/>
  <c r="AA28" i="2"/>
  <c r="M16" i="2"/>
  <c r="M18" i="2" s="1"/>
  <c r="AE15" i="2"/>
  <c r="N20" i="2"/>
  <c r="N21" i="2" s="1"/>
  <c r="N28" i="2"/>
  <c r="AE9" i="2"/>
  <c r="AD25" i="2"/>
  <c r="P28" i="2"/>
  <c r="R16" i="2"/>
  <c r="R18" i="2" s="1"/>
  <c r="R10" i="2"/>
  <c r="Q16" i="2"/>
  <c r="Q18" i="2" s="1"/>
  <c r="I16" i="2"/>
  <c r="I18" i="2" s="1"/>
  <c r="I20" i="2" s="1"/>
  <c r="I21" i="2" s="1"/>
  <c r="Z16" i="2"/>
  <c r="K16" i="2"/>
  <c r="K18" i="2" s="1"/>
  <c r="AB16" i="2"/>
  <c r="G16" i="2"/>
  <c r="G18" i="2" s="1"/>
  <c r="G20" i="2" s="1"/>
  <c r="G21" i="2" s="1"/>
  <c r="G26" i="2"/>
  <c r="J16" i="2"/>
  <c r="J18" i="2" s="1"/>
  <c r="J20" i="2" s="1"/>
  <c r="J21" i="2" s="1"/>
  <c r="L16" i="2"/>
  <c r="L18" i="2" s="1"/>
  <c r="AC16" i="2"/>
  <c r="AB18" i="2" l="1"/>
  <c r="AB20" i="2" s="1"/>
  <c r="AB21" i="2" s="1"/>
  <c r="AB27" i="2"/>
  <c r="Z18" i="2"/>
  <c r="Z27" i="2"/>
  <c r="AC18" i="2"/>
  <c r="AC27" i="2"/>
  <c r="AF15" i="2"/>
  <c r="AE25" i="2"/>
  <c r="AF9" i="2"/>
  <c r="AE10" i="2"/>
  <c r="AE11" i="2" s="1"/>
  <c r="M20" i="2"/>
  <c r="M21" i="2" s="1"/>
  <c r="M28" i="2"/>
  <c r="AD10" i="2"/>
  <c r="AD11" i="2" s="1"/>
  <c r="L20" i="2"/>
  <c r="L21" i="2" s="1"/>
  <c r="L28" i="2"/>
  <c r="K20" i="2"/>
  <c r="K21" i="2" s="1"/>
  <c r="K28" i="2"/>
  <c r="Z20" i="2"/>
  <c r="Z21" i="2" s="1"/>
  <c r="Z28" i="2"/>
  <c r="AC20" i="2"/>
  <c r="AC21" i="2" s="1"/>
  <c r="AC28" i="2"/>
  <c r="Q28" i="2"/>
  <c r="R19" i="2"/>
  <c r="R28" i="2" s="1"/>
  <c r="P20" i="2"/>
  <c r="P21" i="2" s="1"/>
  <c r="O26" i="2"/>
  <c r="O16" i="2"/>
  <c r="O18" i="2" s="1"/>
  <c r="AB28" i="2" l="1"/>
  <c r="AC50" i="2"/>
  <c r="AE26" i="2"/>
  <c r="AE16" i="2"/>
  <c r="AE27" i="2" s="1"/>
  <c r="R20" i="2"/>
  <c r="R21" i="2" s="1"/>
  <c r="AG15" i="2"/>
  <c r="AD26" i="2"/>
  <c r="AD16" i="2"/>
  <c r="AG9" i="2"/>
  <c r="AF25" i="2"/>
  <c r="AF10" i="2"/>
  <c r="AF11" i="2" s="1"/>
  <c r="Q20" i="2"/>
  <c r="Q21" i="2" s="1"/>
  <c r="AD18" i="2" l="1"/>
  <c r="AD27" i="2"/>
  <c r="AF26" i="2"/>
  <c r="AF16" i="2"/>
  <c r="AF27" i="2" s="1"/>
  <c r="O28" i="2"/>
  <c r="AD19" i="2"/>
  <c r="AD28" i="2" s="1"/>
  <c r="AH15" i="2"/>
  <c r="AG25" i="2"/>
  <c r="AG10" i="2"/>
  <c r="AG11" i="2" s="1"/>
  <c r="AH9" i="2"/>
  <c r="O20" i="2"/>
  <c r="AD20" i="2" l="1"/>
  <c r="AD21" i="2" s="1"/>
  <c r="AG26" i="2"/>
  <c r="AG16" i="2"/>
  <c r="AG27" i="2" s="1"/>
  <c r="AH25" i="2"/>
  <c r="AH10" i="2"/>
  <c r="AH11" i="2" s="1"/>
  <c r="AI9" i="2"/>
  <c r="O21" i="2"/>
  <c r="R30" i="2"/>
  <c r="AD30" i="2" s="1"/>
  <c r="AI15" i="2"/>
  <c r="AK15" i="2" l="1"/>
  <c r="AJ15" i="2"/>
  <c r="AE17" i="2"/>
  <c r="AE18" i="2" s="1"/>
  <c r="AI25" i="2"/>
  <c r="AI10" i="2"/>
  <c r="AI11" i="2" s="1"/>
  <c r="AJ9" i="2"/>
  <c r="AH26" i="2"/>
  <c r="AH16" i="2"/>
  <c r="AH27" i="2" s="1"/>
  <c r="AI26" i="2" l="1"/>
  <c r="AI16" i="2"/>
  <c r="AI27" i="2" s="1"/>
  <c r="AJ25" i="2"/>
  <c r="AJ10" i="2"/>
  <c r="AJ11" i="2"/>
  <c r="AK9" i="2"/>
  <c r="AE19" i="2"/>
  <c r="AE28" i="2" s="1"/>
  <c r="AE20" i="2" l="1"/>
  <c r="AK10" i="2"/>
  <c r="AK11" i="2" s="1"/>
  <c r="AK25" i="2"/>
  <c r="AJ16" i="2"/>
  <c r="AJ27" i="2" s="1"/>
  <c r="AJ26" i="2"/>
  <c r="AK26" i="2" l="1"/>
  <c r="AK16" i="2"/>
  <c r="AK27" i="2" s="1"/>
  <c r="AE21" i="2"/>
  <c r="AE30" i="2"/>
  <c r="AF17" i="2" l="1"/>
  <c r="AF18" i="2" s="1"/>
  <c r="AF19" i="2" l="1"/>
  <c r="AF28" i="2" s="1"/>
  <c r="AF20" i="2" l="1"/>
  <c r="AF21" i="2" s="1"/>
  <c r="AF30" i="2"/>
  <c r="AG17" i="2" l="1"/>
  <c r="AG18" i="2" s="1"/>
  <c r="AG19" i="2" l="1"/>
  <c r="AG28" i="2" s="1"/>
  <c r="AG20" i="2" l="1"/>
  <c r="AG21" i="2" l="1"/>
  <c r="AG30" i="2"/>
  <c r="AH17" i="2" l="1"/>
  <c r="AH18" i="2" s="1"/>
  <c r="AH19" i="2" l="1"/>
  <c r="AH28" i="2" s="1"/>
  <c r="AH20" i="2" l="1"/>
  <c r="AH21" i="2" s="1"/>
  <c r="AH30" i="2" l="1"/>
  <c r="AI17" i="2" s="1"/>
  <c r="AI18" i="2" s="1"/>
  <c r="AI19" i="2" l="1"/>
  <c r="AI28" i="2" s="1"/>
  <c r="AI20" i="2" l="1"/>
  <c r="AI21" i="2" s="1"/>
  <c r="AI30" i="2" l="1"/>
  <c r="AJ17" i="2" s="1"/>
  <c r="AJ18" i="2" s="1"/>
  <c r="AJ19" i="2" l="1"/>
  <c r="AJ28" i="2" s="1"/>
  <c r="AJ20" i="2" l="1"/>
  <c r="AJ21" i="2" l="1"/>
  <c r="AJ30" i="2"/>
  <c r="AK17" i="2" l="1"/>
  <c r="AK18" i="2" s="1"/>
  <c r="AK19" i="2" l="1"/>
  <c r="AK28" i="2" s="1"/>
  <c r="AK20" i="2" l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AN33" i="2" s="1"/>
  <c r="AN34" i="2" s="1"/>
  <c r="AN35" i="2" s="1"/>
  <c r="AK30" i="2" l="1"/>
  <c r="AK21" i="2"/>
</calcChain>
</file>

<file path=xl/sharedStrings.xml><?xml version="1.0" encoding="utf-8"?>
<sst xmlns="http://schemas.openxmlformats.org/spreadsheetml/2006/main" count="105" uniqueCount="98">
  <si>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</si>
  <si>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</si>
  <si>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</si>
  <si>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</si>
  <si>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</si>
  <si>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</si>
  <si>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</si>
  <si>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</si>
  <si>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</si>
  <si>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</si>
  <si>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</si>
  <si>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</si>
  <si>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</si>
  <si>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</si>
  <si>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</si>
  <si>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</si>
  <si>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</si>
  <si>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</si>
  <si>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</si>
  <si>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</si>
  <si>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</si>
  <si>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</si>
  <si>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</si>
  <si>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</si>
  <si>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</si>
  <si>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</si>
  <si>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</si>
  <si>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</si>
  <si>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</si>
  <si>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</si>
  <si>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</si>
  <si>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</si>
  <si>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</si>
  <si>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</si>
  <si>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</si>
  <si>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</si>
  <si>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</si>
  <si>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</si>
  <si>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</si>
  <si>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</si>
  <si>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</si>
  <si>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</si>
  <si>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</si>
  <si>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</si>
  <si>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</si>
  <si>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</si>
  <si>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</si>
  <si>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</si>
  <si>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</si>
  <si>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</si>
  <si>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</si>
  <si>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</si>
  <si>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</si>
  <si>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</si>
  <si>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</si>
  <si>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</si>
  <si>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</si>
  <si>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</si>
  <si>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</si>
  <si>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</si>
  <si>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</si>
  <si>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</si>
  <si>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</si>
  <si>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</si>
  <si>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</si>
  <si>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</si>
  <si>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</si>
  <si>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</si>
  <si>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</si>
  <si>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</si>
  <si>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</si>
  <si>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</si>
  <si>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</si>
  <si>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</si>
  <si>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</si>
  <si>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</si>
  <si>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</si>
  <si>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</si>
  <si>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</si>
  <si>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</si>
  <si>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</si>
  <si>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</si>
  <si>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</si>
  <si>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</si>
  <si>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</si>
  <si>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</si>
  <si>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</si>
  <si>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</si>
  <si>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</si>
  <si>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</si>
  <si>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</si>
  <si>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</si>
  <si>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</si>
  <si>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</si>
  <si>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</si>
  <si>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Q123</t>
  </si>
  <si>
    <t>Cerner</t>
  </si>
  <si>
    <t>FY17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</si>
</sst>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1</xdr:row>
      <xdr:rowOff>21433</xdr:rowOff>
    </xdr:from>
    <xdr:to>
      <xdr:col>17</xdr:col>
      <xdr:colOff>38100</xdr:colOff>
      <xdr:row>66</xdr:row>
      <xdr:rowOff>113369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0932319" y="182167"/>
          <a:ext cx="0" cy="105396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43069</xdr:colOff>
      <xdr:row>0</xdr:row>
      <xdr:rowOff>0</xdr:rowOff>
    </xdr:from>
    <xdr:to>
      <xdr:col>29</xdr:col>
      <xdr:colOff>43069</xdr:colOff>
      <xdr:row>73</xdr:row>
      <xdr:rowOff>157370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15059439" y="0"/>
          <a:ext cx="0" cy="1224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205" zoomScaleNormal="205" zoomScaleSheetLayoutView="100" workbookViewId="0">
      <selection activeCell="B3" sqref="B3"/>
    </sheetView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B2" s="1" t="s">
        <v>96</v>
      </c>
      <c r="F2" s="1" t="s">
        <v>0</v>
      </c>
      <c r="G2" s="2">
        <v>94.72</v>
      </c>
    </row>
    <row r="3" spans="2:8" x14ac:dyDescent="0.2">
      <c r="F3" s="1" t="s">
        <v>1</v>
      </c>
      <c r="G3" s="3">
        <v>2776</v>
      </c>
      <c r="H3" s="4" t="s">
        <v>95</v>
      </c>
    </row>
    <row r="4" spans="2:8" x14ac:dyDescent="0.2">
      <c r="F4" s="1" t="s">
        <v>2</v>
      </c>
      <c r="G4" s="3">
        <f>G3*G2</f>
        <v>262942.71999999997</v>
      </c>
    </row>
    <row r="5" spans="2:8" x14ac:dyDescent="0.2">
      <c r="F5" s="1" t="s">
        <v>3</v>
      </c>
      <c r="G5" s="3">
        <v>8769</v>
      </c>
      <c r="H5" s="4" t="s">
        <v>95</v>
      </c>
    </row>
    <row r="6" spans="2:8" x14ac:dyDescent="0.2">
      <c r="F6" s="1" t="s">
        <v>4</v>
      </c>
      <c r="G6" s="3">
        <v>91811</v>
      </c>
      <c r="H6" s="4" t="s">
        <v>95</v>
      </c>
    </row>
    <row r="7" spans="2:8" x14ac:dyDescent="0.2">
      <c r="F7" s="1" t="s">
        <v>5</v>
      </c>
      <c r="G7" s="3">
        <f>G4-G5+G6</f>
        <v>345984.72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V63"/>
  <sheetViews>
    <sheetView tabSelected="1" zoomScale="160" zoomScaleNormal="160" zoomScaleSheetLayoutView="100" workbookViewId="0">
      <pane xSplit="2" ySplit="3" topLeftCell="L4" activePane="bottomRight" state="frozen"/>
      <selection pane="topRight" activeCell="C1" sqref="C1"/>
      <selection pane="bottomLeft" activeCell="A4" sqref="A4"/>
      <selection pane="bottomRight" activeCell="X19" sqref="X19:Y19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24" width="9" style="4" customWidth="1"/>
    <col min="25" max="25" width="8.5703125" style="1"/>
    <col min="26" max="27" width="8.5703125" style="4"/>
    <col min="28" max="29" width="9.5703125" style="4" customWidth="1"/>
    <col min="30" max="39" width="8.5703125" style="1"/>
    <col min="40" max="40" width="9.28515625" style="1" customWidth="1"/>
    <col min="41" max="16384" width="8.5703125" style="1"/>
  </cols>
  <sheetData>
    <row r="1" spans="1:37" x14ac:dyDescent="0.2">
      <c r="A1" s="10" t="s">
        <v>7</v>
      </c>
    </row>
    <row r="2" spans="1:37" s="11" customFormat="1" x14ac:dyDescent="0.2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/>
      <c r="X2" s="12">
        <v>42886</v>
      </c>
      <c r="Y2" s="12">
        <v>43251</v>
      </c>
      <c r="Z2" s="12">
        <v>43616</v>
      </c>
      <c r="AA2" s="12">
        <v>43982</v>
      </c>
      <c r="AB2" s="12">
        <v>44347</v>
      </c>
      <c r="AC2" s="12">
        <v>44712</v>
      </c>
      <c r="AD2" s="12">
        <f>AC2+365</f>
        <v>45077</v>
      </c>
      <c r="AE2" s="12">
        <f>AD2+366</f>
        <v>45443</v>
      </c>
      <c r="AF2" s="12">
        <f t="shared" ref="AF2" si="1">AE2+365</f>
        <v>45808</v>
      </c>
      <c r="AG2" s="12">
        <f t="shared" ref="AG2:AH2" si="2">AF2+365</f>
        <v>46173</v>
      </c>
      <c r="AH2" s="12">
        <f t="shared" si="2"/>
        <v>46538</v>
      </c>
      <c r="AI2" s="12">
        <f>AH2+366</f>
        <v>46904</v>
      </c>
      <c r="AJ2" s="12">
        <f t="shared" ref="AJ2" si="3">AI2+365</f>
        <v>47269</v>
      </c>
      <c r="AK2" s="12">
        <f>AJ2+365</f>
        <v>47634</v>
      </c>
    </row>
    <row r="3" spans="1:37" x14ac:dyDescent="0.2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X3" s="4" t="s">
        <v>97</v>
      </c>
      <c r="Y3" s="4" t="s">
        <v>71</v>
      </c>
      <c r="Z3" s="4" t="s">
        <v>47</v>
      </c>
      <c r="AA3" s="4" t="s">
        <v>43</v>
      </c>
      <c r="AB3" s="4" t="s">
        <v>30</v>
      </c>
      <c r="AC3" s="4" t="s">
        <v>31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</row>
    <row r="4" spans="1:37" s="3" customFormat="1" x14ac:dyDescent="0.2">
      <c r="B4" s="3" t="s">
        <v>33</v>
      </c>
      <c r="C4" s="5"/>
      <c r="D4" s="5"/>
      <c r="E4" s="5"/>
      <c r="F4" s="5"/>
      <c r="G4" s="5">
        <v>6947</v>
      </c>
      <c r="H4" s="5">
        <v>7112</v>
      </c>
      <c r="I4" s="5">
        <v>7252</v>
      </c>
      <c r="J4" s="5">
        <v>7389</v>
      </c>
      <c r="K4" s="5">
        <v>7371</v>
      </c>
      <c r="L4" s="5">
        <v>7554</v>
      </c>
      <c r="M4" s="5">
        <v>7637</v>
      </c>
      <c r="N4" s="5">
        <v>7612</v>
      </c>
      <c r="O4" s="5">
        <v>8417</v>
      </c>
      <c r="P4" s="5">
        <v>8598</v>
      </c>
      <c r="Q4" s="5">
        <v>8923</v>
      </c>
      <c r="R4" s="5"/>
      <c r="S4" s="5"/>
      <c r="T4" s="5"/>
      <c r="U4" s="5"/>
      <c r="V4" s="5"/>
      <c r="W4" s="5"/>
      <c r="X4" s="5">
        <v>23800</v>
      </c>
      <c r="Y4" s="3">
        <v>26254</v>
      </c>
      <c r="Z4" s="5">
        <v>26707</v>
      </c>
      <c r="AA4" s="5">
        <v>27392</v>
      </c>
      <c r="AB4" s="5">
        <v>28700</v>
      </c>
      <c r="AC4" s="5">
        <v>30174</v>
      </c>
    </row>
    <row r="5" spans="1:37" s="3" customFormat="1" x14ac:dyDescent="0.2">
      <c r="B5" s="3" t="s">
        <v>34</v>
      </c>
      <c r="C5" s="5"/>
      <c r="D5" s="5"/>
      <c r="E5" s="5"/>
      <c r="F5" s="5"/>
      <c r="G5" s="5">
        <v>886</v>
      </c>
      <c r="H5" s="5">
        <v>1092</v>
      </c>
      <c r="I5" s="5">
        <v>1276</v>
      </c>
      <c r="J5" s="5">
        <v>2144</v>
      </c>
      <c r="K5" s="5">
        <v>813</v>
      </c>
      <c r="L5" s="5">
        <v>1237</v>
      </c>
      <c r="M5" s="5">
        <v>1289</v>
      </c>
      <c r="N5" s="5">
        <v>2539</v>
      </c>
      <c r="O5" s="5">
        <v>904</v>
      </c>
      <c r="P5" s="5">
        <v>1435</v>
      </c>
      <c r="Q5" s="5">
        <v>1288</v>
      </c>
      <c r="R5" s="5"/>
      <c r="S5" s="5"/>
      <c r="T5" s="5"/>
      <c r="U5" s="5"/>
      <c r="V5" s="5"/>
      <c r="W5" s="5"/>
      <c r="X5" s="5">
        <v>6418</v>
      </c>
      <c r="Y5" s="3">
        <v>6190</v>
      </c>
      <c r="Z5" s="5">
        <v>5855</v>
      </c>
      <c r="AA5" s="5">
        <v>5127</v>
      </c>
      <c r="AB5" s="5">
        <v>5399</v>
      </c>
      <c r="AC5" s="5">
        <v>5878</v>
      </c>
    </row>
    <row r="6" spans="1:37" s="3" customFormat="1" x14ac:dyDescent="0.2">
      <c r="B6" s="3" t="s">
        <v>35</v>
      </c>
      <c r="C6" s="5"/>
      <c r="D6" s="5"/>
      <c r="E6" s="5"/>
      <c r="F6" s="5"/>
      <c r="G6" s="5">
        <v>814</v>
      </c>
      <c r="H6" s="5">
        <v>844</v>
      </c>
      <c r="I6" s="5">
        <v>820</v>
      </c>
      <c r="J6" s="5">
        <v>882</v>
      </c>
      <c r="K6" s="5">
        <v>763</v>
      </c>
      <c r="L6" s="5">
        <v>767</v>
      </c>
      <c r="M6" s="5">
        <v>798</v>
      </c>
      <c r="N6" s="5">
        <v>856</v>
      </c>
      <c r="O6" s="5">
        <v>763</v>
      </c>
      <c r="P6" s="5">
        <v>850</v>
      </c>
      <c r="Q6" s="5">
        <v>811</v>
      </c>
      <c r="R6" s="5"/>
      <c r="S6" s="5"/>
      <c r="T6" s="5"/>
      <c r="U6" s="5"/>
      <c r="V6" s="5"/>
      <c r="W6" s="5"/>
      <c r="X6" s="5">
        <v>4152</v>
      </c>
      <c r="Y6" s="3">
        <v>3993</v>
      </c>
      <c r="Z6" s="5">
        <v>3704</v>
      </c>
      <c r="AA6" s="5">
        <v>3443</v>
      </c>
      <c r="AB6" s="5">
        <v>3359</v>
      </c>
      <c r="AC6" s="5">
        <v>3183</v>
      </c>
    </row>
    <row r="7" spans="1:37" s="3" customFormat="1" x14ac:dyDescent="0.2">
      <c r="B7" s="3" t="s">
        <v>36</v>
      </c>
      <c r="C7" s="5"/>
      <c r="D7" s="5"/>
      <c r="E7" s="5"/>
      <c r="F7" s="5"/>
      <c r="G7" s="5">
        <v>720</v>
      </c>
      <c r="H7" s="5">
        <v>752</v>
      </c>
      <c r="I7" s="5">
        <v>737</v>
      </c>
      <c r="J7" s="5">
        <v>812</v>
      </c>
      <c r="K7" s="5">
        <v>781</v>
      </c>
      <c r="L7" s="5">
        <v>802</v>
      </c>
      <c r="M7" s="5">
        <v>789</v>
      </c>
      <c r="N7" s="5">
        <v>833</v>
      </c>
      <c r="O7" s="5">
        <v>1361</v>
      </c>
      <c r="P7" s="5">
        <v>1392</v>
      </c>
      <c r="Q7" s="5">
        <v>1376</v>
      </c>
      <c r="R7" s="5"/>
      <c r="S7" s="5"/>
      <c r="T7" s="5"/>
      <c r="U7" s="5"/>
      <c r="V7" s="5"/>
      <c r="W7" s="5"/>
      <c r="X7" s="5">
        <v>3358</v>
      </c>
      <c r="Y7" s="3">
        <v>3394</v>
      </c>
      <c r="Z7" s="5">
        <v>3240</v>
      </c>
      <c r="AA7" s="5">
        <v>3106</v>
      </c>
      <c r="AB7" s="5">
        <v>3021</v>
      </c>
      <c r="AC7" s="5">
        <v>3205</v>
      </c>
    </row>
    <row r="9" spans="1:37" s="8" customFormat="1" x14ac:dyDescent="0.2">
      <c r="B9" s="8" t="s">
        <v>8</v>
      </c>
      <c r="C9" s="9"/>
      <c r="D9" s="9"/>
      <c r="E9" s="9"/>
      <c r="F9" s="9"/>
      <c r="G9" s="9">
        <f t="shared" ref="G9:Q9" si="4">SUM(G4:G7)</f>
        <v>9367</v>
      </c>
      <c r="H9" s="9">
        <f t="shared" si="4"/>
        <v>9800</v>
      </c>
      <c r="I9" s="9">
        <f t="shared" si="4"/>
        <v>10085</v>
      </c>
      <c r="J9" s="9">
        <f t="shared" si="4"/>
        <v>11227</v>
      </c>
      <c r="K9" s="9">
        <f t="shared" si="4"/>
        <v>9728</v>
      </c>
      <c r="L9" s="9">
        <f t="shared" si="4"/>
        <v>10360</v>
      </c>
      <c r="M9" s="9">
        <f t="shared" si="4"/>
        <v>10513</v>
      </c>
      <c r="N9" s="9">
        <f t="shared" si="4"/>
        <v>11840</v>
      </c>
      <c r="O9" s="9">
        <f t="shared" si="4"/>
        <v>11445</v>
      </c>
      <c r="P9" s="9">
        <f t="shared" si="4"/>
        <v>12275</v>
      </c>
      <c r="Q9" s="9">
        <f t="shared" si="4"/>
        <v>12398</v>
      </c>
      <c r="R9" s="9">
        <f t="shared" ref="R9" si="5">+N9*1.03</f>
        <v>12195.2</v>
      </c>
      <c r="S9" s="9"/>
      <c r="T9" s="9"/>
      <c r="U9" s="9"/>
      <c r="V9" s="9"/>
      <c r="W9" s="9"/>
      <c r="X9" s="9">
        <f>SUM(X4:X7)</f>
        <v>37728</v>
      </c>
      <c r="Y9" s="9">
        <f>SUM(Y4:Y7)</f>
        <v>39831</v>
      </c>
      <c r="Z9" s="9">
        <f>SUM(Z4:Z7)</f>
        <v>39506</v>
      </c>
      <c r="AA9" s="9">
        <f>SUM(AA4:AA7)</f>
        <v>39068</v>
      </c>
      <c r="AB9" s="9">
        <f>SUM(AB4:AB7)</f>
        <v>40479</v>
      </c>
      <c r="AC9" s="9">
        <f>SUM(AC4:AC7)</f>
        <v>42440</v>
      </c>
      <c r="AD9" s="9">
        <f>SUM(O9:R9)</f>
        <v>48313.2</v>
      </c>
      <c r="AE9" s="9">
        <f>AD9*1.03</f>
        <v>49762.595999999998</v>
      </c>
      <c r="AF9" s="9">
        <f t="shared" ref="AF9:AK9" si="6">AE9*1.03</f>
        <v>51255.473879999998</v>
      </c>
      <c r="AG9" s="9">
        <f t="shared" si="6"/>
        <v>52793.138096399998</v>
      </c>
      <c r="AH9" s="9">
        <f t="shared" si="6"/>
        <v>54376.932239292</v>
      </c>
      <c r="AI9" s="9">
        <f t="shared" si="6"/>
        <v>56008.240206470764</v>
      </c>
      <c r="AJ9" s="9">
        <f t="shared" si="6"/>
        <v>57688.487412664887</v>
      </c>
      <c r="AK9" s="9">
        <f t="shared" si="6"/>
        <v>59419.142035044832</v>
      </c>
    </row>
    <row r="10" spans="1:37" s="3" customFormat="1" x14ac:dyDescent="0.2">
      <c r="B10" s="3" t="s">
        <v>16</v>
      </c>
      <c r="C10" s="5"/>
      <c r="D10" s="5"/>
      <c r="E10" s="5"/>
      <c r="F10" s="5"/>
      <c r="G10" s="5">
        <f>1011+246+623</f>
        <v>1880</v>
      </c>
      <c r="H10" s="5">
        <f>1064+244+631</f>
        <v>1939</v>
      </c>
      <c r="I10" s="5">
        <f>1064+230+621</f>
        <v>1915</v>
      </c>
      <c r="J10" s="5">
        <f>(1214+253+655)</f>
        <v>2122</v>
      </c>
      <c r="K10" s="5">
        <f>1214+245+644</f>
        <v>2103</v>
      </c>
      <c r="L10" s="5">
        <f>1259+229+671</f>
        <v>2159</v>
      </c>
      <c r="M10" s="5">
        <f>1305+244+669</f>
        <v>2218</v>
      </c>
      <c r="N10" s="5">
        <f>1435+254+707</f>
        <v>2396</v>
      </c>
      <c r="O10" s="5">
        <f>1735+249+1053</f>
        <v>3037</v>
      </c>
      <c r="P10" s="5">
        <f>1891+286+1181</f>
        <v>3358</v>
      </c>
      <c r="Q10" s="5">
        <f>1980+244+1215</f>
        <v>3439</v>
      </c>
      <c r="R10" s="5">
        <f t="shared" ref="R10" si="7">R9-R11</f>
        <v>2439.0399999999991</v>
      </c>
      <c r="S10" s="5"/>
      <c r="T10" s="5"/>
      <c r="U10" s="5"/>
      <c r="V10" s="5"/>
      <c r="W10" s="5"/>
      <c r="X10" s="5">
        <f>3015+1653+2801</f>
        <v>7469</v>
      </c>
      <c r="Y10" s="3">
        <f>3612+1581+2888</f>
        <v>8081</v>
      </c>
      <c r="Z10" s="5">
        <f>3782+1360+2853</f>
        <v>7995</v>
      </c>
      <c r="AA10" s="5">
        <f>4006+1116+2816</f>
        <v>7938</v>
      </c>
      <c r="AB10" s="5">
        <f>(4353+972+2530)</f>
        <v>7855</v>
      </c>
      <c r="AC10" s="5">
        <f>(5213+972+2692)</f>
        <v>8877</v>
      </c>
      <c r="AD10" s="3">
        <f>SUM(O10:R10)</f>
        <v>12273.039999999999</v>
      </c>
      <c r="AE10" s="3">
        <f>AE9*0.2</f>
        <v>9952.5192000000006</v>
      </c>
      <c r="AF10" s="3">
        <f t="shared" ref="AF10:AK10" si="8">AF9*0.2</f>
        <v>10251.094776</v>
      </c>
      <c r="AG10" s="3">
        <f t="shared" si="8"/>
        <v>10558.62761928</v>
      </c>
      <c r="AH10" s="3">
        <f t="shared" si="8"/>
        <v>10875.3864478584</v>
      </c>
      <c r="AI10" s="3">
        <f t="shared" si="8"/>
        <v>11201.648041294153</v>
      </c>
      <c r="AJ10" s="3">
        <f t="shared" si="8"/>
        <v>11537.697482532978</v>
      </c>
      <c r="AK10" s="3">
        <f t="shared" si="8"/>
        <v>11883.828407008967</v>
      </c>
    </row>
    <row r="11" spans="1:37" s="3" customFormat="1" x14ac:dyDescent="0.2">
      <c r="B11" s="3" t="s">
        <v>17</v>
      </c>
      <c r="C11" s="5"/>
      <c r="D11" s="5"/>
      <c r="E11" s="5"/>
      <c r="F11" s="5"/>
      <c r="G11" s="5">
        <f t="shared" ref="G11" si="9">G9-G10</f>
        <v>7487</v>
      </c>
      <c r="H11" s="5">
        <f>H9-H10</f>
        <v>7861</v>
      </c>
      <c r="I11" s="5">
        <f>I9-I10</f>
        <v>8170</v>
      </c>
      <c r="J11" s="5">
        <f>J9-J10</f>
        <v>9105</v>
      </c>
      <c r="K11" s="5">
        <f t="shared" ref="K11:O11" si="10">K9-K10</f>
        <v>7625</v>
      </c>
      <c r="L11" s="5">
        <f t="shared" si="10"/>
        <v>8201</v>
      </c>
      <c r="M11" s="5">
        <f t="shared" si="10"/>
        <v>8295</v>
      </c>
      <c r="N11" s="5">
        <f t="shared" si="10"/>
        <v>9444</v>
      </c>
      <c r="O11" s="5">
        <f t="shared" si="10"/>
        <v>8408</v>
      </c>
      <c r="P11" s="5">
        <f t="shared" ref="P11:R11" si="11">P9*0.8</f>
        <v>9820</v>
      </c>
      <c r="Q11" s="5">
        <f>Q9-Q10</f>
        <v>8959</v>
      </c>
      <c r="R11" s="5">
        <f t="shared" si="11"/>
        <v>9756.1600000000017</v>
      </c>
      <c r="S11" s="5"/>
      <c r="T11" s="5"/>
      <c r="U11" s="5"/>
      <c r="V11" s="5"/>
      <c r="W11" s="5"/>
      <c r="X11" s="5">
        <f t="shared" ref="X11:Z11" si="12">X9-X10</f>
        <v>30259</v>
      </c>
      <c r="Y11" s="5">
        <f t="shared" si="12"/>
        <v>31750</v>
      </c>
      <c r="Z11" s="5">
        <f t="shared" si="12"/>
        <v>31511</v>
      </c>
      <c r="AA11" s="5">
        <f t="shared" ref="AA11" si="13">AA9-AA10</f>
        <v>31130</v>
      </c>
      <c r="AB11" s="5">
        <f>AB9-AB10</f>
        <v>32624</v>
      </c>
      <c r="AC11" s="5">
        <f t="shared" ref="AC11" si="14">AC9-AC10</f>
        <v>33563</v>
      </c>
      <c r="AD11" s="3">
        <f>AD9-AD10</f>
        <v>36040.159999999996</v>
      </c>
      <c r="AE11" s="3">
        <f t="shared" ref="AE11:AK11" si="15">AE9-AE10</f>
        <v>39810.076799999995</v>
      </c>
      <c r="AF11" s="3">
        <f t="shared" si="15"/>
        <v>41004.379104</v>
      </c>
      <c r="AG11" s="3">
        <f t="shared" si="15"/>
        <v>42234.510477119999</v>
      </c>
      <c r="AH11" s="3">
        <f t="shared" si="15"/>
        <v>43501.5457914336</v>
      </c>
      <c r="AI11" s="3">
        <f t="shared" si="15"/>
        <v>44806.592165176611</v>
      </c>
      <c r="AJ11" s="3">
        <f t="shared" si="15"/>
        <v>46150.789930131912</v>
      </c>
      <c r="AK11" s="3">
        <f t="shared" si="15"/>
        <v>47535.313628035867</v>
      </c>
    </row>
    <row r="12" spans="1:37" s="3" customFormat="1" x14ac:dyDescent="0.2">
      <c r="B12" s="3" t="s">
        <v>19</v>
      </c>
      <c r="C12" s="5"/>
      <c r="D12" s="5"/>
      <c r="E12" s="5"/>
      <c r="F12" s="5"/>
      <c r="G12" s="5">
        <v>1854</v>
      </c>
      <c r="H12" s="5">
        <v>1836</v>
      </c>
      <c r="I12" s="5">
        <v>1915</v>
      </c>
      <c r="J12" s="5">
        <v>2077</v>
      </c>
      <c r="K12" s="5">
        <v>1854</v>
      </c>
      <c r="L12" s="5">
        <v>1954</v>
      </c>
      <c r="M12" s="5">
        <v>2004</v>
      </c>
      <c r="N12" s="5">
        <v>2238</v>
      </c>
      <c r="O12" s="5">
        <v>2177</v>
      </c>
      <c r="P12" s="5">
        <v>2216</v>
      </c>
      <c r="Q12" s="5">
        <v>2150</v>
      </c>
      <c r="R12" s="5">
        <f t="shared" ref="R12" si="16">N12</f>
        <v>2238</v>
      </c>
      <c r="S12" s="5"/>
      <c r="T12" s="5"/>
      <c r="U12" s="5"/>
      <c r="V12" s="5"/>
      <c r="W12" s="5"/>
      <c r="X12" s="5">
        <v>8197</v>
      </c>
      <c r="Y12" s="3">
        <v>8431</v>
      </c>
      <c r="Z12" s="5">
        <v>8509</v>
      </c>
      <c r="AA12" s="5">
        <v>8094</v>
      </c>
      <c r="AB12" s="5">
        <v>7682</v>
      </c>
      <c r="AC12" s="5">
        <v>8047</v>
      </c>
      <c r="AD12" s="3">
        <f t="shared" ref="AD12:AD14" si="17">SUM(O12:R12)</f>
        <v>8781</v>
      </c>
      <c r="AE12" s="3">
        <f>AD12*1.02</f>
        <v>8956.6200000000008</v>
      </c>
      <c r="AF12" s="3">
        <f t="shared" ref="AF12:AK12" si="18">AE12*1.02</f>
        <v>9135.7524000000012</v>
      </c>
      <c r="AG12" s="3">
        <f t="shared" si="18"/>
        <v>9318.4674480000012</v>
      </c>
      <c r="AH12" s="3">
        <f t="shared" si="18"/>
        <v>9504.8367969600022</v>
      </c>
      <c r="AI12" s="3">
        <f t="shared" si="18"/>
        <v>9694.933532899202</v>
      </c>
      <c r="AJ12" s="3">
        <f t="shared" si="18"/>
        <v>9888.8322035571855</v>
      </c>
      <c r="AK12" s="3">
        <f t="shared" si="18"/>
        <v>10086.608847628329</v>
      </c>
    </row>
    <row r="13" spans="1:37" s="3" customFormat="1" x14ac:dyDescent="0.2">
      <c r="B13" s="3" t="s">
        <v>20</v>
      </c>
      <c r="C13" s="5"/>
      <c r="D13" s="5"/>
      <c r="E13" s="5"/>
      <c r="F13" s="5"/>
      <c r="G13" s="5">
        <v>1589</v>
      </c>
      <c r="H13" s="5">
        <v>1601</v>
      </c>
      <c r="I13" s="5">
        <v>1621</v>
      </c>
      <c r="J13" s="5">
        <v>1715</v>
      </c>
      <c r="K13" s="5">
        <v>1684</v>
      </c>
      <c r="L13" s="5">
        <v>1754</v>
      </c>
      <c r="M13" s="5">
        <v>1816</v>
      </c>
      <c r="N13" s="5">
        <v>1965</v>
      </c>
      <c r="O13" s="5">
        <v>2093</v>
      </c>
      <c r="P13" s="5">
        <v>2158</v>
      </c>
      <c r="Q13" s="5">
        <v>2146</v>
      </c>
      <c r="R13" s="5">
        <f t="shared" ref="R13:R14" si="19">N13</f>
        <v>1965</v>
      </c>
      <c r="S13" s="5"/>
      <c r="T13" s="5"/>
      <c r="U13" s="5"/>
      <c r="V13" s="5"/>
      <c r="W13" s="5"/>
      <c r="X13" s="5">
        <v>6159</v>
      </c>
      <c r="Y13" s="3">
        <v>6091</v>
      </c>
      <c r="Z13" s="5">
        <v>6026</v>
      </c>
      <c r="AA13" s="5">
        <v>6067</v>
      </c>
      <c r="AB13" s="5">
        <v>6527</v>
      </c>
      <c r="AC13" s="5">
        <v>7219</v>
      </c>
      <c r="AD13" s="3">
        <f t="shared" si="17"/>
        <v>8362</v>
      </c>
      <c r="AE13" s="3">
        <f t="shared" ref="AE13:AK13" si="20">AD13*1.01</f>
        <v>8445.6200000000008</v>
      </c>
      <c r="AF13" s="3">
        <f t="shared" si="20"/>
        <v>8530.0762000000013</v>
      </c>
      <c r="AG13" s="3">
        <f t="shared" si="20"/>
        <v>8615.3769620000021</v>
      </c>
      <c r="AH13" s="3">
        <f t="shared" si="20"/>
        <v>8701.5307316200015</v>
      </c>
      <c r="AI13" s="3">
        <f t="shared" si="20"/>
        <v>8788.5460389362015</v>
      </c>
      <c r="AJ13" s="3">
        <f t="shared" si="20"/>
        <v>8876.431499325563</v>
      </c>
      <c r="AK13" s="3">
        <f t="shared" si="20"/>
        <v>8965.1958143188185</v>
      </c>
    </row>
    <row r="14" spans="1:37" s="3" customFormat="1" x14ac:dyDescent="0.2">
      <c r="B14" s="3" t="s">
        <v>21</v>
      </c>
      <c r="C14" s="5"/>
      <c r="D14" s="5"/>
      <c r="E14" s="5"/>
      <c r="F14" s="5"/>
      <c r="G14" s="5">
        <v>295</v>
      </c>
      <c r="H14" s="5">
        <v>324</v>
      </c>
      <c r="I14" s="5">
        <v>330</v>
      </c>
      <c r="J14" s="5">
        <v>306</v>
      </c>
      <c r="K14" s="5">
        <v>298</v>
      </c>
      <c r="L14" s="5">
        <v>319</v>
      </c>
      <c r="M14" s="5">
        <v>335</v>
      </c>
      <c r="N14" s="5">
        <v>364</v>
      </c>
      <c r="O14" s="5">
        <v>411</v>
      </c>
      <c r="P14" s="5">
        <v>366</v>
      </c>
      <c r="Q14" s="5">
        <v>402</v>
      </c>
      <c r="R14" s="5">
        <f t="shared" si="19"/>
        <v>364</v>
      </c>
      <c r="S14" s="5"/>
      <c r="T14" s="5"/>
      <c r="U14" s="5"/>
      <c r="V14" s="5"/>
      <c r="W14" s="5"/>
      <c r="X14" s="5">
        <v>1176</v>
      </c>
      <c r="Y14" s="3">
        <v>1289</v>
      </c>
      <c r="Z14" s="5">
        <v>1265</v>
      </c>
      <c r="AA14" s="5">
        <v>1181</v>
      </c>
      <c r="AB14" s="5">
        <v>1254</v>
      </c>
      <c r="AC14" s="5">
        <v>1317</v>
      </c>
      <c r="AD14" s="3">
        <f t="shared" si="17"/>
        <v>1543</v>
      </c>
      <c r="AE14" s="3">
        <f t="shared" ref="AE14:AK14" si="21">AD14*1.01</f>
        <v>1558.43</v>
      </c>
      <c r="AF14" s="3">
        <f t="shared" si="21"/>
        <v>1574.0143</v>
      </c>
      <c r="AG14" s="3">
        <f t="shared" si="21"/>
        <v>1589.754443</v>
      </c>
      <c r="AH14" s="3">
        <f t="shared" si="21"/>
        <v>1605.65198743</v>
      </c>
      <c r="AI14" s="3">
        <f t="shared" si="21"/>
        <v>1621.7085073042999</v>
      </c>
      <c r="AJ14" s="3">
        <f t="shared" si="21"/>
        <v>1637.925592377343</v>
      </c>
      <c r="AK14" s="3">
        <f t="shared" si="21"/>
        <v>1654.3048483011164</v>
      </c>
    </row>
    <row r="15" spans="1:37" s="3" customFormat="1" x14ac:dyDescent="0.2">
      <c r="B15" s="3" t="s">
        <v>22</v>
      </c>
      <c r="C15" s="5">
        <f t="shared" ref="C15:M15" si="22">SUM(C12:C14)</f>
        <v>0</v>
      </c>
      <c r="D15" s="5">
        <f t="shared" si="22"/>
        <v>0</v>
      </c>
      <c r="E15" s="5">
        <f t="shared" si="22"/>
        <v>0</v>
      </c>
      <c r="F15" s="5">
        <f t="shared" si="22"/>
        <v>0</v>
      </c>
      <c r="G15" s="5">
        <f t="shared" ref="G15" si="23">SUM(G12:G14)</f>
        <v>3738</v>
      </c>
      <c r="H15" s="5">
        <f t="shared" si="22"/>
        <v>3761</v>
      </c>
      <c r="I15" s="5">
        <f t="shared" si="22"/>
        <v>3866</v>
      </c>
      <c r="J15" s="5">
        <f t="shared" si="22"/>
        <v>4098</v>
      </c>
      <c r="K15" s="5">
        <f t="shared" si="22"/>
        <v>3836</v>
      </c>
      <c r="L15" s="5">
        <f t="shared" si="22"/>
        <v>4027</v>
      </c>
      <c r="M15" s="5">
        <f t="shared" si="22"/>
        <v>4155</v>
      </c>
      <c r="N15" s="5">
        <f>SUM(N12:N14)</f>
        <v>4567</v>
      </c>
      <c r="O15" s="5">
        <f t="shared" ref="O15:R15" si="24">SUM(O12:O14)</f>
        <v>4681</v>
      </c>
      <c r="P15" s="5">
        <f t="shared" si="24"/>
        <v>4740</v>
      </c>
      <c r="Q15" s="5">
        <f t="shared" si="24"/>
        <v>4698</v>
      </c>
      <c r="R15" s="5">
        <f t="shared" si="24"/>
        <v>4567</v>
      </c>
      <c r="S15" s="5"/>
      <c r="T15" s="5"/>
      <c r="U15" s="5"/>
      <c r="V15" s="5"/>
      <c r="W15" s="5"/>
      <c r="X15" s="5">
        <f t="shared" ref="X15:Z15" si="25">SUM(X12:X14)</f>
        <v>15532</v>
      </c>
      <c r="Y15" s="5">
        <f t="shared" si="25"/>
        <v>15811</v>
      </c>
      <c r="Z15" s="5">
        <f t="shared" si="25"/>
        <v>15800</v>
      </c>
      <c r="AA15" s="5">
        <f t="shared" ref="AA15" si="26">SUM(AA12:AA14)</f>
        <v>15342</v>
      </c>
      <c r="AB15" s="5">
        <f>SUM(AB12:AB14)</f>
        <v>15463</v>
      </c>
      <c r="AC15" s="5">
        <f>SUM(AC12:AC14)</f>
        <v>16583</v>
      </c>
      <c r="AD15" s="5">
        <f t="shared" ref="AD15" si="27">SUM(AD12:AD14)</f>
        <v>18686</v>
      </c>
      <c r="AE15" s="5">
        <f t="shared" ref="AE15" si="28">SUM(AE12:AE14)</f>
        <v>18960.670000000002</v>
      </c>
      <c r="AF15" s="5">
        <f t="shared" ref="AF15" si="29">SUM(AF12:AF14)</f>
        <v>19239.8429</v>
      </c>
      <c r="AG15" s="5">
        <f t="shared" ref="AG15" si="30">SUM(AG12:AG14)</f>
        <v>19523.598853000007</v>
      </c>
      <c r="AH15" s="5">
        <f t="shared" ref="AH15" si="31">SUM(AH12:AH14)</f>
        <v>19812.019516010005</v>
      </c>
      <c r="AI15" s="5">
        <f t="shared" ref="AI15" si="32">SUM(AI12:AI14)</f>
        <v>20105.188079139705</v>
      </c>
      <c r="AJ15" s="5">
        <f t="shared" ref="AJ15" si="33">SUM(AJ12:AJ14)</f>
        <v>20403.18929526009</v>
      </c>
      <c r="AK15" s="5">
        <f t="shared" ref="AK15" si="34">SUM(AK12:AK14)</f>
        <v>20706.109510248265</v>
      </c>
    </row>
    <row r="16" spans="1:37" s="3" customFormat="1" x14ac:dyDescent="0.2">
      <c r="B16" s="3" t="s">
        <v>23</v>
      </c>
      <c r="C16" s="5">
        <f t="shared" ref="C16:M16" si="35">C11-C15</f>
        <v>0</v>
      </c>
      <c r="D16" s="5">
        <f t="shared" si="35"/>
        <v>0</v>
      </c>
      <c r="E16" s="5">
        <f t="shared" si="35"/>
        <v>0</v>
      </c>
      <c r="F16" s="5">
        <f t="shared" si="35"/>
        <v>0</v>
      </c>
      <c r="G16" s="5">
        <f t="shared" ref="G16" si="36">G11-G15</f>
        <v>3749</v>
      </c>
      <c r="H16" s="5">
        <f t="shared" si="35"/>
        <v>4100</v>
      </c>
      <c r="I16" s="5">
        <f t="shared" si="35"/>
        <v>4304</v>
      </c>
      <c r="J16" s="5">
        <f t="shared" si="35"/>
        <v>5007</v>
      </c>
      <c r="K16" s="5">
        <f t="shared" si="35"/>
        <v>3789</v>
      </c>
      <c r="L16" s="5">
        <f t="shared" si="35"/>
        <v>4174</v>
      </c>
      <c r="M16" s="5">
        <f t="shared" si="35"/>
        <v>4140</v>
      </c>
      <c r="N16" s="5">
        <f>N11-N15</f>
        <v>4877</v>
      </c>
      <c r="O16" s="5">
        <f t="shared" ref="O16:R16" si="37">O11-O15</f>
        <v>3727</v>
      </c>
      <c r="P16" s="5">
        <f t="shared" si="37"/>
        <v>5080</v>
      </c>
      <c r="Q16" s="5">
        <f t="shared" si="37"/>
        <v>4261</v>
      </c>
      <c r="R16" s="5">
        <f t="shared" si="37"/>
        <v>5189.1600000000017</v>
      </c>
      <c r="S16" s="5"/>
      <c r="T16" s="5"/>
      <c r="U16" s="5"/>
      <c r="V16" s="5"/>
      <c r="W16" s="5"/>
      <c r="X16" s="5">
        <f t="shared" ref="X16:Z16" si="38">X11-X15</f>
        <v>14727</v>
      </c>
      <c r="Y16" s="5">
        <f t="shared" si="38"/>
        <v>15939</v>
      </c>
      <c r="Z16" s="5">
        <f t="shared" si="38"/>
        <v>15711</v>
      </c>
      <c r="AA16" s="5">
        <f t="shared" ref="AA16" si="39">AA11-AA15</f>
        <v>15788</v>
      </c>
      <c r="AB16" s="5">
        <f>AB11-AB15</f>
        <v>17161</v>
      </c>
      <c r="AC16" s="5">
        <f>AC11-AC15</f>
        <v>16980</v>
      </c>
      <c r="AD16" s="5">
        <f t="shared" ref="AD16" si="40">AD11-AD15</f>
        <v>17354.159999999996</v>
      </c>
      <c r="AE16" s="5">
        <f t="shared" ref="AE16" si="41">AE11-AE15</f>
        <v>20849.406799999993</v>
      </c>
      <c r="AF16" s="5">
        <f t="shared" ref="AF16" si="42">AF11-AF15</f>
        <v>21764.536204</v>
      </c>
      <c r="AG16" s="5">
        <f t="shared" ref="AG16" si="43">AG11-AG15</f>
        <v>22710.911624119992</v>
      </c>
      <c r="AH16" s="5">
        <f t="shared" ref="AH16" si="44">AH11-AH15</f>
        <v>23689.526275423596</v>
      </c>
      <c r="AI16" s="5">
        <f t="shared" ref="AI16" si="45">AI11-AI15</f>
        <v>24701.404086036906</v>
      </c>
      <c r="AJ16" s="5">
        <f t="shared" ref="AJ16" si="46">AJ11-AJ15</f>
        <v>25747.600634871822</v>
      </c>
      <c r="AK16" s="5">
        <f t="shared" ref="AK16" si="47">AK11-AK15</f>
        <v>26829.204117787602</v>
      </c>
    </row>
    <row r="17" spans="2:126" s="3" customFormat="1" x14ac:dyDescent="0.2">
      <c r="B17" s="3" t="s">
        <v>24</v>
      </c>
      <c r="C17" s="5"/>
      <c r="D17" s="5"/>
      <c r="E17" s="5"/>
      <c r="F17" s="5"/>
      <c r="G17" s="5">
        <v>-614</v>
      </c>
      <c r="H17" s="5">
        <v>-600</v>
      </c>
      <c r="I17" s="5">
        <v>-585</v>
      </c>
      <c r="J17" s="5">
        <v>-697</v>
      </c>
      <c r="K17" s="5">
        <v>-705</v>
      </c>
      <c r="L17" s="5">
        <v>-679</v>
      </c>
      <c r="M17" s="5">
        <v>-667</v>
      </c>
      <c r="N17" s="5">
        <v>-704</v>
      </c>
      <c r="O17" s="5">
        <f>-787-180</f>
        <v>-967</v>
      </c>
      <c r="P17" s="5">
        <f>-856-71</f>
        <v>-927</v>
      </c>
      <c r="Q17" s="5">
        <v>-908</v>
      </c>
      <c r="R17" s="5">
        <f t="shared" ref="R17" si="48">Q17</f>
        <v>-908</v>
      </c>
      <c r="S17" s="5"/>
      <c r="T17" s="5"/>
      <c r="U17" s="5"/>
      <c r="V17" s="5"/>
      <c r="W17" s="5"/>
      <c r="X17" s="5">
        <v>-1798</v>
      </c>
      <c r="Y17" s="5">
        <v>-2025</v>
      </c>
      <c r="Z17" s="5">
        <v>-2082</v>
      </c>
      <c r="AA17" s="5">
        <v>-1995</v>
      </c>
      <c r="AB17" s="5">
        <v>-2496</v>
      </c>
      <c r="AC17" s="5">
        <v>-2755</v>
      </c>
      <c r="AD17" s="3">
        <f t="shared" ref="AD17:AD19" si="49">SUM(O17:R17)</f>
        <v>-3710</v>
      </c>
      <c r="AE17" s="3">
        <f t="shared" ref="AE17:AK17" si="50">AD30*$AN$31</f>
        <v>-794.03013999999996</v>
      </c>
      <c r="AF17" s="3">
        <f t="shared" si="50"/>
        <v>-623.55943838999997</v>
      </c>
      <c r="AG17" s="3">
        <f t="shared" si="50"/>
        <v>-443.86113588231501</v>
      </c>
      <c r="AH17" s="3">
        <f t="shared" si="50"/>
        <v>-254.59120673229475</v>
      </c>
      <c r="AI17" s="3">
        <f t="shared" si="50"/>
        <v>-55.394258648418692</v>
      </c>
      <c r="AJ17" s="3">
        <f t="shared" si="50"/>
        <v>154.09682488438347</v>
      </c>
      <c r="AK17" s="3">
        <f t="shared" si="50"/>
        <v>374.26125329231115</v>
      </c>
    </row>
    <row r="18" spans="2:126" x14ac:dyDescent="0.2">
      <c r="B18" s="1" t="s">
        <v>25</v>
      </c>
      <c r="G18" s="5">
        <f t="shared" ref="G18" si="51">+G16+G17</f>
        <v>3135</v>
      </c>
      <c r="H18" s="5">
        <f t="shared" ref="H18:J18" si="52">+H16+H17</f>
        <v>3500</v>
      </c>
      <c r="I18" s="5">
        <f t="shared" si="52"/>
        <v>3719</v>
      </c>
      <c r="J18" s="5">
        <f t="shared" si="52"/>
        <v>4310</v>
      </c>
      <c r="K18" s="5">
        <f t="shared" ref="K18" si="53">+K16+K17</f>
        <v>3084</v>
      </c>
      <c r="L18" s="5">
        <f t="shared" ref="L18" si="54">+L16+L17</f>
        <v>3495</v>
      </c>
      <c r="M18" s="5">
        <f t="shared" ref="M18" si="55">+M16+M17</f>
        <v>3473</v>
      </c>
      <c r="N18" s="5">
        <f>+N16+N17</f>
        <v>4173</v>
      </c>
      <c r="O18" s="5">
        <f t="shared" ref="O18:R18" si="56">+O16+O17</f>
        <v>2760</v>
      </c>
      <c r="P18" s="5">
        <f t="shared" si="56"/>
        <v>4153</v>
      </c>
      <c r="Q18" s="5">
        <f t="shared" si="56"/>
        <v>3353</v>
      </c>
      <c r="R18" s="5">
        <f t="shared" si="56"/>
        <v>4281.1600000000017</v>
      </c>
      <c r="S18" s="5"/>
      <c r="T18" s="5"/>
      <c r="U18" s="5"/>
      <c r="V18" s="5"/>
      <c r="W18" s="5"/>
      <c r="X18" s="5">
        <f t="shared" ref="X18:Z18" si="57">+X16+X17</f>
        <v>12929</v>
      </c>
      <c r="Y18" s="5">
        <f t="shared" si="57"/>
        <v>13914</v>
      </c>
      <c r="Z18" s="5">
        <f t="shared" si="57"/>
        <v>13629</v>
      </c>
      <c r="AA18" s="5">
        <f t="shared" ref="AA18:AB18" si="58">+AA16+AA17</f>
        <v>13793</v>
      </c>
      <c r="AB18" s="5">
        <f t="shared" si="58"/>
        <v>14665</v>
      </c>
      <c r="AC18" s="5">
        <f>+AC16+AC17</f>
        <v>14225</v>
      </c>
      <c r="AD18" s="5">
        <f t="shared" ref="AD18" si="59">+AD16+AD17</f>
        <v>13644.159999999996</v>
      </c>
      <c r="AE18" s="5">
        <f t="shared" ref="AE18" si="60">+AE16+AE17</f>
        <v>20055.376659999994</v>
      </c>
      <c r="AF18" s="5">
        <f t="shared" ref="AF18" si="61">+AF16+AF17</f>
        <v>21140.976765610001</v>
      </c>
      <c r="AG18" s="5">
        <f t="shared" ref="AG18" si="62">+AG16+AG17</f>
        <v>22267.050488237677</v>
      </c>
      <c r="AH18" s="5">
        <f t="shared" ref="AH18" si="63">+AH16+AH17</f>
        <v>23434.935068691302</v>
      </c>
      <c r="AI18" s="5">
        <f t="shared" ref="AI18" si="64">+AI16+AI17</f>
        <v>24646.009827388487</v>
      </c>
      <c r="AJ18" s="5">
        <f t="shared" ref="AJ18" si="65">+AJ16+AJ17</f>
        <v>25901.697459756204</v>
      </c>
      <c r="AK18" s="5">
        <f t="shared" ref="AK18" si="66">+AK16+AK17</f>
        <v>27203.465371079914</v>
      </c>
    </row>
    <row r="19" spans="2:126" x14ac:dyDescent="0.2">
      <c r="B19" s="1" t="s">
        <v>26</v>
      </c>
      <c r="G19" s="4">
        <v>344</v>
      </c>
      <c r="H19" s="4">
        <v>530</v>
      </c>
      <c r="I19" s="4">
        <v>0</v>
      </c>
      <c r="J19" s="5">
        <v>124</v>
      </c>
      <c r="K19" s="5">
        <v>224</v>
      </c>
      <c r="L19" s="5">
        <v>0</v>
      </c>
      <c r="M19" s="5">
        <v>521</v>
      </c>
      <c r="N19" s="5">
        <v>435</v>
      </c>
      <c r="O19" s="5">
        <v>108</v>
      </c>
      <c r="P19" s="5">
        <v>403</v>
      </c>
      <c r="Q19" s="5">
        <v>322</v>
      </c>
      <c r="R19" s="5">
        <f t="shared" ref="R19" si="67">R18*0.15</f>
        <v>642.17400000000021</v>
      </c>
      <c r="S19" s="5"/>
      <c r="T19" s="5"/>
      <c r="U19" s="5"/>
      <c r="V19" s="5"/>
      <c r="X19" s="5">
        <v>2182</v>
      </c>
      <c r="Y19" s="3">
        <v>9066</v>
      </c>
      <c r="Z19" s="5">
        <v>1185</v>
      </c>
      <c r="AA19" s="5">
        <v>1928</v>
      </c>
      <c r="AB19" s="5">
        <v>0</v>
      </c>
      <c r="AC19" s="5">
        <v>932</v>
      </c>
      <c r="AD19" s="3">
        <f t="shared" si="49"/>
        <v>1475.1740000000002</v>
      </c>
      <c r="AE19" s="3">
        <f>AE18*0.15</f>
        <v>3008.3064989999989</v>
      </c>
      <c r="AF19" s="3">
        <f>AF18*0.15</f>
        <v>3171.1465148415</v>
      </c>
      <c r="AG19" s="3">
        <f>AG18*0.15</f>
        <v>3340.0575732356515</v>
      </c>
      <c r="AH19" s="3">
        <f t="shared" ref="AH19:AK19" si="68">AH18*0.15</f>
        <v>3515.2402603036953</v>
      </c>
      <c r="AI19" s="3">
        <f>AI18*0.15</f>
        <v>3696.9014741082729</v>
      </c>
      <c r="AJ19" s="3">
        <f t="shared" si="68"/>
        <v>3885.2546189634304</v>
      </c>
      <c r="AK19" s="3">
        <f t="shared" si="68"/>
        <v>4080.519805661987</v>
      </c>
    </row>
    <row r="20" spans="2:126" x14ac:dyDescent="0.2">
      <c r="B20" s="1" t="s">
        <v>27</v>
      </c>
      <c r="G20" s="5">
        <f t="shared" ref="G20" si="69">G18-G19</f>
        <v>2791</v>
      </c>
      <c r="H20" s="5">
        <f>H18-H19</f>
        <v>2970</v>
      </c>
      <c r="I20" s="5">
        <f>I18-I19</f>
        <v>3719</v>
      </c>
      <c r="J20" s="5">
        <f>J18-J19</f>
        <v>4186</v>
      </c>
      <c r="K20" s="5">
        <f t="shared" ref="K20:M20" si="70">K18-K19</f>
        <v>2860</v>
      </c>
      <c r="L20" s="5">
        <f t="shared" si="70"/>
        <v>3495</v>
      </c>
      <c r="M20" s="5">
        <f t="shared" si="70"/>
        <v>2952</v>
      </c>
      <c r="N20" s="5">
        <f>N18-N19</f>
        <v>3738</v>
      </c>
      <c r="O20" s="5">
        <f t="shared" ref="O20:R20" si="71">O18-O19</f>
        <v>2652</v>
      </c>
      <c r="P20" s="5">
        <f t="shared" si="71"/>
        <v>3750</v>
      </c>
      <c r="Q20" s="5">
        <f t="shared" si="71"/>
        <v>3031</v>
      </c>
      <c r="R20" s="5">
        <f t="shared" si="71"/>
        <v>3638.9860000000017</v>
      </c>
      <c r="S20" s="5"/>
      <c r="T20" s="5"/>
      <c r="U20" s="5"/>
      <c r="V20" s="5"/>
      <c r="X20" s="5">
        <f t="shared" ref="X20:Z20" si="72">X18-X19</f>
        <v>10747</v>
      </c>
      <c r="Y20" s="5">
        <f t="shared" si="72"/>
        <v>4848</v>
      </c>
      <c r="Z20" s="5">
        <f t="shared" si="72"/>
        <v>12444</v>
      </c>
      <c r="AA20" s="5">
        <f t="shared" ref="AA20" si="73">AA18-AA19</f>
        <v>11865</v>
      </c>
      <c r="AB20" s="5">
        <f>AB18-AB19</f>
        <v>14665</v>
      </c>
      <c r="AC20" s="5">
        <f>AC18-AC19</f>
        <v>13293</v>
      </c>
      <c r="AD20" s="5">
        <f t="shared" ref="AD20" si="74">AD18-AD19</f>
        <v>12168.985999999995</v>
      </c>
      <c r="AE20" s="5">
        <f t="shared" ref="AE20" si="75">AE18-AE19</f>
        <v>17047.070160999996</v>
      </c>
      <c r="AF20" s="5">
        <f t="shared" ref="AF20" si="76">AF18-AF19</f>
        <v>17969.8302507685</v>
      </c>
      <c r="AG20" s="5">
        <f t="shared" ref="AG20" si="77">AG18-AG19</f>
        <v>18926.992915002025</v>
      </c>
      <c r="AH20" s="5">
        <f t="shared" ref="AH20" si="78">AH18-AH19</f>
        <v>19919.694808387605</v>
      </c>
      <c r="AI20" s="5">
        <f t="shared" ref="AI20" si="79">AI18-AI19</f>
        <v>20949.108353280215</v>
      </c>
      <c r="AJ20" s="5">
        <f t="shared" ref="AJ20" si="80">AJ18-AJ19</f>
        <v>22016.442840792773</v>
      </c>
      <c r="AK20" s="5">
        <f t="shared" ref="AK20" si="81">AK18-AK19</f>
        <v>23122.945565417926</v>
      </c>
      <c r="AL20" s="3">
        <f t="shared" ref="AL20:BQ20" si="82">AK20*(1+$AN$30)</f>
        <v>23354.175021072104</v>
      </c>
      <c r="AM20" s="3">
        <f t="shared" si="82"/>
        <v>23587.716771282827</v>
      </c>
      <c r="AN20" s="3">
        <f t="shared" si="82"/>
        <v>23823.593938995655</v>
      </c>
      <c r="AO20" s="3">
        <f t="shared" si="82"/>
        <v>24061.829878385612</v>
      </c>
      <c r="AP20" s="3">
        <f t="shared" si="82"/>
        <v>24302.448177169466</v>
      </c>
      <c r="AQ20" s="3">
        <f t="shared" si="82"/>
        <v>24545.472658941162</v>
      </c>
      <c r="AR20" s="3">
        <f t="shared" si="82"/>
        <v>24790.927385530573</v>
      </c>
      <c r="AS20" s="3">
        <f t="shared" si="82"/>
        <v>25038.836659385877</v>
      </c>
      <c r="AT20" s="3">
        <f t="shared" si="82"/>
        <v>25289.225025979737</v>
      </c>
      <c r="AU20" s="3">
        <f t="shared" si="82"/>
        <v>25542.117276239533</v>
      </c>
      <c r="AV20" s="3">
        <f t="shared" si="82"/>
        <v>25797.538449001928</v>
      </c>
      <c r="AW20" s="3">
        <f t="shared" si="82"/>
        <v>26055.513833491947</v>
      </c>
      <c r="AX20" s="3">
        <f t="shared" si="82"/>
        <v>26316.068971826866</v>
      </c>
      <c r="AY20" s="3">
        <f t="shared" si="82"/>
        <v>26579.229661545134</v>
      </c>
      <c r="AZ20" s="3">
        <f t="shared" si="82"/>
        <v>26845.021958160585</v>
      </c>
      <c r="BA20" s="3">
        <f t="shared" si="82"/>
        <v>27113.472177742191</v>
      </c>
      <c r="BB20" s="3">
        <f t="shared" si="82"/>
        <v>27384.606899519615</v>
      </c>
      <c r="BC20" s="3">
        <f t="shared" si="82"/>
        <v>27658.452968514812</v>
      </c>
      <c r="BD20" s="3">
        <f t="shared" si="82"/>
        <v>27935.037498199959</v>
      </c>
      <c r="BE20" s="3">
        <f t="shared" si="82"/>
        <v>28214.38787318196</v>
      </c>
      <c r="BF20" s="3">
        <f t="shared" si="82"/>
        <v>28496.531751913779</v>
      </c>
      <c r="BG20" s="3">
        <f t="shared" si="82"/>
        <v>28781.497069432917</v>
      </c>
      <c r="BH20" s="3">
        <f t="shared" si="82"/>
        <v>29069.312040127246</v>
      </c>
      <c r="BI20" s="3">
        <f t="shared" si="82"/>
        <v>29360.005160528519</v>
      </c>
      <c r="BJ20" s="3">
        <f t="shared" si="82"/>
        <v>29653.605212133803</v>
      </c>
      <c r="BK20" s="3">
        <f t="shared" si="82"/>
        <v>29950.14126425514</v>
      </c>
      <c r="BL20" s="3">
        <f t="shared" si="82"/>
        <v>30249.642676897693</v>
      </c>
      <c r="BM20" s="3">
        <f t="shared" si="82"/>
        <v>30552.139103666668</v>
      </c>
      <c r="BN20" s="3">
        <f t="shared" si="82"/>
        <v>30857.660494703334</v>
      </c>
      <c r="BO20" s="3">
        <f t="shared" si="82"/>
        <v>31166.237099650367</v>
      </c>
      <c r="BP20" s="3">
        <f t="shared" si="82"/>
        <v>31477.899470646869</v>
      </c>
      <c r="BQ20" s="3">
        <f t="shared" si="82"/>
        <v>31792.67846535334</v>
      </c>
      <c r="BR20" s="3">
        <f t="shared" ref="BR20:CW20" si="83">BQ20*(1+$AN$30)</f>
        <v>32110.605250006873</v>
      </c>
      <c r="BS20" s="3">
        <f t="shared" si="83"/>
        <v>32431.711302506941</v>
      </c>
      <c r="BT20" s="3">
        <f t="shared" si="83"/>
        <v>32756.028415532011</v>
      </c>
      <c r="BU20" s="3">
        <f t="shared" si="83"/>
        <v>33083.588699687331</v>
      </c>
      <c r="BV20" s="3">
        <f t="shared" si="83"/>
        <v>33414.424586684203</v>
      </c>
      <c r="BW20" s="3">
        <f t="shared" si="83"/>
        <v>33748.568832551042</v>
      </c>
      <c r="BX20" s="3">
        <f t="shared" si="83"/>
        <v>34086.054520876554</v>
      </c>
      <c r="BY20" s="3">
        <f t="shared" si="83"/>
        <v>34426.915066085319</v>
      </c>
      <c r="BZ20" s="3">
        <f t="shared" si="83"/>
        <v>34771.184216746173</v>
      </c>
      <c r="CA20" s="3">
        <f t="shared" si="83"/>
        <v>35118.896058913633</v>
      </c>
      <c r="CB20" s="3">
        <f t="shared" si="83"/>
        <v>35470.085019502767</v>
      </c>
      <c r="CC20" s="3">
        <f t="shared" si="83"/>
        <v>35824.785869697793</v>
      </c>
      <c r="CD20" s="3">
        <f t="shared" si="83"/>
        <v>36183.033728394774</v>
      </c>
      <c r="CE20" s="3">
        <f t="shared" si="83"/>
        <v>36544.864065678725</v>
      </c>
      <c r="CF20" s="3">
        <f t="shared" si="83"/>
        <v>36910.312706335513</v>
      </c>
      <c r="CG20" s="3">
        <f t="shared" si="83"/>
        <v>37279.415833398867</v>
      </c>
      <c r="CH20" s="3">
        <f t="shared" si="83"/>
        <v>37652.20999173286</v>
      </c>
      <c r="CI20" s="3">
        <f t="shared" si="83"/>
        <v>38028.732091650192</v>
      </c>
      <c r="CJ20" s="3">
        <f t="shared" si="83"/>
        <v>38409.019412566697</v>
      </c>
      <c r="CK20" s="3">
        <f t="shared" si="83"/>
        <v>38793.109606692364</v>
      </c>
      <c r="CL20" s="3">
        <f t="shared" si="83"/>
        <v>39181.040702759288</v>
      </c>
      <c r="CM20" s="3">
        <f t="shared" si="83"/>
        <v>39572.851109786883</v>
      </c>
      <c r="CN20" s="3">
        <f t="shared" si="83"/>
        <v>39968.579620884753</v>
      </c>
      <c r="CO20" s="3">
        <f t="shared" si="83"/>
        <v>40368.2654170936</v>
      </c>
      <c r="CP20" s="3">
        <f t="shared" si="83"/>
        <v>40771.948071264538</v>
      </c>
      <c r="CQ20" s="3">
        <f t="shared" si="83"/>
        <v>41179.667551977182</v>
      </c>
      <c r="CR20" s="3">
        <f t="shared" si="83"/>
        <v>41591.464227496952</v>
      </c>
      <c r="CS20" s="3">
        <f t="shared" si="83"/>
        <v>42007.378869771921</v>
      </c>
      <c r="CT20" s="3">
        <f t="shared" si="83"/>
        <v>42427.452658469643</v>
      </c>
      <c r="CU20" s="3">
        <f t="shared" si="83"/>
        <v>42851.72718505434</v>
      </c>
      <c r="CV20" s="3">
        <f t="shared" si="83"/>
        <v>43280.244456904882</v>
      </c>
      <c r="CW20" s="3">
        <f t="shared" si="83"/>
        <v>43713.046901473928</v>
      </c>
      <c r="CX20" s="3">
        <f t="shared" ref="CX20:DV20" si="84">CW20*(1+$AN$30)</f>
        <v>44150.177370488665</v>
      </c>
      <c r="CY20" s="3">
        <f t="shared" si="84"/>
        <v>44591.679144193549</v>
      </c>
      <c r="CZ20" s="3">
        <f t="shared" si="84"/>
        <v>45037.595935635487</v>
      </c>
      <c r="DA20" s="3">
        <f t="shared" si="84"/>
        <v>45487.971894991839</v>
      </c>
      <c r="DB20" s="3">
        <f t="shared" si="84"/>
        <v>45942.851613941755</v>
      </c>
      <c r="DC20" s="3">
        <f t="shared" si="84"/>
        <v>46402.28013008117</v>
      </c>
      <c r="DD20" s="3">
        <f t="shared" si="84"/>
        <v>46866.302931381979</v>
      </c>
      <c r="DE20" s="3">
        <f t="shared" si="84"/>
        <v>47334.965960695801</v>
      </c>
      <c r="DF20" s="3">
        <f t="shared" si="84"/>
        <v>47808.315620302761</v>
      </c>
      <c r="DG20" s="3">
        <f t="shared" si="84"/>
        <v>48286.39877650579</v>
      </c>
      <c r="DH20" s="3">
        <f t="shared" si="84"/>
        <v>48769.262764270847</v>
      </c>
      <c r="DI20" s="3">
        <f t="shared" si="84"/>
        <v>49256.955391913558</v>
      </c>
      <c r="DJ20" s="3">
        <f t="shared" si="84"/>
        <v>49749.524945832694</v>
      </c>
      <c r="DK20" s="3">
        <f t="shared" si="84"/>
        <v>50247.020195291021</v>
      </c>
      <c r="DL20" s="3">
        <f t="shared" si="84"/>
        <v>50749.490397243935</v>
      </c>
      <c r="DM20" s="3">
        <f t="shared" si="84"/>
        <v>51256.985301216373</v>
      </c>
      <c r="DN20" s="3">
        <f t="shared" si="84"/>
        <v>51769.555154228539</v>
      </c>
      <c r="DO20" s="3">
        <f t="shared" si="84"/>
        <v>52287.250705770828</v>
      </c>
      <c r="DP20" s="3">
        <f t="shared" si="84"/>
        <v>52810.123212828534</v>
      </c>
      <c r="DQ20" s="3">
        <f t="shared" si="84"/>
        <v>53338.224444956817</v>
      </c>
      <c r="DR20" s="3">
        <f t="shared" si="84"/>
        <v>53871.606689406384</v>
      </c>
      <c r="DS20" s="3">
        <f t="shared" si="84"/>
        <v>54410.322756300448</v>
      </c>
      <c r="DT20" s="3">
        <f t="shared" si="84"/>
        <v>54954.425983863453</v>
      </c>
      <c r="DU20" s="3">
        <f t="shared" si="84"/>
        <v>55503.97024370209</v>
      </c>
      <c r="DV20" s="3">
        <f t="shared" si="84"/>
        <v>56059.009946139115</v>
      </c>
    </row>
    <row r="21" spans="2:126" x14ac:dyDescent="0.2">
      <c r="B21" s="1" t="s">
        <v>28</v>
      </c>
      <c r="G21" s="6">
        <f t="shared" ref="G21" si="85">G20/G22</f>
        <v>0.89829417444480208</v>
      </c>
      <c r="H21" s="6">
        <f>H20/H22</f>
        <v>0.97504924491135914</v>
      </c>
      <c r="I21" s="6">
        <f>I20/I22</f>
        <v>1.2421509686038743</v>
      </c>
      <c r="J21" s="6">
        <f>J20/J22</f>
        <v>1.4223581379544683</v>
      </c>
      <c r="K21" s="6">
        <f t="shared" ref="K21:R21" si="86">K20/K22</f>
        <v>0.99965047186298495</v>
      </c>
      <c r="L21" s="6">
        <f t="shared" si="86"/>
        <v>1.2973273942093542</v>
      </c>
      <c r="M21" s="6">
        <f t="shared" si="86"/>
        <v>1.0718954248366013</v>
      </c>
      <c r="N21" s="6">
        <f t="shared" si="86"/>
        <v>1.363238512035011</v>
      </c>
      <c r="O21" s="6">
        <f t="shared" si="86"/>
        <v>0.96541681834728799</v>
      </c>
      <c r="P21" s="6">
        <f t="shared" si="86"/>
        <v>1.3656227239621268</v>
      </c>
      <c r="Q21" s="6">
        <f t="shared" si="86"/>
        <v>1.0918587896253602</v>
      </c>
      <c r="R21" s="6">
        <f t="shared" si="86"/>
        <v>1.3108739193083581</v>
      </c>
      <c r="S21" s="6"/>
      <c r="T21" s="6"/>
      <c r="U21" s="6"/>
      <c r="V21" s="6"/>
      <c r="X21" s="6">
        <f t="shared" ref="X21:Z21" si="87">X20/X22</f>
        <v>2.5484941901825944</v>
      </c>
      <c r="Y21" s="6">
        <f t="shared" si="87"/>
        <v>1.1439358187824447</v>
      </c>
      <c r="Z21" s="6">
        <f t="shared" si="87"/>
        <v>3.334405144694534</v>
      </c>
      <c r="AA21" s="6">
        <f t="shared" ref="AA21" si="88">AA20/AA22</f>
        <v>3.6020036429872495</v>
      </c>
      <c r="AB21" s="6">
        <f>AB20/AB22</f>
        <v>4.852746525479815</v>
      </c>
      <c r="AC21" s="6">
        <f t="shared" ref="AC21:AD21" si="89">AC20/AC22</f>
        <v>4.7713567839195976</v>
      </c>
      <c r="AD21" s="6">
        <f t="shared" si="89"/>
        <v>4.4070569488456295</v>
      </c>
      <c r="AE21" s="6">
        <f t="shared" ref="AE21:AK21" si="90">AE20/AE22</f>
        <v>6.1736786459031219</v>
      </c>
      <c r="AF21" s="6">
        <f t="shared" si="90"/>
        <v>6.5078606612108647</v>
      </c>
      <c r="AG21" s="6">
        <f t="shared" si="90"/>
        <v>6.8545017347223274</v>
      </c>
      <c r="AH21" s="6">
        <f t="shared" si="90"/>
        <v>7.2140135114124417</v>
      </c>
      <c r="AI21" s="6">
        <f t="shared" si="90"/>
        <v>7.5868205896895304</v>
      </c>
      <c r="AJ21" s="6">
        <f t="shared" si="90"/>
        <v>7.9733609201603528</v>
      </c>
      <c r="AK21" s="6">
        <f t="shared" si="90"/>
        <v>8.3740862165388599</v>
      </c>
    </row>
    <row r="22" spans="2:126" s="3" customFormat="1" x14ac:dyDescent="0.2">
      <c r="B22" s="3" t="s">
        <v>1</v>
      </c>
      <c r="C22" s="5"/>
      <c r="D22" s="5"/>
      <c r="E22" s="5"/>
      <c r="F22" s="5"/>
      <c r="G22" s="5">
        <v>3107</v>
      </c>
      <c r="H22" s="5">
        <v>3046</v>
      </c>
      <c r="I22" s="5">
        <v>2994</v>
      </c>
      <c r="J22" s="5">
        <v>2943</v>
      </c>
      <c r="K22" s="5">
        <v>2861</v>
      </c>
      <c r="L22" s="5">
        <v>2694</v>
      </c>
      <c r="M22" s="5">
        <v>2754</v>
      </c>
      <c r="N22" s="5">
        <v>2742</v>
      </c>
      <c r="O22" s="5">
        <v>2747</v>
      </c>
      <c r="P22" s="5">
        <v>2746</v>
      </c>
      <c r="Q22" s="5">
        <v>2776</v>
      </c>
      <c r="R22" s="5">
        <f t="shared" ref="R22" si="91">Q22</f>
        <v>2776</v>
      </c>
      <c r="S22" s="5"/>
      <c r="T22" s="5"/>
      <c r="U22" s="5"/>
      <c r="V22" s="5"/>
      <c r="W22" s="5"/>
      <c r="X22" s="5">
        <v>4217</v>
      </c>
      <c r="Y22" s="3">
        <v>4238</v>
      </c>
      <c r="Z22" s="5">
        <v>3732</v>
      </c>
      <c r="AA22" s="5">
        <v>3294</v>
      </c>
      <c r="AB22" s="5">
        <v>3022</v>
      </c>
      <c r="AC22" s="5">
        <v>2786</v>
      </c>
      <c r="AD22" s="3">
        <f>AVERAGE(O22:R22)</f>
        <v>2761.25</v>
      </c>
      <c r="AE22" s="3">
        <f>AD22</f>
        <v>2761.25</v>
      </c>
      <c r="AF22" s="3">
        <f t="shared" ref="AF22:AK22" si="92">AE22</f>
        <v>2761.25</v>
      </c>
      <c r="AG22" s="3">
        <f t="shared" si="92"/>
        <v>2761.25</v>
      </c>
      <c r="AH22" s="3">
        <f t="shared" si="92"/>
        <v>2761.25</v>
      </c>
      <c r="AI22" s="3">
        <f t="shared" si="92"/>
        <v>2761.25</v>
      </c>
      <c r="AJ22" s="3">
        <f t="shared" si="92"/>
        <v>2761.25</v>
      </c>
      <c r="AK22" s="3">
        <f t="shared" si="92"/>
        <v>2761.25</v>
      </c>
    </row>
    <row r="23" spans="2:126" x14ac:dyDescent="0.2">
      <c r="B23" s="1" t="s">
        <v>29</v>
      </c>
      <c r="N23" s="4">
        <v>1.54</v>
      </c>
      <c r="O23" s="4">
        <v>1.03</v>
      </c>
      <c r="P23" s="4">
        <v>1.21</v>
      </c>
      <c r="AC23" s="4">
        <v>1.54</v>
      </c>
    </row>
    <row r="25" spans="2:126" x14ac:dyDescent="0.2">
      <c r="B25" s="1" t="s">
        <v>32</v>
      </c>
      <c r="K25" s="7">
        <f>K9/G9-1</f>
        <v>3.8539553752535483E-2</v>
      </c>
      <c r="L25" s="7">
        <f>L9/H9-1</f>
        <v>5.7142857142857162E-2</v>
      </c>
      <c r="M25" s="7">
        <f>M9/I9-1</f>
        <v>4.2439266236985684E-2</v>
      </c>
      <c r="N25" s="7">
        <f>N9/J9-1</f>
        <v>5.4600516611739591E-2</v>
      </c>
      <c r="O25" s="7">
        <f t="shared" ref="O25:R25" si="93">O9/K9-1</f>
        <v>0.17650082236842102</v>
      </c>
      <c r="P25" s="7">
        <f t="shared" si="93"/>
        <v>0.18484555984555984</v>
      </c>
      <c r="Q25" s="7">
        <f t="shared" si="93"/>
        <v>0.17930181679824986</v>
      </c>
      <c r="R25" s="7">
        <f t="shared" si="93"/>
        <v>3.0000000000000027E-2</v>
      </c>
      <c r="S25" s="7"/>
      <c r="T25" s="7"/>
      <c r="U25" s="7"/>
      <c r="V25" s="7"/>
      <c r="W25" s="7"/>
      <c r="X25" s="7"/>
      <c r="Z25" s="13"/>
      <c r="AA25" s="13">
        <f t="shared" ref="AA25:AB25" si="94">AA9/Z9-1</f>
        <v>-1.108692350529028E-2</v>
      </c>
      <c r="AB25" s="13">
        <f t="shared" si="94"/>
        <v>3.6116514794716892E-2</v>
      </c>
      <c r="AC25" s="13">
        <f>AC9/AB9-1</f>
        <v>4.8444872650015958E-2</v>
      </c>
      <c r="AD25" s="13">
        <f t="shared" ref="AD25:AK25" si="95">AD9/AC9-1</f>
        <v>0.13838831291234688</v>
      </c>
      <c r="AE25" s="13">
        <f t="shared" si="95"/>
        <v>3.0000000000000027E-2</v>
      </c>
      <c r="AF25" s="13">
        <f t="shared" si="95"/>
        <v>3.0000000000000027E-2</v>
      </c>
      <c r="AG25" s="13">
        <f t="shared" si="95"/>
        <v>3.0000000000000027E-2</v>
      </c>
      <c r="AH25" s="13">
        <f t="shared" si="95"/>
        <v>3.0000000000000027E-2</v>
      </c>
      <c r="AI25" s="13">
        <f t="shared" si="95"/>
        <v>3.0000000000000027E-2</v>
      </c>
      <c r="AJ25" s="13">
        <f t="shared" si="95"/>
        <v>3.0000000000000027E-2</v>
      </c>
      <c r="AK25" s="13">
        <f t="shared" si="95"/>
        <v>3.0000000000000027E-2</v>
      </c>
    </row>
    <row r="26" spans="2:126" x14ac:dyDescent="0.2">
      <c r="B26" s="1" t="s">
        <v>18</v>
      </c>
      <c r="G26" s="7">
        <f t="shared" ref="G26:M26" si="96">G11/G9</f>
        <v>0.79929539874025834</v>
      </c>
      <c r="H26" s="7">
        <f t="shared" si="96"/>
        <v>0.80214285714285716</v>
      </c>
      <c r="I26" s="7">
        <f t="shared" si="96"/>
        <v>0.8101140307387209</v>
      </c>
      <c r="J26" s="7">
        <f t="shared" si="96"/>
        <v>0.81099136011401085</v>
      </c>
      <c r="K26" s="7">
        <f t="shared" si="96"/>
        <v>0.78381990131578949</v>
      </c>
      <c r="L26" s="7">
        <f t="shared" si="96"/>
        <v>0.79160231660231661</v>
      </c>
      <c r="M26" s="7">
        <f t="shared" si="96"/>
        <v>0.78902311423951299</v>
      </c>
      <c r="N26" s="7">
        <f>N11/N9</f>
        <v>0.79763513513513518</v>
      </c>
      <c r="O26" s="7">
        <f t="shared" ref="O26:R26" si="97">O11/O9</f>
        <v>0.73464394932284838</v>
      </c>
      <c r="P26" s="7">
        <f t="shared" si="97"/>
        <v>0.8</v>
      </c>
      <c r="Q26" s="7">
        <f t="shared" si="97"/>
        <v>0.72261655105662204</v>
      </c>
      <c r="R26" s="7">
        <f t="shared" si="97"/>
        <v>0.8</v>
      </c>
      <c r="S26" s="7"/>
      <c r="T26" s="7"/>
      <c r="U26" s="7"/>
      <c r="V26" s="7"/>
      <c r="W26" s="7"/>
      <c r="X26" s="7"/>
      <c r="Y26" s="7"/>
      <c r="Z26" s="7">
        <f t="shared" ref="Z26:AB26" si="98">Z11/Z9</f>
        <v>0.79762567711233734</v>
      </c>
      <c r="AA26" s="7">
        <f t="shared" si="98"/>
        <v>0.79681580833418653</v>
      </c>
      <c r="AB26" s="7">
        <f t="shared" si="98"/>
        <v>0.80594876355641198</v>
      </c>
      <c r="AC26" s="7">
        <f>AC11/AC9</f>
        <v>0.79083411875589071</v>
      </c>
      <c r="AD26" s="7">
        <f t="shared" ref="AD26:AK26" si="99">AD11/AD9</f>
        <v>0.74596921752233336</v>
      </c>
      <c r="AE26" s="7">
        <f t="shared" si="99"/>
        <v>0.79999999999999993</v>
      </c>
      <c r="AF26" s="7">
        <f t="shared" si="99"/>
        <v>0.8</v>
      </c>
      <c r="AG26" s="7">
        <f t="shared" si="99"/>
        <v>0.8</v>
      </c>
      <c r="AH26" s="7">
        <f t="shared" si="99"/>
        <v>0.8</v>
      </c>
      <c r="AI26" s="7">
        <f t="shared" si="99"/>
        <v>0.8</v>
      </c>
      <c r="AJ26" s="7">
        <f t="shared" si="99"/>
        <v>0.8</v>
      </c>
      <c r="AK26" s="7">
        <f t="shared" si="99"/>
        <v>0.8</v>
      </c>
    </row>
    <row r="27" spans="2:126" x14ac:dyDescent="0.2">
      <c r="B27" s="1" t="s">
        <v>90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>
        <f t="shared" ref="Z27:AB27" si="100">Z16/Z9</f>
        <v>0.39768642737811977</v>
      </c>
      <c r="AA27" s="7">
        <f t="shared" si="100"/>
        <v>0.40411590048121226</v>
      </c>
      <c r="AB27" s="7">
        <f t="shared" si="100"/>
        <v>0.42394822006472493</v>
      </c>
      <c r="AC27" s="7">
        <f>AC16/AC9</f>
        <v>0.40009425070688032</v>
      </c>
      <c r="AD27" s="7">
        <f t="shared" ref="AD27:AK27" si="101">AD16/AD9</f>
        <v>0.3592012120911055</v>
      </c>
      <c r="AE27" s="7">
        <f t="shared" si="101"/>
        <v>0.41897747456744405</v>
      </c>
      <c r="AF27" s="7">
        <f t="shared" si="101"/>
        <v>0.42462852367642573</v>
      </c>
      <c r="AG27" s="7">
        <f t="shared" si="101"/>
        <v>0.43018680917679081</v>
      </c>
      <c r="AH27" s="7">
        <f t="shared" si="101"/>
        <v>0.43565396759006347</v>
      </c>
      <c r="AI27" s="7">
        <f t="shared" si="101"/>
        <v>0.44103160525981128</v>
      </c>
      <c r="AJ27" s="7">
        <f t="shared" si="101"/>
        <v>0.44632129892210026</v>
      </c>
      <c r="AK27" s="7">
        <f t="shared" si="101"/>
        <v>0.45152459626502178</v>
      </c>
    </row>
    <row r="28" spans="2:126" x14ac:dyDescent="0.2">
      <c r="B28" s="1" t="s">
        <v>83</v>
      </c>
      <c r="G28" s="7"/>
      <c r="H28" s="7"/>
      <c r="I28" s="7"/>
      <c r="J28" s="7"/>
      <c r="K28" s="7">
        <f t="shared" ref="K28:N28" si="102">K19/K18</f>
        <v>7.2632944228274973E-2</v>
      </c>
      <c r="L28" s="7">
        <f t="shared" si="102"/>
        <v>0</v>
      </c>
      <c r="M28" s="7">
        <f t="shared" si="102"/>
        <v>0.15001439677512238</v>
      </c>
      <c r="N28" s="7">
        <f t="shared" si="102"/>
        <v>0.10424155283968368</v>
      </c>
      <c r="O28" s="7">
        <f>O19/O18</f>
        <v>3.9130434782608699E-2</v>
      </c>
      <c r="P28" s="7">
        <f t="shared" ref="P28:R28" si="103">P19/P18</f>
        <v>9.7038285576691544E-2</v>
      </c>
      <c r="Q28" s="7">
        <f t="shared" si="103"/>
        <v>9.6033402922755737E-2</v>
      </c>
      <c r="R28" s="7">
        <f t="shared" si="103"/>
        <v>0.15</v>
      </c>
      <c r="S28" s="7"/>
      <c r="T28" s="7"/>
      <c r="U28" s="7"/>
      <c r="V28" s="7"/>
      <c r="W28" s="7"/>
      <c r="X28" s="7"/>
      <c r="Y28" s="7"/>
      <c r="Z28" s="7">
        <f t="shared" ref="Z28:AK28" si="104">Z19/Z18</f>
        <v>8.6946951353731011E-2</v>
      </c>
      <c r="AA28" s="7">
        <f t="shared" si="104"/>
        <v>0.13978104835786268</v>
      </c>
      <c r="AB28" s="7">
        <f t="shared" si="104"/>
        <v>0</v>
      </c>
      <c r="AC28" s="7">
        <f t="shared" si="104"/>
        <v>6.5518453427065027E-2</v>
      </c>
      <c r="AD28" s="7">
        <f t="shared" si="104"/>
        <v>0.10811761222383794</v>
      </c>
      <c r="AE28" s="7">
        <f t="shared" si="104"/>
        <v>0.15</v>
      </c>
      <c r="AF28" s="7">
        <f t="shared" si="104"/>
        <v>0.15</v>
      </c>
      <c r="AG28" s="7">
        <f t="shared" si="104"/>
        <v>0.15</v>
      </c>
      <c r="AH28" s="7">
        <f t="shared" si="104"/>
        <v>0.15</v>
      </c>
      <c r="AI28" s="7">
        <f t="shared" si="104"/>
        <v>0.15</v>
      </c>
      <c r="AJ28" s="7">
        <f t="shared" si="104"/>
        <v>0.15</v>
      </c>
      <c r="AK28" s="7">
        <f t="shared" si="104"/>
        <v>0.15</v>
      </c>
    </row>
    <row r="30" spans="2:126" x14ac:dyDescent="0.2">
      <c r="B30" s="1" t="s">
        <v>70</v>
      </c>
      <c r="N30" s="5">
        <f>N31-N40</f>
        <v>-53957</v>
      </c>
      <c r="O30" s="5">
        <f>O31-O40</f>
        <v>0</v>
      </c>
      <c r="P30" s="5">
        <f>P31-P40</f>
        <v>-83569</v>
      </c>
      <c r="Q30" s="5">
        <f>Q31-Q40</f>
        <v>-83042</v>
      </c>
      <c r="R30" s="5">
        <f t="shared" ref="R30" si="105">Q30+R20</f>
        <v>-79403.013999999996</v>
      </c>
      <c r="S30" s="5"/>
      <c r="T30" s="5"/>
      <c r="U30" s="5"/>
      <c r="V30" s="5"/>
      <c r="AD30" s="3">
        <f>R30</f>
        <v>-79403.013999999996</v>
      </c>
      <c r="AE30" s="3">
        <f>AD30+AE20</f>
        <v>-62355.943839</v>
      </c>
      <c r="AF30" s="3">
        <f t="shared" ref="AF30:AK30" si="106">AE30+AF20</f>
        <v>-44386.113588231499</v>
      </c>
      <c r="AG30" s="3">
        <f t="shared" si="106"/>
        <v>-25459.120673229474</v>
      </c>
      <c r="AH30" s="3">
        <f t="shared" si="106"/>
        <v>-5539.425864841869</v>
      </c>
      <c r="AI30" s="3">
        <f t="shared" si="106"/>
        <v>15409.682488438346</v>
      </c>
      <c r="AJ30" s="3">
        <f t="shared" si="106"/>
        <v>37426.125329231116</v>
      </c>
      <c r="AK30" s="3">
        <f t="shared" si="106"/>
        <v>60549.070894649041</v>
      </c>
      <c r="AM30" s="1" t="s">
        <v>87</v>
      </c>
      <c r="AN30" s="14">
        <v>0.01</v>
      </c>
    </row>
    <row r="31" spans="2:126" s="3" customFormat="1" x14ac:dyDescent="0.2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f>21383+519</f>
        <v>21902</v>
      </c>
      <c r="O31" s="5"/>
      <c r="P31" s="5">
        <f>6813+537</f>
        <v>7350</v>
      </c>
      <c r="Q31" s="5">
        <f>8219+550</f>
        <v>8769</v>
      </c>
      <c r="R31" s="5"/>
      <c r="S31" s="5"/>
      <c r="T31" s="5"/>
      <c r="U31" s="5"/>
      <c r="V31" s="5"/>
      <c r="W31" s="5"/>
      <c r="X31" s="5"/>
      <c r="Z31" s="5"/>
      <c r="AA31" s="5"/>
      <c r="AB31" s="5"/>
      <c r="AC31" s="5"/>
      <c r="AM31" s="1" t="s">
        <v>84</v>
      </c>
      <c r="AN31" s="14">
        <v>0.01</v>
      </c>
    </row>
    <row r="32" spans="2:126" s="3" customFormat="1" x14ac:dyDescent="0.2">
      <c r="B32" s="3" t="s">
        <v>57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5953</v>
      </c>
      <c r="O32" s="5"/>
      <c r="P32" s="5">
        <v>6197</v>
      </c>
      <c r="Q32" s="5">
        <v>6213</v>
      </c>
      <c r="R32" s="5"/>
      <c r="S32" s="5"/>
      <c r="T32" s="5"/>
      <c r="U32" s="5"/>
      <c r="V32" s="5"/>
      <c r="W32" s="5"/>
      <c r="X32" s="5"/>
      <c r="Z32" s="5"/>
      <c r="AA32" s="5"/>
      <c r="AB32" s="5"/>
      <c r="AC32" s="5"/>
      <c r="AM32" s="1" t="s">
        <v>85</v>
      </c>
      <c r="AN32" s="14">
        <v>0.06</v>
      </c>
    </row>
    <row r="33" spans="2:40" s="3" customFormat="1" x14ac:dyDescent="0.2">
      <c r="B33" s="3" t="s">
        <v>58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3778</v>
      </c>
      <c r="O33" s="5"/>
      <c r="P33" s="5">
        <v>4014</v>
      </c>
      <c r="Q33" s="5">
        <v>3714</v>
      </c>
      <c r="R33" s="5"/>
      <c r="S33" s="5"/>
      <c r="T33" s="5"/>
      <c r="U33" s="5"/>
      <c r="V33" s="5"/>
      <c r="W33" s="5"/>
      <c r="X33" s="5"/>
      <c r="Z33" s="5"/>
      <c r="AA33" s="5"/>
      <c r="AB33" s="5"/>
      <c r="AC33" s="5"/>
      <c r="AM33" s="1" t="s">
        <v>86</v>
      </c>
      <c r="AN33" s="3">
        <f>NPV(AN32,AE20:DV20)+N30</f>
        <v>362764.94873030286</v>
      </c>
    </row>
    <row r="34" spans="2:40" s="3" customFormat="1" x14ac:dyDescent="0.2">
      <c r="B34" s="3" t="s">
        <v>59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9716</v>
      </c>
      <c r="O34" s="5"/>
      <c r="P34" s="5">
        <v>14351</v>
      </c>
      <c r="Q34" s="5">
        <v>16345</v>
      </c>
      <c r="R34" s="5"/>
      <c r="S34" s="5"/>
      <c r="T34" s="5"/>
      <c r="U34" s="5"/>
      <c r="V34" s="5"/>
      <c r="W34" s="5"/>
      <c r="X34" s="5"/>
      <c r="Z34" s="5"/>
      <c r="AA34" s="5"/>
      <c r="AB34" s="5"/>
      <c r="AC34" s="5"/>
      <c r="AM34" s="1" t="s">
        <v>88</v>
      </c>
      <c r="AN34" s="15">
        <f>AN33/O22</f>
        <v>132.05859072817722</v>
      </c>
    </row>
    <row r="35" spans="2:40" s="3" customFormat="1" x14ac:dyDescent="0.2">
      <c r="B35" s="3" t="s">
        <v>60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f>1440+43811</f>
        <v>45251</v>
      </c>
      <c r="O35" s="5"/>
      <c r="P35" s="5">
        <f>11593+61513</f>
        <v>73106</v>
      </c>
      <c r="Q35" s="5">
        <f>10707+61499</f>
        <v>72206</v>
      </c>
      <c r="R35" s="5"/>
      <c r="S35" s="5"/>
      <c r="T35" s="5"/>
      <c r="U35" s="5"/>
      <c r="V35" s="5"/>
      <c r="W35" s="5"/>
      <c r="X35" s="5"/>
      <c r="Z35" s="5"/>
      <c r="AA35" s="5"/>
      <c r="AB35" s="5"/>
      <c r="AC35" s="5"/>
      <c r="AM35" s="1" t="s">
        <v>89</v>
      </c>
      <c r="AN35" s="14">
        <f>AN34/Main!G2-1</f>
        <v>0.39419964873497904</v>
      </c>
    </row>
    <row r="36" spans="2:40" s="3" customFormat="1" x14ac:dyDescent="0.2">
      <c r="B36" s="3" t="s">
        <v>61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12782</v>
      </c>
      <c r="O36" s="5"/>
      <c r="P36" s="5">
        <v>12091</v>
      </c>
      <c r="Q36" s="5">
        <v>12153</v>
      </c>
      <c r="R36" s="5"/>
      <c r="S36" s="5"/>
      <c r="T36" s="5"/>
      <c r="U36" s="5"/>
      <c r="V36" s="5"/>
      <c r="W36" s="5"/>
      <c r="X36" s="5"/>
      <c r="Z36" s="5"/>
      <c r="AA36" s="5"/>
      <c r="AB36" s="5"/>
      <c r="AC36" s="5"/>
    </row>
    <row r="37" spans="2:40" s="3" customFormat="1" x14ac:dyDescent="0.2">
      <c r="B37" s="3" t="s">
        <v>62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9915</v>
      </c>
      <c r="O37" s="5"/>
      <c r="P37" s="5">
        <v>11360</v>
      </c>
      <c r="Q37" s="5">
        <v>12220</v>
      </c>
      <c r="R37" s="5"/>
      <c r="S37" s="5"/>
      <c r="T37" s="5"/>
      <c r="U37" s="5"/>
      <c r="V37" s="5"/>
      <c r="W37" s="5"/>
      <c r="X37" s="5"/>
      <c r="Z37" s="5"/>
      <c r="AA37" s="5"/>
      <c r="AB37" s="5"/>
      <c r="AC37" s="5"/>
    </row>
    <row r="38" spans="2:40" s="3" customFormat="1" x14ac:dyDescent="0.2">
      <c r="B38" s="3" t="s">
        <v>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f>SUM(N31:N37)</f>
        <v>109297</v>
      </c>
      <c r="O38" s="5">
        <f>SUM(O31:O37)</f>
        <v>0</v>
      </c>
      <c r="P38" s="5">
        <f>SUM(P31:P37)</f>
        <v>128469</v>
      </c>
      <c r="Q38" s="5">
        <f>SUM(Q31:Q37)</f>
        <v>131620</v>
      </c>
      <c r="R38" s="5"/>
      <c r="S38" s="5"/>
      <c r="T38" s="5"/>
      <c r="U38" s="5"/>
      <c r="V38" s="5"/>
      <c r="W38" s="5"/>
      <c r="X38" s="5"/>
      <c r="Z38" s="5"/>
      <c r="AA38" s="5"/>
      <c r="AB38" s="5"/>
      <c r="AC38" s="5"/>
    </row>
    <row r="40" spans="2:40" s="3" customFormat="1" x14ac:dyDescent="0.2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3749+72110</f>
        <v>75859</v>
      </c>
      <c r="O40" s="5"/>
      <c r="P40" s="5">
        <f>81173+9746</f>
        <v>90919</v>
      </c>
      <c r="Q40" s="5">
        <f>5415+86396</f>
        <v>91811</v>
      </c>
      <c r="R40" s="5"/>
      <c r="S40" s="5"/>
      <c r="T40" s="5"/>
      <c r="U40" s="5"/>
      <c r="V40" s="5"/>
      <c r="W40" s="5"/>
      <c r="X40" s="5"/>
      <c r="Z40" s="5"/>
      <c r="AA40" s="5"/>
      <c r="AB40" s="5"/>
      <c r="AC40" s="5"/>
    </row>
    <row r="41" spans="2:40" s="3" customFormat="1" x14ac:dyDescent="0.2">
      <c r="B41" s="3" t="s">
        <v>64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1317</v>
      </c>
      <c r="O41" s="5"/>
      <c r="P41" s="5">
        <v>1647</v>
      </c>
      <c r="Q41" s="5">
        <v>1610</v>
      </c>
      <c r="R41" s="5"/>
      <c r="S41" s="5"/>
      <c r="T41" s="5"/>
      <c r="U41" s="5"/>
      <c r="V41" s="5"/>
      <c r="W41" s="5"/>
      <c r="X41" s="5"/>
      <c r="Z41" s="5"/>
      <c r="AA41" s="5"/>
      <c r="AB41" s="5"/>
      <c r="AC41" s="5"/>
    </row>
    <row r="42" spans="2:40" s="3" customFormat="1" x14ac:dyDescent="0.2">
      <c r="B42" s="3" t="s">
        <v>65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1944</v>
      </c>
      <c r="O42" s="5"/>
      <c r="P42" s="5">
        <v>1780</v>
      </c>
      <c r="Q42" s="5">
        <v>1736</v>
      </c>
      <c r="R42" s="5"/>
      <c r="S42" s="5"/>
      <c r="T42" s="5"/>
      <c r="U42" s="5"/>
      <c r="V42" s="5"/>
      <c r="W42" s="5"/>
      <c r="X42" s="5"/>
      <c r="Z42" s="5"/>
      <c r="AA42" s="5"/>
      <c r="AB42" s="5"/>
      <c r="AC42" s="5"/>
    </row>
    <row r="43" spans="2:40" s="3" customFormat="1" x14ac:dyDescent="0.2">
      <c r="B43" s="3" t="s">
        <v>63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8357</v>
      </c>
      <c r="O43" s="5"/>
      <c r="P43" s="5">
        <v>8705</v>
      </c>
      <c r="Q43" s="5">
        <v>8598</v>
      </c>
      <c r="R43" s="5"/>
      <c r="S43" s="5"/>
      <c r="T43" s="5"/>
      <c r="U43" s="5"/>
      <c r="V43" s="5"/>
      <c r="W43" s="5"/>
      <c r="X43" s="5"/>
      <c r="Z43" s="5"/>
      <c r="AA43" s="5"/>
      <c r="AB43" s="5"/>
      <c r="AC43" s="5"/>
    </row>
    <row r="44" spans="2:40" s="3" customFormat="1" x14ac:dyDescent="0.2">
      <c r="B44" s="3" t="s">
        <v>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4144</v>
      </c>
      <c r="O44" s="5"/>
      <c r="P44" s="5">
        <v>5228</v>
      </c>
      <c r="Q44" s="5">
        <v>5521</v>
      </c>
      <c r="R44" s="5"/>
      <c r="S44" s="5"/>
      <c r="T44" s="5"/>
      <c r="U44" s="5"/>
      <c r="V44" s="5"/>
      <c r="W44" s="5"/>
      <c r="X44" s="5"/>
      <c r="Z44" s="5"/>
      <c r="AA44" s="5"/>
      <c r="AB44" s="5"/>
      <c r="AC44" s="5"/>
    </row>
    <row r="45" spans="2:40" s="3" customFormat="1" x14ac:dyDescent="0.2">
      <c r="B45" s="3" t="s">
        <v>61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12210+6031</f>
        <v>18241</v>
      </c>
      <c r="O45" s="5"/>
      <c r="P45" s="5">
        <f>11128+7165</f>
        <v>18293</v>
      </c>
      <c r="Q45" s="5">
        <f>11335+6814</f>
        <v>18149</v>
      </c>
      <c r="R45" s="5"/>
      <c r="S45" s="5"/>
      <c r="T45" s="5"/>
      <c r="U45" s="5"/>
      <c r="V45" s="5"/>
      <c r="W45" s="5"/>
      <c r="X45" s="5"/>
      <c r="Z45" s="5"/>
      <c r="AA45" s="5"/>
      <c r="AB45" s="5"/>
      <c r="AC45" s="5"/>
    </row>
    <row r="46" spans="2:40" s="3" customFormat="1" x14ac:dyDescent="0.2">
      <c r="B46" s="3" t="s">
        <v>67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5203</v>
      </c>
      <c r="O46" s="5"/>
      <c r="P46" s="5">
        <v>5673</v>
      </c>
      <c r="Q46" s="5">
        <v>6107</v>
      </c>
      <c r="R46" s="5"/>
      <c r="S46" s="5"/>
      <c r="T46" s="5"/>
      <c r="U46" s="5"/>
      <c r="V46" s="5"/>
      <c r="W46" s="5"/>
      <c r="X46" s="5"/>
      <c r="Z46" s="5"/>
      <c r="AA46" s="5"/>
      <c r="AB46" s="5"/>
      <c r="AC46" s="5"/>
    </row>
    <row r="47" spans="2:40" s="3" customFormat="1" x14ac:dyDescent="0.2">
      <c r="B47" s="3" t="s">
        <v>68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-5768</v>
      </c>
      <c r="O47" s="5"/>
      <c r="P47" s="5">
        <f>-4246+470</f>
        <v>-3776</v>
      </c>
      <c r="Q47" s="5">
        <v>-1912</v>
      </c>
      <c r="R47" s="5"/>
      <c r="S47" s="5"/>
      <c r="T47" s="5"/>
      <c r="U47" s="5"/>
      <c r="V47" s="5"/>
      <c r="W47" s="5"/>
      <c r="X47" s="5"/>
      <c r="Z47" s="5"/>
      <c r="AA47" s="5"/>
      <c r="AB47" s="5"/>
      <c r="AC47" s="5"/>
    </row>
    <row r="48" spans="2:40" s="3" customFormat="1" x14ac:dyDescent="0.2">
      <c r="B48" s="3" t="s">
        <v>69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>SUM(N40:N47)</f>
        <v>109297</v>
      </c>
      <c r="O48" s="5">
        <f>SUM(O40:O47)</f>
        <v>0</v>
      </c>
      <c r="P48" s="5">
        <f>SUM(P40:P47)</f>
        <v>128469</v>
      </c>
      <c r="Q48" s="5">
        <f>SUM(Q40:Q47)</f>
        <v>131620</v>
      </c>
      <c r="R48" s="5"/>
      <c r="S48" s="5"/>
      <c r="T48" s="5"/>
      <c r="U48" s="5"/>
      <c r="V48" s="5"/>
      <c r="W48" s="5"/>
      <c r="X48" s="5"/>
      <c r="Z48" s="5"/>
      <c r="AA48" s="5"/>
      <c r="AB48" s="5"/>
      <c r="AC48" s="5"/>
    </row>
    <row r="50" spans="2:29" s="3" customFormat="1" x14ac:dyDescent="0.2">
      <c r="B50" s="3" t="s">
        <v>72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Z50" s="5"/>
      <c r="AA50" s="5"/>
      <c r="AB50" s="5"/>
      <c r="AC50" s="5">
        <f>+AC20</f>
        <v>13293</v>
      </c>
    </row>
    <row r="51" spans="2:29" s="3" customFormat="1" x14ac:dyDescent="0.2">
      <c r="B51" s="3" t="s">
        <v>73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Z51" s="5"/>
      <c r="AA51" s="5"/>
      <c r="AB51" s="5"/>
      <c r="AC51" s="5">
        <v>6717</v>
      </c>
    </row>
    <row r="52" spans="2:29" s="3" customFormat="1" x14ac:dyDescent="0.2">
      <c r="B52" s="3" t="s">
        <v>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Z52" s="5"/>
      <c r="AA52" s="5"/>
      <c r="AB52" s="5"/>
      <c r="AC52" s="5">
        <v>1972</v>
      </c>
    </row>
    <row r="53" spans="2:29" s="3" customFormat="1" x14ac:dyDescent="0.2">
      <c r="B53" s="3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Z53" s="5"/>
      <c r="AA53" s="5"/>
      <c r="AB53" s="5"/>
      <c r="AC53" s="5">
        <v>1150</v>
      </c>
    </row>
    <row r="54" spans="2:29" s="3" customFormat="1" x14ac:dyDescent="0.2">
      <c r="B54" s="3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Z54" s="5"/>
      <c r="AA54" s="5"/>
      <c r="AB54" s="5"/>
      <c r="AC54" s="5">
        <v>-1146</v>
      </c>
    </row>
    <row r="55" spans="2:29" s="3" customFormat="1" x14ac:dyDescent="0.2">
      <c r="B55" s="3" t="s">
        <v>76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Z55" s="5"/>
      <c r="AA55" s="5"/>
      <c r="AB55" s="5"/>
      <c r="AC55" s="5">
        <v>2613</v>
      </c>
    </row>
    <row r="56" spans="2:29" s="3" customFormat="1" x14ac:dyDescent="0.2">
      <c r="B56" s="3" t="s">
        <v>77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Z56" s="5"/>
      <c r="AA56" s="5"/>
      <c r="AB56" s="5"/>
      <c r="AC56" s="5">
        <v>220</v>
      </c>
    </row>
    <row r="57" spans="2:29" s="3" customFormat="1" x14ac:dyDescent="0.2">
      <c r="B57" s="3" t="s">
        <v>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Z57" s="5"/>
      <c r="AA57" s="5"/>
      <c r="AB57" s="5"/>
      <c r="AC57" s="5">
        <f>-874+11-733-398+7</f>
        <v>-1987</v>
      </c>
    </row>
    <row r="58" spans="2:29" s="3" customFormat="1" x14ac:dyDescent="0.2">
      <c r="B58" s="3" t="s">
        <v>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Z58" s="5"/>
      <c r="AA58" s="5">
        <v>13139</v>
      </c>
      <c r="AB58" s="5">
        <v>15887</v>
      </c>
      <c r="AC58" s="5">
        <f>SUM(AC51:AC57)</f>
        <v>9539</v>
      </c>
    </row>
    <row r="60" spans="2:29" s="3" customFormat="1" x14ac:dyDescent="0.2">
      <c r="B60" s="3" t="s">
        <v>80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Z60" s="5"/>
      <c r="AA60" s="5">
        <v>-1564</v>
      </c>
      <c r="AB60" s="5">
        <v>-2135</v>
      </c>
      <c r="AC60" s="5">
        <v>-4511</v>
      </c>
    </row>
    <row r="61" spans="2:29" s="3" customFormat="1" x14ac:dyDescent="0.2">
      <c r="B61" s="3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  <c r="AA61" s="5"/>
      <c r="AB61" s="5"/>
      <c r="AC61" s="5">
        <v>-148</v>
      </c>
    </row>
    <row r="62" spans="2:29" s="3" customFormat="1" x14ac:dyDescent="0.2">
      <c r="B62" s="3" t="s">
        <v>82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Z62" s="5"/>
      <c r="AA62" s="5"/>
      <c r="AB62" s="5"/>
      <c r="AC62" s="5">
        <f>-10272+19788+6363</f>
        <v>15879</v>
      </c>
    </row>
    <row r="63" spans="2:29" s="3" customForma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Z63" s="5"/>
      <c r="AA63" s="5"/>
      <c r="AB63" s="5"/>
      <c r="AC63" s="5">
        <f>SUM(AC60:AC62)</f>
        <v>11220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2023-05-01T13:08:09Z</dcterms:modified>
</cp:coreProperties>
</file>