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CD6B807-6E8E-4068-800C-49276FEF3EE7}" xr6:coauthVersionLast="47" xr6:coauthVersionMax="47" xr10:uidLastSave="{00000000-0000-0000-0000-000000000000}"/>
  <bookViews>
    <workbookView xWindow="-26175" yWindow="1125" windowWidth="25845" windowHeight="1975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5" i="1" l="1"/>
  <c r="D136" i="1" l="1"/>
  <c r="I210" i="1" l="1"/>
  <c r="L210" i="1"/>
  <c r="H210" i="1" s="1"/>
  <c r="I242" i="1"/>
  <c r="L242" i="1"/>
  <c r="H242" i="1" s="1"/>
  <c r="J210" i="1" l="1"/>
  <c r="J242" i="1"/>
  <c r="I369" i="1"/>
  <c r="L369" i="1"/>
  <c r="H369" i="1" s="1"/>
  <c r="J369" i="1" l="1"/>
  <c r="I83" i="1" l="1"/>
  <c r="L83" i="1"/>
  <c r="H83" i="1" s="1"/>
  <c r="I368" i="1"/>
  <c r="L368" i="1"/>
  <c r="H368" i="1" s="1"/>
  <c r="I436" i="1"/>
  <c r="L436" i="1"/>
  <c r="H436" i="1" s="1"/>
  <c r="I430" i="1"/>
  <c r="L430" i="1"/>
  <c r="H430" i="1" s="1"/>
  <c r="L428" i="1"/>
  <c r="H428" i="1" s="1"/>
  <c r="I428" i="1"/>
  <c r="I439" i="1"/>
  <c r="L439" i="1"/>
  <c r="H439" i="1" s="1"/>
  <c r="I438" i="1"/>
  <c r="L438" i="1"/>
  <c r="H438" i="1" s="1"/>
  <c r="I435" i="1"/>
  <c r="L435" i="1"/>
  <c r="H435" i="1" s="1"/>
  <c r="I429" i="1"/>
  <c r="L429" i="1"/>
  <c r="H429" i="1" s="1"/>
  <c r="J438" i="1" l="1"/>
  <c r="J368" i="1"/>
  <c r="J83" i="1"/>
  <c r="J436" i="1"/>
  <c r="J430" i="1"/>
  <c r="J428" i="1"/>
  <c r="J439" i="1"/>
  <c r="J435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I431" i="1" l="1"/>
  <c r="L431" i="1"/>
  <c r="H431" i="1" s="1"/>
  <c r="I434" i="1"/>
  <c r="L434" i="1"/>
  <c r="H434" i="1" s="1"/>
  <c r="I425" i="1"/>
  <c r="L425" i="1"/>
  <c r="H425" i="1" s="1"/>
  <c r="L108" i="1"/>
  <c r="J431" i="1" l="1"/>
  <c r="J434" i="1"/>
  <c r="J425" i="1"/>
  <c r="I120" i="1"/>
  <c r="L120" i="1"/>
  <c r="H120" i="1" s="1"/>
  <c r="J120" i="1" l="1"/>
  <c r="I88" i="1"/>
  <c r="L88" i="1"/>
  <c r="H88" i="1" s="1"/>
  <c r="J88" i="1" l="1"/>
  <c r="J6" i="12"/>
  <c r="I437" i="1" l="1"/>
  <c r="L437" i="1"/>
  <c r="H437" i="1" s="1"/>
  <c r="J437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3" i="1"/>
  <c r="L253" i="1"/>
  <c r="H253" i="1" s="1"/>
  <c r="I108" i="1"/>
  <c r="H108" i="1"/>
  <c r="J108" i="1" l="1"/>
  <c r="J253" i="1"/>
  <c r="I101" i="1" l="1"/>
  <c r="L101" i="1"/>
  <c r="H101" i="1" s="1"/>
  <c r="J101" i="1" l="1"/>
  <c r="I247" i="1" l="1"/>
  <c r="L247" i="1"/>
  <c r="H247" i="1" s="1"/>
  <c r="J247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3" i="1"/>
  <c r="L433" i="1"/>
  <c r="H433" i="1" s="1"/>
  <c r="I318" i="1"/>
  <c r="L318" i="1"/>
  <c r="H318" i="1" s="1"/>
  <c r="I112" i="1"/>
  <c r="L112" i="1"/>
  <c r="H112" i="1" s="1"/>
  <c r="J112" i="1" l="1"/>
  <c r="J318" i="1"/>
  <c r="J433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8" i="1"/>
  <c r="M118" i="1"/>
  <c r="J62" i="1" l="1"/>
  <c r="I119" i="1"/>
  <c r="L119" i="1"/>
  <c r="H119" i="1" s="1"/>
  <c r="J111" i="1"/>
  <c r="J119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4" i="1"/>
  <c r="L254" i="1"/>
  <c r="H254" i="1" s="1"/>
  <c r="J104" i="1" l="1"/>
  <c r="J254" i="1"/>
  <c r="R5" i="1"/>
  <c r="Q5" i="1"/>
  <c r="N5" i="1"/>
  <c r="O5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7" i="1"/>
  <c r="L117" i="1" l="1"/>
  <c r="H117" i="1" s="1"/>
  <c r="J117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8" i="1" l="1"/>
  <c r="I16" i="1" l="1"/>
  <c r="K14" i="1" l="1"/>
  <c r="I15" i="1" l="1"/>
  <c r="I18" i="1" l="1"/>
  <c r="I17" i="1"/>
  <c r="K18" i="1"/>
  <c r="M18" i="1"/>
  <c r="M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2" i="1" l="1"/>
  <c r="H432" i="1" s="1"/>
  <c r="I432" i="1"/>
  <c r="J432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7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6" i="1" l="1"/>
  <c r="L116" i="1"/>
  <c r="H116" i="1" s="1"/>
  <c r="J116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8" i="1"/>
  <c r="H8" i="1" s="1"/>
  <c r="J8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6" i="1" l="1"/>
  <c r="D7" i="1" s="1"/>
  <c r="D8" i="1" s="1"/>
  <c r="D9" i="1" s="1"/>
  <c r="D10" i="1" s="1"/>
  <c r="H46" i="1"/>
  <c r="J46" i="1" s="1"/>
  <c r="J64" i="1" l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5" i="1"/>
  <c r="H115" i="1" s="1"/>
  <c r="I115" i="1"/>
  <c r="I158" i="1"/>
  <c r="L158" i="1"/>
  <c r="H158" i="1" s="1"/>
  <c r="J217" i="1" l="1"/>
  <c r="J158" i="1"/>
  <c r="J115" i="1"/>
  <c r="L28" i="1"/>
  <c r="H28" i="1" s="1"/>
  <c r="J28" i="1" s="1"/>
  <c r="L27" i="1"/>
  <c r="H27" i="1" s="1"/>
  <c r="J27" i="1" s="1"/>
  <c r="L23" i="1"/>
  <c r="L24" i="1" s="1"/>
  <c r="I241" i="1" l="1"/>
  <c r="L241" i="1"/>
  <c r="H241" i="1" s="1"/>
  <c r="I94" i="1"/>
  <c r="L94" i="1"/>
  <c r="H94" i="1" s="1"/>
  <c r="J94" i="1" l="1"/>
  <c r="J241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8" i="1"/>
  <c r="L248" i="1"/>
  <c r="H248" i="1" s="1"/>
  <c r="I87" i="1"/>
  <c r="L87" i="1"/>
  <c r="H87" i="1" s="1"/>
  <c r="J87" i="1" l="1"/>
  <c r="J248" i="1"/>
  <c r="L20" i="1"/>
  <c r="H20" i="1" s="1"/>
  <c r="J20" i="1" s="1"/>
  <c r="L9" i="1" l="1"/>
  <c r="H9" i="1" s="1"/>
  <c r="J9" i="1" s="1"/>
  <c r="I6" i="1" l="1"/>
  <c r="I5" i="1"/>
  <c r="L6" i="1"/>
  <c r="H6" i="1" s="1"/>
  <c r="L5" i="1"/>
  <c r="H5" i="1" s="1"/>
  <c r="J6" i="1" l="1"/>
  <c r="I4" i="1" l="1"/>
  <c r="L4" i="1"/>
  <c r="H4" i="1" s="1"/>
  <c r="I12" i="1" l="1"/>
  <c r="L12" i="1" l="1"/>
  <c r="H12" i="1" s="1"/>
  <c r="L7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4" i="1"/>
  <c r="H244" i="1"/>
  <c r="J37" i="1" l="1"/>
  <c r="J244" i="1"/>
  <c r="I91" i="1"/>
  <c r="J91" i="1" l="1"/>
  <c r="H7" i="1"/>
  <c r="I52" i="1" l="1"/>
  <c r="J52" i="1" l="1"/>
  <c r="I252" i="1"/>
  <c r="H252" i="1"/>
  <c r="I251" i="1"/>
  <c r="H251" i="1"/>
  <c r="I250" i="1"/>
  <c r="H250" i="1"/>
  <c r="I249" i="1"/>
  <c r="H249" i="1"/>
  <c r="I246" i="1"/>
  <c r="H246" i="1"/>
  <c r="I245" i="1"/>
  <c r="H245" i="1"/>
  <c r="I243" i="1"/>
  <c r="H243" i="1"/>
  <c r="I240" i="1"/>
  <c r="H240" i="1"/>
  <c r="J5" i="1"/>
  <c r="J7" i="1"/>
  <c r="H2" i="1" l="1"/>
  <c r="J251" i="1"/>
  <c r="J24" i="1"/>
  <c r="J10" i="1"/>
  <c r="J250" i="1"/>
  <c r="J252" i="1"/>
  <c r="J17" i="1"/>
  <c r="J245" i="1"/>
  <c r="J23" i="1"/>
  <c r="J246" i="1"/>
  <c r="J15" i="1"/>
  <c r="J240" i="1"/>
  <c r="J243" i="1"/>
  <c r="J12" i="1"/>
  <c r="J19" i="1"/>
  <c r="J249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37" i="1" l="1"/>
  <c r="D138" i="1" s="1"/>
  <c r="D139" i="1" s="1"/>
  <c r="D140" i="1" s="1"/>
  <c r="D141" i="1" s="1"/>
  <c r="B10" i="5"/>
  <c r="D115" i="1"/>
  <c r="D116" i="1" s="1"/>
  <c r="D117" i="1" s="1"/>
  <c r="D118" i="1" s="1"/>
  <c r="D119" i="1" s="1"/>
  <c r="D120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42" i="1" l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s="1"/>
  <c r="D206" i="1" s="1"/>
  <c r="D207" i="1" s="1"/>
  <c r="D208" i="1" s="1"/>
  <c r="D209" i="1" s="1"/>
  <c r="D22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l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" i="1"/>
  <c r="D296" i="1" l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36" i="1" l="1"/>
  <c r="D453" i="1"/>
  <c r="D45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<sst xmlns="http://schemas.openxmlformats.org/spreadsheetml/2006/main" count="2384" uniqueCount="1658">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</sst>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microsoft.com/office/2017/10/relationships/person" Target="persons/person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openxmlformats.org/officeDocument/2006/relationships/calcChain" Target="calcChain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styles" Target="styles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24.287144000000001</v>
          </cell>
        </row>
        <row r="5">
          <cell r="K5">
            <v>225.55599999999998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91" Type="http://schemas.openxmlformats.org/officeDocument/2006/relationships/printerSettings" Target="../printerSettings/printerSettings1.bin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181" Type="http://schemas.openxmlformats.org/officeDocument/2006/relationships/hyperlink" Target="ALGS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hyperlink" Target="QTTB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5" Type="http://schemas.openxmlformats.org/officeDocument/2006/relationships/hyperlink" Target="GMAB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61" Type="http://schemas.openxmlformats.org/officeDocument/2006/relationships/hyperlink" Target="HLUN.xlsx" TargetMode="External"/><Relationship Id="rId182" Type="http://schemas.openxmlformats.org/officeDocument/2006/relationships/hyperlink" Target="DRUG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5" Type="http://schemas.openxmlformats.org/officeDocument/2006/relationships/hyperlink" Target="4578%20Otsuka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51" Type="http://schemas.openxmlformats.org/officeDocument/2006/relationships/hyperlink" Target="SRRK.xlsx" TargetMode="External"/><Relationship Id="rId172" Type="http://schemas.openxmlformats.org/officeDocument/2006/relationships/hyperlink" Target="ARTV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188" Type="http://schemas.openxmlformats.org/officeDocument/2006/relationships/hyperlink" Target="URGN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183" Type="http://schemas.openxmlformats.org/officeDocument/2006/relationships/hyperlink" Target="BME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178" Type="http://schemas.openxmlformats.org/officeDocument/2006/relationships/hyperlink" Target="LPTX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73" Type="http://schemas.openxmlformats.org/officeDocument/2006/relationships/hyperlink" Target="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184" Type="http://schemas.openxmlformats.org/officeDocument/2006/relationships/hyperlink" Target="CADL.xlsx" TargetMode="External"/><Relationship Id="rId189" Type="http://schemas.openxmlformats.org/officeDocument/2006/relationships/hyperlink" Target="KYMR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74" Type="http://schemas.openxmlformats.org/officeDocument/2006/relationships/hyperlink" Target="AVXL.xlsx" TargetMode="External"/><Relationship Id="rId179" Type="http://schemas.openxmlformats.org/officeDocument/2006/relationships/hyperlink" Target="CABA.xlsx" TargetMode="External"/><Relationship Id="rId190" Type="http://schemas.openxmlformats.org/officeDocument/2006/relationships/hyperlink" Target="SPRY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185" Type="http://schemas.openxmlformats.org/officeDocument/2006/relationships/hyperlink" Target="ANA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VYG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75" Type="http://schemas.openxmlformats.org/officeDocument/2006/relationships/hyperlink" Target="GALT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186" Type="http://schemas.openxmlformats.org/officeDocument/2006/relationships/hyperlink" Target="KRYS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6" Type="http://schemas.openxmlformats.org/officeDocument/2006/relationships/hyperlink" Target="JANX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Relationship Id="rId70" Type="http://schemas.openxmlformats.org/officeDocument/2006/relationships/hyperlink" Target="SRPT.xlsx" TargetMode="External"/><Relationship Id="rId91" Type="http://schemas.openxmlformats.org/officeDocument/2006/relationships/hyperlink" Target="IOVA.xlsx" TargetMode="External"/><Relationship Id="rId145" Type="http://schemas.openxmlformats.org/officeDocument/2006/relationships/hyperlink" Target="CRVS.xlsx" TargetMode="External"/><Relationship Id="rId166" Type="http://schemas.openxmlformats.org/officeDocument/2006/relationships/hyperlink" Target="ESPR.xlsx" TargetMode="External"/><Relationship Id="rId187" Type="http://schemas.openxmlformats.org/officeDocument/2006/relationships/hyperlink" Target="CHRS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60" Type="http://schemas.openxmlformats.org/officeDocument/2006/relationships/hyperlink" Target="JAZZ.xlsx" TargetMode="External"/><Relationship Id="rId81" Type="http://schemas.openxmlformats.org/officeDocument/2006/relationships/hyperlink" Target="CRSP.xlsx" TargetMode="External"/><Relationship Id="rId135" Type="http://schemas.openxmlformats.org/officeDocument/2006/relationships/hyperlink" Target="PRGO.xlsx" TargetMode="External"/><Relationship Id="rId156" Type="http://schemas.openxmlformats.org/officeDocument/2006/relationships/hyperlink" Target="NMRA.xlsx" TargetMode="External"/><Relationship Id="rId177" Type="http://schemas.openxmlformats.org/officeDocument/2006/relationships/hyperlink" Target="RZLT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55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E4" sqref="E4:M4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RANDBETWEEN(1,D241)</f>
        <v>152</v>
      </c>
      <c r="H2" s="6">
        <f>SUM(H4:H453)-H5-H13-H10-H17-H23-H27-H47-H55</f>
        <v>5116727.8410514202</v>
      </c>
      <c r="M2" s="9">
        <f>MIN(M4:M92)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786</v>
      </c>
      <c r="H4" s="6">
        <f>+G4*L4</f>
        <v>747034.66150799999</v>
      </c>
      <c r="I4" s="6">
        <f>+[1]Main!$J$5-[1]Main!$J$6</f>
        <v>-22650</v>
      </c>
      <c r="J4" s="6">
        <f t="shared" ref="J4:J19" si="0">H4-I4</f>
        <v>769684.66150799999</v>
      </c>
      <c r="K4" s="3" t="s">
        <v>1074</v>
      </c>
      <c r="L4" s="6">
        <f>+[1]Main!$J$3</f>
        <v>950.42577800000004</v>
      </c>
      <c r="M4" s="9">
        <v>45591</v>
      </c>
      <c r="N4" s="7"/>
      <c r="O4" s="10"/>
      <c r="P4" s="10"/>
      <c r="Q4" s="10"/>
      <c r="R4" s="10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 s="1">
        <v>2</v>
      </c>
      <c r="E5" s="5" t="s">
        <v>25</v>
      </c>
      <c r="F5" s="1" t="s">
        <v>26</v>
      </c>
      <c r="G5" s="7">
        <v>105.86</v>
      </c>
      <c r="H5" s="6">
        <f>+L5*G5</f>
        <v>472241.46</v>
      </c>
      <c r="I5" s="6">
        <f>([2]Main!$J$5-[2]Main!$J$6)/DKK</f>
        <v>2576.3072126966131</v>
      </c>
      <c r="J5" s="6">
        <f t="shared" si="0"/>
        <v>469665.15278730344</v>
      </c>
      <c r="K5" s="3" t="s">
        <v>1074</v>
      </c>
      <c r="L5" s="6">
        <f>+[2]Main!$J$3</f>
        <v>4461</v>
      </c>
      <c r="M5" s="9">
        <v>45623</v>
      </c>
      <c r="N5" s="7">
        <f>+[2]Model!$DG$53</f>
        <v>383.59225058364768</v>
      </c>
      <c r="O5" s="10">
        <f>N5/G5-1</f>
        <v>2.623580678099827</v>
      </c>
      <c r="P5" s="10">
        <v>0</v>
      </c>
      <c r="Q5" s="10">
        <f>+[2]Model!$DG$50</f>
        <v>0.01</v>
      </c>
      <c r="R5" s="10">
        <f>+[2]Model!$DG$51</f>
        <v>0.08</v>
      </c>
      <c r="AE5" s="1">
        <v>1923</v>
      </c>
    </row>
    <row r="6" spans="1:32" x14ac:dyDescent="0.2">
      <c r="A6"/>
      <c r="B6"/>
      <c r="C6"/>
      <c r="D6" s="1">
        <f>+D5</f>
        <v>2</v>
      </c>
      <c r="E6" s="5" t="s">
        <v>25</v>
      </c>
      <c r="F6" t="s">
        <v>318</v>
      </c>
      <c r="G6" s="57">
        <v>743</v>
      </c>
      <c r="H6" s="6">
        <f>+G6*L6/DKK</f>
        <v>469678.75867932546</v>
      </c>
      <c r="I6" s="6">
        <f>([2]Main!$J$5-[2]Main!$J$6)/DKK</f>
        <v>2576.3072126966131</v>
      </c>
      <c r="J6" s="6">
        <f t="shared" si="0"/>
        <v>467102.45146662887</v>
      </c>
      <c r="K6" s="3" t="s">
        <v>1074</v>
      </c>
      <c r="L6" s="6">
        <f>+[2]Main!$J$3</f>
        <v>4461</v>
      </c>
      <c r="M6" s="9">
        <f>+M5</f>
        <v>45623</v>
      </c>
      <c r="AE6" s="1">
        <v>1923</v>
      </c>
    </row>
    <row r="7" spans="1:32" x14ac:dyDescent="0.2">
      <c r="D7" s="1">
        <f>+D6+1</f>
        <v>3</v>
      </c>
      <c r="E7" s="5" t="s">
        <v>14</v>
      </c>
      <c r="F7" s="1" t="s">
        <v>15</v>
      </c>
      <c r="G7" s="7">
        <v>155.61000000000001</v>
      </c>
      <c r="H7" s="6">
        <f>G7*[3]Main!$R$3</f>
        <v>376887.42000000004</v>
      </c>
      <c r="I7" s="6">
        <f>+[3]Main!$R$5-[3]Main!$R$6</f>
        <v>-16016</v>
      </c>
      <c r="J7" s="6">
        <f>H7-I7</f>
        <v>392903.42000000004</v>
      </c>
      <c r="K7" s="3" t="s">
        <v>1074</v>
      </c>
      <c r="L7" s="6">
        <f>+[3]Main!$R$3</f>
        <v>2422</v>
      </c>
      <c r="M7" s="9">
        <v>45593</v>
      </c>
      <c r="N7" s="9"/>
      <c r="O7" s="9"/>
      <c r="P7" s="9"/>
      <c r="Q7" s="9"/>
      <c r="R7" s="9"/>
    </row>
    <row r="8" spans="1:32" x14ac:dyDescent="0.2">
      <c r="A8"/>
      <c r="B8"/>
      <c r="C8"/>
      <c r="D8">
        <f>+D7+1</f>
        <v>4</v>
      </c>
      <c r="E8" s="5" t="s">
        <v>17</v>
      </c>
      <c r="F8" t="s">
        <v>18</v>
      </c>
      <c r="G8" s="55">
        <v>183</v>
      </c>
      <c r="H8" s="30">
        <f>+G8*L8</f>
        <v>324093</v>
      </c>
      <c r="I8" s="30">
        <f>+[4]Main!$K$5-[4]Main!$K$6</f>
        <v>-57205</v>
      </c>
      <c r="J8" s="30">
        <f>H8-I8</f>
        <v>381298</v>
      </c>
      <c r="K8" s="28" t="s">
        <v>1074</v>
      </c>
      <c r="L8" s="30">
        <f>+[4]Main!$K$3</f>
        <v>1771</v>
      </c>
      <c r="M8" s="38">
        <v>45585</v>
      </c>
      <c r="N8" s="9"/>
      <c r="O8" s="9"/>
      <c r="P8" s="9"/>
      <c r="Q8" s="9"/>
      <c r="R8" s="9"/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102.87</v>
      </c>
      <c r="H9" s="6">
        <f>+G9*L9</f>
        <v>260755.83392544001</v>
      </c>
      <c r="I9" s="6">
        <f>+[5]Main!$J$5-[5]Main!$J$6</f>
        <v>-26077</v>
      </c>
      <c r="J9" s="6">
        <f t="shared" si="0"/>
        <v>286832.83392543998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-0.10360419787230746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105.02</v>
      </c>
      <c r="H10" s="6">
        <f>+G10*L10</f>
        <v>214870.91999999998</v>
      </c>
      <c r="I10" s="6">
        <f>+[6]Main!$K$6-[6]Main!$K$7</f>
        <v>-18800</v>
      </c>
      <c r="J10" s="6">
        <f t="shared" ref="J10:J15" si="1">H10-I10</f>
        <v>233670.91999999998</v>
      </c>
      <c r="K10" s="3" t="s">
        <v>1074</v>
      </c>
      <c r="L10" s="6">
        <f>+[6]Main!$K$4</f>
        <v>2046</v>
      </c>
      <c r="M10" s="9">
        <v>45578</v>
      </c>
    </row>
    <row r="11" spans="1:32" x14ac:dyDescent="0.2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17.97</v>
      </c>
      <c r="H35" s="6">
        <f>+G35*L35</f>
        <v>20360.009999999998</v>
      </c>
      <c r="I35" s="6">
        <f>+[28]Sheet1!$M$5-[28]Sheet1!$M$6</f>
        <v>-16382</v>
      </c>
      <c r="J35" s="6">
        <f>+H35-I35</f>
        <v>36742.009999999995</v>
      </c>
      <c r="K35" s="3" t="s">
        <v>1074</v>
      </c>
      <c r="L35" s="6">
        <f>+[28]Sheet1!$M$3</f>
        <v>1133</v>
      </c>
      <c r="M35" s="9">
        <v>45542</v>
      </c>
    </row>
    <row r="36" spans="1:32" x14ac:dyDescent="0.2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+[57]Main!$K$5-[57]Main!$K$6</f>
        <v>1008.441</v>
      </c>
      <c r="J66" s="6">
        <f>+H66-I66</f>
        <v>7864.193921430001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x14ac:dyDescent="0.2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x14ac:dyDescent="0.2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42.66</v>
      </c>
      <c r="H71" s="6">
        <f>+G71*L71</f>
        <v>16416.32781726</v>
      </c>
      <c r="I71" s="6">
        <f>+[62]Main!$K$5-[62]Main!$K$6</f>
        <v>9202</v>
      </c>
      <c r="J71" s="6">
        <f>H71-I71</f>
        <v>7214.3278172600003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72.11</v>
      </c>
      <c r="H76" s="6">
        <f t="shared" si="10"/>
        <v>7619.6419617500005</v>
      </c>
      <c r="I76" s="6">
        <f>+[67]Main!$L$5-[67]Main!$L$6</f>
        <v>1024.6570000000002</v>
      </c>
      <c r="J76" s="6">
        <f>+H76-I76</f>
        <v>6594.9849617500004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x14ac:dyDescent="0.2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+[95]Main!$L$5-[95]Main!$L$6</f>
        <v>595.44399999999996</v>
      </c>
      <c r="J104" s="6">
        <f>+H104-I104</f>
        <v>2056.4404167000002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7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">
      <c r="A115" t="s">
        <v>334</v>
      </c>
      <c r="B115"/>
      <c r="C115"/>
      <c r="D115" s="1">
        <f t="shared" si="12"/>
        <v>105</v>
      </c>
      <c r="E115" s="5" t="s">
        <v>158</v>
      </c>
      <c r="F115" s="1" t="s">
        <v>159</v>
      </c>
      <c r="G115" s="7">
        <v>24.5</v>
      </c>
      <c r="H115" s="6">
        <f>+G115*L115</f>
        <v>2019.1826655000002</v>
      </c>
      <c r="I115" s="6">
        <f>+[106]Main!$K$5-[106]Main!$K$6</f>
        <v>1008.165</v>
      </c>
      <c r="J115" s="6">
        <f>+H115-I115</f>
        <v>1011.0176655000002</v>
      </c>
      <c r="K115" s="3" t="s">
        <v>1074</v>
      </c>
      <c r="L115" s="6">
        <f>+[106]Main!$K$3</f>
        <v>82.415619000000007</v>
      </c>
      <c r="M115" s="9">
        <v>45565</v>
      </c>
    </row>
    <row r="116" spans="1:32" x14ac:dyDescent="0.2">
      <c r="A116" t="s">
        <v>334</v>
      </c>
      <c r="B116"/>
      <c r="C116"/>
      <c r="D116" s="1">
        <f t="shared" si="12"/>
        <v>106</v>
      </c>
      <c r="E116" s="5" t="s">
        <v>145</v>
      </c>
      <c r="F116" s="1" t="s">
        <v>146</v>
      </c>
      <c r="G116" s="7">
        <v>20</v>
      </c>
      <c r="H116" s="6">
        <f>+G116*L116</f>
        <v>1929.5</v>
      </c>
      <c r="I116" s="6">
        <f>+[107]Main!$J$5-[107]Main!$J$6</f>
        <v>939.9</v>
      </c>
      <c r="J116" s="6">
        <f t="shared" ref="J116" si="17">+H116-I116</f>
        <v>989.6</v>
      </c>
      <c r="K116" s="3" t="s">
        <v>1044</v>
      </c>
      <c r="L116" s="6">
        <f>+[107]Main!$J$3</f>
        <v>96.474999999999994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2"/>
        <v>107</v>
      </c>
      <c r="E117" s="5" t="s">
        <v>370</v>
      </c>
      <c r="F117" t="s">
        <v>371</v>
      </c>
      <c r="G117" s="19">
        <v>10.7</v>
      </c>
      <c r="H117" s="6">
        <f>+G117*L117/HKD</f>
        <v>1352.1643102179487</v>
      </c>
      <c r="I117" s="6">
        <f>([108]Main!$J$6-[108]Main!$J$7)/HKD</f>
        <v>376.08884615384613</v>
      </c>
      <c r="J117" s="6">
        <f t="shared" si="16"/>
        <v>976.07546406410256</v>
      </c>
      <c r="K117" s="3" t="s">
        <v>1117</v>
      </c>
      <c r="L117" s="6">
        <f>+[108]Main!$J$4</f>
        <v>985.68987100000004</v>
      </c>
      <c r="M117" s="9">
        <v>45543</v>
      </c>
      <c r="AF117" s="1">
        <v>2012</v>
      </c>
    </row>
    <row r="118" spans="1:32" x14ac:dyDescent="0.2">
      <c r="A118"/>
      <c r="B118"/>
      <c r="C118"/>
      <c r="D118" s="1">
        <f>+D117</f>
        <v>107</v>
      </c>
      <c r="E118" s="5" t="s">
        <v>370</v>
      </c>
      <c r="F118" t="s">
        <v>1187</v>
      </c>
      <c r="G118" s="7">
        <v>27.72</v>
      </c>
      <c r="H118" s="6"/>
      <c r="K118" s="3" t="str">
        <f>+K117</f>
        <v>Q423</v>
      </c>
      <c r="L118" s="6"/>
      <c r="M118" s="9">
        <f>+M117</f>
        <v>45543</v>
      </c>
    </row>
    <row r="119" spans="1:32" x14ac:dyDescent="0.2">
      <c r="A119" s="1" t="s">
        <v>334</v>
      </c>
      <c r="D119" s="1">
        <f t="shared" si="12"/>
        <v>108</v>
      </c>
      <c r="E119" s="5" t="s">
        <v>110</v>
      </c>
      <c r="F119" s="1" t="s">
        <v>111</v>
      </c>
      <c r="G119" s="7">
        <v>20.25</v>
      </c>
      <c r="H119" s="6">
        <f>+G119*L119</f>
        <v>1252.1289825000001</v>
      </c>
      <c r="I119" s="6">
        <f>+[109]Main!$O$5-[109]Main!$O$6</f>
        <v>637.79299999999989</v>
      </c>
      <c r="J119" s="6">
        <f>+H119-I119</f>
        <v>614.33598250000023</v>
      </c>
      <c r="K119" s="3" t="s">
        <v>1074</v>
      </c>
      <c r="L119" s="6">
        <f>+[109]Main!$O$3</f>
        <v>61.833530000000003</v>
      </c>
      <c r="M119" s="9">
        <v>45563</v>
      </c>
    </row>
    <row r="120" spans="1:32" x14ac:dyDescent="0.2">
      <c r="D120" s="1">
        <f t="shared" si="12"/>
        <v>109</v>
      </c>
      <c r="E120" s="5" t="s">
        <v>739</v>
      </c>
      <c r="F120" t="s">
        <v>740</v>
      </c>
      <c r="G120" s="3">
        <v>4.13</v>
      </c>
      <c r="H120" s="6">
        <f>+G120*L120</f>
        <v>918.92499999999995</v>
      </c>
      <c r="I120" s="6">
        <f>+[110]Main!$I$5-[110]Main!$I$6</f>
        <v>251.643</v>
      </c>
      <c r="J120" s="6">
        <f>+H120-I120</f>
        <v>667.28199999999993</v>
      </c>
      <c r="K120" s="3" t="s">
        <v>1074</v>
      </c>
      <c r="L120" s="6">
        <f>+[110]Main!$I$3</f>
        <v>222.5</v>
      </c>
      <c r="M120" s="9">
        <v>45593</v>
      </c>
    </row>
    <row r="121" spans="1:32" x14ac:dyDescent="0.2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">
      <c r="D141" s="1">
        <f t="shared" si="19"/>
        <v>125</v>
      </c>
      <c r="E141" t="s">
        <v>269</v>
      </c>
      <c r="F141" t="s">
        <v>270</v>
      </c>
    </row>
    <row r="142" spans="1:8" x14ac:dyDescent="0.2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">
      <c r="D143" s="1">
        <f>+D141+1</f>
        <v>126</v>
      </c>
      <c r="E143" t="s">
        <v>362</v>
      </c>
      <c r="F143" t="s">
        <v>363</v>
      </c>
    </row>
    <row r="144" spans="1:8" x14ac:dyDescent="0.2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+[114]Main!$J$5-[114]Main!$J$6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+[114]Main!$J$3</f>
        <v>58.068182</v>
      </c>
      <c r="M158" s="9">
        <v>44824</v>
      </c>
    </row>
    <row r="159" spans="1:31" x14ac:dyDescent="0.2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[115]Main!$L$5-[115]Main!$L$6</f>
        <v>578</v>
      </c>
      <c r="J159" s="6">
        <f t="shared" si="20"/>
        <v>108.11028007999994</v>
      </c>
      <c r="K159" s="3" t="s">
        <v>649</v>
      </c>
      <c r="L159" s="6">
        <f>[115]Main!$L$3</f>
        <v>55.286887999999998</v>
      </c>
      <c r="M159" s="9">
        <v>45064</v>
      </c>
    </row>
    <row r="160" spans="1:31" x14ac:dyDescent="0.2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[116]Main!$O$5-[116]Main!$O$6</f>
        <v>345.67399999999998</v>
      </c>
      <c r="J160" s="6">
        <f t="shared" si="20"/>
        <v>-140.11523497999997</v>
      </c>
      <c r="K160" s="3" t="s">
        <v>649</v>
      </c>
      <c r="L160" s="6">
        <f>[116]Main!$O$3</f>
        <v>67.176067000000003</v>
      </c>
      <c r="M160" s="9">
        <v>45067</v>
      </c>
    </row>
    <row r="161" spans="1:13" x14ac:dyDescent="0.2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[117]Main!$K$5-[117]Main!$K$6</f>
        <v>1272.4940000000001</v>
      </c>
      <c r="J161" s="6">
        <f>H161-I161</f>
        <v>-837.74981376000017</v>
      </c>
      <c r="K161" s="3" t="s">
        <v>517</v>
      </c>
      <c r="L161" s="6">
        <f>[117]Main!$K$3</f>
        <v>59.717607999999998</v>
      </c>
      <c r="M161" s="9">
        <v>44999</v>
      </c>
    </row>
    <row r="162" spans="1:13" x14ac:dyDescent="0.2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">
      <c r="D167" s="1">
        <f t="shared" si="19"/>
        <v>150</v>
      </c>
      <c r="E167" t="s">
        <v>1126</v>
      </c>
      <c r="F167" t="s">
        <v>1127</v>
      </c>
    </row>
    <row r="168" spans="1:13" x14ac:dyDescent="0.2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8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8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8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8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8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8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8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8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8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8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8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8" x14ac:dyDescent="0.2">
      <c r="A188" t="s">
        <v>334</v>
      </c>
      <c r="B188"/>
      <c r="C188"/>
      <c r="D188" s="1">
        <f t="shared" si="19"/>
        <v>171</v>
      </c>
      <c r="E188" t="s">
        <v>767</v>
      </c>
      <c r="F188" t="s">
        <v>768</v>
      </c>
      <c r="H188" s="6"/>
    </row>
    <row r="189" spans="1:8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8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8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8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6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+D220+1</f>
        <v>195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">
      <c r="A212"/>
      <c r="B212"/>
      <c r="C212"/>
      <c r="D212" s="1">
        <f t="shared" si="21"/>
        <v>196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">
      <c r="A213" t="s">
        <v>334</v>
      </c>
      <c r="B213"/>
      <c r="C213"/>
      <c r="D213" s="1">
        <f t="shared" si="21"/>
        <v>197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198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">
      <c r="D215" s="1">
        <f t="shared" si="21"/>
        <v>199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200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201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202</v>
      </c>
      <c r="E218" s="5" t="s">
        <v>1199</v>
      </c>
      <c r="F218" t="s">
        <v>1200</v>
      </c>
      <c r="G218" s="3">
        <v>5.71</v>
      </c>
      <c r="H218" s="6">
        <f>+G218*L218</f>
        <v>357.16781451000003</v>
      </c>
      <c r="I218" s="6">
        <f>+[126]Main!$K$5-[126]Main!$K$6</f>
        <v>62.650000000000006</v>
      </c>
      <c r="J218" s="6">
        <f>+H218-I218</f>
        <v>294.51781450999999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203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">
      <c r="A220" t="s">
        <v>334</v>
      </c>
      <c r="D220">
        <f>+D209+1</f>
        <v>194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x14ac:dyDescent="0.2">
      <c r="A221" s="25" t="s">
        <v>334</v>
      </c>
      <c r="D221" s="1">
        <f>+D219+1</f>
        <v>204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">
      <c r="A222" t="s">
        <v>334</v>
      </c>
      <c r="B222"/>
      <c r="C222"/>
      <c r="D222" s="1">
        <f t="shared" si="21"/>
        <v>205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206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207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208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209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210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211</v>
      </c>
      <c r="E228" s="5" t="s">
        <v>1184</v>
      </c>
      <c r="F228" t="s">
        <v>1185</v>
      </c>
      <c r="G228" s="7">
        <v>1.18</v>
      </c>
      <c r="H228" s="6">
        <f>+G228*L228</f>
        <v>94.614233720000001</v>
      </c>
      <c r="I228" s="6">
        <f>+[130]Main!$L$5-[130]Main!$L$6</f>
        <v>30.146999999999998</v>
      </c>
      <c r="J228" s="6">
        <f>+H228-I228</f>
        <v>64.467233719999996</v>
      </c>
      <c r="K228" s="3" t="s">
        <v>1074</v>
      </c>
      <c r="L228" s="6">
        <f>+[130]Main!$L$3</f>
        <v>80.181554000000006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212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213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214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215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216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217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218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219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220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221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222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A240" t="s">
        <v>334</v>
      </c>
      <c r="B240"/>
      <c r="C240"/>
      <c r="D240" s="1">
        <f t="shared" si="21"/>
        <v>223</v>
      </c>
      <c r="E240" s="5" t="s">
        <v>232</v>
      </c>
      <c r="F240" s="1" t="s">
        <v>233</v>
      </c>
      <c r="G240" s="3">
        <v>7.06</v>
      </c>
      <c r="H240" s="6">
        <f>G240*[131]Main!$J$3</f>
        <v>725.62786605999997</v>
      </c>
      <c r="I240" s="6">
        <f>[131]Main!$J$5-[131]Main!$J$6</f>
        <v>197.79600000000002</v>
      </c>
      <c r="J240" s="8">
        <f>+H240-I240</f>
        <v>527.83186605999992</v>
      </c>
      <c r="K240" s="3" t="s">
        <v>16</v>
      </c>
    </row>
    <row r="241" spans="1:31" x14ac:dyDescent="0.2">
      <c r="A241" t="s">
        <v>334</v>
      </c>
      <c r="B241"/>
      <c r="C241"/>
      <c r="D241" s="1">
        <f t="shared" si="21"/>
        <v>224</v>
      </c>
      <c r="E241" s="5" t="s">
        <v>351</v>
      </c>
      <c r="F241" s="1" t="s">
        <v>352</v>
      </c>
      <c r="G241" s="7">
        <v>0.6</v>
      </c>
      <c r="H241" s="6">
        <f>+G241*L241</f>
        <v>486.43225439999998</v>
      </c>
      <c r="I241" s="6">
        <f>+[132]Main!$K$5-[132]Main!$K$6</f>
        <v>-37.984000000000002</v>
      </c>
      <c r="J241" s="8">
        <f t="shared" ref="J241" si="23">+H241-I241</f>
        <v>524.41625439999996</v>
      </c>
      <c r="K241" s="3" t="s">
        <v>301</v>
      </c>
      <c r="L241" s="6">
        <f>+[132]Main!$K$3</f>
        <v>810.72042399999998</v>
      </c>
      <c r="M241" s="9">
        <v>44816</v>
      </c>
      <c r="AE241" s="1">
        <v>2002</v>
      </c>
    </row>
    <row r="242" spans="1:31" x14ac:dyDescent="0.2">
      <c r="D242" s="1">
        <f t="shared" si="21"/>
        <v>225</v>
      </c>
      <c r="E242" s="5" t="s">
        <v>561</v>
      </c>
      <c r="F242" t="s">
        <v>562</v>
      </c>
      <c r="G242" s="3">
        <v>12.34</v>
      </c>
      <c r="H242" s="6">
        <f>+G242*L242</f>
        <v>520.74076875999992</v>
      </c>
      <c r="I242" s="6">
        <f>+[133]Main!$J$5-[133]Main!$J$6</f>
        <v>127.87499999999999</v>
      </c>
      <c r="J242" s="6">
        <f>+H242-I242</f>
        <v>392.86576875999992</v>
      </c>
      <c r="K242" s="3" t="s">
        <v>1280</v>
      </c>
      <c r="L242" s="6">
        <f>+[133]Main!$J$3</f>
        <v>42.199413999999997</v>
      </c>
      <c r="M242" s="9">
        <v>45631</v>
      </c>
    </row>
    <row r="243" spans="1:31" x14ac:dyDescent="0.2">
      <c r="A243" t="s">
        <v>334</v>
      </c>
      <c r="B243"/>
      <c r="C243"/>
      <c r="D243" s="1">
        <f t="shared" si="21"/>
        <v>226</v>
      </c>
      <c r="E243" s="5" t="s">
        <v>234</v>
      </c>
      <c r="F243" s="1" t="s">
        <v>235</v>
      </c>
      <c r="G243" s="3">
        <v>14.68</v>
      </c>
      <c r="H243" s="6">
        <f>G243*[134]Main!$L$3</f>
        <v>587.26396075999992</v>
      </c>
      <c r="I243" s="6">
        <f>[134]Main!$L$5-[134]Main!$L$6</f>
        <v>277.88299999999998</v>
      </c>
      <c r="J243" s="8">
        <f>+H243-I243</f>
        <v>309.38096075999994</v>
      </c>
      <c r="K243" s="3" t="s">
        <v>16</v>
      </c>
    </row>
    <row r="244" spans="1:31" x14ac:dyDescent="0.2">
      <c r="A244" t="s">
        <v>334</v>
      </c>
      <c r="B244"/>
      <c r="C244"/>
      <c r="D244" s="1">
        <f t="shared" si="21"/>
        <v>227</v>
      </c>
      <c r="E244" s="5" t="s">
        <v>236</v>
      </c>
      <c r="F244" s="1" t="s">
        <v>237</v>
      </c>
      <c r="G244" s="3">
        <v>4.8600000000000003</v>
      </c>
      <c r="H244" s="6">
        <f>G244*[135]Main!$J$3</f>
        <v>312.71415336000001</v>
      </c>
      <c r="I244" s="8">
        <f>+[135]Main!$J$5-[135]Main!$J$6</f>
        <v>92.317999999999998</v>
      </c>
      <c r="J244" s="8">
        <f>+H244-I244</f>
        <v>220.39615336000003</v>
      </c>
      <c r="K244" s="3" t="s">
        <v>16</v>
      </c>
    </row>
    <row r="245" spans="1:31" x14ac:dyDescent="0.2">
      <c r="A245" t="s">
        <v>334</v>
      </c>
      <c r="B245"/>
      <c r="C245"/>
      <c r="D245" s="1">
        <f t="shared" si="21"/>
        <v>228</v>
      </c>
      <c r="E245" s="5" t="s">
        <v>238</v>
      </c>
      <c r="F245" s="1" t="s">
        <v>239</v>
      </c>
      <c r="G245" s="7">
        <v>5.8</v>
      </c>
      <c r="H245" s="6">
        <f>G245*[136]Main!$M$3</f>
        <v>259.32193239999998</v>
      </c>
      <c r="I245" s="6">
        <f>[136]Main!$M$5-[136]Main!$M$6</f>
        <v>120.43700000000001</v>
      </c>
      <c r="J245" s="8">
        <f t="shared" ref="J245:J253" si="24">+H245-I245</f>
        <v>138.88493239999997</v>
      </c>
      <c r="K245" s="3" t="s">
        <v>16</v>
      </c>
    </row>
    <row r="246" spans="1:31" x14ac:dyDescent="0.2">
      <c r="D246" s="1">
        <f t="shared" si="21"/>
        <v>229</v>
      </c>
      <c r="E246" s="5" t="s">
        <v>240</v>
      </c>
      <c r="F246" s="1" t="s">
        <v>241</v>
      </c>
      <c r="G246" s="7">
        <v>0.7</v>
      </c>
      <c r="H246" s="6">
        <f>G246*[137]Main!$M$3</f>
        <v>128.9392503</v>
      </c>
      <c r="I246" s="6">
        <f>[137]Main!$M$5-[137]Main!$M$6</f>
        <v>-59.50200000000001</v>
      </c>
      <c r="J246" s="8">
        <f t="shared" si="24"/>
        <v>188.44125030000001</v>
      </c>
      <c r="K246" s="3" t="s">
        <v>16</v>
      </c>
    </row>
    <row r="247" spans="1:31" x14ac:dyDescent="0.2">
      <c r="D247" s="1">
        <f t="shared" si="21"/>
        <v>230</v>
      </c>
      <c r="E247" s="5" t="s">
        <v>995</v>
      </c>
      <c r="F247" t="s">
        <v>996</v>
      </c>
      <c r="G247" s="3">
        <v>1.91</v>
      </c>
      <c r="H247" s="6">
        <f>+G247*L247</f>
        <v>144.77073818</v>
      </c>
      <c r="I247" s="6">
        <f>+[138]Main!$K$5-[138]Main!$K$6</f>
        <v>78.481999999999999</v>
      </c>
      <c r="J247" s="6">
        <f>+H247-I247</f>
        <v>66.288738179999996</v>
      </c>
      <c r="K247" s="3" t="s">
        <v>1074</v>
      </c>
      <c r="L247" s="6">
        <f>+[138]Main!$K$3</f>
        <v>75.796198000000004</v>
      </c>
      <c r="M247" s="9">
        <v>45573</v>
      </c>
    </row>
    <row r="248" spans="1:31" x14ac:dyDescent="0.2">
      <c r="A248" t="s">
        <v>334</v>
      </c>
      <c r="B248"/>
      <c r="C248"/>
      <c r="D248" s="1">
        <f t="shared" si="21"/>
        <v>231</v>
      </c>
      <c r="E248" s="5" t="s">
        <v>321</v>
      </c>
      <c r="F248" t="s">
        <v>322</v>
      </c>
      <c r="G248" s="3">
        <v>3.23</v>
      </c>
      <c r="H248" s="6">
        <f>+G248*L248</f>
        <v>30.407559149999997</v>
      </c>
      <c r="I248" s="6">
        <f>+[139]Main!$N$5-[139]Main!$N$6</f>
        <v>-7.4640000000000004</v>
      </c>
      <c r="J248" s="6">
        <f>+H248-I248</f>
        <v>37.871559149999996</v>
      </c>
      <c r="K248" s="3" t="s">
        <v>301</v>
      </c>
      <c r="L248" s="6">
        <f>+[139]Main!$N$3</f>
        <v>9.4141049999999993</v>
      </c>
      <c r="M248" s="9">
        <v>44780</v>
      </c>
    </row>
    <row r="249" spans="1:31" x14ac:dyDescent="0.2">
      <c r="A249" t="s">
        <v>334</v>
      </c>
      <c r="B249"/>
      <c r="C249"/>
      <c r="D249" s="1">
        <f t="shared" si="21"/>
        <v>232</v>
      </c>
      <c r="E249" s="5" t="s">
        <v>242</v>
      </c>
      <c r="F249" s="1" t="s">
        <v>243</v>
      </c>
      <c r="G249" s="3">
        <v>1.98</v>
      </c>
      <c r="H249" s="6">
        <f>G249*[140]Main!$N$3</f>
        <v>39.757463459999997</v>
      </c>
      <c r="I249" s="6">
        <f>[140]Main!$N$5-[140]Main!$N$6</f>
        <v>15.942</v>
      </c>
      <c r="J249" s="8">
        <f t="shared" si="24"/>
        <v>23.815463459999997</v>
      </c>
      <c r="K249" s="3" t="s">
        <v>16</v>
      </c>
    </row>
    <row r="250" spans="1:31" x14ac:dyDescent="0.2">
      <c r="D250" s="1">
        <f t="shared" si="21"/>
        <v>233</v>
      </c>
      <c r="E250" s="5" t="s">
        <v>244</v>
      </c>
      <c r="F250" s="1" t="s">
        <v>245</v>
      </c>
      <c r="G250" s="3">
        <v>0.62</v>
      </c>
      <c r="H250" s="6">
        <f>G250*[141]Main!$L$3</f>
        <v>30.1881658</v>
      </c>
      <c r="I250" s="6">
        <f>[141]Main!$L$5-[141]Main!$L$6</f>
        <v>13.262999999999998</v>
      </c>
      <c r="J250" s="8">
        <f t="shared" si="24"/>
        <v>16.925165800000002</v>
      </c>
      <c r="K250" s="3" t="s">
        <v>16</v>
      </c>
    </row>
    <row r="251" spans="1:31" x14ac:dyDescent="0.2">
      <c r="D251" s="1">
        <f t="shared" si="21"/>
        <v>234</v>
      </c>
      <c r="E251" s="5" t="s">
        <v>246</v>
      </c>
      <c r="F251" s="1" t="s">
        <v>247</v>
      </c>
      <c r="G251" s="3">
        <v>6.12</v>
      </c>
      <c r="H251" s="6">
        <f>G251*[142]Main!$M$3</f>
        <v>125.46108324000001</v>
      </c>
      <c r="I251" s="6">
        <f>[142]Main!$M$5-[142]Main!$M$6</f>
        <v>131.17699999999999</v>
      </c>
      <c r="J251" s="8">
        <f t="shared" si="24"/>
        <v>-5.7159167599999847</v>
      </c>
      <c r="K251" s="3" t="s">
        <v>16</v>
      </c>
    </row>
    <row r="252" spans="1:31" x14ac:dyDescent="0.2">
      <c r="D252" s="1">
        <f t="shared" si="21"/>
        <v>235</v>
      </c>
      <c r="E252" s="5" t="s">
        <v>248</v>
      </c>
      <c r="F252" s="1" t="s">
        <v>249</v>
      </c>
      <c r="G252" s="3">
        <v>0.98</v>
      </c>
      <c r="H252" s="6">
        <f>G252*[143]Main!$M$3</f>
        <v>20.935517539999999</v>
      </c>
      <c r="I252" s="6">
        <f>[143]Main!$M$5-[143]Main!$M$6</f>
        <v>55.28</v>
      </c>
      <c r="J252" s="8">
        <f t="shared" si="24"/>
        <v>-34.344482460000002</v>
      </c>
      <c r="K252" s="3" t="s">
        <v>16</v>
      </c>
    </row>
    <row r="253" spans="1:31" x14ac:dyDescent="0.2">
      <c r="D253" s="1">
        <f t="shared" si="21"/>
        <v>236</v>
      </c>
      <c r="E253" s="5" t="s">
        <v>1309</v>
      </c>
      <c r="F253" t="s">
        <v>1190</v>
      </c>
      <c r="G253" s="7">
        <v>5</v>
      </c>
      <c r="H253" s="6">
        <f>+G253*L253</f>
        <v>596.75561000000005</v>
      </c>
      <c r="I253" s="6">
        <f>+[144]Main!$J$5-[144]Main!$J$6</f>
        <v>35.484999999999999</v>
      </c>
      <c r="J253" s="8">
        <f t="shared" si="24"/>
        <v>561.27061000000003</v>
      </c>
      <c r="K253" s="3" t="s">
        <v>1074</v>
      </c>
      <c r="L253" s="6">
        <f>+[144]Main!$J$3</f>
        <v>119.351122</v>
      </c>
    </row>
    <row r="254" spans="1:31" x14ac:dyDescent="0.2">
      <c r="D254" s="1">
        <f t="shared" si="21"/>
        <v>237</v>
      </c>
      <c r="E254" s="5" t="s">
        <v>545</v>
      </c>
      <c r="F254" t="s">
        <v>546</v>
      </c>
      <c r="G254" s="3">
        <v>0.94</v>
      </c>
      <c r="H254" s="6">
        <f>+G254*L254</f>
        <v>56.676359999999995</v>
      </c>
      <c r="I254" s="6">
        <f>+[145]Main!$K$5-[145]Main!$K$6</f>
        <v>136.64599999999999</v>
      </c>
      <c r="J254" s="6">
        <f>+H254-I254</f>
        <v>-79.969639999999998</v>
      </c>
      <c r="K254" s="3" t="s">
        <v>1074</v>
      </c>
      <c r="L254" s="6">
        <f>+[145]Main!$K$3</f>
        <v>60.293999999999997</v>
      </c>
      <c r="M254" s="9">
        <v>45550</v>
      </c>
      <c r="AE254" s="1">
        <v>2017</v>
      </c>
    </row>
    <row r="255" spans="1:31" x14ac:dyDescent="0.2">
      <c r="D255" s="1">
        <f t="shared" si="21"/>
        <v>238</v>
      </c>
      <c r="E255" s="1" t="s">
        <v>250</v>
      </c>
      <c r="F255" s="1" t="s">
        <v>251</v>
      </c>
      <c r="G255" s="3">
        <v>0.61</v>
      </c>
    </row>
    <row r="256" spans="1:31" x14ac:dyDescent="0.2">
      <c r="D256" s="1">
        <f t="shared" si="21"/>
        <v>239</v>
      </c>
      <c r="E256" s="1" t="s">
        <v>252</v>
      </c>
      <c r="F256" s="1" t="s">
        <v>253</v>
      </c>
      <c r="G256" s="3">
        <v>1.75</v>
      </c>
      <c r="H256" s="3">
        <v>96</v>
      </c>
    </row>
    <row r="257" spans="1:8" x14ac:dyDescent="0.2">
      <c r="D257" s="1">
        <f t="shared" si="21"/>
        <v>240</v>
      </c>
      <c r="E257" s="1" t="s">
        <v>348</v>
      </c>
      <c r="F257" t="s">
        <v>349</v>
      </c>
      <c r="G257" s="7">
        <v>0.96</v>
      </c>
      <c r="H257" s="3">
        <v>52</v>
      </c>
    </row>
    <row r="258" spans="1:8" x14ac:dyDescent="0.2">
      <c r="D258" s="1">
        <f t="shared" si="21"/>
        <v>241</v>
      </c>
      <c r="E258" s="1" t="s">
        <v>332</v>
      </c>
      <c r="F258" t="s">
        <v>333</v>
      </c>
      <c r="G258" s="7">
        <v>4.0999999999999996</v>
      </c>
      <c r="H258" s="3">
        <v>380</v>
      </c>
    </row>
    <row r="259" spans="1:8" x14ac:dyDescent="0.2">
      <c r="D259" s="1">
        <f t="shared" si="21"/>
        <v>242</v>
      </c>
      <c r="E259" t="s">
        <v>1310</v>
      </c>
      <c r="F259" t="s">
        <v>1311</v>
      </c>
      <c r="G259" s="7">
        <v>14.68</v>
      </c>
      <c r="H259" s="3">
        <v>396</v>
      </c>
    </row>
    <row r="260" spans="1:8" x14ac:dyDescent="0.2">
      <c r="D260" s="1">
        <f t="shared" si="21"/>
        <v>243</v>
      </c>
      <c r="E260" s="1" t="s">
        <v>379</v>
      </c>
      <c r="F260" s="1" t="s">
        <v>380</v>
      </c>
      <c r="G260" s="3">
        <v>25.85</v>
      </c>
    </row>
    <row r="261" spans="1:8" x14ac:dyDescent="0.2">
      <c r="D261" s="1">
        <f t="shared" si="21"/>
        <v>244</v>
      </c>
      <c r="E261" t="s">
        <v>385</v>
      </c>
      <c r="F261" t="s">
        <v>386</v>
      </c>
      <c r="G261" s="3">
        <v>9.26</v>
      </c>
      <c r="H261" s="3">
        <v>204</v>
      </c>
    </row>
    <row r="262" spans="1:8" x14ac:dyDescent="0.2">
      <c r="D262" s="1">
        <f t="shared" si="21"/>
        <v>245</v>
      </c>
      <c r="E262" s="25" t="s">
        <v>1355</v>
      </c>
      <c r="F262" t="s">
        <v>1356</v>
      </c>
      <c r="G262" s="3">
        <v>30.21</v>
      </c>
    </row>
    <row r="263" spans="1:8" x14ac:dyDescent="0.2">
      <c r="D263" s="1">
        <f t="shared" si="21"/>
        <v>246</v>
      </c>
      <c r="E263" t="s">
        <v>429</v>
      </c>
      <c r="F263" t="s">
        <v>430</v>
      </c>
      <c r="G263" s="7">
        <v>17.55</v>
      </c>
      <c r="H263" s="3">
        <v>593</v>
      </c>
    </row>
    <row r="264" spans="1:8" x14ac:dyDescent="0.2">
      <c r="D264" s="1">
        <f t="shared" si="21"/>
        <v>247</v>
      </c>
      <c r="E264" s="1" t="s">
        <v>395</v>
      </c>
      <c r="F264" s="1" t="s">
        <v>396</v>
      </c>
      <c r="G264" s="3">
        <v>4.09</v>
      </c>
      <c r="H264" s="3">
        <v>4</v>
      </c>
    </row>
    <row r="265" spans="1:8" x14ac:dyDescent="0.2">
      <c r="D265" s="1">
        <f t="shared" si="21"/>
        <v>248</v>
      </c>
      <c r="E265" t="s">
        <v>741</v>
      </c>
      <c r="F265" t="s">
        <v>742</v>
      </c>
      <c r="G265" s="7">
        <v>30.7</v>
      </c>
      <c r="H265" s="3">
        <v>1800</v>
      </c>
    </row>
    <row r="266" spans="1:8" x14ac:dyDescent="0.2">
      <c r="D266" s="1">
        <f t="shared" si="21"/>
        <v>249</v>
      </c>
      <c r="E266" t="s">
        <v>745</v>
      </c>
      <c r="F266" t="s">
        <v>746</v>
      </c>
    </row>
    <row r="267" spans="1:8" x14ac:dyDescent="0.2">
      <c r="D267" s="1">
        <f t="shared" ref="D267:D328" si="25">+D266+1</f>
        <v>250</v>
      </c>
      <c r="E267" t="s">
        <v>748</v>
      </c>
      <c r="F267" t="s">
        <v>749</v>
      </c>
    </row>
    <row r="268" spans="1:8" x14ac:dyDescent="0.2">
      <c r="A268"/>
      <c r="B268"/>
      <c r="C268"/>
      <c r="D268" s="1">
        <f t="shared" si="25"/>
        <v>251</v>
      </c>
      <c r="E268" t="s">
        <v>750</v>
      </c>
      <c r="F268" t="s">
        <v>751</v>
      </c>
      <c r="G268" s="3">
        <v>6.62</v>
      </c>
      <c r="H268" s="3">
        <v>1800</v>
      </c>
    </row>
    <row r="269" spans="1:8" x14ac:dyDescent="0.2">
      <c r="D269" s="1">
        <f t="shared" si="25"/>
        <v>252</v>
      </c>
      <c r="E269" t="s">
        <v>743</v>
      </c>
      <c r="F269" t="s">
        <v>744</v>
      </c>
    </row>
    <row r="270" spans="1:8" x14ac:dyDescent="0.2">
      <c r="D270" s="1">
        <f t="shared" si="25"/>
        <v>253</v>
      </c>
      <c r="E270" t="s">
        <v>423</v>
      </c>
      <c r="F270" t="s">
        <v>424</v>
      </c>
      <c r="G270" s="3">
        <v>20.32</v>
      </c>
    </row>
    <row r="271" spans="1:8" x14ac:dyDescent="0.2">
      <c r="D271" s="1">
        <f t="shared" si="25"/>
        <v>254</v>
      </c>
      <c r="E271" t="s">
        <v>504</v>
      </c>
      <c r="F271" t="s">
        <v>505</v>
      </c>
    </row>
    <row r="272" spans="1:8" x14ac:dyDescent="0.2">
      <c r="D272" s="1">
        <f t="shared" si="25"/>
        <v>255</v>
      </c>
      <c r="E272" t="s">
        <v>733</v>
      </c>
      <c r="F272" t="s">
        <v>734</v>
      </c>
    </row>
    <row r="273" spans="1:7" x14ac:dyDescent="0.2">
      <c r="D273" s="1">
        <f t="shared" si="25"/>
        <v>256</v>
      </c>
      <c r="E273" t="s">
        <v>729</v>
      </c>
      <c r="F273" t="s">
        <v>730</v>
      </c>
    </row>
    <row r="274" spans="1:7" x14ac:dyDescent="0.2">
      <c r="D274" s="1">
        <f t="shared" si="25"/>
        <v>257</v>
      </c>
      <c r="E274" s="1" t="s">
        <v>515</v>
      </c>
      <c r="F274" s="1" t="s">
        <v>516</v>
      </c>
    </row>
    <row r="275" spans="1:7" x14ac:dyDescent="0.2">
      <c r="D275" s="1">
        <f t="shared" si="25"/>
        <v>258</v>
      </c>
      <c r="E275" t="s">
        <v>520</v>
      </c>
      <c r="F275" t="s">
        <v>1301</v>
      </c>
      <c r="G275" s="3">
        <v>13.13</v>
      </c>
    </row>
    <row r="276" spans="1:7" x14ac:dyDescent="0.2">
      <c r="D276" s="1">
        <f t="shared" si="25"/>
        <v>259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5"/>
        <v>260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5"/>
        <v>261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5"/>
        <v>262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5"/>
        <v>263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5"/>
        <v>264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5"/>
        <v>265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5"/>
        <v>266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5"/>
        <v>267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5"/>
        <v>268</v>
      </c>
      <c r="E285" s="34" t="s">
        <v>539</v>
      </c>
      <c r="F285" s="34" t="s">
        <v>540</v>
      </c>
    </row>
    <row r="286" spans="1:7" x14ac:dyDescent="0.2">
      <c r="D286" s="1">
        <f t="shared" si="25"/>
        <v>269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5"/>
        <v>270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5"/>
        <v>271</v>
      </c>
      <c r="E288" t="s">
        <v>547</v>
      </c>
      <c r="F288" t="s">
        <v>548</v>
      </c>
    </row>
    <row r="289" spans="1:7" x14ac:dyDescent="0.2">
      <c r="D289" s="1">
        <f t="shared" si="25"/>
        <v>272</v>
      </c>
      <c r="E289" t="s">
        <v>549</v>
      </c>
      <c r="F289" t="s">
        <v>550</v>
      </c>
      <c r="G289" s="3">
        <v>18.07</v>
      </c>
    </row>
    <row r="290" spans="1:7" x14ac:dyDescent="0.2">
      <c r="D290" s="1">
        <f t="shared" si="25"/>
        <v>273</v>
      </c>
      <c r="E290" t="s">
        <v>551</v>
      </c>
      <c r="F290" t="s">
        <v>552</v>
      </c>
      <c r="G290" s="3">
        <v>2.68</v>
      </c>
    </row>
    <row r="291" spans="1:7" x14ac:dyDescent="0.2">
      <c r="D291" s="1">
        <f t="shared" si="25"/>
        <v>274</v>
      </c>
      <c r="E291" t="s">
        <v>553</v>
      </c>
      <c r="F291" t="s">
        <v>554</v>
      </c>
      <c r="G291" s="7">
        <v>7</v>
      </c>
    </row>
    <row r="292" spans="1:7" x14ac:dyDescent="0.2">
      <c r="D292" s="1">
        <f t="shared" si="25"/>
        <v>275</v>
      </c>
      <c r="E292" t="s">
        <v>555</v>
      </c>
      <c r="F292" t="s">
        <v>556</v>
      </c>
      <c r="G292" s="3">
        <v>1.76</v>
      </c>
    </row>
    <row r="293" spans="1:7" x14ac:dyDescent="0.2">
      <c r="D293" s="1">
        <f t="shared" si="25"/>
        <v>276</v>
      </c>
      <c r="E293" t="s">
        <v>992</v>
      </c>
      <c r="F293" t="s">
        <v>993</v>
      </c>
    </row>
    <row r="294" spans="1:7" x14ac:dyDescent="0.2">
      <c r="D294" s="1">
        <f t="shared" si="25"/>
        <v>277</v>
      </c>
      <c r="E294" t="s">
        <v>557</v>
      </c>
      <c r="F294" t="s">
        <v>558</v>
      </c>
      <c r="G294" s="3">
        <v>0.61</v>
      </c>
    </row>
    <row r="295" spans="1:7" x14ac:dyDescent="0.2">
      <c r="D295" s="1">
        <f t="shared" si="25"/>
        <v>278</v>
      </c>
      <c r="E295" t="s">
        <v>559</v>
      </c>
      <c r="F295" t="s">
        <v>560</v>
      </c>
      <c r="G295" s="3">
        <v>0.68</v>
      </c>
    </row>
    <row r="296" spans="1:7" x14ac:dyDescent="0.2">
      <c r="D296" s="1">
        <f t="shared" si="25"/>
        <v>279</v>
      </c>
      <c r="E296" t="s">
        <v>563</v>
      </c>
      <c r="F296" t="s">
        <v>564</v>
      </c>
      <c r="G296" s="3">
        <v>1.86</v>
      </c>
    </row>
    <row r="297" spans="1:7" x14ac:dyDescent="0.2">
      <c r="D297" s="1">
        <f t="shared" si="25"/>
        <v>280</v>
      </c>
      <c r="E297" t="s">
        <v>565</v>
      </c>
      <c r="F297" t="s">
        <v>566</v>
      </c>
      <c r="G297" s="3">
        <v>1.87</v>
      </c>
    </row>
    <row r="298" spans="1:7" x14ac:dyDescent="0.2">
      <c r="D298" s="1">
        <f t="shared" si="25"/>
        <v>281</v>
      </c>
      <c r="E298" s="34" t="s">
        <v>567</v>
      </c>
      <c r="F298" s="34" t="s">
        <v>568</v>
      </c>
      <c r="G298"/>
    </row>
    <row r="299" spans="1:7" x14ac:dyDescent="0.2">
      <c r="D299" s="1">
        <f t="shared" si="25"/>
        <v>282</v>
      </c>
      <c r="E299" t="s">
        <v>570</v>
      </c>
      <c r="F299" t="s">
        <v>569</v>
      </c>
      <c r="G299" s="3">
        <v>7.46</v>
      </c>
    </row>
    <row r="300" spans="1:7" x14ac:dyDescent="0.2">
      <c r="D300" s="1">
        <f t="shared" si="25"/>
        <v>283</v>
      </c>
      <c r="E300" t="s">
        <v>802</v>
      </c>
      <c r="F300" t="s">
        <v>803</v>
      </c>
    </row>
    <row r="301" spans="1:7" x14ac:dyDescent="0.2">
      <c r="D301" s="1">
        <f t="shared" si="25"/>
        <v>284</v>
      </c>
      <c r="E301" t="s">
        <v>800</v>
      </c>
      <c r="F301" t="s">
        <v>801</v>
      </c>
      <c r="G301" s="3">
        <v>8.77</v>
      </c>
    </row>
    <row r="302" spans="1:7" x14ac:dyDescent="0.2">
      <c r="D302" s="1">
        <f t="shared" si="25"/>
        <v>285</v>
      </c>
      <c r="E302" t="s">
        <v>571</v>
      </c>
      <c r="F302" t="s">
        <v>572</v>
      </c>
      <c r="G302" s="3">
        <v>2.77</v>
      </c>
    </row>
    <row r="303" spans="1:7" x14ac:dyDescent="0.2">
      <c r="D303" s="1">
        <f t="shared" si="25"/>
        <v>286</v>
      </c>
      <c r="E303" t="s">
        <v>348</v>
      </c>
      <c r="F303" t="s">
        <v>349</v>
      </c>
      <c r="G303" s="3">
        <v>2.67</v>
      </c>
    </row>
    <row r="304" spans="1:7" x14ac:dyDescent="0.2">
      <c r="A304" s="1" t="s">
        <v>334</v>
      </c>
      <c r="D304" s="1">
        <f t="shared" si="25"/>
        <v>287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5"/>
        <v>288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5"/>
        <v>289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5"/>
        <v>290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5"/>
        <v>291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5"/>
        <v>292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5"/>
        <v>293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5"/>
        <v>294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5"/>
        <v>295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5"/>
        <v>296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5"/>
        <v>297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5"/>
        <v>298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5"/>
        <v>299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5"/>
        <v>300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+[146]Main!$M$5-[146]Main!$M$6</f>
        <v>99.997</v>
      </c>
      <c r="J317" s="6">
        <f>+H317-I317</f>
        <v>488.73748214000005</v>
      </c>
      <c r="K317" s="3" t="s">
        <v>1074</v>
      </c>
      <c r="L317" s="6">
        <f>+[146]Main!$M$3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5"/>
        <v>301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+[147]Main!$K$5-[147]Main!$K$6</f>
        <v>174.27199999999999</v>
      </c>
      <c r="J318" s="6">
        <f>+H318-I318</f>
        <v>317.95222608</v>
      </c>
      <c r="K318" s="3" t="s">
        <v>1074</v>
      </c>
      <c r="L318" s="6">
        <f>+[147]Main!$K$3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5"/>
        <v>302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[148]Main!$M$5-[148]Main!$M$6</f>
        <v>236.422</v>
      </c>
      <c r="J319" s="6">
        <f>H319-I319</f>
        <v>416.95678099999998</v>
      </c>
      <c r="L319" s="6">
        <f>[148]Main!$M$3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5"/>
        <v>303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+[149]Main!$K$5-[149]Main!$K$6</f>
        <v>280.24800000000005</v>
      </c>
      <c r="J320" s="6">
        <f>+H320-I320</f>
        <v>196.5992511</v>
      </c>
      <c r="K320" s="3" t="s">
        <v>1074</v>
      </c>
      <c r="L320" s="6">
        <f>+[149]Main!$K$3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5"/>
        <v>304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+[150]Main!$J$5-[150]Main!$J$6</f>
        <v>69.49499999999999</v>
      </c>
      <c r="J321" s="6">
        <f>+H321-I321</f>
        <v>172.96200277999998</v>
      </c>
      <c r="K321" s="3" t="s">
        <v>1074</v>
      </c>
      <c r="L321" s="6">
        <f>+[150]Main!$J$3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5"/>
        <v>305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+[151]Main!$K$5-[151]Main!$K$6</f>
        <v>29.36</v>
      </c>
      <c r="J322" s="6">
        <f>+H322-I322</f>
        <v>66.314332159999992</v>
      </c>
      <c r="K322" s="3" t="s">
        <v>1074</v>
      </c>
      <c r="L322" s="6">
        <f>+[151]Main!$K$3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5"/>
        <v>306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+[152]Main!$L$5-[152]Main!$L$6</f>
        <v>33.298999999999999</v>
      </c>
      <c r="J323" s="6">
        <f>+H323-I323</f>
        <v>-3.1882702000000016</v>
      </c>
      <c r="K323" s="3" t="s">
        <v>1074</v>
      </c>
      <c r="L323" s="6">
        <f>+[152]Main!$L$3</f>
        <v>35.424388</v>
      </c>
      <c r="M323" s="9">
        <v>45558</v>
      </c>
    </row>
    <row r="324" spans="1:31" x14ac:dyDescent="0.2">
      <c r="D324" s="1">
        <f t="shared" si="25"/>
        <v>307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[153]Main!$K$5-[153]Main!$K$6</f>
        <v>54.983000000000004</v>
      </c>
      <c r="J324" s="6">
        <f>H324-I324</f>
        <v>-42.469815400000002</v>
      </c>
      <c r="L324" s="6">
        <f>[153]Main!$K$3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5"/>
        <v>308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+[154]Main!$K$5-[154]Main!$K$6</f>
        <v>426.65000000000003</v>
      </c>
      <c r="J325" s="6">
        <f>+H325-I325</f>
        <v>-99.962968980000085</v>
      </c>
      <c r="K325" s="3" t="s">
        <v>1074</v>
      </c>
      <c r="L325" s="6">
        <f>+[154]Main!$K$3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5"/>
        <v>309</v>
      </c>
      <c r="E326" s="1" t="s">
        <v>589</v>
      </c>
      <c r="F326" s="1" t="s">
        <v>590</v>
      </c>
    </row>
    <row r="327" spans="1:31" x14ac:dyDescent="0.2">
      <c r="D327" s="1">
        <f t="shared" si="25"/>
        <v>310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5"/>
        <v>311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6">+D328+1</f>
        <v>312</v>
      </c>
      <c r="E329" s="1" t="s">
        <v>449</v>
      </c>
      <c r="F329" s="1" t="s">
        <v>662</v>
      </c>
    </row>
    <row r="330" spans="1:31" x14ac:dyDescent="0.2">
      <c r="D330" s="1">
        <f t="shared" si="26"/>
        <v>313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6"/>
        <v>314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6"/>
        <v>315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6"/>
        <v>316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6"/>
        <v>317</v>
      </c>
      <c r="E334" t="s">
        <v>669</v>
      </c>
      <c r="F334" t="s">
        <v>670</v>
      </c>
    </row>
    <row r="335" spans="1:31" x14ac:dyDescent="0.2">
      <c r="D335" s="1">
        <f t="shared" si="26"/>
        <v>318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6"/>
        <v>319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6"/>
        <v>320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6"/>
        <v>321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6"/>
        <v>322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6"/>
        <v>323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6"/>
        <v>324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6"/>
        <v>325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6"/>
        <v>326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6"/>
        <v>327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6"/>
        <v>328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6"/>
        <v>329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6"/>
        <v>330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6"/>
        <v>331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6"/>
        <v>332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6"/>
        <v>333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6"/>
        <v>334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6"/>
        <v>335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6"/>
        <v>336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6"/>
        <v>337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6"/>
        <v>338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6"/>
        <v>339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[155]Main!$I$5-[155]Main!$I$6</f>
        <v>138.756</v>
      </c>
      <c r="J356" s="6">
        <f>H356-I356</f>
        <v>633.73115987000006</v>
      </c>
      <c r="K356" s="9" t="s">
        <v>1619</v>
      </c>
      <c r="L356" s="6">
        <f>[155]Main!$I$3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6"/>
        <v>340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6"/>
        <v>341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6"/>
        <v>342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6"/>
        <v>343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6"/>
        <v>344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6"/>
        <v>345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6"/>
        <v>346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6"/>
        <v>347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6"/>
        <v>348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6"/>
        <v>349</v>
      </c>
      <c r="E366" s="5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6"/>
        <v>350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6"/>
        <v>351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+[156]Main!$K$5-[156]Main!$K$6</f>
        <v>458.03099999999995</v>
      </c>
      <c r="J368" s="6">
        <f>+H368-I368</f>
        <v>267.94963252000002</v>
      </c>
      <c r="K368" s="3" t="s">
        <v>1280</v>
      </c>
      <c r="L368" s="6">
        <f>+[156]Main!$K$3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6"/>
        <v>352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+[157]Main!$J$5-[157]Main!$J$6</f>
        <v>316.5809999999999</v>
      </c>
      <c r="J369" s="6">
        <f>+H369-I369</f>
        <v>-116.1096718199999</v>
      </c>
      <c r="K369" s="3" t="s">
        <v>1280</v>
      </c>
      <c r="L369" s="6">
        <f>+[157]Main!$J$3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6"/>
        <v>353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6"/>
        <v>354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6"/>
        <v>355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6"/>
        <v>356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6"/>
        <v>357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6"/>
        <v>358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6"/>
        <v>359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6"/>
        <v>360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6"/>
        <v>361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6"/>
        <v>362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6"/>
        <v>363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6"/>
        <v>364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6"/>
        <v>365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6"/>
        <v>366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6"/>
        <v>367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6"/>
        <v>368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6"/>
        <v>369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6"/>
        <v>370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6"/>
        <v>371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6"/>
        <v>372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6"/>
        <v>373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6"/>
        <v>374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55" si="27">+D391+1</f>
        <v>375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7"/>
        <v>376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7"/>
        <v>377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7"/>
        <v>378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7"/>
        <v>379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7"/>
        <v>380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7"/>
        <v>381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7"/>
        <v>382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7"/>
        <v>383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7"/>
        <v>384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7"/>
        <v>385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7"/>
        <v>386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7"/>
        <v>387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7"/>
        <v>388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7"/>
        <v>389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7"/>
        <v>390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7"/>
        <v>391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7"/>
        <v>392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7"/>
        <v>393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7"/>
        <v>394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7"/>
        <v>395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7"/>
        <v>396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7"/>
        <v>397</v>
      </c>
      <c r="E414" t="s">
        <v>956</v>
      </c>
      <c r="F414" t="s">
        <v>957</v>
      </c>
    </row>
    <row r="415" spans="1:7" x14ac:dyDescent="0.2">
      <c r="A415"/>
      <c r="B415"/>
      <c r="C415"/>
      <c r="D415" s="1">
        <f t="shared" si="27"/>
        <v>398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7"/>
        <v>399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7"/>
        <v>400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7"/>
        <v>401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7"/>
        <v>402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7"/>
        <v>403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7"/>
        <v>404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7"/>
        <v>405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7"/>
        <v>406</v>
      </c>
      <c r="E423" t="s">
        <v>974</v>
      </c>
      <c r="F423" t="s">
        <v>975</v>
      </c>
    </row>
    <row r="424" spans="1:13" x14ac:dyDescent="0.2">
      <c r="D424" s="1">
        <f t="shared" si="27"/>
        <v>407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 t="shared" si="27"/>
        <v>408</v>
      </c>
      <c r="E425" s="5" t="s">
        <v>1611</v>
      </c>
      <c r="F425" t="s">
        <v>1612</v>
      </c>
      <c r="G425" s="7">
        <v>42.9</v>
      </c>
      <c r="H425" s="6">
        <f t="shared" ref="H425:H437" si="28">+G425*L425</f>
        <v>518.07807479999997</v>
      </c>
      <c r="I425" s="6">
        <f>+[158]Main!$K$5-[158]Main!$K$6</f>
        <v>89.078000000000003</v>
      </c>
      <c r="J425" s="6">
        <f t="shared" ref="J425:J437" si="29">+H425-I425</f>
        <v>429.00007479999999</v>
      </c>
      <c r="K425" s="3" t="s">
        <v>1280</v>
      </c>
      <c r="L425" s="6">
        <f>+[158]Main!$K$3</f>
        <v>12.076411999999999</v>
      </c>
      <c r="M425" s="9">
        <v>45608</v>
      </c>
    </row>
    <row r="426" spans="1:13" x14ac:dyDescent="0.2">
      <c r="D426" s="1">
        <f t="shared" si="27"/>
        <v>409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+[159]Main!$K$5-[159]Main!$K$6</f>
        <v>15.414999999999999</v>
      </c>
      <c r="J426" s="6">
        <f t="shared" si="29"/>
        <v>279.69996187999993</v>
      </c>
      <c r="K426" s="3" t="s">
        <v>1074</v>
      </c>
      <c r="L426" s="6">
        <f>+[159]Main!$K$3</f>
        <v>27.999521999999999</v>
      </c>
      <c r="M426" s="9">
        <v>45474</v>
      </c>
    </row>
    <row r="427" spans="1:13" x14ac:dyDescent="0.2">
      <c r="D427" s="1">
        <f t="shared" si="27"/>
        <v>410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+[160]Main!$K$5-[160]Main!$K$6</f>
        <v>-77.494</v>
      </c>
      <c r="J427" s="6">
        <f>+H427-I427</f>
        <v>241.92998150000003</v>
      </c>
      <c r="K427" s="3" t="s">
        <v>1280</v>
      </c>
      <c r="L427" s="6">
        <f>+[160]Main!$K$3</f>
        <v>62.761825000000002</v>
      </c>
      <c r="M427" s="9">
        <v>45628</v>
      </c>
    </row>
    <row r="428" spans="1:13" x14ac:dyDescent="0.2">
      <c r="B428" s="1">
        <v>6</v>
      </c>
      <c r="C428" s="1">
        <v>2</v>
      </c>
      <c r="D428" s="1">
        <f t="shared" si="27"/>
        <v>411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+[161]Main!$L$5-[161]Main!$L$6</f>
        <v>41.190244</v>
      </c>
      <c r="J428" s="6">
        <f>+H428-I428</f>
        <v>251.82846074000003</v>
      </c>
      <c r="K428" s="3" t="s">
        <v>1074</v>
      </c>
      <c r="L428" s="6">
        <f>+[161]Main!$L$3</f>
        <v>6.2490660000000009</v>
      </c>
      <c r="M428" s="9">
        <v>45630</v>
      </c>
    </row>
    <row r="429" spans="1:13" x14ac:dyDescent="0.2">
      <c r="D429" s="1">
        <f t="shared" si="27"/>
        <v>412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+[162]Main!$M$5-[162]Main!$M$6</f>
        <v>117.82499999999999</v>
      </c>
      <c r="J429" s="6">
        <f>+H429-I429</f>
        <v>171.89033000000001</v>
      </c>
      <c r="K429" s="3" t="s">
        <v>1280</v>
      </c>
      <c r="L429" s="6">
        <f>+[162]Main!$M$3</f>
        <v>57.943066000000002</v>
      </c>
      <c r="M429" s="9">
        <v>45629</v>
      </c>
    </row>
    <row r="430" spans="1:13" x14ac:dyDescent="0.2">
      <c r="D430" s="1">
        <f t="shared" si="27"/>
        <v>413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+[163]Main!$M$5-[163]Main!$M$6</f>
        <v>1.9079999999999977</v>
      </c>
      <c r="J430" s="6">
        <f>+H430-I430</f>
        <v>144.23191650000004</v>
      </c>
      <c r="K430" s="3" t="s">
        <v>1280</v>
      </c>
      <c r="L430" s="6">
        <f>+[163]Main!$M$3</f>
        <v>32.475537000000003</v>
      </c>
      <c r="M430" s="9">
        <v>45630</v>
      </c>
    </row>
    <row r="431" spans="1:13" x14ac:dyDescent="0.2">
      <c r="D431" s="1">
        <f t="shared" si="27"/>
        <v>414</v>
      </c>
      <c r="E431" s="5" t="s">
        <v>1615</v>
      </c>
      <c r="F431" t="s">
        <v>1616</v>
      </c>
      <c r="G431" s="3">
        <v>1.53</v>
      </c>
      <c r="H431" s="6">
        <f t="shared" si="28"/>
        <v>192.47591862000002</v>
      </c>
      <c r="I431" s="6">
        <f>+[164]Main!$L$5-[164]Main!$L$6</f>
        <v>74.8</v>
      </c>
      <c r="J431" s="6">
        <f t="shared" si="29"/>
        <v>117.67591862000002</v>
      </c>
      <c r="K431" s="3" t="s">
        <v>1280</v>
      </c>
      <c r="L431" s="6">
        <f>+[164]Main!$L$3</f>
        <v>125.801254</v>
      </c>
      <c r="M431" s="9">
        <v>45608</v>
      </c>
    </row>
    <row r="432" spans="1:13" x14ac:dyDescent="0.2">
      <c r="D432" s="1">
        <f t="shared" si="27"/>
        <v>415</v>
      </c>
      <c r="E432" s="5" t="s">
        <v>1099</v>
      </c>
      <c r="F432" t="s">
        <v>1100</v>
      </c>
      <c r="G432" s="7">
        <v>5</v>
      </c>
      <c r="H432" s="6">
        <f t="shared" si="28"/>
        <v>216.57198499999998</v>
      </c>
      <c r="I432" s="6">
        <f>+[165]Main!$J$5-[165]Main!$J$6</f>
        <v>104.35299999999999</v>
      </c>
      <c r="J432" s="6">
        <f t="shared" si="29"/>
        <v>112.21898499999999</v>
      </c>
      <c r="K432" s="3" t="s">
        <v>1074</v>
      </c>
      <c r="L432" s="6">
        <f>+[165]Main!$J$3</f>
        <v>43.314397</v>
      </c>
      <c r="M432" s="9">
        <v>45525</v>
      </c>
    </row>
    <row r="433" spans="4:13" x14ac:dyDescent="0.2">
      <c r="D433" s="1">
        <f t="shared" si="27"/>
        <v>416</v>
      </c>
      <c r="E433" s="5" t="s">
        <v>1163</v>
      </c>
      <c r="F433" t="s">
        <v>1164</v>
      </c>
      <c r="G433" s="7">
        <v>3.6</v>
      </c>
      <c r="H433" s="6">
        <f t="shared" si="28"/>
        <v>132.55131599999999</v>
      </c>
      <c r="I433" s="6">
        <f>+[166]Main!$L$5-[166]Main!$L$6</f>
        <v>33.507724000000003</v>
      </c>
      <c r="J433" s="6">
        <f t="shared" si="29"/>
        <v>99.04359199999999</v>
      </c>
      <c r="K433" s="3" t="s">
        <v>1074</v>
      </c>
      <c r="L433" s="6">
        <f>+[166]Main!$L$3</f>
        <v>36.819809999999997</v>
      </c>
      <c r="M433" s="9">
        <v>45567</v>
      </c>
    </row>
    <row r="434" spans="4:13" x14ac:dyDescent="0.2">
      <c r="D434" s="1">
        <f t="shared" si="27"/>
        <v>417</v>
      </c>
      <c r="E434" s="5" t="s">
        <v>1613</v>
      </c>
      <c r="F434" t="s">
        <v>1614</v>
      </c>
      <c r="G434" s="7">
        <v>13.15</v>
      </c>
      <c r="H434" s="6">
        <f t="shared" si="28"/>
        <v>319.37594360000003</v>
      </c>
      <c r="I434" s="6">
        <f>+[167]Main!$K$5-[167]Main!$K$6</f>
        <v>225.55599999999998</v>
      </c>
      <c r="J434" s="6">
        <f t="shared" si="29"/>
        <v>93.819943600000045</v>
      </c>
      <c r="K434" s="3" t="s">
        <v>1280</v>
      </c>
      <c r="L434" s="6">
        <f>+[167]Main!$K$3</f>
        <v>24.287144000000001</v>
      </c>
      <c r="M434" s="9">
        <v>45608</v>
      </c>
    </row>
    <row r="435" spans="4:13" x14ac:dyDescent="0.2">
      <c r="D435" s="1">
        <f t="shared" si="27"/>
        <v>418</v>
      </c>
      <c r="E435" s="5" t="s">
        <v>1629</v>
      </c>
      <c r="F435" t="s">
        <v>1628</v>
      </c>
      <c r="G435" s="3">
        <v>2.83</v>
      </c>
      <c r="H435" s="6">
        <f>+G435*L435</f>
        <v>108.43964851000001</v>
      </c>
      <c r="I435" s="6">
        <f>+[168]Main!$K$5-[168]Main!$K$6</f>
        <v>62.823</v>
      </c>
      <c r="J435" s="6">
        <f>+H435-I435</f>
        <v>45.616648510000012</v>
      </c>
      <c r="K435" s="3" t="s">
        <v>1280</v>
      </c>
      <c r="L435" s="6">
        <f>+[168]Main!$K$3</f>
        <v>38.317897000000002</v>
      </c>
      <c r="M435" s="9">
        <v>45629</v>
      </c>
    </row>
    <row r="436" spans="4:13" x14ac:dyDescent="0.2">
      <c r="D436" s="1">
        <f>+D452+1</f>
        <v>435</v>
      </c>
      <c r="E436" t="s">
        <v>1646</v>
      </c>
      <c r="F436" t="s">
        <v>1647</v>
      </c>
      <c r="G436" s="7">
        <v>1.24</v>
      </c>
      <c r="H436" s="6">
        <f>+G436*L436</f>
        <v>41.467086759999994</v>
      </c>
      <c r="I436" s="6">
        <f>+[169]Main!$K$5-[169]Main!$K$6</f>
        <v>5.4758170000000002</v>
      </c>
      <c r="J436" s="6">
        <f>+H436-I436</f>
        <v>35.991269759999994</v>
      </c>
      <c r="K436" s="3" t="s">
        <v>1280</v>
      </c>
      <c r="L436" s="6">
        <f>+[169]Main!$K$3</f>
        <v>33.441198999999997</v>
      </c>
      <c r="M436" s="9">
        <v>45630</v>
      </c>
    </row>
    <row r="437" spans="4:13" x14ac:dyDescent="0.2">
      <c r="D437" s="1">
        <f>+D435+1</f>
        <v>419</v>
      </c>
      <c r="E437" s="5" t="s">
        <v>1437</v>
      </c>
      <c r="F437" s="1" t="s">
        <v>1438</v>
      </c>
      <c r="G437" s="3">
        <v>0.19</v>
      </c>
      <c r="H437" s="6">
        <f t="shared" si="28"/>
        <v>4.1807902100000005</v>
      </c>
      <c r="I437" s="6">
        <f>+[170]Main!$P$5-[170]Main!$P$6</f>
        <v>-4.3319999999999999</v>
      </c>
      <c r="J437" s="6">
        <f t="shared" si="29"/>
        <v>8.5127902100000004</v>
      </c>
      <c r="K437" s="3" t="s">
        <v>1074</v>
      </c>
      <c r="L437" s="6">
        <f>+[170]Main!$P$3</f>
        <v>22.004159000000001</v>
      </c>
      <c r="M437" s="9">
        <v>45587</v>
      </c>
    </row>
    <row r="438" spans="4:13" x14ac:dyDescent="0.2">
      <c r="D438" s="1">
        <f t="shared" si="27"/>
        <v>420</v>
      </c>
      <c r="E438" s="41" t="s">
        <v>1631</v>
      </c>
      <c r="F438" t="s">
        <v>1630</v>
      </c>
      <c r="G438" s="7">
        <v>3.71</v>
      </c>
      <c r="H438" s="6">
        <f>+G438*L438</f>
        <v>181.33427843999999</v>
      </c>
      <c r="I438" s="6">
        <f>+[171]Main!$K$5-[171]Main!$K$6</f>
        <v>183.012</v>
      </c>
      <c r="J438" s="6">
        <f>+H438-I438</f>
        <v>-1.677721560000009</v>
      </c>
      <c r="K438" s="3" t="s">
        <v>1280</v>
      </c>
      <c r="L438" s="6">
        <f>+[171]Main!$K$3</f>
        <v>48.877164</v>
      </c>
      <c r="M438" s="9">
        <v>45629</v>
      </c>
    </row>
    <row r="439" spans="4:13" x14ac:dyDescent="0.2">
      <c r="D439" s="1">
        <f t="shared" si="27"/>
        <v>421</v>
      </c>
      <c r="E439" s="5" t="s">
        <v>1634</v>
      </c>
      <c r="F439" s="1" t="s">
        <v>1635</v>
      </c>
      <c r="G439" s="7">
        <v>6</v>
      </c>
      <c r="H439" s="6">
        <f>+G439*L439</f>
        <v>327.199524</v>
      </c>
      <c r="I439" s="6">
        <f>+[172]Main!$L$5-[172]Main!$L$6</f>
        <v>371.02100000000002</v>
      </c>
      <c r="J439" s="6">
        <f>+H439-I439</f>
        <v>-43.821476000000018</v>
      </c>
      <c r="K439" s="3" t="s">
        <v>1074</v>
      </c>
      <c r="L439" s="6">
        <f>+[172]Main!$L$3</f>
        <v>54.533253999999999</v>
      </c>
      <c r="M439" s="9">
        <v>45629</v>
      </c>
    </row>
    <row r="440" spans="4:13" x14ac:dyDescent="0.2">
      <c r="D440" s="1">
        <f t="shared" si="27"/>
        <v>422</v>
      </c>
      <c r="E440" s="1" t="s">
        <v>1193</v>
      </c>
      <c r="F440" s="1" t="s">
        <v>1194</v>
      </c>
      <c r="G440" s="3">
        <v>0.28999999999999998</v>
      </c>
    </row>
    <row r="441" spans="4:13" x14ac:dyDescent="0.2">
      <c r="D441" s="1">
        <f t="shared" si="27"/>
        <v>423</v>
      </c>
      <c r="E441" s="1" t="s">
        <v>1275</v>
      </c>
      <c r="F441" t="s">
        <v>1276</v>
      </c>
    </row>
    <row r="442" spans="4:13" x14ac:dyDescent="0.2">
      <c r="D442" s="1">
        <f t="shared" si="27"/>
        <v>424</v>
      </c>
      <c r="E442" s="1" t="s">
        <v>1304</v>
      </c>
      <c r="F442" s="1" t="s">
        <v>1305</v>
      </c>
    </row>
    <row r="443" spans="4:13" x14ac:dyDescent="0.2">
      <c r="D443" s="1">
        <f t="shared" si="27"/>
        <v>425</v>
      </c>
      <c r="E443" t="s">
        <v>1306</v>
      </c>
      <c r="F443" t="s">
        <v>1307</v>
      </c>
    </row>
    <row r="444" spans="4:13" x14ac:dyDescent="0.2">
      <c r="D444" s="1">
        <f t="shared" si="27"/>
        <v>426</v>
      </c>
      <c r="E444" s="1" t="s">
        <v>1357</v>
      </c>
    </row>
    <row r="445" spans="4:13" x14ac:dyDescent="0.2">
      <c r="D445" s="1">
        <f t="shared" si="27"/>
        <v>427</v>
      </c>
      <c r="E445" s="5" t="s">
        <v>1442</v>
      </c>
      <c r="F445" s="1" t="s">
        <v>1443</v>
      </c>
      <c r="G445" s="7">
        <v>30</v>
      </c>
    </row>
    <row r="446" spans="4:13" x14ac:dyDescent="0.2">
      <c r="D446" s="1">
        <f t="shared" si="27"/>
        <v>428</v>
      </c>
      <c r="E446" t="s">
        <v>1505</v>
      </c>
    </row>
    <row r="447" spans="4:13" x14ac:dyDescent="0.2">
      <c r="D447" s="1">
        <f t="shared" si="27"/>
        <v>429</v>
      </c>
      <c r="E447" s="1" t="s">
        <v>1617</v>
      </c>
      <c r="F447" t="s">
        <v>1618</v>
      </c>
    </row>
    <row r="448" spans="4:13" x14ac:dyDescent="0.2">
      <c r="D448" s="1">
        <f t="shared" si="27"/>
        <v>430</v>
      </c>
      <c r="E448" t="s">
        <v>1622</v>
      </c>
      <c r="F448" s="1" t="s">
        <v>1623</v>
      </c>
    </row>
    <row r="449" spans="4:7" x14ac:dyDescent="0.2">
      <c r="D449" s="1">
        <f t="shared" si="27"/>
        <v>431</v>
      </c>
      <c r="E449" t="s">
        <v>1624</v>
      </c>
      <c r="F449" t="s">
        <v>1625</v>
      </c>
    </row>
    <row r="450" spans="4:7" x14ac:dyDescent="0.2">
      <c r="D450" s="1">
        <f t="shared" si="27"/>
        <v>432</v>
      </c>
      <c r="E450" t="s">
        <v>1632</v>
      </c>
      <c r="F450" t="s">
        <v>1633</v>
      </c>
    </row>
    <row r="451" spans="4:7" x14ac:dyDescent="0.2">
      <c r="D451" s="1">
        <f t="shared" si="27"/>
        <v>433</v>
      </c>
      <c r="E451" s="5" t="s">
        <v>1637</v>
      </c>
      <c r="F451" s="1" t="s">
        <v>1636</v>
      </c>
      <c r="G451" s="3">
        <v>26.71</v>
      </c>
    </row>
    <row r="452" spans="4:7" x14ac:dyDescent="0.2">
      <c r="D452" s="1">
        <f t="shared" si="27"/>
        <v>434</v>
      </c>
      <c r="E452" s="1" t="s">
        <v>1642</v>
      </c>
      <c r="F452" t="s">
        <v>1643</v>
      </c>
    </row>
    <row r="453" spans="4:7" x14ac:dyDescent="0.2">
      <c r="D453" s="1">
        <f t="shared" si="27"/>
        <v>435</v>
      </c>
      <c r="E453" t="s">
        <v>1648</v>
      </c>
      <c r="F453" s="1" t="s">
        <v>1649</v>
      </c>
    </row>
    <row r="454" spans="4:7" x14ac:dyDescent="0.2">
      <c r="D454" s="1">
        <f t="shared" si="27"/>
        <v>436</v>
      </c>
      <c r="E454" s="1" t="s">
        <v>1650</v>
      </c>
      <c r="F454" t="s">
        <v>1651</v>
      </c>
      <c r="G454" s="3">
        <v>4.1100000000000003</v>
      </c>
    </row>
    <row r="455" spans="4:7" x14ac:dyDescent="0.2">
      <c r="D455" s="1">
        <f t="shared" si="27"/>
        <v>437</v>
      </c>
      <c r="E455" t="s">
        <v>1656</v>
      </c>
      <c r="F455" t="s">
        <v>1657</v>
      </c>
    </row>
  </sheetData>
  <sortState xmlns:xlrd2="http://schemas.microsoft.com/office/spreadsheetml/2017/richdata2" ref="A162:AE209">
    <sortCondition descending="1" ref="H162:H209"/>
  </sortState>
  <mergeCells count="2">
    <mergeCell ref="S2:X2"/>
    <mergeCell ref="Y2:AD2"/>
  </mergeCells>
  <hyperlinks>
    <hyperlink ref="E7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5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8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4" r:id="rId18" xr:uid="{14A63DAF-63A6-4B91-A2AF-AE28EA251457}"/>
    <hyperlink ref="E249" r:id="rId19" xr:uid="{4ACA7C7F-E42A-4687-A776-AB8065DB40FF}"/>
    <hyperlink ref="E243" r:id="rId20" xr:uid="{B3421391-7EC0-4253-8F62-5ED45A5BFA02}"/>
    <hyperlink ref="E250" r:id="rId21" xr:uid="{F6A45FC7-B73C-4143-9CAB-B3ADA19B5FD7}"/>
    <hyperlink ref="E245" r:id="rId22" xr:uid="{BBD267CB-7407-4913-9D05-6A6AA380019F}"/>
    <hyperlink ref="E252" r:id="rId23" xr:uid="{85368858-6D0F-4ABE-975C-AE5530342445}"/>
    <hyperlink ref="E240" r:id="rId24" xr:uid="{8B5BC1F5-14D4-45A0-B224-31FAF227EAF3}"/>
    <hyperlink ref="E251" r:id="rId25" xr:uid="{D5FB3BFE-F0A8-4C09-90A1-9F506EF0ADE4}"/>
    <hyperlink ref="E246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8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6" r:id="rId40" xr:uid="{467EEBCD-6BD7-4E71-B2C9-FCF3DB57F059}"/>
    <hyperlink ref="E241" r:id="rId41" xr:uid="{6A576FDB-A573-4A00-8381-4BECF13B35A1}"/>
    <hyperlink ref="E24" r:id="rId42" xr:uid="{994E2867-C411-41E7-8332-43A0B3B0CC2B}"/>
    <hyperlink ref="E158" r:id="rId43" xr:uid="{51C9506E-5D60-43F8-BADA-7F72A25DAFF6}"/>
    <hyperlink ref="E115" r:id="rId44" xr:uid="{9E4325F2-98CF-4735-96D0-66A9DC5A8E86}"/>
    <hyperlink ref="E217" r:id="rId45" xr:uid="{6D062383-838D-42C7-BFCD-E5C9DC258548}"/>
    <hyperlink ref="E30" r:id="rId46" xr:uid="{3F36D809-73FC-441C-88D2-EEB42A40734A}"/>
    <hyperlink ref="E31" r:id="rId47" xr:uid="{5D73AAA9-EBCA-4613-83CF-E75D37F58B6D}"/>
    <hyperlink ref="E33" r:id="rId48" xr:uid="{203E18C7-425E-49E1-9AA5-204AFBE41E2D}"/>
    <hyperlink ref="E29" r:id="rId49" xr:uid="{5670E9A9-D014-4D7B-962A-54CBDC766969}"/>
    <hyperlink ref="E64" r:id="rId50" xr:uid="{04E7711A-AB14-45D0-B73B-7EA804EC5564}"/>
    <hyperlink ref="E39" r:id="rId51" xr:uid="{76CA7CFE-7B9B-4C27-8561-3A158A30ED77}"/>
    <hyperlink ref="E14" r:id="rId52" xr:uid="{B0ABAFBD-FFC1-42E3-AFB4-259F4DD19FEC}"/>
    <hyperlink ref="E46" r:id="rId53" xr:uid="{F5D5A68A-4783-46B8-B717-79A0E802B6C4}"/>
    <hyperlink ref="E36" r:id="rId54" xr:uid="{DD930D2F-20A9-46C3-8AA4-5E62A88271DB}"/>
    <hyperlink ref="E38" r:id="rId55" xr:uid="{E248BEED-DD02-463E-BFAC-D02D5521E787}"/>
    <hyperlink ref="E41" r:id="rId56" xr:uid="{01444C35-CEE7-41B7-B694-AE47417B7019}"/>
    <hyperlink ref="E11" r:id="rId57" xr:uid="{57B03CDA-0325-4BAB-BDE9-EF73BAB7F2FB}"/>
    <hyperlink ref="E43" r:id="rId58" xr:uid="{BC97A7B7-8716-48D0-BA90-60A75E6A24CE}"/>
    <hyperlink ref="E40" r:id="rId59" xr:uid="{AD16E898-B1E4-4F25-8E21-E2BC1C6FE9AD}"/>
    <hyperlink ref="E60" r:id="rId60" xr:uid="{E9207892-DA1F-48D2-B2C3-EFA59FCA8A47}"/>
    <hyperlink ref="E86" r:id="rId61" xr:uid="{DE2D1DDB-B5B7-4055-B885-0CD9E7670070}"/>
    <hyperlink ref="E32" r:id="rId62" xr:uid="{9DD12163-063E-4F73-89A5-34D8E8AC0534}"/>
    <hyperlink ref="E92" r:id="rId63" xr:uid="{1D3A6A47-22C9-4CC1-94BD-20DE3BB08016}"/>
    <hyperlink ref="E50" r:id="rId64" xr:uid="{27FB3DB4-8430-405F-9558-F31A0B69ED5F}"/>
    <hyperlink ref="E42" r:id="rId65" xr:uid="{144D13FD-59BD-499B-A0B4-B06985623C68}"/>
    <hyperlink ref="E213" r:id="rId66" xr:uid="{E48CD1EB-CFA1-47B1-BD8B-09F09CDD4FA4}"/>
    <hyperlink ref="E116" r:id="rId67" xr:uid="{6E9AFF81-F520-4A86-9FC2-D5CFE68E7EB7}"/>
    <hyperlink ref="E72" r:id="rId68" xr:uid="{ED527D70-0B51-4151-8378-8C40B68FF19D}"/>
    <hyperlink ref="E44" r:id="rId69" xr:uid="{A902B26E-CA39-4DC5-9F23-4459D8D315E8}"/>
    <hyperlink ref="E51" r:id="rId70" xr:uid="{5F0313F8-3376-4F67-9822-E1412CAA5959}"/>
    <hyperlink ref="E106" r:id="rId71" xr:uid="{AE3A3FD9-E651-4A72-81DB-B29CC61B516B}"/>
    <hyperlink ref="E65" r:id="rId72" xr:uid="{6FA4EBE7-4729-4097-A12F-CAD4CB58FFA6}"/>
    <hyperlink ref="E114" r:id="rId73" xr:uid="{C6F461C3-F385-4BE1-8914-0B22F9A9FF52}"/>
    <hyperlink ref="E48" r:id="rId74" xr:uid="{98D02B7D-F218-457E-B156-7FE773CF515A}"/>
    <hyperlink ref="E47" r:id="rId75" xr:uid="{02CB6FD9-C55D-44A1-9F2E-6A96A222EE6B}"/>
    <hyperlink ref="E78" r:id="rId76" xr:uid="{C691BA46-1169-4CAF-84E5-2A83E1B5404A}"/>
    <hyperlink ref="E49" r:id="rId77" xr:uid="{425EA3DE-2A59-4B96-B380-B688A4EDE233}"/>
    <hyperlink ref="E59" r:id="rId78" xr:uid="{1F24E207-02BC-4A1F-B083-69F8E95AC067}"/>
    <hyperlink ref="E63" r:id="rId79" xr:uid="{CE56D1ED-1CAA-4667-A3D9-82426599D26C}"/>
    <hyperlink ref="E28" r:id="rId80" xr:uid="{A79848CD-7CC3-4C10-B9EC-DDD33362E673}"/>
    <hyperlink ref="E103" r:id="rId81" xr:uid="{ED810682-5208-4265-9E0E-6746A399EA34}"/>
    <hyperlink ref="E161" r:id="rId82" xr:uid="{44DEB74A-F098-4876-A279-D1E6237DF8DB}"/>
    <hyperlink ref="E69" r:id="rId83" xr:uid="{ADF59BEC-B8D8-4144-ADEB-041425B69409}"/>
    <hyperlink ref="E324" r:id="rId84" xr:uid="{69AB4316-2FED-44FC-B108-3CD00D6F57B9}"/>
    <hyperlink ref="E319" r:id="rId85" xr:uid="{172C358D-5501-4447-9FDE-DA046F6FED55}"/>
    <hyperlink ref="E113" r:id="rId86" xr:uid="{D181F941-FF02-423B-9F90-890B434046DD}"/>
    <hyperlink ref="E159" r:id="rId87" xr:uid="{1924D31B-B6B9-4CB2-936E-0F68E40FA2F5}"/>
    <hyperlink ref="E160" r:id="rId88" xr:uid="{8E97DA51-E6CD-4B11-B6F8-BD0A3CC93541}"/>
    <hyperlink ref="E95" r:id="rId89" xr:uid="{BACD6400-1341-654E-A5B2-576C65F8052B}"/>
    <hyperlink ref="E358" r:id="rId90" xr:uid="{C4CF7488-CAF7-4516-AB24-0FC50F0916A3}"/>
    <hyperlink ref="E98" r:id="rId91" xr:uid="{2B6C4E35-2657-4D1A-8D80-C54F892964F4}"/>
    <hyperlink ref="E13" r:id="rId92" xr:uid="{D4CC8F9A-CC3B-EE41-860B-629E01D90BFD}"/>
    <hyperlink ref="E432" r:id="rId93" xr:uid="{C4EB2FD5-19C2-4B46-A645-6A4B58B3BF48}"/>
    <hyperlink ref="E18" r:id="rId94" xr:uid="{29212F29-BB24-1048-9B2F-FC0168C49234}"/>
    <hyperlink ref="E220" r:id="rId95" xr:uid="{E2D5EE7E-5721-5749-A98C-474C4C00D036}"/>
    <hyperlink ref="E23" r:id="rId96" xr:uid="{AA34EED3-260C-48F6-B18F-9CB2123B2DB8}"/>
    <hyperlink ref="E34" r:id="rId97" xr:uid="{3556B95F-6CC1-4165-90C0-F95B358B441D}"/>
    <hyperlink ref="E426" r:id="rId98" xr:uid="{E9466C79-B428-4906-B5D4-8A65E345C46A}"/>
    <hyperlink ref="E70" r:id="rId99" xr:uid="{0F64F384-8187-4F0A-B6D5-472BB2A5904F}"/>
    <hyperlink ref="E105" r:id="rId100" xr:uid="{5475D411-362D-4662-900D-6279A7227B29}"/>
    <hyperlink ref="E56" r:id="rId101" xr:uid="{6DB2BB02-C4A0-49AF-BAFF-B0F94FD8A18F}"/>
    <hyperlink ref="E55" r:id="rId102" xr:uid="{207C989E-621C-4033-9CCE-48EE8FC87164}"/>
    <hyperlink ref="E35" r:id="rId103" xr:uid="{EAE06527-C521-4E27-80DB-BF20330157C9}"/>
    <hyperlink ref="E66" r:id="rId104" xr:uid="{5E221389-B42A-4ECC-B5CE-DEA05F90F52F}"/>
    <hyperlink ref="E107" r:id="rId105" xr:uid="{50F9FE65-F347-4AD5-8CB3-AEF68BBB9AA8}"/>
    <hyperlink ref="E117" r:id="rId106" xr:uid="{75D04E08-C11D-42F6-A0B8-9E185A6BA249}"/>
    <hyperlink ref="E118" r:id="rId107" xr:uid="{DD06A32A-D1AE-4DFA-957F-7E5F6848399D}"/>
    <hyperlink ref="E53" r:id="rId108" xr:uid="{A9CCEE93-948C-4958-9273-229E876026E5}"/>
    <hyperlink ref="E61" r:id="rId109" xr:uid="{8A039020-76D6-4648-8559-2E66BD4069E8}"/>
    <hyperlink ref="E76" r:id="rId110" xr:uid="{57A317C3-FCD5-4B9D-9890-302872D6263D}"/>
    <hyperlink ref="E109" r:id="rId111" xr:uid="{7DEB18EF-0653-42AE-848B-1CD34B6185B1}"/>
    <hyperlink ref="E321" r:id="rId112" xr:uid="{500E1EB4-5BFA-41DA-B498-9CADDCBC3BD8}"/>
    <hyperlink ref="E224" r:id="rId113" xr:uid="{DA843767-B487-45EC-B6B6-4CAF3C575C50}"/>
    <hyperlink ref="E80" r:id="rId114" xr:uid="{5DA9C2AA-A278-4FF3-A2FD-E53617E5E8B8}"/>
    <hyperlink ref="E254" r:id="rId115" xr:uid="{91A036B5-0E03-4930-B738-BF1C076ACF18}"/>
    <hyperlink ref="E104" r:id="rId116" xr:uid="{8068ED1A-3B17-4C79-9022-B1BEE306CC58}"/>
    <hyperlink ref="E102" r:id="rId117" xr:uid="{DEB94AB7-6F89-44AE-9C77-B3E2D1E51B70}"/>
    <hyperlink ref="E322" r:id="rId118" xr:uid="{C5AE6E9D-13C3-40F4-80F9-EB86590BF332}"/>
    <hyperlink ref="E214" r:id="rId119" xr:uid="{47C928EF-242B-4B5F-9296-FA878004232C}"/>
    <hyperlink ref="E365" r:id="rId120" xr:uid="{B0C9190D-D136-462D-B004-BE374B10A4F0}"/>
    <hyperlink ref="E85" r:id="rId121" xr:uid="{1C0EAF20-C59C-4E14-90E0-E67EED291627}"/>
    <hyperlink ref="E320" r:id="rId122" xr:uid="{820E74E5-32AF-43AF-A75C-37305E58D952}"/>
    <hyperlink ref="E212" r:id="rId123" xr:uid="{C2EF7A04-6E03-432E-AE39-F9FC0944E6B7}"/>
    <hyperlink ref="E90" r:id="rId124" xr:uid="{4A53B476-D8D4-4433-B5B3-B626DD5ECAA5}"/>
    <hyperlink ref="E323" r:id="rId125" xr:uid="{0E69FC1D-F608-42EA-B683-C53C409C70F7}"/>
    <hyperlink ref="E162" r:id="rId126" xr:uid="{058DC54B-6F58-47B5-B00D-CB85499F0661}"/>
    <hyperlink ref="E163" r:id="rId127" xr:uid="{E3F91124-A68C-481A-9F88-5F0B403E12FC}"/>
    <hyperlink ref="E228" r:id="rId128" xr:uid="{879666A1-6AD0-495B-B29D-1523E9F3BF37}"/>
    <hyperlink ref="E54" r:id="rId129" xr:uid="{3E4416C1-24BA-4833-B8A9-810255675E01}"/>
    <hyperlink ref="E122" r:id="rId130" xr:uid="{CEEF1ECE-36B3-482E-AA72-8B9DAE4D2730}"/>
    <hyperlink ref="E119" r:id="rId131" xr:uid="{80739158-DB58-4D0E-8015-4407904D5E4C}"/>
    <hyperlink ref="E62" r:id="rId132" xr:uid="{FAC64BC1-A38C-4704-8DED-7AC1F6D784BD}"/>
    <hyperlink ref="E325" r:id="rId133" xr:uid="{B8FF6BDF-ECF2-42BA-996C-B33320BF3BB8}"/>
    <hyperlink ref="E121" r:id="rId134" xr:uid="{3C9F7D37-C376-486A-BD65-0A06F1A1BA4E}"/>
    <hyperlink ref="E75" r:id="rId135" xr:uid="{A739B306-7AF4-4BC1-B603-405E1AD42DA9}"/>
    <hyperlink ref="E68" r:id="rId136" xr:uid="{D16D1630-A1AE-4CF8-B35B-01F574ECC4EC}"/>
    <hyperlink ref="E82" r:id="rId137" xr:uid="{A96FF32D-8546-4297-AE3C-E279BBEB2988}"/>
    <hyperlink ref="E74" r:id="rId138" xr:uid="{B2C89E35-9AED-4A34-8767-FB6CD96F1DF7}"/>
    <hyperlink ref="E112" r:id="rId139" xr:uid="{7A0C9405-40F2-4CD9-999B-9032EC028C8E}"/>
    <hyperlink ref="E318" r:id="rId140" xr:uid="{F79A5FA4-445D-4428-8347-8E6CA8EBA325}"/>
    <hyperlink ref="E433" r:id="rId141" xr:uid="{C5162717-DEF1-45A6-BAF5-F5909C72945C}"/>
    <hyperlink ref="E215" r:id="rId142" xr:uid="{DCA25E80-5EA2-4E2F-B5AD-7E00734C912A}"/>
    <hyperlink ref="E317" r:id="rId143" xr:uid="{6E543356-A92B-4C40-A4D8-0039FD9CF30E}"/>
    <hyperlink ref="E219" r:id="rId144" xr:uid="{18B5F0EF-CE16-458F-B2EC-C055E9592268}"/>
    <hyperlink ref="E218" r:id="rId145" xr:uid="{8452EEB1-E3C6-4709-93A8-E45683AE4BD4}"/>
    <hyperlink ref="E77" r:id="rId146" xr:uid="{8515586A-C9D5-4B3A-AB81-567CAF8711D8}"/>
    <hyperlink ref="E96" r:id="rId147" xr:uid="{05112419-511E-40D9-B365-E7FC8328F3E3}"/>
    <hyperlink ref="E399" r:id="rId148" xr:uid="{42ED5909-2E52-452C-9738-284A43C46BA0}"/>
    <hyperlink ref="E111" r:id="rId149" xr:uid="{7B9292BF-8007-4C13-92AA-E4F48B407B78}"/>
    <hyperlink ref="E97" r:id="rId150" xr:uid="{4455E1D2-0A06-49CD-B578-A39396AB2276}"/>
    <hyperlink ref="E100" r:id="rId151" xr:uid="{9DBA9CB6-4FFE-4633-8913-39BE132E7E63}"/>
    <hyperlink ref="E15" r:id="rId152" xr:uid="{60368EA6-8CB5-4BF4-AD11-2511F2B2CC10}"/>
    <hyperlink ref="E247" r:id="rId153" xr:uid="{909F79D0-EDBD-44C4-8C45-548124C5C81A}"/>
    <hyperlink ref="E173" r:id="rId154" xr:uid="{0A7AB162-5181-4ECD-BE39-067356A9A255}"/>
    <hyperlink ref="E101" r:id="rId155" xr:uid="{A780315D-7EE1-43B1-808B-CA1A9B40DACC}"/>
    <hyperlink ref="E108" r:id="rId156" xr:uid="{6EE007AF-F0B0-4EED-9CDD-3FC2319822A5}"/>
    <hyperlink ref="E253" r:id="rId157" xr:uid="{ED761473-51F4-41BF-8401-76685055518C}"/>
    <hyperlink ref="E79" r:id="rId158" xr:uid="{7F559409-F96D-4010-8F92-37C722C2B828}"/>
    <hyperlink ref="E93" r:id="rId159" xr:uid="{C48A4FCA-0630-EF43-9EEC-B6CAB37EFE4F}"/>
    <hyperlink ref="E89" r:id="rId160" xr:uid="{96899701-8AB6-4B30-9017-19357666F340}"/>
    <hyperlink ref="E81" r:id="rId161" xr:uid="{CFB41F62-0690-4C3D-B6CD-811E3E94C4EE}"/>
    <hyperlink ref="E128" r:id="rId162" xr:uid="{82A44C16-0029-4130-9750-D08BCC5182B4}"/>
    <hyperlink ref="E57" r:id="rId163" xr:uid="{C35461B3-E679-4CC0-9362-2A53FE04533B}"/>
    <hyperlink ref="E84" r:id="rId164" xr:uid="{31B2FC14-DD5D-4E0C-A012-B1FDA85DBE36}"/>
    <hyperlink ref="E67" r:id="rId165" xr:uid="{96AAF9F5-B005-400B-B62E-90DC1A7E8852}"/>
    <hyperlink ref="E142" r:id="rId166" xr:uid="{5BE55498-D8ED-41C4-A33E-57BE28B07449}"/>
    <hyperlink ref="E437" r:id="rId167" xr:uid="{2B1AAFD9-D8D6-4616-841E-10108CC8192B}"/>
    <hyperlink ref="E445" r:id="rId168" xr:uid="{D4B5A9D9-65BB-430A-A731-1152EA8D5DED}"/>
    <hyperlink ref="E88" r:id="rId169" xr:uid="{67670CCE-8D41-4404-8F2B-F79243E31585}"/>
    <hyperlink ref="E120" r:id="rId170" xr:uid="{C904B992-93FD-497A-93CC-2FE800E3CDD4}"/>
    <hyperlink ref="E425" r:id="rId171" xr:uid="{B24388CE-B704-4189-8171-2A7C078385AA}"/>
    <hyperlink ref="E434" r:id="rId172" xr:uid="{107ACC16-1AF2-463F-97B2-B3329D313681}"/>
    <hyperlink ref="E431" r:id="rId173" xr:uid="{C40615BB-48F8-4AB1-92A6-E4710DC43430}"/>
    <hyperlink ref="E356" r:id="rId174" xr:uid="{0695F03B-1E3F-0E41-B1ED-4F68787EFC35}"/>
    <hyperlink ref="E427" r:id="rId175" xr:uid="{0152517F-3480-4755-804B-768910043082}"/>
    <hyperlink ref="E110" r:id="rId176" xr:uid="{F0EE4F6E-0A2F-4906-8143-739E8257E38C}"/>
    <hyperlink ref="E429" r:id="rId177" xr:uid="{0F9B63DB-3B35-4E51-BD36-EC943559BF1E}"/>
    <hyperlink ref="E435" r:id="rId178" xr:uid="{7592EF22-0CF5-48F3-8744-24868E314045}"/>
    <hyperlink ref="E438" r:id="rId179" xr:uid="{66F30E61-4E4B-47C8-8D49-028CC77AA4C6}"/>
    <hyperlink ref="E439" r:id="rId180" xr:uid="{778D749F-0610-418A-A963-ADCD5A226677}"/>
    <hyperlink ref="E451" r:id="rId181" xr:uid="{8E820BFC-E26B-4A27-A962-89FF7A10589B}"/>
    <hyperlink ref="E428" r:id="rId182" xr:uid="{3DD5CDF4-E650-429E-97DF-ABC116C3584D}"/>
    <hyperlink ref="E347" r:id="rId183" xr:uid="{1292FD9E-BA4F-4B20-AD44-4B752114EEEF}"/>
    <hyperlink ref="E430" r:id="rId184" xr:uid="{35FB9AE4-5A31-48BA-9D76-BF10058F42EC}"/>
    <hyperlink ref="E368" r:id="rId185" xr:uid="{4C62C768-C471-4E03-BD75-AF60DDF17283}"/>
    <hyperlink ref="E83" r:id="rId186" xr:uid="{FCC7525B-426F-4D18-B356-CF6486A50A0F}"/>
    <hyperlink ref="E369" r:id="rId187" xr:uid="{3714C986-B632-4E2F-8857-1DCA6DFD79FD}"/>
    <hyperlink ref="E242" r:id="rId188" xr:uid="{CE44BEA4-012D-4699-8F08-C58713DDB2BE}"/>
    <hyperlink ref="E210" r:id="rId189" xr:uid="{0E4C0ACB-35E3-43D4-B0E1-F865F7ED59B8}"/>
    <hyperlink ref="E366" r:id="rId190" xr:uid="{5127CACD-341C-4DCA-B244-83466075BEBF}"/>
  </hyperlinks>
  <pageMargins left="0.7" right="0.7" top="0.75" bottom="0.75" header="0.3" footer="0.3"/>
  <pageSetup paperSize="9" orientation="portrait" r:id="rId1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x14ac:dyDescent="0.2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x14ac:dyDescent="0.2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8"/>
  <sheetViews>
    <sheetView zoomScale="145" zoomScaleNormal="145" workbookViewId="0">
      <pane xSplit="2" ySplit="2" topLeftCell="C100" activePane="bottomRight" state="frozen"/>
      <selection pane="topRight" activeCell="C1" sqref="C1"/>
      <selection pane="bottomLeft" activeCell="A3" sqref="A3"/>
      <selection pane="bottomRight" activeCell="C126" sqref="C126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5" spans="2:9" x14ac:dyDescent="0.2">
      <c r="B125" t="s">
        <v>1652</v>
      </c>
    </row>
    <row r="126" spans="2:9" x14ac:dyDescent="0.2">
      <c r="B126" t="s">
        <v>1653</v>
      </c>
    </row>
    <row r="128" spans="2:9" x14ac:dyDescent="0.2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2"/>
  <sheetViews>
    <sheetView zoomScale="205" zoomScaleNormal="205" workbookViewId="0">
      <pane xSplit="2" ySplit="2" topLeftCell="C106" activePane="bottomRight" state="frozen"/>
      <selection pane="topRight" activeCell="C1" sqref="C1"/>
      <selection pane="bottomLeft" activeCell="A3" sqref="A3"/>
      <selection pane="bottomRight" activeCell="D112" sqref="D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([173]Main!$J$5-[173]Main!$J$6)/HKD</f>
        <v>991.71512820512828</v>
      </c>
      <c r="G76" s="6">
        <f>+E76-F76</f>
        <v>23523.572694544873</v>
      </c>
      <c r="H76" s="3" t="s">
        <v>301</v>
      </c>
      <c r="I76" s="6">
        <f>+[173]Main!$J$3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1366</v>
      </c>
      <c r="C104" t="s">
        <v>34</v>
      </c>
    </row>
    <row r="105" spans="2:5" x14ac:dyDescent="0.2">
      <c r="B105" t="s">
        <v>1367</v>
      </c>
      <c r="C105" t="s">
        <v>34</v>
      </c>
      <c r="D105">
        <v>993</v>
      </c>
      <c r="E105">
        <v>2021</v>
      </c>
    </row>
    <row r="106" spans="2:5" x14ac:dyDescent="0.2">
      <c r="B106" t="s">
        <v>1368</v>
      </c>
      <c r="C106" t="s">
        <v>34</v>
      </c>
    </row>
    <row r="107" spans="2:5" x14ac:dyDescent="0.2">
      <c r="B107" t="s">
        <v>1369</v>
      </c>
      <c r="C107" t="s">
        <v>34</v>
      </c>
      <c r="D107">
        <v>1600</v>
      </c>
      <c r="E107">
        <v>2021</v>
      </c>
    </row>
    <row r="108" spans="2:5" x14ac:dyDescent="0.2">
      <c r="B108" t="s">
        <v>1411</v>
      </c>
      <c r="C108" t="s">
        <v>1410</v>
      </c>
      <c r="D108">
        <v>7000</v>
      </c>
      <c r="E108">
        <v>2001</v>
      </c>
    </row>
    <row r="109" spans="2:5" x14ac:dyDescent="0.2">
      <c r="B109" t="s">
        <v>1439</v>
      </c>
      <c r="C109" t="s">
        <v>1440</v>
      </c>
    </row>
    <row r="110" spans="2:5" x14ac:dyDescent="0.2">
      <c r="B110" t="s">
        <v>1441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  <row r="112" spans="2:5" x14ac:dyDescent="0.2">
      <c r="B112" t="s">
        <v>1654</v>
      </c>
      <c r="C112" t="s">
        <v>1655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2024-12-10T14:27:49Z</dcterms:modified>
</cp:coreProperties>
</file>