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D21388EB-F628-4319-B806-66B99BCDA896}" xr6:coauthVersionLast="47" xr6:coauthVersionMax="47" xr10:uidLastSave="{00000000-0000-0000-0000-000000000000}"/>
  <bookViews>
    <workbookView xWindow="-51240" yWindow="780" windowWidth="34170" windowHeight="19560" activeTab="1" xr2:uid="{00000000-000D-0000-FFFF-FFFF00000000}"/>
  </bookViews>
  <sheets>
    <sheet name="Main" sheetId="25" r:id="rId1"/>
    <sheet name="Model" sheetId="6" r:id="rId2"/>
    <sheet name="Ozempic" sheetId="31" r:id="rId3"/>
    <sheet name="Wegovy" sheetId="30" r:id="rId4"/>
    <sheet name="Type 2 Diabetes" sheetId="29" r:id="rId5"/>
    <sheet name="Victoza" sheetId="26" r:id="rId6"/>
    <sheet name="NovoLog" sheetId="27" r:id="rId7"/>
    <sheet name="Levemir" sheetId="28" r:id="rId8"/>
  </sheets>
  <definedNames>
    <definedName name="Analyst">#REF!</definedName>
    <definedName name="appCompanyCapE">#REF!</definedName>
    <definedName name="appDescriptionCapE">#REF!</definedName>
    <definedName name="appDevelopersCapE">#REF!</definedName>
    <definedName name="appTitleCapE">#REF!</definedName>
    <definedName name="appVersionCapE">#REF!</definedName>
    <definedName name="BP_Date">#REF!</definedName>
    <definedName name="BrPt1">#REF!</definedName>
    <definedName name="BrPt2">#REF!</definedName>
    <definedName name="BrPt3">#REF!</definedName>
    <definedName name="BrPt4">#REF!</definedName>
    <definedName name="BrPt5">#REF!</definedName>
    <definedName name="Button3">"Button2"</definedName>
    <definedName name="cmdCancelCapE">#REF!</definedName>
    <definedName name="cmdWhoCapE">#REF!</definedName>
    <definedName name="CoCode">#REF!</definedName>
    <definedName name="CoName">#REF!</definedName>
    <definedName name="DataFrequency">#REF!</definedName>
    <definedName name="DPS_past">#REF!</definedName>
    <definedName name="EPS_DPS">#REF!</definedName>
    <definedName name="EPS_past">#REF!</definedName>
    <definedName name="ExcelPath">[0]!ExcelPath</definedName>
    <definedName name="forex">#REF!</definedName>
    <definedName name="fraJEDASCapE">#REF!</definedName>
    <definedName name="fraSTRIPESCapE">#REF!</definedName>
    <definedName name="Free_CF">#REF!</definedName>
    <definedName name="frmDeleteShareIdCapE">#REF!</definedName>
    <definedName name="frmDevelopersCapE">#REF!</definedName>
    <definedName name="frmSettingsCapE">#REF!</definedName>
    <definedName name="FYE">#REF!</definedName>
    <definedName name="gls_ACT_EST_ROW" hidden="1">#REF!</definedName>
    <definedName name="gls_ACT_FORM_OFFSET" hidden="1">#REF!</definedName>
    <definedName name="gls_AnalystEmpNoHeading" hidden="1">#REF!</definedName>
    <definedName name="gls_AnalystNameHeading" hidden="1">#REF!</definedName>
    <definedName name="gls_EST_FORM_OFFSET" hidden="1">#REF!</definedName>
    <definedName name="gls_EXTERNAL_COL_REF" hidden="1">#REF!</definedName>
    <definedName name="gls_FIRST_ITEM" hidden="1">#REF!</definedName>
    <definedName name="gls_FIRST_PK" hidden="1">#REF!</definedName>
    <definedName name="gls_FIRST_ROWMULT" hidden="1">#REF!</definedName>
    <definedName name="gls_FIRST_UNITS" hidden="1">#REF!</definedName>
    <definedName name="gls_FIXED_NAMES" hidden="1">#REF!</definedName>
    <definedName name="gls_FONT_STATUS" hidden="1">#REF!</definedName>
    <definedName name="gls_GenAccountingConvention" hidden="1">#REF!</definedName>
    <definedName name="gls_GenAdditionalInfo" hidden="1">#REF!</definedName>
    <definedName name="gls_GenComments" hidden="1">#REF!</definedName>
    <definedName name="gls_GenCompany" hidden="1">#REF!</definedName>
    <definedName name="gls_GenCompanyInfo" hidden="1">#REF!</definedName>
    <definedName name="gls_GenCountry" hidden="1">#REF!</definedName>
    <definedName name="gls_GenCurrency" hidden="1">#REF!</definedName>
    <definedName name="gls_GenCurrencyMultiplier" hidden="1">#REF!</definedName>
    <definedName name="gls_GenEnterCompInfo" hidden="1">#REF!</definedName>
    <definedName name="gls_GenEPSComment" hidden="1">#REF!</definedName>
    <definedName name="gls_GenHomeRegion" hidden="1">#REF!</definedName>
    <definedName name="gls_GenLastPublished" hidden="1">#REF!</definedName>
    <definedName name="gls_GenLastRecRevised" hidden="1">#REF!</definedName>
    <definedName name="gls_GenMainInfo" hidden="1">#REF!</definedName>
    <definedName name="gls_GenNoteComment" hidden="1">#REF!</definedName>
    <definedName name="gls_GenProfile" hidden="1">#REF!</definedName>
    <definedName name="gls_GenRecComment" hidden="1">#REF!</definedName>
    <definedName name="gls_GenSaleslineInfo" hidden="1">#REF!</definedName>
    <definedName name="gls_GenSalesSplitByRegion" hidden="1">#REF!</definedName>
    <definedName name="gls_GenSalesSplitHeading" hidden="1">#REF!</definedName>
    <definedName name="gls_GenSheetVersion" hidden="1">#REF!</definedName>
    <definedName name="gls_genStockCore" hidden="1">#REF!</definedName>
    <definedName name="gls_genStockRec" hidden="1">#REF!</definedName>
    <definedName name="gls_IssuedStockClassHeading" hidden="1">#REF!</definedName>
    <definedName name="gls_IssuedStockCodeHeading" hidden="1">#REF!</definedName>
    <definedName name="gls_IssuedStockFreeFloatHeading" hidden="1">#REF!</definedName>
    <definedName name="gls_KEY_DATA" hidden="1">#REF!</definedName>
    <definedName name="gls_KEY_VALUE" hidden="1">#REF!</definedName>
    <definedName name="gls_PERIOD_CODE" hidden="1">#REF!</definedName>
    <definedName name="gls_PERIOD_INDICATOR" hidden="1">#REF!</definedName>
    <definedName name="gls_PERIOD_PARENT_OR_CONSOL" hidden="1">#REF!</definedName>
    <definedName name="gls_PERIOD_TYPE" hidden="1">#REF!</definedName>
    <definedName name="gls_PrincipalStockClass" hidden="1">#REF!</definedName>
    <definedName name="gls_Recommendations" hidden="1">#REF!</definedName>
    <definedName name="gls_SASS5HistEPSGrowth" hidden="1">#REF!</definedName>
    <definedName name="gls_SASS5ProjEPSGrowth" hidden="1">#REF!</definedName>
    <definedName name="gls_SASSDirectorHoldings" hidden="1">#REF!</definedName>
    <definedName name="gls_SASSEPS45AGR" hidden="1">#REF!</definedName>
    <definedName name="gls_SASSIsInterimLastAnnounce" hidden="1">#REF!</definedName>
    <definedName name="gls_SASSLastAnnounce" hidden="1">#REF!</definedName>
    <definedName name="gls_SASSNETDIV45AGR" hidden="1">#REF!</definedName>
    <definedName name="gls_ShareholderClassHeading" hidden="1">#REF!</definedName>
    <definedName name="gls_ShareholderHolding" hidden="1">#REF!</definedName>
    <definedName name="gls_ShareholderHoldingHeading" hidden="1">#REF!</definedName>
    <definedName name="gls_ShareholderName" hidden="1">#REF!</definedName>
    <definedName name="gls_ShareholderNameHeading" hidden="1">#REF!</definedName>
    <definedName name="gls_ShareholdingName" hidden="1">#REF!</definedName>
    <definedName name="gls_SPARE_YEARS" hidden="1">#REF!</definedName>
    <definedName name="gls_START_FORMULA_OVERRIDEABLE" hidden="1">#REF!</definedName>
    <definedName name="gls_START_LOCAL_NAMES" hidden="1">#REF!</definedName>
    <definedName name="gls_START_PERIOD_CURRENCY" hidden="1">#REF!</definedName>
    <definedName name="gls_START_STATUS" hidden="1">#REF!</definedName>
    <definedName name="gls_START_USER_REQ" hidden="1">#REF!</definedName>
    <definedName name="gls_START_USER_STATUS" hidden="1">#REF!</definedName>
    <definedName name="gls_START_VALIDATION" hidden="1">#REF!</definedName>
    <definedName name="gls_START_WHAT" hidden="1">#REF!</definedName>
    <definedName name="gls_START_YEAR" hidden="1">#REF!</definedName>
    <definedName name="gls_TEMP_PERIOD_CODE" hidden="1">#REF!</definedName>
    <definedName name="gls_YEAR_AE_CONTROL" hidden="1">#REF!</definedName>
    <definedName name="gls_YEAR_END_ROW" hidden="1">#REF!</definedName>
    <definedName name="InfoNext">[0]!InfoNext</definedName>
    <definedName name="InfoPrev">[0]!InfoPrev</definedName>
    <definedName name="Interims">#REF!</definedName>
    <definedName name="lblBusyCapE">#REF!</definedName>
    <definedName name="lblDeleteShareIdCapE">#REF!</definedName>
    <definedName name="lblDSNCapE">#REF!</definedName>
    <definedName name="lblFreeCapE">#REF!</definedName>
    <definedName name="lblGeneralUseCapE">#REF!</definedName>
    <definedName name="lblLoginCapE">#REF!</definedName>
    <definedName name="lblMthProcCapE">#REF!</definedName>
    <definedName name="lblPasswordCapE">#REF!</definedName>
    <definedName name="lblQuikCodeCapE">#REF!</definedName>
    <definedName name="lblSelectedCompanyCapE">#REF!</definedName>
    <definedName name="lblTotalCapE">#REF!</definedName>
    <definedName name="LoCode">#REF!</definedName>
    <definedName name="LongTermRec">#REF!</definedName>
    <definedName name="LRY">#REF!</definedName>
    <definedName name="LT_Rec">#REF!</definedName>
    <definedName name="Market">#REF!</definedName>
    <definedName name="msgBytesCapE">#REF!</definedName>
    <definedName name="msgCantDelPrimaryCapE">#REF!</definedName>
    <definedName name="msgCodeNotInCapE">#REF!</definedName>
    <definedName name="msgCodeRequiredCapE">#REF!</definedName>
    <definedName name="msgCompanyNotInListCapE">#REF!</definedName>
    <definedName name="msgConsolEstCapE">#REF!</definedName>
    <definedName name="msgCreateInDBCapE">#REF!</definedName>
    <definedName name="msgDBUnableDeleteCapE">#REF!</definedName>
    <definedName name="msgDSNRequiredCapE">#REF!</definedName>
    <definedName name="msgFieldsMissCapE">#REF!</definedName>
    <definedName name="msgInterimTitleCapE">#REF!</definedName>
    <definedName name="msgInvestTitleCapE">#REF!</definedName>
    <definedName name="msgLastUpdateCapE">#REF!</definedName>
    <definedName name="msgLessCurYearCapE">#REF!</definedName>
    <definedName name="msgLoginRequiredCapE">#REF!</definedName>
    <definedName name="msgLRYLessThanDbCapE">#REF!</definedName>
    <definedName name="msgLRYMoreThanOneCapE">#REF!</definedName>
    <definedName name="msgNoRecordsCapE">#REF!</definedName>
    <definedName name="msgNotAuthorizedCapE">#REF!</definedName>
    <definedName name="msgNotAuthToDeleteCapE">#REF!</definedName>
    <definedName name="msgNotPresentCapE">#REF!</definedName>
    <definedName name="msgNotSheetCapE">#REF!</definedName>
    <definedName name="msgNotWorkbookCap">#REF!</definedName>
    <definedName name="msgNotWorkbookCapE">#REF!</definedName>
    <definedName name="msgParentEstCapE">#REF!</definedName>
    <definedName name="msgPasswordRequiredCapE">#REF!</definedName>
    <definedName name="msgPresentCapE">#REF!</definedName>
    <definedName name="msgPrimaryIdNotFoundCapE">#REF!</definedName>
    <definedName name="msgRateChangeCapE">#REF!</definedName>
    <definedName name="msgReallyRollOverCalEPSCapE">#REF!</definedName>
    <definedName name="msgReallyUpdateCapE">#REF!</definedName>
    <definedName name="msgRICNotPrimaryCapE">#REF!</definedName>
    <definedName name="msgSelNotValidCapE">#REF!</definedName>
    <definedName name="msgShareIdColNotFoundCapE">#REF!</definedName>
    <definedName name="msgShareIdReqCapE">#REF!</definedName>
    <definedName name="msgShareTypeDeletedCapE">#REF!</definedName>
    <definedName name="msgShareTypeNotFoundCapE">#REF!</definedName>
    <definedName name="msgUnableUpdForecastCapE">#REF!</definedName>
    <definedName name="msgUnableUpdInvestCapE">#REF!</definedName>
    <definedName name="msgUnableUpdMSRCompCapE">#REF!</definedName>
    <definedName name="msgUnableUpdMSRDataCapE">#REF!</definedName>
    <definedName name="msgUpdateCompleteCapE">#REF!</definedName>
    <definedName name="msgUpdateTORESCapE">#REF!</definedName>
    <definedName name="msgWrongLabelCapE">#REF!</definedName>
    <definedName name="NextButton">"Button 18"</definedName>
    <definedName name="NextReportItem">#REF!</definedName>
    <definedName name="OldBrPt">#REF!</definedName>
    <definedName name="OldBrPt1">#REF!</definedName>
    <definedName name="OldBrPt2">#REF!</definedName>
    <definedName name="OldBrPt3">#REF!</definedName>
    <definedName name="OldBrPt4">#REF!</definedName>
    <definedName name="OldBrPt5">#REF!</definedName>
    <definedName name="Pictur9">"Picture 9"</definedName>
    <definedName name="Picture1">"Picture 1"</definedName>
    <definedName name="Picture10">"Picture 10"</definedName>
    <definedName name="Picture11">"Picture 11"</definedName>
    <definedName name="Picture2">"Picture 2"</definedName>
    <definedName name="Picture4">"Picture 4"</definedName>
    <definedName name="Picture5">"Picture 5"</definedName>
    <definedName name="Picture6">"Picture 6"</definedName>
    <definedName name="Prev_EPSDPS">#REF!</definedName>
    <definedName name="PreviousButton">"Button 19"</definedName>
    <definedName name="price">#REF!</definedName>
    <definedName name="PrimaryDataType">#REF!</definedName>
    <definedName name="_xlnm.Print_Area" localSheetId="1">Model!$A$2:$CK$47</definedName>
    <definedName name="range">#REF!</definedName>
    <definedName name="risk">#REF!</definedName>
    <definedName name="Sector">#REF!</definedName>
    <definedName name="ShortTermRec">#REF!</definedName>
    <definedName name="SSUpdate">#REF!</definedName>
    <definedName name="ST_Rec">#REF!</definedName>
    <definedName name="staCompareForecastCapE">#REF!</definedName>
    <definedName name="staCompareInterimCapE">#REF!</definedName>
    <definedName name="staCompareInvestCapE">#REF!</definedName>
    <definedName name="staCopySTRIPESCapE">#REF!</definedName>
    <definedName name="staCreateWorkbookCapE">#REF!</definedName>
    <definedName name="staDetermineAnalystCapE">#REF!</definedName>
    <definedName name="staDetermineIndustryCapE">#REF!</definedName>
    <definedName name="staFormatWorkbookCapE">#REF!</definedName>
    <definedName name="staQueryDBCapE">#REF!</definedName>
    <definedName name="staRetrieveCodeCapE">#REF!</definedName>
    <definedName name="staRetrieveCompanyCap">#REF!</definedName>
    <definedName name="staRetrieveCompanyCapE">#REF!</definedName>
    <definedName name="staRetrieveConsolCapE">#REF!</definedName>
    <definedName name="staRetrieveInvestCapE">#REF!</definedName>
    <definedName name="staRetrieveParentCapE">#REF!</definedName>
    <definedName name="staUpdateConsolCapE">#REF!</definedName>
    <definedName name="staUpdateDBCapE">#REF!</definedName>
    <definedName name="staUpdateForecastCapE">#REF!</definedName>
    <definedName name="staUpdateInterimCapE">#REF!</definedName>
    <definedName name="staUpdateInvestCapE">#REF!</definedName>
    <definedName name="staUpdateParentCapE">#REF!</definedName>
    <definedName name="staValidateDBCapE">#REF!</definedName>
    <definedName name="staValidateWorkbookCapE">#REF!</definedName>
    <definedName name="Term1_1">#REF!</definedName>
    <definedName name="Term1_2">#REF!</definedName>
    <definedName name="Term1_3">#REF!</definedName>
    <definedName name="Term2_1">#REF!</definedName>
    <definedName name="Term2_2">#REF!</definedName>
    <definedName name="Term2_3">#REF!</definedName>
    <definedName name="Term3_1">#REF!</definedName>
    <definedName name="Term3_2">#REF!</definedName>
    <definedName name="Term3_3">#REF!</definedName>
    <definedName name="Term4_1">#REF!</definedName>
    <definedName name="Term4_2">#REF!</definedName>
    <definedName name="Term4_3">#REF!</definedName>
    <definedName name="wrn.annualpl." hidden="1">{#N/A,#N/A,FALSE,"Sheet1"}</definedName>
    <definedName name="wrn.Back._.Page." hidden="1">{"Back Page",#N/A,FALSE,"Front and Back"}</definedName>
    <definedName name="wrn.Detailed._.P._.and._.L." hidden="1">{"P and L Detail Page 1",#N/A,FALSE,"Data";"P and L Detail Page 2",#N/A,FALSE,"Data"}</definedName>
    <definedName name="wrn.Financial._.Output." hidden="1">{"P and L",#N/A,FALSE,"Financial Output";"Cashflow",#N/A,FALSE,"Financial Output";"Balance Sheet",#N/A,FALSE,"Financial Output"}</definedName>
    <definedName name="wrn.Five._.Year._.Record." hidden="1">{"Five Year Record",#N/A,FALSE,"Front and Back"}</definedName>
    <definedName name="wrn.Front._.Page." hidden="1">{"Front Page",#N/A,FALSE,"Front and Back"}</definedName>
    <definedName name="wrn.Geographic._.Trends." hidden="1">{"Geographic P1",#N/A,FALSE,"Division &amp; Geog"}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O25" i="6" l="1"/>
  <c r="BN27" i="6"/>
  <c r="BN26" i="6"/>
  <c r="BM31" i="6"/>
  <c r="BM27" i="6"/>
  <c r="BM26" i="6"/>
  <c r="BL31" i="6"/>
  <c r="BL26" i="6"/>
  <c r="BL27" i="6"/>
  <c r="AR31" i="6"/>
  <c r="AR27" i="6"/>
  <c r="AR9" i="6"/>
  <c r="AR4" i="6"/>
  <c r="AR6" i="6"/>
  <c r="AS27" i="6"/>
  <c r="AS6" i="6"/>
  <c r="AS4" i="6"/>
  <c r="AS9" i="6"/>
  <c r="AT27" i="6"/>
  <c r="AT10" i="6"/>
  <c r="AT12" i="6" s="1"/>
  <c r="AT31" i="6" s="1"/>
  <c r="AU27" i="6"/>
  <c r="AU10" i="6"/>
  <c r="AU12" i="6" s="1"/>
  <c r="AV27" i="6"/>
  <c r="AV10" i="6"/>
  <c r="AV12" i="6" s="1"/>
  <c r="BA54" i="6"/>
  <c r="BA53" i="6"/>
  <c r="BA52" i="6"/>
  <c r="BA51" i="6"/>
  <c r="BA49" i="6"/>
  <c r="AW27" i="6"/>
  <c r="AW12" i="6"/>
  <c r="AW10" i="6"/>
  <c r="BK70" i="6"/>
  <c r="BJ70" i="6"/>
  <c r="BN53" i="6"/>
  <c r="BL53" i="6"/>
  <c r="BK53" i="6"/>
  <c r="BK51" i="6"/>
  <c r="CS9" i="6"/>
  <c r="CS7" i="6"/>
  <c r="CS5" i="6"/>
  <c r="BM10" i="6"/>
  <c r="CS4" i="6"/>
  <c r="CS30" i="6"/>
  <c r="CR30" i="6"/>
  <c r="CQ30" i="6"/>
  <c r="CP30" i="6"/>
  <c r="CS29" i="6"/>
  <c r="CR29" i="6"/>
  <c r="CQ29" i="6"/>
  <c r="CP29" i="6"/>
  <c r="CS28" i="6"/>
  <c r="CR28" i="6"/>
  <c r="CQ28" i="6"/>
  <c r="CP28" i="6"/>
  <c r="CR25" i="6"/>
  <c r="CQ25" i="6"/>
  <c r="CP25" i="6"/>
  <c r="CR24" i="6"/>
  <c r="CQ24" i="6"/>
  <c r="CP24" i="6"/>
  <c r="CR23" i="6"/>
  <c r="CQ23" i="6"/>
  <c r="CP23" i="6"/>
  <c r="CR21" i="6"/>
  <c r="CQ21" i="6"/>
  <c r="CP21" i="6"/>
  <c r="CR19" i="6"/>
  <c r="CQ19" i="6"/>
  <c r="CP19" i="6"/>
  <c r="CR18" i="6"/>
  <c r="CQ18" i="6"/>
  <c r="CP18" i="6"/>
  <c r="CS17" i="6"/>
  <c r="CR17" i="6"/>
  <c r="CQ17" i="6"/>
  <c r="CP17" i="6"/>
  <c r="CR16" i="6"/>
  <c r="CQ16" i="6"/>
  <c r="CP16" i="6"/>
  <c r="CR15" i="6"/>
  <c r="CQ15" i="6"/>
  <c r="CP15" i="6"/>
  <c r="CR14" i="6"/>
  <c r="CQ14" i="6"/>
  <c r="CP14" i="6"/>
  <c r="CR11" i="6"/>
  <c r="CQ11" i="6"/>
  <c r="CP11" i="6"/>
  <c r="CR9" i="6"/>
  <c r="CQ9" i="6"/>
  <c r="CP9" i="6"/>
  <c r="CR8" i="6"/>
  <c r="CQ8" i="6"/>
  <c r="CP8" i="6"/>
  <c r="CR7" i="6"/>
  <c r="CQ7" i="6"/>
  <c r="CP7" i="6"/>
  <c r="CR6" i="6"/>
  <c r="CQ6" i="6"/>
  <c r="CP6" i="6"/>
  <c r="CR5" i="6"/>
  <c r="CQ5" i="6"/>
  <c r="CP5" i="6"/>
  <c r="CR4" i="6"/>
  <c r="CQ4" i="6"/>
  <c r="CP4" i="6"/>
  <c r="CP3" i="6"/>
  <c r="CQ3" i="6"/>
  <c r="CR3" i="6"/>
  <c r="BK27" i="6"/>
  <c r="BK26" i="6"/>
  <c r="BJ26" i="6"/>
  <c r="BK10" i="6"/>
  <c r="BK12" i="6" s="1"/>
  <c r="BJ51" i="6"/>
  <c r="BJ27" i="6"/>
  <c r="BF12" i="6"/>
  <c r="BJ10" i="6"/>
  <c r="BJ12" i="6" s="1"/>
  <c r="BJ31" i="6" s="1"/>
  <c r="BI85" i="6"/>
  <c r="BI82" i="6"/>
  <c r="BI81" i="6"/>
  <c r="BI80" i="6"/>
  <c r="BI87" i="6" s="1"/>
  <c r="BI71" i="6"/>
  <c r="BI73" i="6"/>
  <c r="BI72" i="6"/>
  <c r="BI42" i="6"/>
  <c r="BI53" i="6"/>
  <c r="BI52" i="6"/>
  <c r="BI51" i="6"/>
  <c r="BI27" i="6"/>
  <c r="CR27" i="6" s="1"/>
  <c r="BI26" i="6"/>
  <c r="BI10" i="6"/>
  <c r="BI12" i="6" s="1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CL33" i="6"/>
  <c r="CL42" i="6"/>
  <c r="CK42" i="6"/>
  <c r="CJ42" i="6"/>
  <c r="CL38" i="6"/>
  <c r="CK38" i="6"/>
  <c r="CJ38" i="6"/>
  <c r="CJ33" i="6"/>
  <c r="CK33" i="6"/>
  <c r="CO49" i="6"/>
  <c r="CN49" i="6"/>
  <c r="CM49" i="6"/>
  <c r="CL49" i="6"/>
  <c r="CK49" i="6"/>
  <c r="CJ49" i="6"/>
  <c r="CH38" i="6"/>
  <c r="CG38" i="6"/>
  <c r="CH42" i="6"/>
  <c r="CG42" i="6"/>
  <c r="CF42" i="6"/>
  <c r="CQ38" i="6"/>
  <c r="CQ39" i="6" s="1"/>
  <c r="CO55" i="6"/>
  <c r="CN55" i="6"/>
  <c r="CM55" i="6"/>
  <c r="CG31" i="6"/>
  <c r="CG33" i="6" s="1"/>
  <c r="CH31" i="6"/>
  <c r="CI49" i="6" s="1"/>
  <c r="CD30" i="6"/>
  <c r="CD29" i="6"/>
  <c r="CD28" i="6"/>
  <c r="CD23" i="6"/>
  <c r="CD21" i="6"/>
  <c r="CD17" i="6"/>
  <c r="CD11" i="6"/>
  <c r="CD10" i="6"/>
  <c r="CE14" i="6"/>
  <c r="CF29" i="6"/>
  <c r="CF21" i="6"/>
  <c r="CF17" i="6"/>
  <c r="CF11" i="6"/>
  <c r="CF14" i="6"/>
  <c r="BB53" i="6"/>
  <c r="BB52" i="6"/>
  <c r="BB51" i="6"/>
  <c r="AX38" i="6"/>
  <c r="AX39" i="6" s="1"/>
  <c r="AX43" i="6" s="1"/>
  <c r="AX27" i="6"/>
  <c r="AX10" i="6"/>
  <c r="AX12" i="6" s="1"/>
  <c r="AW31" i="6"/>
  <c r="BL36" i="6"/>
  <c r="BK36" i="6"/>
  <c r="BJ36" i="6"/>
  <c r="BN36" i="6" s="1"/>
  <c r="BM36" i="6"/>
  <c r="BB38" i="6"/>
  <c r="BB39" i="6" s="1"/>
  <c r="BB43" i="6" s="1"/>
  <c r="BB45" i="6" s="1"/>
  <c r="BB46" i="6" s="1"/>
  <c r="BA38" i="6"/>
  <c r="BA39" i="6" s="1"/>
  <c r="BA43" i="6" s="1"/>
  <c r="BA45" i="6" s="1"/>
  <c r="BA46" i="6" s="1"/>
  <c r="AZ38" i="6"/>
  <c r="AZ39" i="6" s="1"/>
  <c r="AZ43" i="6" s="1"/>
  <c r="AZ45" i="6" s="1"/>
  <c r="AZ46" i="6" s="1"/>
  <c r="AY38" i="6"/>
  <c r="AY39" i="6" s="1"/>
  <c r="AY43" i="6" s="1"/>
  <c r="AY45" i="6" s="1"/>
  <c r="AY46" i="6" s="1"/>
  <c r="BH38" i="6"/>
  <c r="BG38" i="6"/>
  <c r="BG39" i="6" s="1"/>
  <c r="BG43" i="6" s="1"/>
  <c r="BG45" i="6" s="1"/>
  <c r="BG46" i="6" s="1"/>
  <c r="BF38" i="6"/>
  <c r="BF39" i="6" s="1"/>
  <c r="BF43" i="6" s="1"/>
  <c r="BE38" i="6"/>
  <c r="BE39" i="6" s="1"/>
  <c r="BE43" i="6" s="1"/>
  <c r="BE58" i="6" s="1"/>
  <c r="BD38" i="6"/>
  <c r="BC38" i="6"/>
  <c r="BC39" i="6" s="1"/>
  <c r="BC53" i="6"/>
  <c r="BC52" i="6"/>
  <c r="BC51" i="6"/>
  <c r="BJ47" i="6"/>
  <c r="BK47" i="6" s="1"/>
  <c r="BL47" i="6" s="1"/>
  <c r="BM47" i="6" s="1"/>
  <c r="BN47" i="6" s="1"/>
  <c r="BH42" i="6"/>
  <c r="BH27" i="6"/>
  <c r="BH26" i="6"/>
  <c r="BH10" i="6"/>
  <c r="BH12" i="6" s="1"/>
  <c r="BH53" i="6"/>
  <c r="BG53" i="6"/>
  <c r="BF53" i="6"/>
  <c r="BE53" i="6"/>
  <c r="BD53" i="6"/>
  <c r="BG51" i="6"/>
  <c r="BF51" i="6"/>
  <c r="BE51" i="6"/>
  <c r="BD51" i="6"/>
  <c r="BH51" i="6"/>
  <c r="CS25" i="6"/>
  <c r="CS24" i="6"/>
  <c r="BL51" i="6"/>
  <c r="BN51" i="6"/>
  <c r="BH52" i="6"/>
  <c r="AY27" i="6"/>
  <c r="AY26" i="6"/>
  <c r="AY10" i="6"/>
  <c r="AY12" i="6" s="1"/>
  <c r="AZ26" i="6"/>
  <c r="AZ27" i="6"/>
  <c r="AZ10" i="6"/>
  <c r="AZ12" i="6" s="1"/>
  <c r="BA26" i="6"/>
  <c r="BA27" i="6"/>
  <c r="BA10" i="6"/>
  <c r="BA12" i="6" s="1"/>
  <c r="BB26" i="6"/>
  <c r="BB27" i="6"/>
  <c r="BB10" i="6"/>
  <c r="BB12" i="6" s="1"/>
  <c r="BD52" i="6"/>
  <c r="BE52" i="6"/>
  <c r="BF52" i="6"/>
  <c r="BD42" i="6"/>
  <c r="BC10" i="6"/>
  <c r="BC12" i="6" s="1"/>
  <c r="BD27" i="6"/>
  <c r="BD26" i="6"/>
  <c r="BD10" i="6"/>
  <c r="BD12" i="6" s="1"/>
  <c r="BD31" i="6" s="1"/>
  <c r="BD56" i="6" s="1"/>
  <c r="BE27" i="6"/>
  <c r="BE26" i="6"/>
  <c r="BE10" i="6"/>
  <c r="BE12" i="6" s="1"/>
  <c r="BG10" i="6"/>
  <c r="BG12" i="6" s="1"/>
  <c r="BF10" i="6"/>
  <c r="BF27" i="6"/>
  <c r="BF26" i="6"/>
  <c r="CP38" i="6"/>
  <c r="CP39" i="6" s="1"/>
  <c r="CO38" i="6"/>
  <c r="CO39" i="6" s="1"/>
  <c r="CN38" i="6"/>
  <c r="CN39" i="6" s="1"/>
  <c r="CM38" i="6"/>
  <c r="CM39" i="6" s="1"/>
  <c r="CL2" i="6"/>
  <c r="CM2" i="6" s="1"/>
  <c r="CN2" i="6" s="1"/>
  <c r="CO2" i="6" s="1"/>
  <c r="CP2" i="6" s="1"/>
  <c r="CQ2" i="6" s="1"/>
  <c r="CR2" i="6" s="1"/>
  <c r="CS2" i="6" s="1"/>
  <c r="CT2" i="6" s="1"/>
  <c r="CU2" i="6" s="1"/>
  <c r="CV2" i="6" s="1"/>
  <c r="CW2" i="6" s="1"/>
  <c r="CX2" i="6" s="1"/>
  <c r="CY2" i="6" s="1"/>
  <c r="CZ2" i="6" s="1"/>
  <c r="BG52" i="6"/>
  <c r="BG27" i="6"/>
  <c r="BC27" i="6"/>
  <c r="BC26" i="6"/>
  <c r="BG26" i="6"/>
  <c r="AB38" i="6"/>
  <c r="AB39" i="6" s="1"/>
  <c r="AB43" i="6" s="1"/>
  <c r="AR10" i="6" l="1"/>
  <c r="AR12" i="6" s="1"/>
  <c r="AS10" i="6"/>
  <c r="AS12" i="6" s="1"/>
  <c r="AS31" i="6" s="1"/>
  <c r="AU31" i="6"/>
  <c r="AV31" i="6"/>
  <c r="CS11" i="6"/>
  <c r="CS23" i="6"/>
  <c r="AX31" i="6"/>
  <c r="AX57" i="6" s="1"/>
  <c r="CD31" i="6"/>
  <c r="CS15" i="6"/>
  <c r="BI78" i="6"/>
  <c r="BK31" i="6"/>
  <c r="CR26" i="6"/>
  <c r="CS18" i="6"/>
  <c r="CP26" i="6"/>
  <c r="CQ12" i="6"/>
  <c r="CQ31" i="6" s="1"/>
  <c r="CQ55" i="6" s="1"/>
  <c r="CP27" i="6"/>
  <c r="CR12" i="6"/>
  <c r="CR31" i="6" s="1"/>
  <c r="CR55" i="6" s="1"/>
  <c r="CL39" i="6"/>
  <c r="CL43" i="6" s="1"/>
  <c r="CL45" i="6" s="1"/>
  <c r="CR10" i="6"/>
  <c r="CQ10" i="6"/>
  <c r="CQ26" i="6"/>
  <c r="CS21" i="6"/>
  <c r="BN10" i="6"/>
  <c r="BN12" i="6" s="1"/>
  <c r="BM12" i="6"/>
  <c r="CS19" i="6"/>
  <c r="CS3" i="6"/>
  <c r="CP10" i="6"/>
  <c r="CP12" i="6" s="1"/>
  <c r="CS26" i="6"/>
  <c r="CG39" i="6"/>
  <c r="CS6" i="6"/>
  <c r="BL10" i="6"/>
  <c r="BL12" i="6" s="1"/>
  <c r="CQ27" i="6"/>
  <c r="BI54" i="6"/>
  <c r="BI70" i="6"/>
  <c r="CS8" i="6"/>
  <c r="CH33" i="6"/>
  <c r="CH39" i="6" s="1"/>
  <c r="CH49" i="6"/>
  <c r="CL55" i="6"/>
  <c r="BB54" i="6"/>
  <c r="AZ58" i="6"/>
  <c r="BA31" i="6"/>
  <c r="BA32" i="6" s="1"/>
  <c r="AX58" i="6"/>
  <c r="AX45" i="6"/>
  <c r="AX46" i="6" s="1"/>
  <c r="BA58" i="6"/>
  <c r="BB58" i="6"/>
  <c r="BJ37" i="6"/>
  <c r="BK37" i="6" s="1"/>
  <c r="BL37" i="6" s="1"/>
  <c r="BD57" i="6"/>
  <c r="AX55" i="6"/>
  <c r="AX56" i="6"/>
  <c r="AY58" i="6"/>
  <c r="BJ42" i="6"/>
  <c r="BM53" i="6"/>
  <c r="BJ52" i="6"/>
  <c r="BJ53" i="6"/>
  <c r="AZ31" i="6"/>
  <c r="AZ57" i="6" s="1"/>
  <c r="BC43" i="6"/>
  <c r="BC45" i="6" s="1"/>
  <c r="BC46" i="6" s="1"/>
  <c r="AY31" i="6"/>
  <c r="AY57" i="6" s="1"/>
  <c r="BF58" i="6"/>
  <c r="BF45" i="6"/>
  <c r="BF46" i="6" s="1"/>
  <c r="BE45" i="6"/>
  <c r="BE46" i="6" s="1"/>
  <c r="BG58" i="6"/>
  <c r="BG31" i="6"/>
  <c r="BG57" i="6" s="1"/>
  <c r="BE31" i="6"/>
  <c r="BK52" i="6"/>
  <c r="BJ54" i="6"/>
  <c r="BB31" i="6"/>
  <c r="BH54" i="6"/>
  <c r="BF31" i="6"/>
  <c r="BG54" i="6"/>
  <c r="BN52" i="6"/>
  <c r="BC54" i="6"/>
  <c r="BD54" i="6"/>
  <c r="BC31" i="6"/>
  <c r="BC57" i="6" s="1"/>
  <c r="BE54" i="6"/>
  <c r="BF54" i="6"/>
  <c r="BD33" i="6"/>
  <c r="AB44" i="6"/>
  <c r="AB45" i="6" s="1"/>
  <c r="AB46" i="6" s="1"/>
  <c r="AB30" i="6"/>
  <c r="AB28" i="6"/>
  <c r="AB23" i="6"/>
  <c r="AB17" i="6"/>
  <c r="AB21" i="6"/>
  <c r="AB14" i="6"/>
  <c r="AB11" i="6"/>
  <c r="AB8" i="6"/>
  <c r="AB5" i="6"/>
  <c r="AB3" i="6"/>
  <c r="AA10" i="6"/>
  <c r="AA31" i="6" s="1"/>
  <c r="Z10" i="6"/>
  <c r="Y10" i="6"/>
  <c r="X10" i="6"/>
  <c r="W10" i="6"/>
  <c r="V10" i="6"/>
  <c r="U10" i="6"/>
  <c r="T10" i="6"/>
  <c r="S10" i="6"/>
  <c r="R10" i="6"/>
  <c r="Q10" i="6"/>
  <c r="P10" i="6"/>
  <c r="J17" i="6"/>
  <c r="CE17" i="6" s="1"/>
  <c r="O10" i="6"/>
  <c r="O31" i="6" s="1"/>
  <c r="O32" i="6" s="1"/>
  <c r="K10" i="6"/>
  <c r="L8" i="6"/>
  <c r="M8" i="6" s="1"/>
  <c r="N8" i="6" s="1"/>
  <c r="L5" i="6"/>
  <c r="M5" i="6" s="1"/>
  <c r="N5" i="6" s="1"/>
  <c r="L3" i="6"/>
  <c r="N28" i="6"/>
  <c r="CF28" i="6" s="1"/>
  <c r="N23" i="6"/>
  <c r="CF23" i="6" s="1"/>
  <c r="O45" i="6"/>
  <c r="O46" i="6" s="1"/>
  <c r="O42" i="6"/>
  <c r="O38" i="6"/>
  <c r="O39" i="6" s="1"/>
  <c r="L42" i="6"/>
  <c r="M42" i="6"/>
  <c r="N42" i="6" s="1"/>
  <c r="K30" i="6"/>
  <c r="CF30" i="6" s="1"/>
  <c r="N36" i="6"/>
  <c r="N35" i="6"/>
  <c r="K38" i="6"/>
  <c r="K39" i="6" s="1"/>
  <c r="K43" i="6" s="1"/>
  <c r="J29" i="6"/>
  <c r="J28" i="6"/>
  <c r="CE28" i="6" s="1"/>
  <c r="J23" i="6"/>
  <c r="CE23" i="6" s="1"/>
  <c r="J21" i="6"/>
  <c r="CE21" i="6" s="1"/>
  <c r="J11" i="6"/>
  <c r="CE11" i="6" s="1"/>
  <c r="J10" i="6"/>
  <c r="CE10" i="6" s="1"/>
  <c r="CE36" i="6"/>
  <c r="CE35" i="6"/>
  <c r="CE34" i="6"/>
  <c r="J46" i="6"/>
  <c r="J38" i="6"/>
  <c r="J39" i="6" s="1"/>
  <c r="J43" i="6" s="1"/>
  <c r="J44" i="6" s="1"/>
  <c r="J58" i="6" s="1"/>
  <c r="I31" i="6"/>
  <c r="I32" i="6" s="1"/>
  <c r="H31" i="6"/>
  <c r="H55" i="6" s="1"/>
  <c r="G31" i="6"/>
  <c r="G55" i="6" s="1"/>
  <c r="F31" i="6"/>
  <c r="F32" i="6" s="1"/>
  <c r="E31" i="6"/>
  <c r="E55" i="6" s="1"/>
  <c r="D31" i="6"/>
  <c r="D55" i="6" s="1"/>
  <c r="C31" i="6"/>
  <c r="C35" i="6"/>
  <c r="C38" i="6" s="1"/>
  <c r="C39" i="6" s="1"/>
  <c r="C43" i="6" s="1"/>
  <c r="C44" i="6" s="1"/>
  <c r="C58" i="6" s="1"/>
  <c r="C46" i="6"/>
  <c r="E35" i="6"/>
  <c r="E38" i="6" s="1"/>
  <c r="E39" i="6" s="1"/>
  <c r="E43" i="6" s="1"/>
  <c r="E44" i="6" s="1"/>
  <c r="E58" i="6" s="1"/>
  <c r="D35" i="6"/>
  <c r="D38" i="6" s="1"/>
  <c r="D39" i="6" s="1"/>
  <c r="D43" i="6" s="1"/>
  <c r="D44" i="6" s="1"/>
  <c r="D58" i="6" s="1"/>
  <c r="D46" i="6"/>
  <c r="E46" i="6"/>
  <c r="F46" i="6"/>
  <c r="F38" i="6"/>
  <c r="F39" i="6" s="1"/>
  <c r="F43" i="6" s="1"/>
  <c r="F44" i="6" s="1"/>
  <c r="F58" i="6" s="1"/>
  <c r="G46" i="6"/>
  <c r="G38" i="6"/>
  <c r="G39" i="6" s="1"/>
  <c r="G43" i="6" s="1"/>
  <c r="G44" i="6" s="1"/>
  <c r="G58" i="6" s="1"/>
  <c r="H46" i="6"/>
  <c r="H38" i="6"/>
  <c r="H39" i="6" s="1"/>
  <c r="H43" i="6" s="1"/>
  <c r="H44" i="6" s="1"/>
  <c r="H58" i="6" s="1"/>
  <c r="I46" i="6"/>
  <c r="I38" i="6"/>
  <c r="I39" i="6" s="1"/>
  <c r="I43" i="6" s="1"/>
  <c r="I44" i="6" s="1"/>
  <c r="I58" i="6" s="1"/>
  <c r="J4" i="25"/>
  <c r="J7" i="25" s="1"/>
  <c r="BW38" i="6"/>
  <c r="BW42" i="6" s="1"/>
  <c r="BW44" i="6" s="1"/>
  <c r="BV38" i="6"/>
  <c r="BV42" i="6" s="1"/>
  <c r="BV44" i="6" s="1"/>
  <c r="BX38" i="6"/>
  <c r="BX42" i="6" s="1"/>
  <c r="BX44" i="6" s="1"/>
  <c r="BU33" i="6"/>
  <c r="BU38" i="6" s="1"/>
  <c r="BU42" i="6" s="1"/>
  <c r="BU44" i="6" s="1"/>
  <c r="BY39" i="6"/>
  <c r="BY40" i="6"/>
  <c r="BY41" i="6"/>
  <c r="BZ39" i="6"/>
  <c r="BZ40" i="6"/>
  <c r="BZ41" i="6"/>
  <c r="BV32" i="6"/>
  <c r="BW32" i="6"/>
  <c r="BX32" i="6"/>
  <c r="BT33" i="6"/>
  <c r="BT38" i="6" s="1"/>
  <c r="BT42" i="6" s="1"/>
  <c r="BT44" i="6" s="1"/>
  <c r="BX49" i="6"/>
  <c r="BW49" i="6"/>
  <c r="BV49" i="6"/>
  <c r="BU49" i="6"/>
  <c r="BY49" i="6"/>
  <c r="N34" i="6"/>
  <c r="M38" i="6"/>
  <c r="M39" i="6" s="1"/>
  <c r="N37" i="6"/>
  <c r="L38" i="6"/>
  <c r="L39" i="6" s="1"/>
  <c r="CP31" i="6" l="1"/>
  <c r="CP55" i="6" s="1"/>
  <c r="BA55" i="6"/>
  <c r="CS10" i="6"/>
  <c r="CS12" i="6" s="1"/>
  <c r="BA56" i="6"/>
  <c r="CS27" i="6"/>
  <c r="AX32" i="6"/>
  <c r="BD49" i="6"/>
  <c r="CQ49" i="6"/>
  <c r="BM51" i="6"/>
  <c r="CS16" i="6"/>
  <c r="CP49" i="6"/>
  <c r="BK49" i="6"/>
  <c r="BL52" i="6"/>
  <c r="CS14" i="6"/>
  <c r="BN31" i="6"/>
  <c r="BN49" i="6" s="1"/>
  <c r="BC58" i="6"/>
  <c r="BA57" i="6"/>
  <c r="CR49" i="6"/>
  <c r="BJ49" i="6"/>
  <c r="CE31" i="6"/>
  <c r="BK42" i="6"/>
  <c r="BL42" i="6" s="1"/>
  <c r="BE56" i="6"/>
  <c r="BE57" i="6"/>
  <c r="BB57" i="6"/>
  <c r="BB49" i="6"/>
  <c r="BM37" i="6"/>
  <c r="BN37" i="6" s="1"/>
  <c r="BF56" i="6"/>
  <c r="BF57" i="6"/>
  <c r="BJ34" i="6"/>
  <c r="BJ56" i="6" s="1"/>
  <c r="BJ35" i="6"/>
  <c r="BJ57" i="6" s="1"/>
  <c r="BB32" i="6"/>
  <c r="BB56" i="6"/>
  <c r="BB55" i="6"/>
  <c r="BG55" i="6"/>
  <c r="BG56" i="6"/>
  <c r="BC32" i="6"/>
  <c r="BC56" i="6"/>
  <c r="AZ32" i="6"/>
  <c r="AZ56" i="6"/>
  <c r="AZ55" i="6"/>
  <c r="AY32" i="6"/>
  <c r="AY56" i="6"/>
  <c r="AY55" i="6"/>
  <c r="BD55" i="6"/>
  <c r="BD39" i="6"/>
  <c r="BD43" i="6" s="1"/>
  <c r="BD58" i="6" s="1"/>
  <c r="BJ33" i="6"/>
  <c r="BF55" i="6"/>
  <c r="BF32" i="6"/>
  <c r="BE49" i="6"/>
  <c r="BE32" i="6"/>
  <c r="BE55" i="6"/>
  <c r="BH31" i="6"/>
  <c r="BL54" i="6"/>
  <c r="BF49" i="6"/>
  <c r="BM52" i="6"/>
  <c r="BK54" i="6"/>
  <c r="BI31" i="6"/>
  <c r="BN54" i="6"/>
  <c r="BG32" i="6"/>
  <c r="BG49" i="6"/>
  <c r="BC55" i="6"/>
  <c r="BC49" i="6"/>
  <c r="E32" i="6"/>
  <c r="L43" i="6"/>
  <c r="L45" i="6" s="1"/>
  <c r="L46" i="6" s="1"/>
  <c r="L59" i="6" s="1"/>
  <c r="L10" i="6"/>
  <c r="L31" i="6" s="1"/>
  <c r="L55" i="6" s="1"/>
  <c r="G32" i="6"/>
  <c r="BZ42" i="6"/>
  <c r="BZ44" i="6" s="1"/>
  <c r="BZ47" i="6" s="1"/>
  <c r="O43" i="6"/>
  <c r="O44" i="6" s="1"/>
  <c r="AB10" i="6"/>
  <c r="AB31" i="6" s="1"/>
  <c r="AB32" i="6" s="1"/>
  <c r="F55" i="6"/>
  <c r="G59" i="6"/>
  <c r="K31" i="6"/>
  <c r="K49" i="6" s="1"/>
  <c r="J31" i="6"/>
  <c r="J32" i="6" s="1"/>
  <c r="J59" i="6"/>
  <c r="CE38" i="6"/>
  <c r="G49" i="6"/>
  <c r="D32" i="6"/>
  <c r="M43" i="6"/>
  <c r="M45" i="6" s="1"/>
  <c r="H49" i="6"/>
  <c r="N38" i="6"/>
  <c r="I55" i="6"/>
  <c r="I59" i="6"/>
  <c r="I49" i="6"/>
  <c r="M3" i="6"/>
  <c r="BY42" i="6"/>
  <c r="BY44" i="6" s="1"/>
  <c r="H59" i="6"/>
  <c r="C55" i="6"/>
  <c r="C32" i="6"/>
  <c r="BX47" i="6"/>
  <c r="BX45" i="6"/>
  <c r="BT45" i="6"/>
  <c r="BT47" i="6"/>
  <c r="BV47" i="6"/>
  <c r="BV45" i="6"/>
  <c r="BW45" i="6"/>
  <c r="BW47" i="6"/>
  <c r="BU45" i="6"/>
  <c r="BU47" i="6"/>
  <c r="K58" i="6"/>
  <c r="K45" i="6"/>
  <c r="K46" i="6" s="1"/>
  <c r="K59" i="6" s="1"/>
  <c r="H32" i="6"/>
  <c r="CF38" i="6"/>
  <c r="BL49" i="6" l="1"/>
  <c r="BM49" i="6"/>
  <c r="CS31" i="6"/>
  <c r="CS55" i="6" s="1"/>
  <c r="BD45" i="6"/>
  <c r="BD46" i="6" s="1"/>
  <c r="BI57" i="6"/>
  <c r="BI49" i="6"/>
  <c r="BI33" i="6"/>
  <c r="BI55" i="6" s="1"/>
  <c r="BI56" i="6"/>
  <c r="BM42" i="6"/>
  <c r="BN42" i="6" s="1"/>
  <c r="BL34" i="6"/>
  <c r="BL35" i="6"/>
  <c r="BL57" i="6" s="1"/>
  <c r="BH56" i="6"/>
  <c r="BH57" i="6"/>
  <c r="BK34" i="6"/>
  <c r="BK56" i="6" s="1"/>
  <c r="BK35" i="6"/>
  <c r="BK57" i="6" s="1"/>
  <c r="BN34" i="6"/>
  <c r="BN35" i="6"/>
  <c r="BN57" i="6" s="1"/>
  <c r="BJ38" i="6"/>
  <c r="BJ39" i="6" s="1"/>
  <c r="BJ43" i="6" s="1"/>
  <c r="BJ44" i="6" s="1"/>
  <c r="BJ58" i="6" s="1"/>
  <c r="BJ55" i="6"/>
  <c r="BL33" i="6"/>
  <c r="BJ32" i="6"/>
  <c r="BN33" i="6"/>
  <c r="BN32" i="6" s="1"/>
  <c r="BK33" i="6"/>
  <c r="BK32" i="6" s="1"/>
  <c r="BH33" i="6"/>
  <c r="BH39" i="6" s="1"/>
  <c r="BH43" i="6" s="1"/>
  <c r="BH49" i="6"/>
  <c r="BH55" i="6"/>
  <c r="BM54" i="6"/>
  <c r="L58" i="6"/>
  <c r="L49" i="6"/>
  <c r="L32" i="6"/>
  <c r="CE32" i="6"/>
  <c r="J55" i="6"/>
  <c r="K55" i="6"/>
  <c r="J49" i="6"/>
  <c r="O49" i="6"/>
  <c r="K32" i="6"/>
  <c r="M58" i="6"/>
  <c r="N3" i="6"/>
  <c r="N10" i="6" s="1"/>
  <c r="N31" i="6" s="1"/>
  <c r="M10" i="6"/>
  <c r="CF10" i="6" s="1"/>
  <c r="CF31" i="6" s="1"/>
  <c r="M46" i="6"/>
  <c r="M59" i="6" s="1"/>
  <c r="BY47" i="6"/>
  <c r="BL38" i="6" l="1"/>
  <c r="BN38" i="6"/>
  <c r="BN39" i="6" s="1"/>
  <c r="BN43" i="6" s="1"/>
  <c r="BN44" i="6" s="1"/>
  <c r="BN58" i="6" s="1"/>
  <c r="BN56" i="6"/>
  <c r="BL56" i="6"/>
  <c r="BK38" i="6"/>
  <c r="CF33" i="6"/>
  <c r="CG49" i="6"/>
  <c r="BI38" i="6"/>
  <c r="BI39" i="6" s="1"/>
  <c r="BI43" i="6" s="1"/>
  <c r="BI58" i="6" s="1"/>
  <c r="BM34" i="6"/>
  <c r="BM56" i="6" s="1"/>
  <c r="BM35" i="6"/>
  <c r="BM57" i="6" s="1"/>
  <c r="BL39" i="6"/>
  <c r="BL43" i="6" s="1"/>
  <c r="BL44" i="6" s="1"/>
  <c r="BL58" i="6" s="1"/>
  <c r="BK39" i="6"/>
  <c r="BK43" i="6" s="1"/>
  <c r="BK44" i="6" s="1"/>
  <c r="BK58" i="6" s="1"/>
  <c r="BL32" i="6"/>
  <c r="BN55" i="6"/>
  <c r="BK55" i="6"/>
  <c r="BL55" i="6"/>
  <c r="BM33" i="6"/>
  <c r="BM55" i="6" s="1"/>
  <c r="BH45" i="6"/>
  <c r="BH46" i="6" s="1"/>
  <c r="BH58" i="6"/>
  <c r="BJ45" i="6"/>
  <c r="BJ46" i="6" s="1"/>
  <c r="CE33" i="6"/>
  <c r="CE55" i="6" s="1"/>
  <c r="M31" i="6"/>
  <c r="N49" i="6"/>
  <c r="N33" i="6"/>
  <c r="CI38" i="6"/>
  <c r="BM38" i="6" l="1"/>
  <c r="BM39" i="6" s="1"/>
  <c r="BM43" i="6" s="1"/>
  <c r="BM44" i="6" s="1"/>
  <c r="BM58" i="6" s="1"/>
  <c r="CE39" i="6"/>
  <c r="CE43" i="6" s="1"/>
  <c r="CE44" i="6" s="1"/>
  <c r="CE45" i="6" s="1"/>
  <c r="BI45" i="6"/>
  <c r="BI46" i="6" s="1"/>
  <c r="BK45" i="6"/>
  <c r="BK46" i="6" s="1"/>
  <c r="BL45" i="6"/>
  <c r="BL46" i="6" s="1"/>
  <c r="BN45" i="6"/>
  <c r="BN46" i="6" s="1"/>
  <c r="BM32" i="6"/>
  <c r="M49" i="6"/>
  <c r="M55" i="6"/>
  <c r="M32" i="6"/>
  <c r="N32" i="6"/>
  <c r="N39" i="6"/>
  <c r="N43" i="6" s="1"/>
  <c r="N55" i="6"/>
  <c r="CF49" i="6"/>
  <c r="BM45" i="6" l="1"/>
  <c r="BM46" i="6" s="1"/>
  <c r="CF39" i="6"/>
  <c r="CF43" i="6" s="1"/>
  <c r="N44" i="6"/>
  <c r="N45" i="6" s="1"/>
  <c r="CF55" i="6" l="1"/>
  <c r="CG55" i="6"/>
  <c r="N46" i="6"/>
  <c r="N59" i="6" s="1"/>
  <c r="CF45" i="6"/>
  <c r="CF46" i="6" s="1"/>
  <c r="N58" i="6"/>
  <c r="CH55" i="6" l="1"/>
  <c r="CG43" i="6"/>
  <c r="CG45" i="6" l="1"/>
  <c r="CG46" i="6" s="1"/>
  <c r="CI55" i="6"/>
  <c r="CI39" i="6"/>
  <c r="CJ55" i="6" l="1"/>
  <c r="CJ39" i="6"/>
  <c r="CJ43" i="6" s="1"/>
  <c r="CH43" i="6"/>
  <c r="CH45" i="6" s="1"/>
  <c r="CH46" i="6" s="1"/>
  <c r="CI43" i="6" l="1"/>
  <c r="CI45" i="6" s="1"/>
  <c r="CK39" i="6"/>
  <c r="CK43" i="6" s="1"/>
  <c r="CK55" i="6"/>
  <c r="CJ45" i="6" l="1"/>
  <c r="CK45" i="6" s="1"/>
  <c r="CR45" i="6" l="1"/>
  <c r="CS45" i="6" s="1"/>
  <c r="CT45" i="6" s="1"/>
  <c r="CU45" i="6" s="1"/>
  <c r="CV45" i="6" s="1"/>
  <c r="CW45" i="6" s="1"/>
  <c r="CX45" i="6" s="1"/>
  <c r="CY45" i="6" s="1"/>
  <c r="CZ45" i="6" s="1"/>
  <c r="DA45" i="6" s="1"/>
  <c r="DB45" i="6" s="1"/>
  <c r="DC45" i="6" s="1"/>
  <c r="DD45" i="6" s="1"/>
  <c r="DE45" i="6" s="1"/>
  <c r="DF45" i="6" s="1"/>
  <c r="DG45" i="6" s="1"/>
  <c r="DH45" i="6" s="1"/>
  <c r="DI45" i="6" s="1"/>
  <c r="DJ45" i="6" s="1"/>
  <c r="DK45" i="6" s="1"/>
  <c r="DL45" i="6" s="1"/>
  <c r="DM45" i="6" s="1"/>
  <c r="DN45" i="6" s="1"/>
  <c r="DO45" i="6" s="1"/>
  <c r="DP45" i="6" s="1"/>
  <c r="DQ45" i="6" s="1"/>
  <c r="DR45" i="6" s="1"/>
  <c r="DS45" i="6" s="1"/>
  <c r="DT45" i="6" s="1"/>
  <c r="DU45" i="6" s="1"/>
  <c r="DV45" i="6" s="1"/>
  <c r="DW45" i="6" s="1"/>
  <c r="DX45" i="6" s="1"/>
  <c r="DY45" i="6" s="1"/>
  <c r="DZ45" i="6" s="1"/>
  <c r="EA45" i="6" s="1"/>
  <c r="EB45" i="6" s="1"/>
  <c r="EC45" i="6" s="1"/>
  <c r="ED45" i="6" s="1"/>
  <c r="EE45" i="6" s="1"/>
  <c r="EF45" i="6" s="1"/>
  <c r="EG45" i="6" s="1"/>
  <c r="EH45" i="6" s="1"/>
  <c r="EI45" i="6" s="1"/>
  <c r="EJ45" i="6" s="1"/>
  <c r="EK45" i="6" s="1"/>
  <c r="DC51" i="6" l="1"/>
  <c r="DC52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Alistair Campbell</author>
    <author>tc={FF59098B-CDEA-4E95-99E9-B148257A5966}</author>
  </authors>
  <commentList>
    <comment ref="BV40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Alistair Campbell:</t>
        </r>
        <r>
          <rPr>
            <sz val="8"/>
            <color indexed="81"/>
            <rFont val="Tahoma"/>
            <family val="2"/>
          </rPr>
          <t xml:space="preserve">
backed out to get to historic IFRS number</t>
        </r>
      </text>
    </comment>
    <comment ref="BW40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Alistair Campbell:</t>
        </r>
        <r>
          <rPr>
            <sz val="8"/>
            <color indexed="81"/>
            <rFont val="Tahoma"/>
            <family val="2"/>
          </rPr>
          <t xml:space="preserve">
backed out to get to historic IFRS number</t>
        </r>
      </text>
    </comment>
    <comment ref="BX40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Alistair Campbell:</t>
        </r>
        <r>
          <rPr>
            <sz val="8"/>
            <color indexed="81"/>
            <rFont val="Tahoma"/>
            <family val="2"/>
          </rPr>
          <t xml:space="preserve">
backed out to get to historic IFRS number</t>
        </r>
      </text>
    </comment>
    <comment ref="BK49" authorId="1" shapeId="0" xr:uid="{FF59098B-CDEA-4E95-99E9-B148257A5966}">
      <text>
        <t>[Threaded comment]
Your version of Excel allows you to read this threaded comment; however, any edits to it will get removed if the file is opened in a newer version of Excel. Learn more: https://go.microsoft.com/fwlink/?linkid=870924
Comment:
    25% CER</t>
      </text>
    </comment>
  </commentList>
</comments>
</file>

<file path=xl/sharedStrings.xml><?xml version="1.0" encoding="utf-8"?>
<sst xmlns="http://schemas.openxmlformats.org/spreadsheetml/2006/main" count="320" uniqueCount="257">
  <si>
    <t>Name</t>
  </si>
  <si>
    <t>Indication</t>
  </si>
  <si>
    <t>Class</t>
  </si>
  <si>
    <t>Approval</t>
  </si>
  <si>
    <t>Admin</t>
  </si>
  <si>
    <t>Economics</t>
  </si>
  <si>
    <t>Price DKK</t>
  </si>
  <si>
    <t>NovoLog/NovoRapid (insulin aspart)</t>
  </si>
  <si>
    <t>Type 2 Diabetes</t>
  </si>
  <si>
    <t>Insulin Analog</t>
  </si>
  <si>
    <t>SC</t>
  </si>
  <si>
    <t>Shares</t>
  </si>
  <si>
    <t>Q214</t>
  </si>
  <si>
    <t>NovoLog Mix/NovoMix (insulin aspart/protamine)</t>
  </si>
  <si>
    <t>MC DKK</t>
  </si>
  <si>
    <t>Levemir (insulin detemir)</t>
  </si>
  <si>
    <t>Cash DKK</t>
  </si>
  <si>
    <t>Victoza (liraglutide)</t>
  </si>
  <si>
    <t>GLP-1</t>
  </si>
  <si>
    <t>QD SC</t>
  </si>
  <si>
    <t>Debt DKK</t>
  </si>
  <si>
    <t>NovoLin</t>
  </si>
  <si>
    <t>Insulin</t>
  </si>
  <si>
    <t>EV</t>
  </si>
  <si>
    <t>Norditropin</t>
  </si>
  <si>
    <t>Growth Hormone Deficiency</t>
  </si>
  <si>
    <t>HGH</t>
  </si>
  <si>
    <t>Tresiba (insulin degludec)</t>
  </si>
  <si>
    <t>NovoSeven</t>
  </si>
  <si>
    <t>Hemophilia</t>
  </si>
  <si>
    <t>Factor ?</t>
  </si>
  <si>
    <t>Phase</t>
  </si>
  <si>
    <t>Xultophy (degludec+liraglutide)</t>
  </si>
  <si>
    <t>GLP-1/Insulin</t>
  </si>
  <si>
    <t>Filed</t>
  </si>
  <si>
    <t>NN1841</t>
  </si>
  <si>
    <t>FXIII Deficiency</t>
  </si>
  <si>
    <t>rhFXIII</t>
  </si>
  <si>
    <t>III</t>
  </si>
  <si>
    <t>NN7999</t>
  </si>
  <si>
    <t>Haemophilia B</t>
  </si>
  <si>
    <t>rFIX</t>
  </si>
  <si>
    <t>NN7128</t>
  </si>
  <si>
    <t>Haemophilia</t>
  </si>
  <si>
    <t>rFVII</t>
  </si>
  <si>
    <t>II</t>
  </si>
  <si>
    <t>NN8555</t>
  </si>
  <si>
    <t>Crohn's Disease</t>
  </si>
  <si>
    <t>Anti-NKG2D</t>
  </si>
  <si>
    <t>NN8640</t>
  </si>
  <si>
    <t>Adult Growth Hormone Deficiency</t>
  </si>
  <si>
    <t>NN7088 (turoctocog alfa pegol)</t>
  </si>
  <si>
    <t>Haemophilia A</t>
  </si>
  <si>
    <t>NN1810</t>
  </si>
  <si>
    <t>Cardiac Surgery</t>
  </si>
  <si>
    <t>NN1953</t>
  </si>
  <si>
    <t>Oral LAI</t>
  </si>
  <si>
    <t>I</t>
  </si>
  <si>
    <t>2H14: Tresiba outcomes study.</t>
  </si>
  <si>
    <t>Q214: NN8226, Anti-IL20 for RA, failed.</t>
  </si>
  <si>
    <t>Main</t>
  </si>
  <si>
    <t>Q108</t>
  </si>
  <si>
    <t>Q208</t>
  </si>
  <si>
    <t>Q308</t>
  </si>
  <si>
    <t>Q408</t>
  </si>
  <si>
    <t>Q109</t>
  </si>
  <si>
    <t>Q209</t>
  </si>
  <si>
    <t>Q309</t>
  </si>
  <si>
    <t>Q409</t>
  </si>
  <si>
    <t>Q110</t>
  </si>
  <si>
    <t>Q210</t>
  </si>
  <si>
    <t>Q310</t>
  </si>
  <si>
    <t>Q410</t>
  </si>
  <si>
    <t>Q111</t>
  </si>
  <si>
    <t>Q211</t>
  </si>
  <si>
    <t>Q311</t>
  </si>
  <si>
    <t>Q411</t>
  </si>
  <si>
    <t>Q112</t>
  </si>
  <si>
    <t>Q212</t>
  </si>
  <si>
    <t>Q312</t>
  </si>
  <si>
    <t>Q412</t>
  </si>
  <si>
    <t>Q113</t>
  </si>
  <si>
    <t>Q213</t>
  </si>
  <si>
    <t>Q313</t>
  </si>
  <si>
    <t>Q413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</si>
  <si>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</si>
  <si>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</si>
  <si>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</si>
  <si>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</si>
  <si>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</si>
  <si>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</si>
  <si>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</si>
  <si>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</si>
  <si>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</si>
  <si>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</si>
  <si>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</si>
  <si>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</si>
  <si>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</si>
  <si>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</si>
  <si>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</si>
  <si>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</si>
  <si>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</si>
  <si>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</si>
  <si>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</si>
  <si>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</si>
  <si>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</si>
  <si>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</si>
  <si>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</si>
  <si>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</si>
  <si>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</si>
  <si>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</si>
  <si>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</si>
  <si>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</si>
  <si>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</si>
  <si>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</si>
  <si>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</si>
  <si>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</si>
  <si>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</si>
  <si>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</si>
  <si>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</si>
  <si>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1998</t>
  </si>
  <si>
    <t>1999</t>
  </si>
  <si>
    <t>2000</t>
  </si>
  <si>
    <t>2001</t>
  </si>
  <si>
    <t>2002</t>
  </si>
  <si>
    <t>2003</t>
  </si>
  <si>
    <t>2004</t>
  </si>
  <si>
    <t xml:space="preserve">  NovoRapid</t>
  </si>
  <si>
    <t xml:space="preserve">  NovoMix</t>
  </si>
  <si>
    <t xml:space="preserve">  Tresiba</t>
  </si>
  <si>
    <t xml:space="preserve">  Levemir</t>
  </si>
  <si>
    <t>Insulin Analogs</t>
  </si>
  <si>
    <t>Human Insulins</t>
  </si>
  <si>
    <t>Victoza</t>
  </si>
  <si>
    <t>Protein Sales</t>
  </si>
  <si>
    <t>Oral Antidiabetes</t>
  </si>
  <si>
    <t>HRT</t>
  </si>
  <si>
    <t>Other</t>
  </si>
  <si>
    <t>COGS</t>
  </si>
  <si>
    <t>Gross Profit</t>
  </si>
  <si>
    <t>S&amp;D</t>
  </si>
  <si>
    <t>R&amp;D</t>
  </si>
  <si>
    <t>Operating Expenses</t>
  </si>
  <si>
    <t>Financial income</t>
  </si>
  <si>
    <t>Financial expenses</t>
  </si>
  <si>
    <t>EPS</t>
  </si>
  <si>
    <t>Maturity</t>
  </si>
  <si>
    <t>Discount</t>
  </si>
  <si>
    <t>NPV</t>
  </si>
  <si>
    <t>Revenue Y/Y</t>
  </si>
  <si>
    <t>Revenue LC</t>
  </si>
  <si>
    <t>7-10%</t>
  </si>
  <si>
    <t>Gross Margin %</t>
  </si>
  <si>
    <t>Tax Rate</t>
  </si>
  <si>
    <t>EPS Y/Y</t>
  </si>
  <si>
    <t>NA C/C</t>
  </si>
  <si>
    <t>NA</t>
  </si>
  <si>
    <t>EU</t>
  </si>
  <si>
    <t>Intl</t>
  </si>
  <si>
    <t>Japan/Korea</t>
  </si>
  <si>
    <t>Headcount</t>
  </si>
  <si>
    <t>Brand Name</t>
  </si>
  <si>
    <t>Generic Name</t>
  </si>
  <si>
    <t>liraglutide</t>
  </si>
  <si>
    <t>Timeline</t>
  </si>
  <si>
    <t>August 2009 PDUFA. C-Cell hyperplasia and medullary thyroid cancer preclinical signals seen. Forteo has an osteosarcoma preclinical black box warning.</t>
  </si>
  <si>
    <t>Clinical Trials</t>
  </si>
  <si>
    <t>Phase III LEAD-1</t>
  </si>
  <si>
    <t>Phase III LEAD-2</t>
  </si>
  <si>
    <t>Phase III LEAD-3</t>
  </si>
  <si>
    <t>Phase III LEAD-4</t>
  </si>
  <si>
    <t>Phase III LEAD-6 vs Byetta - Presented Canadian Diabetes Association 2008</t>
  </si>
  <si>
    <t>N=464 26-week study. Significant improvement in A1C versus Byetta. 1.1 vs 0.8%.</t>
  </si>
  <si>
    <t>55% achieved target vs 45% for Byetta. 35% achieved larger target vs 20% for Byetta.</t>
  </si>
  <si>
    <t>3.24kg weight loss for Victoza vs 2.87kg for Byetta.</t>
  </si>
  <si>
    <t>NovoLog, NovoRapid</t>
  </si>
  <si>
    <t>insulin aspart</t>
  </si>
  <si>
    <t>Dosage</t>
  </si>
  <si>
    <t>Comes in 100%, 50/50, 70/30 for insulin aspart and insulin aspart/protamine formulations</t>
  </si>
  <si>
    <t>Levemir</t>
  </si>
  <si>
    <t>insulin detemir</t>
  </si>
  <si>
    <t>Rybelsus</t>
  </si>
  <si>
    <t>Ozempic</t>
  </si>
  <si>
    <t xml:space="preserve">  Xultophy</t>
  </si>
  <si>
    <t xml:space="preserve">  Fiasp</t>
  </si>
  <si>
    <t xml:space="preserve">  Ryzodeg</t>
  </si>
  <si>
    <t>Wegovy</t>
  </si>
  <si>
    <t>Saxenda</t>
  </si>
  <si>
    <t>Hemophilia A</t>
  </si>
  <si>
    <t>Hemophilia B</t>
  </si>
  <si>
    <t>Other Rare Blood</t>
  </si>
  <si>
    <t>Rare Endocrine+Other Rare</t>
  </si>
  <si>
    <t>Ozempic y/y</t>
  </si>
  <si>
    <t>GLP y/y</t>
  </si>
  <si>
    <t>Insulins</t>
  </si>
  <si>
    <t>Insulins y/y</t>
  </si>
  <si>
    <t>Q123</t>
  </si>
  <si>
    <t>Q223</t>
  </si>
  <si>
    <t>Q323</t>
  </si>
  <si>
    <t>Q423</t>
  </si>
  <si>
    <t>Saxenda y/y</t>
  </si>
  <si>
    <t>G&amp;A</t>
  </si>
  <si>
    <t>Operating Income</t>
  </si>
  <si>
    <t>Pretax Income</t>
  </si>
  <si>
    <t>Net Income</t>
  </si>
  <si>
    <t>JV</t>
  </si>
  <si>
    <t>S&amp;D %</t>
  </si>
  <si>
    <t>R&amp;D %</t>
  </si>
  <si>
    <t>Income Taxes</t>
  </si>
  <si>
    <t>Revenue</t>
  </si>
  <si>
    <t>Cash</t>
  </si>
  <si>
    <t>Assets</t>
  </si>
  <si>
    <t>Goodwill</t>
  </si>
  <si>
    <t>PP&amp;E</t>
  </si>
  <si>
    <t>Inventories</t>
  </si>
  <si>
    <t>AR</t>
  </si>
  <si>
    <t>Taxes</t>
  </si>
  <si>
    <t>Debt</t>
  </si>
  <si>
    <t>Provisions</t>
  </si>
  <si>
    <t>AP</t>
  </si>
  <si>
    <t>Pension</t>
  </si>
  <si>
    <t>SE</t>
  </si>
  <si>
    <t>L+SE</t>
  </si>
  <si>
    <t>Net Cash</t>
  </si>
  <si>
    <t>12/28/21: Dicerna closes</t>
  </si>
  <si>
    <t>10/14/22: Forma closes</t>
  </si>
  <si>
    <t>5/4/23: Q123 results</t>
  </si>
  <si>
    <t>Wegovy (semaglutide)</t>
  </si>
  <si>
    <t>Brand</t>
  </si>
  <si>
    <t>Generic</t>
  </si>
  <si>
    <t>semaglutide</t>
  </si>
  <si>
    <t>Administration</t>
  </si>
  <si>
    <t>subcutaneous once-weekly</t>
  </si>
  <si>
    <t>0.25mg, 0.5mg, 1.0mg, 1.7mg, 2.4mg</t>
  </si>
  <si>
    <t>Obesity</t>
  </si>
  <si>
    <t>MOA</t>
  </si>
  <si>
    <t>GLP-1 agonist</t>
  </si>
  <si>
    <t>6/24/2021 FDA</t>
  </si>
  <si>
    <t>Ozempic (semaglutide)</t>
  </si>
  <si>
    <t>Oral</t>
  </si>
  <si>
    <t>Wegovy, fka NN9535</t>
  </si>
  <si>
    <t>Rybelsus (semaglutide)</t>
  </si>
  <si>
    <t>IP</t>
  </si>
  <si>
    <t>7762994 needle delivery expires 2024</t>
  </si>
  <si>
    <t>8114833 formulation expires 2025</t>
  </si>
  <si>
    <t>8129343 acylated GLP-1 expires 2031</t>
  </si>
  <si>
    <t>8536122 acylated GLP-1 expires 2026</t>
  </si>
  <si>
    <t>8579869 needle mounting expires 2023</t>
  </si>
  <si>
    <t>8684969 injection device expires 2025</t>
  </si>
  <si>
    <t>8920383 injection device expires 2026</t>
  </si>
  <si>
    <t>9108002 injection device expires 2026</t>
  </si>
  <si>
    <t>9132239 injectiond evice expires 2032</t>
  </si>
  <si>
    <t>Saxenda (liraglutide)</t>
  </si>
  <si>
    <t>Q124</t>
  </si>
  <si>
    <t>Q224</t>
  </si>
  <si>
    <t>Q324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</si>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</sst>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164" formatCode="_-* #,##0.00_-;\-* #,##0.00_-;_-* &quot;-&quot;??_-;_-@_-"/>
    <numFmt numFmtId="165" formatCode="_-* #,##0.0_-;\-* #,##0.0_-;_-* &quot;-&quot;??_-;_-@_-"/>
    <numFmt numFmtId="166" formatCode="_-* #,##0_-;\-* #,##0_-;_-* &quot;-&quot;??_-;_-@_-"/>
    <numFmt numFmtId="167" formatCode="#,##0\ ;\(#,##0\)"/>
    <numFmt numFmtId="168" formatCode="0.0%\ ;\(0.0%\)"/>
    <numFmt numFmtId="169" formatCode="0.0%"/>
    <numFmt numFmtId="170" formatCode="0.0"/>
    <numFmt numFmtId="171" formatCode="#,##0;\(#,##0\)"/>
    <numFmt numFmtId="172" formatCode="0.000"/>
    <numFmt numFmtId="173" formatCode="#,##0\ &quot;DM&quot;;[Red]\-#,##0\ &quot;DM&quot;"/>
    <numFmt numFmtId="174" formatCode="#,##0.0_);\(#,##0.0\)"/>
    <numFmt numFmtId="175" formatCode="#,##0.0"/>
    <numFmt numFmtId="176" formatCode="0_);\(0\)"/>
  </numFmts>
  <fonts count="1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0"/>
      <name val="MS Sans Serif"/>
      <family val="2"/>
    </font>
    <font>
      <sz val="10"/>
      <name val="Times New Roman"/>
      <family val="1"/>
    </font>
    <font>
      <b/>
      <sz val="10"/>
      <color indexed="9"/>
      <name val="Arial"/>
      <family val="2"/>
    </font>
    <font>
      <sz val="8"/>
      <name val="Times New Roman"/>
      <family val="1"/>
    </font>
    <font>
      <u/>
      <sz val="10"/>
      <color indexed="12"/>
      <name val="Times New Roman"/>
      <family val="1"/>
    </font>
    <font>
      <sz val="10"/>
      <name val="Helvetica"/>
      <family val="2"/>
    </font>
    <font>
      <i/>
      <sz val="10"/>
      <name val="Times New Roman"/>
      <family val="1"/>
    </font>
    <font>
      <i/>
      <sz val="10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u/>
      <sz val="10"/>
      <name val="Arial"/>
      <family val="2"/>
    </font>
    <font>
      <b/>
      <sz val="10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gray0625">
        <fgColor indexed="13"/>
        <bgColor indexed="9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9"/>
      </left>
      <right style="medium">
        <color indexed="4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1">
    <xf numFmtId="0" fontId="0" fillId="0" borderId="0"/>
    <xf numFmtId="169" fontId="5" fillId="0" borderId="0"/>
    <xf numFmtId="169" fontId="5" fillId="0" borderId="0"/>
    <xf numFmtId="164" fontId="1" fillId="0" borderId="0" applyFont="0" applyFill="0" applyBorder="0" applyAlignment="0" applyProtection="0"/>
    <xf numFmtId="0" fontId="1" fillId="0" borderId="0"/>
    <xf numFmtId="0" fontId="7" fillId="2" borderId="0">
      <alignment horizontal="right"/>
    </xf>
    <xf numFmtId="1" fontId="6" fillId="0" borderId="0" applyFont="0" applyFill="0" applyBorder="0" applyAlignment="0" applyProtection="0">
      <alignment horizontal="right"/>
    </xf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0" fontId="8" fillId="3" borderId="1" applyNumberFormat="0" applyFont="0" applyAlignment="0">
      <protection locked="0"/>
    </xf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>
      <alignment horizontal="right"/>
    </xf>
    <xf numFmtId="0" fontId="9" fillId="0" borderId="0" applyNumberFormat="0" applyFill="0" applyBorder="0" applyAlignment="0" applyProtection="0">
      <alignment vertical="top"/>
      <protection locked="0"/>
    </xf>
    <xf numFmtId="170" fontId="1" fillId="0" borderId="0"/>
    <xf numFmtId="169" fontId="5" fillId="0" borderId="0"/>
    <xf numFmtId="175" fontId="6" fillId="0" borderId="2" applyFont="0" applyFill="0" applyBorder="0" applyAlignment="0" applyProtection="0">
      <alignment horizontal="right"/>
    </xf>
    <xf numFmtId="0" fontId="11" fillId="0" borderId="0" applyNumberFormat="0" applyFill="0" applyBorder="0" applyAlignment="0" applyProtection="0"/>
    <xf numFmtId="175" fontId="10" fillId="0" borderId="0"/>
    <xf numFmtId="0" fontId="12" fillId="4" borderId="3">
      <alignment horizontal="left"/>
    </xf>
    <xf numFmtId="173" fontId="5" fillId="0" borderId="0" applyFont="0" applyFill="0" applyBorder="0" applyAlignment="0" applyProtection="0"/>
    <xf numFmtId="171" fontId="5" fillId="0" borderId="0" applyFont="0" applyFill="0" applyBorder="0" applyAlignment="0" applyProtection="0"/>
  </cellStyleXfs>
  <cellXfs count="66">
    <xf numFmtId="0" fontId="0" fillId="0" borderId="0" xfId="0"/>
    <xf numFmtId="0" fontId="0" fillId="5" borderId="0" xfId="0" applyFill="1"/>
    <xf numFmtId="0" fontId="15" fillId="5" borderId="0" xfId="12" applyFont="1" applyFill="1" applyAlignment="1" applyProtection="1"/>
    <xf numFmtId="0" fontId="15" fillId="5" borderId="7" xfId="12" applyFont="1" applyFill="1" applyBorder="1" applyAlignment="1" applyProtection="1"/>
    <xf numFmtId="0" fontId="16" fillId="5" borderId="0" xfId="0" applyFont="1" applyFill="1"/>
    <xf numFmtId="164" fontId="2" fillId="0" borderId="0" xfId="3" applyFont="1" applyFill="1" applyBorder="1" applyAlignment="1"/>
    <xf numFmtId="164" fontId="2" fillId="0" borderId="0" xfId="3" applyFont="1" applyBorder="1" applyAlignment="1">
      <alignment horizontal="right"/>
    </xf>
    <xf numFmtId="164" fontId="2" fillId="0" borderId="0" xfId="3" applyFont="1" applyBorder="1" applyAlignment="1"/>
    <xf numFmtId="164" fontId="3" fillId="0" borderId="0" xfId="3" applyFont="1" applyFill="1" applyBorder="1" applyAlignment="1"/>
    <xf numFmtId="0" fontId="3" fillId="0" borderId="0" xfId="3" applyNumberFormat="1" applyFont="1" applyFill="1" applyBorder="1" applyAlignment="1"/>
    <xf numFmtId="164" fontId="3" fillId="0" borderId="0" xfId="3" applyFont="1" applyFill="1" applyBorder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164" fontId="3" fillId="0" borderId="0" xfId="3" applyFont="1" applyBorder="1" applyAlignment="1"/>
    <xf numFmtId="3" fontId="3" fillId="0" borderId="0" xfId="3" applyNumberFormat="1" applyFont="1" applyFill="1" applyBorder="1" applyAlignment="1">
      <alignment horizontal="right"/>
    </xf>
    <xf numFmtId="0" fontId="12" fillId="5" borderId="0" xfId="0" applyFont="1" applyFill="1"/>
    <xf numFmtId="3" fontId="3" fillId="0" borderId="0" xfId="3" quotePrefix="1" applyNumberFormat="1" applyFont="1" applyFill="1" applyBorder="1" applyAlignment="1">
      <alignment horizontal="right"/>
    </xf>
    <xf numFmtId="0" fontId="15" fillId="0" borderId="0" xfId="12" applyNumberFormat="1" applyFont="1" applyFill="1" applyBorder="1" applyAlignment="1" applyProtection="1"/>
    <xf numFmtId="3" fontId="2" fillId="0" borderId="0" xfId="3" applyNumberFormat="1" applyFont="1" applyBorder="1" applyAlignment="1"/>
    <xf numFmtId="0" fontId="2" fillId="0" borderId="0" xfId="3" applyNumberFormat="1" applyFont="1" applyBorder="1" applyAlignment="1"/>
    <xf numFmtId="0" fontId="1" fillId="5" borderId="7" xfId="0" applyFont="1" applyFill="1" applyBorder="1"/>
    <xf numFmtId="14" fontId="1" fillId="5" borderId="0" xfId="0" applyNumberFormat="1" applyFont="1" applyFill="1" applyAlignment="1">
      <alignment horizontal="center"/>
    </xf>
    <xf numFmtId="0" fontId="1" fillId="5" borderId="4" xfId="0" applyFont="1" applyFill="1" applyBorder="1"/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0" xfId="0" applyFont="1" applyFill="1"/>
    <xf numFmtId="4" fontId="1" fillId="5" borderId="0" xfId="0" applyNumberFormat="1" applyFont="1" applyFill="1"/>
    <xf numFmtId="0" fontId="1" fillId="5" borderId="0" xfId="0" applyFont="1" applyFill="1" applyAlignment="1">
      <alignment horizontal="center"/>
    </xf>
    <xf numFmtId="9" fontId="1" fillId="5" borderId="8" xfId="0" applyNumberFormat="1" applyFont="1" applyFill="1" applyBorder="1" applyAlignment="1">
      <alignment horizontal="center"/>
    </xf>
    <xf numFmtId="3" fontId="1" fillId="5" borderId="0" xfId="0" applyNumberFormat="1" applyFont="1" applyFill="1"/>
    <xf numFmtId="0" fontId="1" fillId="5" borderId="0" xfId="0" applyFont="1" applyFill="1" applyAlignment="1">
      <alignment horizontal="right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/>
    <xf numFmtId="0" fontId="1" fillId="5" borderId="2" xfId="0" applyFont="1" applyFill="1" applyBorder="1" applyAlignment="1">
      <alignment horizontal="center"/>
    </xf>
    <xf numFmtId="0" fontId="1" fillId="5" borderId="2" xfId="0" applyFont="1" applyFill="1" applyBorder="1"/>
    <xf numFmtId="0" fontId="1" fillId="5" borderId="10" xfId="0" applyFont="1" applyFill="1" applyBorder="1"/>
    <xf numFmtId="3" fontId="1" fillId="0" borderId="0" xfId="3" applyNumberFormat="1" applyFont="1" applyFill="1" applyBorder="1" applyAlignment="1"/>
    <xf numFmtId="0" fontId="0" fillId="0" borderId="0" xfId="3" applyNumberFormat="1" applyFont="1" applyFill="1" applyBorder="1" applyAlignment="1"/>
    <xf numFmtId="0" fontId="1" fillId="0" borderId="0" xfId="3" applyNumberFormat="1" applyFont="1" applyBorder="1" applyAlignment="1"/>
    <xf numFmtId="167" fontId="1" fillId="0" borderId="0" xfId="3" applyNumberFormat="1" applyFont="1" applyFill="1" applyBorder="1" applyAlignment="1">
      <alignment horizontal="right"/>
    </xf>
    <xf numFmtId="164" fontId="1" fillId="0" borderId="0" xfId="3" applyFont="1" applyBorder="1" applyAlignment="1">
      <alignment horizontal="right"/>
    </xf>
    <xf numFmtId="164" fontId="1" fillId="0" borderId="0" xfId="3" applyFont="1" applyBorder="1" applyAlignment="1"/>
    <xf numFmtId="164" fontId="1" fillId="0" borderId="0" xfId="3" applyFont="1" applyFill="1" applyBorder="1" applyAlignment="1"/>
    <xf numFmtId="0" fontId="1" fillId="0" borderId="0" xfId="3" applyNumberFormat="1" applyFont="1" applyFill="1" applyBorder="1" applyAlignment="1">
      <alignment horizontal="right"/>
    </xf>
    <xf numFmtId="164" fontId="1" fillId="0" borderId="0" xfId="3" quotePrefix="1" applyFont="1" applyFill="1" applyBorder="1" applyAlignment="1">
      <alignment horizontal="right"/>
    </xf>
    <xf numFmtId="3" fontId="1" fillId="0" borderId="0" xfId="3" applyNumberFormat="1" applyFont="1" applyFill="1" applyBorder="1" applyAlignment="1">
      <alignment horizontal="right"/>
    </xf>
    <xf numFmtId="3" fontId="1" fillId="0" borderId="0" xfId="3" quotePrefix="1" applyNumberFormat="1" applyFont="1" applyFill="1" applyBorder="1" applyAlignment="1">
      <alignment horizontal="right"/>
    </xf>
    <xf numFmtId="3" fontId="1" fillId="0" borderId="0" xfId="3" applyNumberFormat="1" applyFont="1" applyBorder="1" applyAlignment="1"/>
    <xf numFmtId="0" fontId="1" fillId="0" borderId="0" xfId="3" applyNumberFormat="1" applyFont="1" applyFill="1" applyBorder="1" applyAlignment="1"/>
    <xf numFmtId="165" fontId="1" fillId="0" borderId="0" xfId="3" applyNumberFormat="1" applyFont="1" applyFill="1" applyBorder="1" applyAlignment="1">
      <alignment horizontal="right"/>
    </xf>
    <xf numFmtId="0" fontId="1" fillId="0" borderId="0" xfId="3" applyNumberFormat="1" applyFont="1" applyBorder="1" applyAlignment="1">
      <alignment horizontal="left"/>
    </xf>
    <xf numFmtId="9" fontId="1" fillId="0" borderId="0" xfId="3" applyNumberFormat="1" applyFont="1" applyBorder="1" applyAlignment="1"/>
    <xf numFmtId="166" fontId="1" fillId="0" borderId="0" xfId="3" applyNumberFormat="1" applyFont="1" applyFill="1" applyBorder="1" applyAlignment="1">
      <alignment horizontal="right"/>
    </xf>
    <xf numFmtId="4" fontId="1" fillId="0" borderId="0" xfId="3" applyNumberFormat="1" applyFont="1" applyBorder="1" applyAlignment="1"/>
    <xf numFmtId="168" fontId="1" fillId="0" borderId="0" xfId="3" applyNumberFormat="1" applyFont="1" applyFill="1" applyBorder="1" applyAlignment="1">
      <alignment horizontal="right"/>
    </xf>
    <xf numFmtId="169" fontId="1" fillId="0" borderId="0" xfId="3" applyNumberFormat="1" applyFont="1" applyFill="1" applyBorder="1" applyAlignment="1">
      <alignment horizontal="right"/>
    </xf>
    <xf numFmtId="9" fontId="1" fillId="0" borderId="0" xfId="3" applyNumberFormat="1" applyFont="1" applyFill="1" applyBorder="1" applyAlignment="1">
      <alignment horizontal="right"/>
    </xf>
    <xf numFmtId="9" fontId="1" fillId="0" borderId="0" xfId="3" applyNumberFormat="1" applyFont="1" applyBorder="1" applyAlignment="1">
      <alignment horizontal="right"/>
    </xf>
    <xf numFmtId="3" fontId="1" fillId="0" borderId="0" xfId="3" applyNumberFormat="1" applyFont="1" applyBorder="1" applyAlignment="1">
      <alignment horizontal="right"/>
    </xf>
    <xf numFmtId="176" fontId="1" fillId="0" borderId="0" xfId="3" applyNumberFormat="1" applyFont="1" applyBorder="1" applyAlignment="1"/>
    <xf numFmtId="3" fontId="3" fillId="0" borderId="0" xfId="3" applyNumberFormat="1" applyFont="1" applyBorder="1" applyAlignment="1"/>
    <xf numFmtId="1" fontId="1" fillId="0" borderId="0" xfId="3" applyNumberFormat="1" applyFont="1" applyBorder="1" applyAlignment="1"/>
    <xf numFmtId="3" fontId="1" fillId="6" borderId="0" xfId="3" applyNumberFormat="1" applyFont="1" applyFill="1" applyBorder="1" applyAlignment="1">
      <alignment horizontal="right"/>
    </xf>
    <xf numFmtId="0" fontId="15" fillId="0" borderId="0" xfId="12" applyFont="1" applyAlignment="1" applyProtection="1"/>
    <xf numFmtId="0" fontId="1" fillId="0" borderId="0" xfId="0" applyFont="1"/>
    <xf numFmtId="3" fontId="2" fillId="0" borderId="0" xfId="3" applyNumberFormat="1" applyFont="1" applyBorder="1" applyAlignment="1">
      <alignment horizontal="right"/>
    </xf>
    <xf numFmtId="0" fontId="17" fillId="0" borderId="0" xfId="0" applyFont="1"/>
  </cellXfs>
  <cellStyles count="21">
    <cellStyle name="% XX, X" xfId="1" xr:uid="{00000000-0005-0000-0000-000000000000}"/>
    <cellStyle name="% XX,X" xfId="2" xr:uid="{00000000-0005-0000-0000-000001000000}"/>
    <cellStyle name="Comma" xfId="3" builtinId="3"/>
    <cellStyle name="Date" xfId="4" xr:uid="{00000000-0005-0000-0000-000003000000}"/>
    <cellStyle name="Date Line" xfId="5" xr:uid="{00000000-0005-0000-0000-000004000000}"/>
    <cellStyle name="Dec_0" xfId="6" xr:uid="{00000000-0005-0000-0000-000005000000}"/>
    <cellStyle name="Dezimal [0]" xfId="7" xr:uid="{00000000-0005-0000-0000-000006000000}"/>
    <cellStyle name="Dezimal_Bayer Kennz. 2" xfId="8" xr:uid="{00000000-0005-0000-0000-000007000000}"/>
    <cellStyle name="Entry" xfId="9" xr:uid="{00000000-0005-0000-0000-000008000000}"/>
    <cellStyle name="ExchRate" xfId="10" xr:uid="{00000000-0005-0000-0000-000009000000}"/>
    <cellStyle name="Financial" xfId="11" xr:uid="{00000000-0005-0000-0000-00000A000000}"/>
    <cellStyle name="Hyperlink" xfId="12" builtinId="8"/>
    <cellStyle name="Normal" xfId="0" builtinId="0"/>
    <cellStyle name="Par Action" xfId="13" xr:uid="{00000000-0005-0000-0000-00000D000000}"/>
    <cellStyle name="Pourcentage, 0" xfId="14" xr:uid="{00000000-0005-0000-0000-00000E000000}"/>
    <cellStyle name="Share" xfId="15" xr:uid="{00000000-0005-0000-0000-00000F000000}"/>
    <cellStyle name="Source" xfId="16" xr:uid="{00000000-0005-0000-0000-000010000000}"/>
    <cellStyle name="Standard_Abs_Fzg." xfId="17" xr:uid="{00000000-0005-0000-0000-000011000000}"/>
    <cellStyle name="Validation" xfId="18" xr:uid="{00000000-0005-0000-0000-000012000000}"/>
    <cellStyle name="Währung [0]" xfId="19" xr:uid="{00000000-0005-0000-0000-000013000000}"/>
    <cellStyle name="Währung_Bayer Kennz. 2" xfId="20" xr:uid="{00000000-0005-0000-0000-000014000000}"/>
  </cellStyles>
  <dxfs count="0"/>
  <tableStyles count="1" defaultTableStyle="TableStyleMedium9" defaultPivotStyle="PivotStyleLight16">
    <tableStyle name="Invisible" pivot="0" table="0" count="0" xr9:uid="{110E60CA-C530-4483-9081-BEE591688290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11188</xdr:colOff>
      <xdr:row>0</xdr:row>
      <xdr:rowOff>0</xdr:rowOff>
    </xdr:from>
    <xdr:to>
      <xdr:col>66</xdr:col>
      <xdr:colOff>11188</xdr:colOff>
      <xdr:row>87</xdr:row>
      <xdr:rowOff>78925</xdr:rowOff>
    </xdr:to>
    <xdr:cxnSp macro="">
      <xdr:nvCxnSpPr>
        <xdr:cNvPr id="20392" name="Straight Connector 2">
          <a:extLst>
            <a:ext uri="{FF2B5EF4-FFF2-40B4-BE49-F238E27FC236}">
              <a16:creationId xmlns:a16="http://schemas.microsoft.com/office/drawing/2014/main" id="{00000000-0008-0000-0100-0000A84F0000}"/>
            </a:ext>
          </a:extLst>
        </xdr:cNvPr>
        <xdr:cNvCxnSpPr>
          <a:cxnSpLocks noChangeShapeType="1"/>
        </xdr:cNvCxnSpPr>
      </xdr:nvCxnSpPr>
      <xdr:spPr bwMode="auto">
        <a:xfrm>
          <a:off x="35927998" y="0"/>
          <a:ext cx="0" cy="13232496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95</xdr:col>
      <xdr:colOff>4083</xdr:colOff>
      <xdr:row>0</xdr:row>
      <xdr:rowOff>0</xdr:rowOff>
    </xdr:from>
    <xdr:to>
      <xdr:col>95</xdr:col>
      <xdr:colOff>4083</xdr:colOff>
      <xdr:row>67</xdr:row>
      <xdr:rowOff>107497</xdr:rowOff>
    </xdr:to>
    <xdr:cxnSp macro="">
      <xdr:nvCxnSpPr>
        <xdr:cNvPr id="20393" name="Straight Connector 2">
          <a:extLst>
            <a:ext uri="{FF2B5EF4-FFF2-40B4-BE49-F238E27FC236}">
              <a16:creationId xmlns:a16="http://schemas.microsoft.com/office/drawing/2014/main" id="{00000000-0008-0000-0100-0000A94F0000}"/>
            </a:ext>
          </a:extLst>
        </xdr:cNvPr>
        <xdr:cNvCxnSpPr>
          <a:cxnSpLocks noChangeShapeType="1"/>
        </xdr:cNvCxnSpPr>
      </xdr:nvCxnSpPr>
      <xdr:spPr bwMode="auto">
        <a:xfrm rot="5400000">
          <a:off x="39062706" y="5523820"/>
          <a:ext cx="11047640" cy="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1928DA2E-AA96-44E0-A017-EBF35EB40633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K49" dT="2023-05-16T03:34:34.88" personId="{1928DA2E-AA96-44E0-A017-EBF35EB40633}" id="{FF59098B-CDEA-4E95-99E9-B148257A5966}">
    <text>25% CER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30"/>
  <sheetViews>
    <sheetView zoomScale="145" zoomScaleNormal="145" workbookViewId="0">
      <selection activeCell="E12" sqref="E12"/>
    </sheetView>
  </sheetViews>
  <sheetFormatPr defaultColWidth="9.140625" defaultRowHeight="12.75" x14ac:dyDescent="0.2"/>
  <cols>
    <col min="1" max="1" width="3.28515625" style="24" customWidth="1"/>
    <col min="2" max="2" width="41.42578125" style="24" bestFit="1" customWidth="1"/>
    <col min="3" max="3" width="25.42578125" style="26" customWidth="1"/>
    <col min="4" max="4" width="14.7109375" style="26" customWidth="1"/>
    <col min="5" max="5" width="11.140625" style="24" customWidth="1"/>
    <col min="6" max="6" width="9.140625" style="24"/>
    <col min="7" max="7" width="9.7109375" style="24" customWidth="1"/>
    <col min="8" max="8" width="7.28515625" style="24" customWidth="1"/>
    <col min="9" max="9" width="11.28515625" style="24" customWidth="1"/>
    <col min="10" max="10" width="10" style="24" customWidth="1"/>
    <col min="11" max="11" width="7.7109375" style="24" customWidth="1"/>
    <col min="12" max="16384" width="9.140625" style="24"/>
  </cols>
  <sheetData>
    <row r="2" spans="2:11" x14ac:dyDescent="0.2">
      <c r="B2" s="21" t="s">
        <v>0</v>
      </c>
      <c r="C2" s="22" t="s">
        <v>1</v>
      </c>
      <c r="D2" s="22" t="s">
        <v>2</v>
      </c>
      <c r="E2" s="22" t="s">
        <v>3</v>
      </c>
      <c r="F2" s="22" t="s">
        <v>4</v>
      </c>
      <c r="G2" s="23" t="s">
        <v>5</v>
      </c>
      <c r="I2" s="24" t="s">
        <v>6</v>
      </c>
      <c r="J2" s="25">
        <v>1162</v>
      </c>
    </row>
    <row r="3" spans="2:11" x14ac:dyDescent="0.2">
      <c r="B3" s="3" t="s">
        <v>7</v>
      </c>
      <c r="C3" s="26" t="s">
        <v>8</v>
      </c>
      <c r="D3" s="26" t="s">
        <v>9</v>
      </c>
      <c r="E3" s="20">
        <v>36684</v>
      </c>
      <c r="F3" s="26" t="s">
        <v>10</v>
      </c>
      <c r="G3" s="27">
        <v>1</v>
      </c>
      <c r="I3" s="24" t="s">
        <v>11</v>
      </c>
      <c r="J3" s="28">
        <v>2256.6</v>
      </c>
      <c r="K3" s="29" t="s">
        <v>196</v>
      </c>
    </row>
    <row r="4" spans="2:11" x14ac:dyDescent="0.2">
      <c r="B4" s="3" t="s">
        <v>13</v>
      </c>
      <c r="C4" s="26" t="s">
        <v>8</v>
      </c>
      <c r="D4" s="26" t="s">
        <v>9</v>
      </c>
      <c r="E4" s="20">
        <v>37196</v>
      </c>
      <c r="F4" s="26" t="s">
        <v>10</v>
      </c>
      <c r="G4" s="27">
        <v>1</v>
      </c>
      <c r="I4" s="24" t="s">
        <v>14</v>
      </c>
      <c r="J4" s="28">
        <f>J3*J2</f>
        <v>2622169.1999999997</v>
      </c>
    </row>
    <row r="5" spans="2:11" x14ac:dyDescent="0.2">
      <c r="B5" s="3" t="s">
        <v>15</v>
      </c>
      <c r="C5" s="26" t="s">
        <v>8</v>
      </c>
      <c r="D5" s="26" t="s">
        <v>9</v>
      </c>
      <c r="E5" s="20">
        <v>38519</v>
      </c>
      <c r="F5" s="26" t="s">
        <v>10</v>
      </c>
      <c r="G5" s="27">
        <v>1</v>
      </c>
      <c r="I5" s="24" t="s">
        <v>16</v>
      </c>
      <c r="J5" s="28">
        <v>43989</v>
      </c>
      <c r="K5" s="29" t="s">
        <v>118</v>
      </c>
    </row>
    <row r="6" spans="2:11" x14ac:dyDescent="0.2">
      <c r="B6" s="3" t="s">
        <v>17</v>
      </c>
      <c r="C6" s="26" t="s">
        <v>8</v>
      </c>
      <c r="D6" s="26" t="s">
        <v>18</v>
      </c>
      <c r="E6" s="20">
        <v>40203</v>
      </c>
      <c r="F6" s="26" t="s">
        <v>19</v>
      </c>
      <c r="G6" s="27">
        <v>1</v>
      </c>
      <c r="I6" s="24" t="s">
        <v>20</v>
      </c>
      <c r="J6" s="28">
        <v>32552</v>
      </c>
      <c r="K6" s="29" t="s">
        <v>118</v>
      </c>
    </row>
    <row r="7" spans="2:11" x14ac:dyDescent="0.2">
      <c r="B7" s="19" t="s">
        <v>21</v>
      </c>
      <c r="C7" s="26" t="s">
        <v>8</v>
      </c>
      <c r="D7" s="26" t="s">
        <v>22</v>
      </c>
      <c r="E7" s="20">
        <v>33414</v>
      </c>
      <c r="F7" s="26" t="s">
        <v>10</v>
      </c>
      <c r="G7" s="27">
        <v>1</v>
      </c>
      <c r="I7" s="24" t="s">
        <v>23</v>
      </c>
      <c r="J7" s="28">
        <f>J4-J5+J6</f>
        <v>2610732.1999999997</v>
      </c>
    </row>
    <row r="8" spans="2:11" x14ac:dyDescent="0.2">
      <c r="B8" s="19" t="s">
        <v>24</v>
      </c>
      <c r="C8" s="26" t="s">
        <v>25</v>
      </c>
      <c r="D8" s="26" t="s">
        <v>26</v>
      </c>
      <c r="E8" s="20"/>
      <c r="F8" s="26"/>
      <c r="G8" s="30"/>
    </row>
    <row r="9" spans="2:11" x14ac:dyDescent="0.2">
      <c r="B9" s="19" t="s">
        <v>27</v>
      </c>
      <c r="C9" s="26" t="s">
        <v>8</v>
      </c>
      <c r="D9" s="26" t="s">
        <v>9</v>
      </c>
      <c r="E9" s="20"/>
      <c r="F9" s="26" t="s">
        <v>10</v>
      </c>
      <c r="G9" s="27">
        <v>1</v>
      </c>
    </row>
    <row r="10" spans="2:11" x14ac:dyDescent="0.2">
      <c r="B10" s="3" t="s">
        <v>227</v>
      </c>
      <c r="C10" s="26" t="s">
        <v>234</v>
      </c>
      <c r="D10" s="26" t="s">
        <v>18</v>
      </c>
      <c r="E10" s="20">
        <v>44371</v>
      </c>
      <c r="F10" s="26" t="s">
        <v>10</v>
      </c>
      <c r="G10" s="27">
        <v>1</v>
      </c>
      <c r="J10" s="25"/>
    </row>
    <row r="11" spans="2:11" x14ac:dyDescent="0.2">
      <c r="B11" s="19" t="s">
        <v>238</v>
      </c>
      <c r="C11" s="26" t="s">
        <v>8</v>
      </c>
      <c r="D11" s="26" t="s">
        <v>18</v>
      </c>
      <c r="E11" s="20">
        <v>43074</v>
      </c>
      <c r="F11" s="26" t="s">
        <v>10</v>
      </c>
      <c r="G11" s="27">
        <v>1</v>
      </c>
      <c r="J11" s="25"/>
    </row>
    <row r="12" spans="2:11" x14ac:dyDescent="0.2">
      <c r="B12" s="19" t="s">
        <v>241</v>
      </c>
      <c r="C12" s="26" t="s">
        <v>8</v>
      </c>
      <c r="D12" s="26" t="s">
        <v>18</v>
      </c>
      <c r="E12" s="20"/>
      <c r="F12" s="26" t="s">
        <v>239</v>
      </c>
      <c r="G12" s="27">
        <v>1</v>
      </c>
      <c r="J12" s="25"/>
    </row>
    <row r="13" spans="2:11" x14ac:dyDescent="0.2">
      <c r="B13" s="19" t="s">
        <v>252</v>
      </c>
      <c r="C13" s="26" t="s">
        <v>8</v>
      </c>
      <c r="D13" s="26" t="s">
        <v>18</v>
      </c>
      <c r="E13" s="20"/>
      <c r="F13" s="26" t="s">
        <v>10</v>
      </c>
      <c r="G13" s="27">
        <v>1</v>
      </c>
      <c r="J13" s="25"/>
    </row>
    <row r="14" spans="2:11" x14ac:dyDescent="0.2">
      <c r="B14" s="19" t="s">
        <v>28</v>
      </c>
      <c r="C14" s="26" t="s">
        <v>29</v>
      </c>
      <c r="D14" s="26" t="s">
        <v>30</v>
      </c>
      <c r="E14" s="26"/>
      <c r="F14" s="26"/>
      <c r="G14" s="30"/>
      <c r="J14" s="28"/>
    </row>
    <row r="15" spans="2:11" x14ac:dyDescent="0.2">
      <c r="B15" s="21"/>
      <c r="C15" s="22"/>
      <c r="D15" s="22"/>
      <c r="E15" s="22" t="s">
        <v>31</v>
      </c>
      <c r="F15" s="22"/>
      <c r="G15" s="23"/>
    </row>
    <row r="16" spans="2:11" x14ac:dyDescent="0.2">
      <c r="B16" s="19" t="s">
        <v>32</v>
      </c>
      <c r="C16" s="26" t="s">
        <v>8</v>
      </c>
      <c r="D16" s="26" t="s">
        <v>33</v>
      </c>
      <c r="E16" s="26" t="s">
        <v>34</v>
      </c>
      <c r="F16" s="26"/>
      <c r="G16" s="30"/>
    </row>
    <row r="17" spans="2:7" x14ac:dyDescent="0.2">
      <c r="B17" s="19" t="s">
        <v>35</v>
      </c>
      <c r="C17" s="26" t="s">
        <v>36</v>
      </c>
      <c r="D17" s="26" t="s">
        <v>37</v>
      </c>
      <c r="E17" s="26" t="s">
        <v>34</v>
      </c>
      <c r="F17" s="26"/>
      <c r="G17" s="30"/>
    </row>
    <row r="18" spans="2:7" x14ac:dyDescent="0.2">
      <c r="B18" s="19" t="s">
        <v>39</v>
      </c>
      <c r="C18" s="26" t="s">
        <v>40</v>
      </c>
      <c r="D18" s="26" t="s">
        <v>41</v>
      </c>
      <c r="E18" s="26" t="s">
        <v>38</v>
      </c>
      <c r="F18" s="26"/>
      <c r="G18" s="30"/>
    </row>
    <row r="19" spans="2:7" x14ac:dyDescent="0.2">
      <c r="B19" s="19" t="s">
        <v>42</v>
      </c>
      <c r="C19" s="26" t="s">
        <v>43</v>
      </c>
      <c r="D19" s="26" t="s">
        <v>44</v>
      </c>
      <c r="E19" s="26" t="s">
        <v>45</v>
      </c>
      <c r="F19" s="26"/>
      <c r="G19" s="30"/>
    </row>
    <row r="20" spans="2:7" x14ac:dyDescent="0.2">
      <c r="B20" s="19" t="s">
        <v>46</v>
      </c>
      <c r="C20" s="26" t="s">
        <v>47</v>
      </c>
      <c r="D20" s="26" t="s">
        <v>48</v>
      </c>
      <c r="E20" s="26" t="s">
        <v>45</v>
      </c>
      <c r="F20" s="26"/>
      <c r="G20" s="30"/>
    </row>
    <row r="21" spans="2:7" x14ac:dyDescent="0.2">
      <c r="B21" s="19" t="s">
        <v>49</v>
      </c>
      <c r="C21" s="26" t="s">
        <v>50</v>
      </c>
      <c r="E21" s="26"/>
      <c r="F21" s="26"/>
      <c r="G21" s="30"/>
    </row>
    <row r="22" spans="2:7" x14ac:dyDescent="0.2">
      <c r="B22" s="19" t="s">
        <v>51</v>
      </c>
      <c r="C22" s="26" t="s">
        <v>52</v>
      </c>
      <c r="D22" s="26" t="s">
        <v>37</v>
      </c>
      <c r="E22" s="26" t="s">
        <v>38</v>
      </c>
      <c r="F22" s="26"/>
      <c r="G22" s="30"/>
    </row>
    <row r="23" spans="2:7" x14ac:dyDescent="0.2">
      <c r="B23" s="19" t="s">
        <v>53</v>
      </c>
      <c r="C23" s="26" t="s">
        <v>54</v>
      </c>
      <c r="D23" s="26" t="s">
        <v>37</v>
      </c>
      <c r="E23" s="26" t="s">
        <v>45</v>
      </c>
      <c r="F23" s="26"/>
      <c r="G23" s="30"/>
    </row>
    <row r="24" spans="2:7" x14ac:dyDescent="0.2">
      <c r="B24" s="31" t="s">
        <v>55</v>
      </c>
      <c r="C24" s="32" t="s">
        <v>8</v>
      </c>
      <c r="D24" s="32" t="s">
        <v>56</v>
      </c>
      <c r="E24" s="32" t="s">
        <v>57</v>
      </c>
      <c r="F24" s="33"/>
      <c r="G24" s="34"/>
    </row>
    <row r="26" spans="2:7" x14ac:dyDescent="0.2">
      <c r="B26" s="24" t="s">
        <v>58</v>
      </c>
      <c r="E26" s="24" t="s">
        <v>59</v>
      </c>
    </row>
    <row r="27" spans="2:7" x14ac:dyDescent="0.2">
      <c r="E27" s="24" t="s">
        <v>224</v>
      </c>
      <c r="F27" s="14"/>
    </row>
    <row r="28" spans="2:7" x14ac:dyDescent="0.2">
      <c r="E28" s="24" t="s">
        <v>225</v>
      </c>
    </row>
    <row r="30" spans="2:7" x14ac:dyDescent="0.2">
      <c r="E30" s="24" t="s">
        <v>226</v>
      </c>
    </row>
  </sheetData>
  <phoneticPr fontId="14" type="noConversion"/>
  <hyperlinks>
    <hyperlink ref="B6" location="Victoza!A1" display="Victoza (liraglutide)" xr:uid="{00000000-0004-0000-0000-000000000000}"/>
    <hyperlink ref="B3" location="NovoLog!A1" display="NovoLog/NovoRapid (insulin aspart)" xr:uid="{00000000-0004-0000-0000-000001000000}"/>
    <hyperlink ref="B4" location="NovoLog!A1" display="NovoLog Mix/NovoMix (insulin aspart/protamine)" xr:uid="{00000000-0004-0000-0000-000002000000}"/>
    <hyperlink ref="B5" location="Levemir!A1" display="Levemir (insulin detemir)" xr:uid="{00000000-0004-0000-0000-000003000000}"/>
    <hyperlink ref="B10" location="Wegovy!A1" display="Wegovy (semaglutide)" xr:uid="{94316FA9-3948-421D-A0D7-91AAA32E59A3}"/>
  </hyperlinks>
  <pageMargins left="0.75" right="0.75" top="1" bottom="1" header="0.5" footer="0.5"/>
  <pageSetup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K87"/>
  <sheetViews>
    <sheetView tabSelected="1" zoomScale="145" zoomScaleNormal="145" workbookViewId="0">
      <pane xSplit="2" ySplit="2" topLeftCell="AQ3" activePane="bottomRight" state="frozen"/>
      <selection pane="topRight" activeCell="C1" sqref="C1"/>
      <selection pane="bottomLeft" activeCell="A3" sqref="A3"/>
      <selection pane="bottomRight" activeCell="AS16" sqref="AS16"/>
    </sheetView>
  </sheetViews>
  <sheetFormatPr defaultColWidth="9.140625" defaultRowHeight="12.75" customHeight="1" x14ac:dyDescent="0.2"/>
  <cols>
    <col min="1" max="1" width="5" style="5" bestFit="1" customWidth="1"/>
    <col min="2" max="2" width="19.140625" style="18" customWidth="1"/>
    <col min="3" max="56" width="6.85546875" style="6" customWidth="1"/>
    <col min="57" max="68" width="7.85546875" style="6" customWidth="1"/>
    <col min="69" max="70" width="6.85546875" style="6" customWidth="1"/>
    <col min="71" max="78" width="7.140625" style="6" bestFit="1" customWidth="1"/>
    <col min="79" max="79" width="7.7109375" style="6" customWidth="1"/>
    <col min="80" max="81" width="7.42578125" style="6" bestFit="1" customWidth="1"/>
    <col min="82" max="89" width="7.7109375" style="6" customWidth="1"/>
    <col min="90" max="104" width="7.7109375" style="7" customWidth="1"/>
    <col min="105" max="16384" width="9.140625" style="7"/>
  </cols>
  <sheetData>
    <row r="1" spans="1:141" ht="12.75" customHeight="1" x14ac:dyDescent="0.2">
      <c r="A1" s="16" t="s">
        <v>60</v>
      </c>
      <c r="B1" s="37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55"/>
      <c r="BO1" s="38"/>
      <c r="BP1" s="38"/>
      <c r="BQ1" s="38"/>
      <c r="BR1" s="38"/>
      <c r="BS1" s="38"/>
      <c r="BT1" s="38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39"/>
      <c r="CJ1" s="39"/>
      <c r="CK1" s="39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  <c r="EK1" s="40"/>
    </row>
    <row r="2" spans="1:141" ht="12.75" customHeight="1" x14ac:dyDescent="0.2">
      <c r="A2" s="41"/>
      <c r="B2" s="36"/>
      <c r="C2" s="42" t="s">
        <v>61</v>
      </c>
      <c r="D2" s="42" t="s">
        <v>62</v>
      </c>
      <c r="E2" s="42" t="s">
        <v>63</v>
      </c>
      <c r="F2" s="42" t="s">
        <v>64</v>
      </c>
      <c r="G2" s="42" t="s">
        <v>65</v>
      </c>
      <c r="H2" s="42" t="s">
        <v>66</v>
      </c>
      <c r="I2" s="42" t="s">
        <v>67</v>
      </c>
      <c r="J2" s="42" t="s">
        <v>68</v>
      </c>
      <c r="K2" s="42" t="s">
        <v>69</v>
      </c>
      <c r="L2" s="42" t="s">
        <v>70</v>
      </c>
      <c r="M2" s="42" t="s">
        <v>71</v>
      </c>
      <c r="N2" s="42" t="s">
        <v>72</v>
      </c>
      <c r="O2" s="42" t="s">
        <v>73</v>
      </c>
      <c r="P2" s="42" t="s">
        <v>74</v>
      </c>
      <c r="Q2" s="42" t="s">
        <v>75</v>
      </c>
      <c r="R2" s="42" t="s">
        <v>76</v>
      </c>
      <c r="S2" s="42" t="s">
        <v>77</v>
      </c>
      <c r="T2" s="42" t="s">
        <v>78</v>
      </c>
      <c r="U2" s="42" t="s">
        <v>79</v>
      </c>
      <c r="V2" s="42" t="s">
        <v>80</v>
      </c>
      <c r="W2" s="42" t="s">
        <v>81</v>
      </c>
      <c r="X2" s="42" t="s">
        <v>82</v>
      </c>
      <c r="Y2" s="42" t="s">
        <v>83</v>
      </c>
      <c r="Z2" s="42" t="s">
        <v>84</v>
      </c>
      <c r="AA2" s="42" t="s">
        <v>85</v>
      </c>
      <c r="AB2" s="42" t="s">
        <v>12</v>
      </c>
      <c r="AC2" s="42" t="s">
        <v>86</v>
      </c>
      <c r="AD2" s="42" t="s">
        <v>87</v>
      </c>
      <c r="AE2" s="42" t="s">
        <v>88</v>
      </c>
      <c r="AF2" s="42" t="s">
        <v>89</v>
      </c>
      <c r="AG2" s="42" t="s">
        <v>90</v>
      </c>
      <c r="AH2" s="42" t="s">
        <v>91</v>
      </c>
      <c r="AI2" s="42" t="s">
        <v>92</v>
      </c>
      <c r="AJ2" s="42" t="s">
        <v>93</v>
      </c>
      <c r="AK2" s="42" t="s">
        <v>94</v>
      </c>
      <c r="AL2" s="42" t="s">
        <v>95</v>
      </c>
      <c r="AM2" s="42" t="s">
        <v>96</v>
      </c>
      <c r="AN2" s="42" t="s">
        <v>97</v>
      </c>
      <c r="AO2" s="42" t="s">
        <v>98</v>
      </c>
      <c r="AP2" s="42" t="s">
        <v>99</v>
      </c>
      <c r="AQ2" s="42" t="s">
        <v>100</v>
      </c>
      <c r="AR2" s="42" t="s">
        <v>101</v>
      </c>
      <c r="AS2" s="42" t="s">
        <v>102</v>
      </c>
      <c r="AT2" s="42" t="s">
        <v>103</v>
      </c>
      <c r="AU2" s="42" t="s">
        <v>104</v>
      </c>
      <c r="AV2" s="42" t="s">
        <v>105</v>
      </c>
      <c r="AW2" s="42" t="s">
        <v>106</v>
      </c>
      <c r="AX2" s="42" t="s">
        <v>107</v>
      </c>
      <c r="AY2" s="42" t="s">
        <v>108</v>
      </c>
      <c r="AZ2" s="42" t="s">
        <v>109</v>
      </c>
      <c r="BA2" s="42" t="s">
        <v>110</v>
      </c>
      <c r="BB2" s="42" t="s">
        <v>111</v>
      </c>
      <c r="BC2" s="42" t="s">
        <v>112</v>
      </c>
      <c r="BD2" s="42" t="s">
        <v>113</v>
      </c>
      <c r="BE2" s="42" t="s">
        <v>114</v>
      </c>
      <c r="BF2" s="42" t="s">
        <v>115</v>
      </c>
      <c r="BG2" s="42" t="s">
        <v>116</v>
      </c>
      <c r="BH2" s="42" t="s">
        <v>117</v>
      </c>
      <c r="BI2" s="42" t="s">
        <v>118</v>
      </c>
      <c r="BJ2" s="42" t="s">
        <v>119</v>
      </c>
      <c r="BK2" s="42" t="s">
        <v>196</v>
      </c>
      <c r="BL2" s="42" t="s">
        <v>197</v>
      </c>
      <c r="BM2" s="42" t="s">
        <v>198</v>
      </c>
      <c r="BN2" s="42" t="s">
        <v>199</v>
      </c>
      <c r="BO2" s="42" t="s">
        <v>253</v>
      </c>
      <c r="BP2" s="42" t="s">
        <v>254</v>
      </c>
      <c r="BQ2" s="42" t="s">
        <v>255</v>
      </c>
      <c r="BR2" s="42" t="s">
        <v>256</v>
      </c>
      <c r="BS2" s="43"/>
      <c r="BT2" s="42" t="s">
        <v>120</v>
      </c>
      <c r="BU2" s="42" t="s">
        <v>121</v>
      </c>
      <c r="BV2" s="42" t="s">
        <v>122</v>
      </c>
      <c r="BW2" s="42" t="s">
        <v>123</v>
      </c>
      <c r="BX2" s="42" t="s">
        <v>124</v>
      </c>
      <c r="BY2" s="42" t="s">
        <v>125</v>
      </c>
      <c r="BZ2" s="42" t="s">
        <v>126</v>
      </c>
      <c r="CA2" s="42">
        <v>2005</v>
      </c>
      <c r="CB2" s="42">
        <v>2006</v>
      </c>
      <c r="CC2" s="42">
        <v>2007</v>
      </c>
      <c r="CD2" s="42">
        <v>2008</v>
      </c>
      <c r="CE2" s="42">
        <v>2009</v>
      </c>
      <c r="CF2" s="42">
        <v>2010</v>
      </c>
      <c r="CG2" s="42">
        <v>2011</v>
      </c>
      <c r="CH2" s="42">
        <v>2012</v>
      </c>
      <c r="CI2" s="42">
        <v>2013</v>
      </c>
      <c r="CJ2" s="42">
        <v>2014</v>
      </c>
      <c r="CK2" s="42">
        <v>2015</v>
      </c>
      <c r="CL2" s="60">
        <f>+CK2+1</f>
        <v>2016</v>
      </c>
      <c r="CM2" s="60">
        <f t="shared" ref="CM2:CZ2" si="0">+CL2+1</f>
        <v>2017</v>
      </c>
      <c r="CN2" s="60">
        <f t="shared" si="0"/>
        <v>2018</v>
      </c>
      <c r="CO2" s="60">
        <f t="shared" si="0"/>
        <v>2019</v>
      </c>
      <c r="CP2" s="60">
        <f t="shared" si="0"/>
        <v>2020</v>
      </c>
      <c r="CQ2" s="60">
        <f t="shared" si="0"/>
        <v>2021</v>
      </c>
      <c r="CR2" s="60">
        <f t="shared" si="0"/>
        <v>2022</v>
      </c>
      <c r="CS2" s="60">
        <f t="shared" si="0"/>
        <v>2023</v>
      </c>
      <c r="CT2" s="60">
        <f t="shared" si="0"/>
        <v>2024</v>
      </c>
      <c r="CU2" s="60">
        <f t="shared" si="0"/>
        <v>2025</v>
      </c>
      <c r="CV2" s="60">
        <f t="shared" si="0"/>
        <v>2026</v>
      </c>
      <c r="CW2" s="60">
        <f t="shared" si="0"/>
        <v>2027</v>
      </c>
      <c r="CX2" s="60">
        <f t="shared" si="0"/>
        <v>2028</v>
      </c>
      <c r="CY2" s="60">
        <f t="shared" si="0"/>
        <v>2029</v>
      </c>
      <c r="CZ2" s="60">
        <f t="shared" si="0"/>
        <v>2030</v>
      </c>
      <c r="DA2" s="58"/>
      <c r="DB2" s="40"/>
      <c r="DC2" s="40"/>
      <c r="DD2" s="40"/>
      <c r="DE2" s="40"/>
      <c r="DF2" s="40"/>
      <c r="DG2" s="40"/>
      <c r="DH2" s="40"/>
      <c r="DI2" s="40"/>
      <c r="DJ2" s="40"/>
      <c r="DK2" s="40"/>
      <c r="DL2" s="40"/>
      <c r="DM2" s="40"/>
      <c r="DN2" s="40"/>
      <c r="DO2" s="40"/>
      <c r="DP2" s="40"/>
      <c r="DQ2" s="40"/>
      <c r="DR2" s="40"/>
      <c r="DS2" s="40"/>
      <c r="DT2" s="40"/>
      <c r="DU2" s="40"/>
      <c r="DV2" s="40"/>
      <c r="DW2" s="40"/>
      <c r="DX2" s="40"/>
      <c r="DY2" s="40"/>
      <c r="DZ2" s="40"/>
      <c r="EA2" s="40"/>
      <c r="EB2" s="40"/>
      <c r="EC2" s="40"/>
      <c r="ED2" s="40"/>
      <c r="EE2" s="40"/>
      <c r="EF2" s="40"/>
      <c r="EG2" s="40"/>
      <c r="EH2" s="40"/>
      <c r="EI2" s="40"/>
      <c r="EJ2" s="40"/>
      <c r="EK2" s="40"/>
    </row>
    <row r="3" spans="1:141" s="17" customFormat="1" ht="12.75" customHeight="1" x14ac:dyDescent="0.2">
      <c r="A3" s="35"/>
      <c r="B3" s="35" t="s">
        <v>127</v>
      </c>
      <c r="C3" s="44"/>
      <c r="D3" s="44"/>
      <c r="E3" s="44"/>
      <c r="F3" s="44"/>
      <c r="G3" s="44"/>
      <c r="H3" s="44"/>
      <c r="I3" s="44"/>
      <c r="J3" s="44"/>
      <c r="K3" s="44">
        <v>2616</v>
      </c>
      <c r="L3" s="44">
        <f>5659-K3</f>
        <v>3043</v>
      </c>
      <c r="M3" s="44">
        <f>8691-L3-K3</f>
        <v>3032</v>
      </c>
      <c r="N3" s="44">
        <f>11900-M3-L3-K3</f>
        <v>3209</v>
      </c>
      <c r="O3" s="44">
        <v>2955</v>
      </c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>
        <v>3901</v>
      </c>
      <c r="AB3" s="44">
        <f>8152-AA3</f>
        <v>4251</v>
      </c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>
        <v>4799</v>
      </c>
      <c r="AS3" s="44">
        <v>4445</v>
      </c>
      <c r="AT3" s="44">
        <v>4824</v>
      </c>
      <c r="AU3" s="44">
        <v>4746</v>
      </c>
      <c r="AV3" s="44">
        <v>4486</v>
      </c>
      <c r="AW3" s="44">
        <v>4331</v>
      </c>
      <c r="AX3" s="44">
        <v>4497</v>
      </c>
      <c r="AY3" s="44">
        <v>4724</v>
      </c>
      <c r="AZ3" s="44">
        <v>4093</v>
      </c>
      <c r="BA3" s="44">
        <v>4244</v>
      </c>
      <c r="BB3" s="44">
        <v>3867</v>
      </c>
      <c r="BC3" s="44">
        <v>4154</v>
      </c>
      <c r="BD3" s="44">
        <v>3817</v>
      </c>
      <c r="BE3" s="44">
        <v>3943</v>
      </c>
      <c r="BF3" s="44">
        <v>4025</v>
      </c>
      <c r="BG3" s="44">
        <v>4345</v>
      </c>
      <c r="BH3" s="44">
        <v>3371</v>
      </c>
      <c r="BI3" s="44">
        <v>3778</v>
      </c>
      <c r="BJ3" s="44">
        <v>3966</v>
      </c>
      <c r="BK3" s="44">
        <v>3970</v>
      </c>
      <c r="BL3" s="44">
        <v>3064</v>
      </c>
      <c r="BM3" s="44">
        <v>3234</v>
      </c>
      <c r="BN3" s="44">
        <v>3508</v>
      </c>
      <c r="BO3" s="44"/>
      <c r="BP3" s="44"/>
      <c r="BQ3" s="44"/>
      <c r="BR3" s="44"/>
      <c r="BS3" s="45"/>
      <c r="BT3" s="44"/>
      <c r="BU3" s="44"/>
      <c r="BV3" s="44"/>
      <c r="BW3" s="44"/>
      <c r="BX3" s="44"/>
      <c r="BY3" s="44"/>
      <c r="BZ3" s="44"/>
      <c r="CA3" s="44"/>
      <c r="CB3" s="44"/>
      <c r="CC3" s="44"/>
      <c r="CD3" s="44"/>
      <c r="CE3" s="44"/>
      <c r="CF3" s="44"/>
      <c r="CG3" s="44"/>
      <c r="CH3" s="44"/>
      <c r="CI3" s="44"/>
      <c r="CJ3" s="44"/>
      <c r="CK3" s="44"/>
      <c r="CL3" s="46"/>
      <c r="CM3" s="46"/>
      <c r="CN3" s="46"/>
      <c r="CO3" s="46"/>
      <c r="CP3" s="46">
        <f>SUM(AY3:BB3)</f>
        <v>16928</v>
      </c>
      <c r="CQ3" s="46">
        <f>SUM(BC3:BF3)</f>
        <v>15939</v>
      </c>
      <c r="CR3" s="46">
        <f>SUM(BG3:BJ3)</f>
        <v>15460</v>
      </c>
      <c r="CS3" s="46">
        <f>SUM(BK3:BN3)</f>
        <v>13776</v>
      </c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  <c r="DO3" s="46"/>
      <c r="DP3" s="46"/>
      <c r="DQ3" s="46"/>
      <c r="DR3" s="46"/>
      <c r="DS3" s="46"/>
      <c r="DT3" s="46"/>
      <c r="DU3" s="46"/>
      <c r="DV3" s="46"/>
      <c r="DW3" s="46"/>
      <c r="DX3" s="46"/>
      <c r="DY3" s="46"/>
      <c r="DZ3" s="46"/>
      <c r="EA3" s="46"/>
      <c r="EB3" s="46"/>
      <c r="EC3" s="46"/>
      <c r="ED3" s="46"/>
      <c r="EE3" s="46"/>
      <c r="EF3" s="46"/>
      <c r="EG3" s="46"/>
      <c r="EH3" s="46"/>
      <c r="EI3" s="46"/>
      <c r="EJ3" s="46"/>
      <c r="EK3" s="46"/>
    </row>
    <row r="4" spans="1:141" s="17" customFormat="1" ht="12.75" customHeight="1" x14ac:dyDescent="0.2">
      <c r="A4" s="35"/>
      <c r="B4" s="35" t="s">
        <v>184</v>
      </c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R4" s="44">
        <f>2587-AR5</f>
        <v>179</v>
      </c>
      <c r="AS4" s="44">
        <f>2527-AS5</f>
        <v>195</v>
      </c>
      <c r="AT4" s="44">
        <v>206</v>
      </c>
      <c r="AU4" s="44">
        <v>231</v>
      </c>
      <c r="AV4" s="44">
        <v>272</v>
      </c>
      <c r="AW4" s="44">
        <v>301</v>
      </c>
      <c r="AX4" s="44">
        <v>439</v>
      </c>
      <c r="AY4" s="44">
        <v>390</v>
      </c>
      <c r="AZ4" s="44">
        <v>286</v>
      </c>
      <c r="BA4" s="44">
        <v>345</v>
      </c>
      <c r="BB4" s="44">
        <v>364</v>
      </c>
      <c r="BC4" s="44">
        <v>402</v>
      </c>
      <c r="BD4" s="44">
        <v>435</v>
      </c>
      <c r="BE4" s="44">
        <v>416</v>
      </c>
      <c r="BF4" s="44">
        <v>495</v>
      </c>
      <c r="BG4" s="44">
        <v>497</v>
      </c>
      <c r="BH4" s="44">
        <v>516</v>
      </c>
      <c r="BI4" s="44">
        <v>485</v>
      </c>
      <c r="BJ4" s="44">
        <v>505</v>
      </c>
      <c r="BK4" s="44">
        <v>518</v>
      </c>
      <c r="BL4" s="44">
        <v>447</v>
      </c>
      <c r="BM4" s="44">
        <v>574</v>
      </c>
      <c r="BN4" s="44">
        <v>634</v>
      </c>
      <c r="BO4" s="44"/>
      <c r="BP4" s="44"/>
      <c r="BQ4" s="44"/>
      <c r="BR4" s="44"/>
      <c r="BS4" s="45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6"/>
      <c r="CM4" s="46"/>
      <c r="CN4" s="46"/>
      <c r="CO4" s="46"/>
      <c r="CP4" s="46">
        <f t="shared" ref="CP4:CP9" si="1">SUM(AY4:BB4)</f>
        <v>1385</v>
      </c>
      <c r="CQ4" s="46">
        <f t="shared" ref="CQ4:CQ9" si="2">SUM(BC4:BF4)</f>
        <v>1748</v>
      </c>
      <c r="CR4" s="46">
        <f t="shared" ref="CR4:CR9" si="3">SUM(BG4:BJ4)</f>
        <v>2003</v>
      </c>
      <c r="CS4" s="46">
        <f t="shared" ref="CS4:CS9" si="4">SUM(BK4:BN4)</f>
        <v>2173</v>
      </c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  <c r="DO4" s="46"/>
      <c r="DP4" s="46"/>
      <c r="DQ4" s="46"/>
      <c r="DR4" s="46"/>
      <c r="DS4" s="46"/>
      <c r="DT4" s="46"/>
      <c r="DU4" s="46"/>
      <c r="DV4" s="46"/>
      <c r="DW4" s="46"/>
      <c r="DX4" s="46"/>
      <c r="DY4" s="46"/>
      <c r="DZ4" s="46"/>
      <c r="EA4" s="46"/>
      <c r="EB4" s="46"/>
      <c r="EC4" s="46"/>
      <c r="ED4" s="46"/>
      <c r="EE4" s="46"/>
      <c r="EF4" s="46"/>
      <c r="EG4" s="46"/>
      <c r="EH4" s="46"/>
      <c r="EI4" s="46"/>
      <c r="EJ4" s="46"/>
      <c r="EK4" s="46"/>
    </row>
    <row r="5" spans="1:141" s="17" customFormat="1" ht="12.75" customHeight="1" x14ac:dyDescent="0.2">
      <c r="A5" s="35"/>
      <c r="B5" s="35" t="s">
        <v>128</v>
      </c>
      <c r="C5" s="44"/>
      <c r="D5" s="44"/>
      <c r="E5" s="44"/>
      <c r="F5" s="44"/>
      <c r="G5" s="44"/>
      <c r="H5" s="44"/>
      <c r="I5" s="44"/>
      <c r="J5" s="44"/>
      <c r="K5" s="44">
        <v>1729</v>
      </c>
      <c r="L5" s="44">
        <f>3718-K5</f>
        <v>1989</v>
      </c>
      <c r="M5" s="44">
        <f>5716-L5-K5</f>
        <v>1998</v>
      </c>
      <c r="N5" s="44">
        <f>7821-M5-L5-K5</f>
        <v>2105</v>
      </c>
      <c r="O5" s="44">
        <v>1975</v>
      </c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>
        <v>2358</v>
      </c>
      <c r="AB5" s="44">
        <f>4840-AA5</f>
        <v>2482</v>
      </c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>
        <v>2408</v>
      </c>
      <c r="AS5" s="44">
        <v>2332</v>
      </c>
      <c r="AT5" s="44">
        <v>2239</v>
      </c>
      <c r="AU5" s="44">
        <v>2545</v>
      </c>
      <c r="AV5" s="44">
        <v>2303</v>
      </c>
      <c r="AW5" s="44">
        <v>2318</v>
      </c>
      <c r="AX5" s="44">
        <v>2419</v>
      </c>
      <c r="AY5" s="44">
        <v>2618</v>
      </c>
      <c r="AZ5" s="44">
        <v>2359</v>
      </c>
      <c r="BA5" s="44">
        <v>2276</v>
      </c>
      <c r="BB5" s="44">
        <v>2381</v>
      </c>
      <c r="BC5" s="44">
        <v>2533</v>
      </c>
      <c r="BD5" s="44">
        <v>2294</v>
      </c>
      <c r="BE5" s="44">
        <v>2398</v>
      </c>
      <c r="BF5" s="44">
        <v>2267</v>
      </c>
      <c r="BG5" s="44">
        <v>2375</v>
      </c>
      <c r="BH5" s="44">
        <v>1786</v>
      </c>
      <c r="BI5" s="44">
        <v>1899</v>
      </c>
      <c r="BJ5" s="44">
        <v>1613</v>
      </c>
      <c r="BK5" s="44">
        <v>1805</v>
      </c>
      <c r="BL5" s="44">
        <v>1470</v>
      </c>
      <c r="BM5" s="44">
        <v>1355</v>
      </c>
      <c r="BN5" s="44">
        <v>1214</v>
      </c>
      <c r="BO5" s="44"/>
      <c r="BP5" s="44"/>
      <c r="BQ5" s="44"/>
      <c r="BR5" s="44"/>
      <c r="BS5" s="45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  <c r="CI5" s="44"/>
      <c r="CJ5" s="44"/>
      <c r="CK5" s="44"/>
      <c r="CL5" s="46"/>
      <c r="CM5" s="46"/>
      <c r="CN5" s="46"/>
      <c r="CO5" s="46"/>
      <c r="CP5" s="46">
        <f t="shared" si="1"/>
        <v>9634</v>
      </c>
      <c r="CQ5" s="46">
        <f t="shared" si="2"/>
        <v>9492</v>
      </c>
      <c r="CR5" s="46">
        <f t="shared" si="3"/>
        <v>7673</v>
      </c>
      <c r="CS5" s="46">
        <f t="shared" si="4"/>
        <v>5844</v>
      </c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  <c r="DO5" s="46"/>
      <c r="DP5" s="46"/>
      <c r="DQ5" s="46"/>
      <c r="DR5" s="46"/>
      <c r="DS5" s="46"/>
      <c r="DT5" s="46"/>
      <c r="DU5" s="46"/>
      <c r="DV5" s="46"/>
      <c r="DW5" s="46"/>
      <c r="DX5" s="46"/>
      <c r="DY5" s="46"/>
      <c r="DZ5" s="46"/>
      <c r="EA5" s="46"/>
      <c r="EB5" s="46"/>
      <c r="EC5" s="46"/>
      <c r="ED5" s="46"/>
      <c r="EE5" s="46"/>
      <c r="EF5" s="46"/>
      <c r="EG5" s="46"/>
      <c r="EH5" s="46"/>
      <c r="EI5" s="46"/>
      <c r="EJ5" s="46"/>
      <c r="EK5" s="46"/>
    </row>
    <row r="6" spans="1:141" s="17" customFormat="1" ht="12.75" customHeight="1" x14ac:dyDescent="0.2">
      <c r="A6" s="35"/>
      <c r="B6" s="35" t="s">
        <v>185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R6" s="44">
        <f>4936-AR3</f>
        <v>137</v>
      </c>
      <c r="AS6" s="44">
        <f>4609-AS3</f>
        <v>164</v>
      </c>
      <c r="AT6" s="44">
        <v>199</v>
      </c>
      <c r="AU6" s="44">
        <v>212</v>
      </c>
      <c r="AV6" s="44">
        <v>257</v>
      </c>
      <c r="AW6" s="44">
        <v>278</v>
      </c>
      <c r="AX6" s="44">
        <v>246</v>
      </c>
      <c r="AY6" s="44">
        <v>337</v>
      </c>
      <c r="AZ6" s="44">
        <v>334</v>
      </c>
      <c r="BA6" s="44">
        <v>296</v>
      </c>
      <c r="BB6" s="44">
        <v>324</v>
      </c>
      <c r="BC6" s="44">
        <v>420</v>
      </c>
      <c r="BD6" s="44">
        <v>421</v>
      </c>
      <c r="BE6" s="44">
        <v>446</v>
      </c>
      <c r="BF6" s="44">
        <v>424</v>
      </c>
      <c r="BG6" s="44">
        <v>637</v>
      </c>
      <c r="BH6" s="44">
        <v>715</v>
      </c>
      <c r="BI6" s="44">
        <v>807</v>
      </c>
      <c r="BJ6" s="44">
        <v>730</v>
      </c>
      <c r="BK6" s="44">
        <v>971</v>
      </c>
      <c r="BL6" s="44">
        <v>986</v>
      </c>
      <c r="BM6" s="44">
        <v>864</v>
      </c>
      <c r="BN6" s="44">
        <v>909</v>
      </c>
      <c r="BO6" s="44"/>
      <c r="BP6" s="44"/>
      <c r="BQ6" s="44"/>
      <c r="BR6" s="44"/>
      <c r="BS6" s="45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6"/>
      <c r="CM6" s="46"/>
      <c r="CN6" s="46"/>
      <c r="CO6" s="46"/>
      <c r="CP6" s="46">
        <f t="shared" si="1"/>
        <v>1291</v>
      </c>
      <c r="CQ6" s="46">
        <f t="shared" si="2"/>
        <v>1711</v>
      </c>
      <c r="CR6" s="46">
        <f t="shared" si="3"/>
        <v>2889</v>
      </c>
      <c r="CS6" s="46">
        <f t="shared" si="4"/>
        <v>3730</v>
      </c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  <c r="DO6" s="46"/>
      <c r="DP6" s="46"/>
      <c r="DQ6" s="46"/>
      <c r="DR6" s="46"/>
      <c r="DS6" s="46"/>
      <c r="DT6" s="46"/>
      <c r="DU6" s="46"/>
      <c r="DV6" s="46"/>
      <c r="DW6" s="46"/>
      <c r="DX6" s="46"/>
      <c r="DY6" s="46"/>
      <c r="DZ6" s="46"/>
      <c r="EA6" s="46"/>
      <c r="EB6" s="46"/>
      <c r="EC6" s="46"/>
      <c r="ED6" s="46"/>
      <c r="EE6" s="46"/>
      <c r="EF6" s="46"/>
      <c r="EG6" s="46"/>
      <c r="EH6" s="46"/>
      <c r="EI6" s="46"/>
      <c r="EJ6" s="46"/>
      <c r="EK6" s="46"/>
    </row>
    <row r="7" spans="1:141" s="17" customFormat="1" ht="12.75" customHeight="1" x14ac:dyDescent="0.2">
      <c r="A7" s="35"/>
      <c r="B7" s="35" t="s">
        <v>129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>
        <v>9</v>
      </c>
      <c r="X7" s="44">
        <v>24</v>
      </c>
      <c r="Y7" s="44">
        <v>42</v>
      </c>
      <c r="Z7" s="44">
        <v>68</v>
      </c>
      <c r="AA7" s="44">
        <v>80</v>
      </c>
      <c r="AB7" s="44">
        <v>141</v>
      </c>
      <c r="AC7" s="44"/>
      <c r="AD7" s="44"/>
      <c r="AE7" s="44">
        <v>271</v>
      </c>
      <c r="AF7" s="44">
        <v>330</v>
      </c>
      <c r="AG7" s="44">
        <v>376</v>
      </c>
      <c r="AH7" s="44">
        <v>461</v>
      </c>
      <c r="AI7" s="44">
        <v>626</v>
      </c>
      <c r="AJ7" s="44">
        <v>983</v>
      </c>
      <c r="AK7" s="44">
        <v>1143</v>
      </c>
      <c r="AL7" s="44">
        <v>1707</v>
      </c>
      <c r="AM7" s="44"/>
      <c r="AN7" s="44"/>
      <c r="AO7" s="44"/>
      <c r="AP7" s="44"/>
      <c r="AQ7" s="44"/>
      <c r="AR7" s="44">
        <v>1952</v>
      </c>
      <c r="AS7" s="44">
        <v>2156</v>
      </c>
      <c r="AT7" s="44">
        <v>2172</v>
      </c>
      <c r="AU7" s="44">
        <v>2147</v>
      </c>
      <c r="AV7" s="44">
        <v>2495</v>
      </c>
      <c r="AW7" s="44">
        <v>2306</v>
      </c>
      <c r="AX7" s="44">
        <v>2311</v>
      </c>
      <c r="AY7" s="44">
        <v>2460</v>
      </c>
      <c r="AZ7" s="44">
        <v>2158</v>
      </c>
      <c r="BA7" s="44">
        <v>2102</v>
      </c>
      <c r="BB7" s="44">
        <v>2248</v>
      </c>
      <c r="BC7" s="44">
        <v>2365</v>
      </c>
      <c r="BD7" s="44">
        <v>2192</v>
      </c>
      <c r="BE7" s="44">
        <v>2441</v>
      </c>
      <c r="BF7" s="44">
        <v>2731</v>
      </c>
      <c r="BG7" s="44">
        <v>2564</v>
      </c>
      <c r="BH7" s="44">
        <v>2269</v>
      </c>
      <c r="BI7" s="44">
        <v>2273</v>
      </c>
      <c r="BJ7" s="44">
        <v>2247</v>
      </c>
      <c r="BK7" s="44">
        <v>2179</v>
      </c>
      <c r="BL7" s="44">
        <v>1747</v>
      </c>
      <c r="BM7" s="44">
        <v>1910</v>
      </c>
      <c r="BN7" s="44">
        <v>1916</v>
      </c>
      <c r="BO7" s="44"/>
      <c r="BP7" s="44"/>
      <c r="BQ7" s="44"/>
      <c r="BR7" s="44"/>
      <c r="BS7" s="45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4"/>
      <c r="CJ7" s="44"/>
      <c r="CK7" s="44"/>
      <c r="CL7" s="46"/>
      <c r="CM7" s="46"/>
      <c r="CN7" s="46"/>
      <c r="CO7" s="46"/>
      <c r="CP7" s="46">
        <f t="shared" si="1"/>
        <v>8968</v>
      </c>
      <c r="CQ7" s="46">
        <f t="shared" si="2"/>
        <v>9729</v>
      </c>
      <c r="CR7" s="46">
        <f t="shared" si="3"/>
        <v>9353</v>
      </c>
      <c r="CS7" s="46">
        <f t="shared" si="4"/>
        <v>7752</v>
      </c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  <c r="DO7" s="46"/>
      <c r="DP7" s="46"/>
      <c r="DQ7" s="46"/>
      <c r="DR7" s="46"/>
      <c r="DS7" s="46"/>
      <c r="DT7" s="46"/>
      <c r="DU7" s="46"/>
      <c r="DV7" s="46"/>
      <c r="DW7" s="46"/>
      <c r="DX7" s="46"/>
      <c r="DY7" s="46"/>
      <c r="DZ7" s="46"/>
      <c r="EA7" s="46"/>
      <c r="EB7" s="46"/>
      <c r="EC7" s="46"/>
      <c r="ED7" s="46"/>
      <c r="EE7" s="46"/>
      <c r="EF7" s="46"/>
      <c r="EG7" s="46"/>
      <c r="EH7" s="46"/>
      <c r="EI7" s="46"/>
      <c r="EJ7" s="46"/>
      <c r="EK7" s="46"/>
    </row>
    <row r="8" spans="1:141" s="17" customFormat="1" ht="12.75" customHeight="1" x14ac:dyDescent="0.2">
      <c r="A8" s="35"/>
      <c r="B8" s="35" t="s">
        <v>130</v>
      </c>
      <c r="C8" s="44"/>
      <c r="D8" s="44"/>
      <c r="E8" s="44"/>
      <c r="F8" s="44"/>
      <c r="G8" s="44"/>
      <c r="H8" s="44"/>
      <c r="I8" s="44"/>
      <c r="J8" s="44"/>
      <c r="K8" s="44">
        <v>1517</v>
      </c>
      <c r="L8" s="44">
        <f>3277-K8</f>
        <v>1760</v>
      </c>
      <c r="M8" s="44">
        <f>5067-L8-K8</f>
        <v>1790</v>
      </c>
      <c r="N8" s="44">
        <f>6880-M8-L8-K8</f>
        <v>1813</v>
      </c>
      <c r="O8" s="44">
        <v>1775</v>
      </c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>
        <v>3118</v>
      </c>
      <c r="AB8" s="44">
        <f>6736-AA8</f>
        <v>3618</v>
      </c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>
        <v>3023</v>
      </c>
      <c r="AS8" s="44">
        <v>2560</v>
      </c>
      <c r="AT8" s="44">
        <v>2832</v>
      </c>
      <c r="AU8" s="44">
        <v>2620</v>
      </c>
      <c r="AV8" s="44">
        <v>2342</v>
      </c>
      <c r="AW8" s="44">
        <v>2138</v>
      </c>
      <c r="AX8" s="44">
        <v>2207</v>
      </c>
      <c r="AY8" s="44">
        <v>2036</v>
      </c>
      <c r="AZ8" s="44">
        <v>1486</v>
      </c>
      <c r="BA8" s="44">
        <v>1342</v>
      </c>
      <c r="BB8" s="61">
        <v>2163</v>
      </c>
      <c r="BC8" s="44">
        <v>1776</v>
      </c>
      <c r="BD8" s="44">
        <v>1312</v>
      </c>
      <c r="BE8" s="44">
        <v>1317</v>
      </c>
      <c r="BF8" s="44">
        <v>1273</v>
      </c>
      <c r="BG8" s="44">
        <v>1515</v>
      </c>
      <c r="BH8" s="44">
        <v>1144</v>
      </c>
      <c r="BI8" s="44">
        <v>961</v>
      </c>
      <c r="BJ8" s="44">
        <v>959</v>
      </c>
      <c r="BK8" s="44">
        <v>1173</v>
      </c>
      <c r="BL8" s="44">
        <v>753</v>
      </c>
      <c r="BM8" s="44">
        <v>984</v>
      </c>
      <c r="BN8" s="44">
        <v>1024</v>
      </c>
      <c r="BO8" s="44"/>
      <c r="BP8" s="44"/>
      <c r="BQ8" s="44"/>
      <c r="BR8" s="44"/>
      <c r="BS8" s="45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K8" s="44"/>
      <c r="CL8" s="46"/>
      <c r="CM8" s="46"/>
      <c r="CN8" s="46"/>
      <c r="CO8" s="46"/>
      <c r="CP8" s="46">
        <f t="shared" si="1"/>
        <v>7027</v>
      </c>
      <c r="CQ8" s="46">
        <f t="shared" si="2"/>
        <v>5678</v>
      </c>
      <c r="CR8" s="46">
        <f t="shared" si="3"/>
        <v>4579</v>
      </c>
      <c r="CS8" s="46">
        <f t="shared" si="4"/>
        <v>3934</v>
      </c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</row>
    <row r="9" spans="1:141" s="17" customFormat="1" ht="12.75" customHeight="1" x14ac:dyDescent="0.2">
      <c r="A9" s="35"/>
      <c r="B9" s="35" t="s">
        <v>183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R9" s="44">
        <f>5357-AR7-AR8</f>
        <v>382</v>
      </c>
      <c r="AS9" s="44">
        <f>5158-AS7-AS8</f>
        <v>442</v>
      </c>
      <c r="AT9" s="44">
        <v>452</v>
      </c>
      <c r="AU9" s="44">
        <v>477</v>
      </c>
      <c r="AV9" s="44">
        <v>574</v>
      </c>
      <c r="AW9" s="44">
        <v>575</v>
      </c>
      <c r="AX9" s="44">
        <v>584</v>
      </c>
      <c r="AY9" s="44">
        <v>662</v>
      </c>
      <c r="AZ9" s="44">
        <v>576</v>
      </c>
      <c r="BA9" s="44">
        <v>604</v>
      </c>
      <c r="BB9" s="44">
        <v>602</v>
      </c>
      <c r="BC9" s="44">
        <v>681</v>
      </c>
      <c r="BD9" s="44">
        <v>645</v>
      </c>
      <c r="BE9" s="44">
        <v>658</v>
      </c>
      <c r="BF9" s="44">
        <v>673</v>
      </c>
      <c r="BG9" s="44">
        <v>717</v>
      </c>
      <c r="BH9" s="44">
        <v>691</v>
      </c>
      <c r="BI9" s="44">
        <v>705</v>
      </c>
      <c r="BJ9" s="44">
        <v>696</v>
      </c>
      <c r="BK9" s="44">
        <v>781</v>
      </c>
      <c r="BL9" s="44">
        <v>854</v>
      </c>
      <c r="BM9" s="44">
        <v>798</v>
      </c>
      <c r="BN9" s="44">
        <v>786</v>
      </c>
      <c r="BO9" s="44"/>
      <c r="BP9" s="44"/>
      <c r="BQ9" s="44"/>
      <c r="BR9" s="44"/>
      <c r="BS9" s="45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6"/>
      <c r="CM9" s="46"/>
      <c r="CN9" s="46"/>
      <c r="CO9" s="46"/>
      <c r="CP9" s="46">
        <f t="shared" si="1"/>
        <v>2444</v>
      </c>
      <c r="CQ9" s="46">
        <f t="shared" si="2"/>
        <v>2657</v>
      </c>
      <c r="CR9" s="46">
        <f t="shared" si="3"/>
        <v>2809</v>
      </c>
      <c r="CS9" s="46">
        <f t="shared" si="4"/>
        <v>3219</v>
      </c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46"/>
    </row>
    <row r="10" spans="1:141" s="17" customFormat="1" ht="12.75" customHeight="1" x14ac:dyDescent="0.2">
      <c r="A10" s="35"/>
      <c r="B10" s="35" t="s">
        <v>131</v>
      </c>
      <c r="C10" s="45">
        <v>3821</v>
      </c>
      <c r="D10" s="45">
        <v>4103</v>
      </c>
      <c r="E10" s="45">
        <v>4365</v>
      </c>
      <c r="F10" s="45">
        <v>5028</v>
      </c>
      <c r="G10" s="44">
        <v>4990</v>
      </c>
      <c r="H10" s="44">
        <v>5414</v>
      </c>
      <c r="I10" s="44">
        <v>5353</v>
      </c>
      <c r="J10" s="44">
        <f>21471-I10-H10-G10</f>
        <v>5714</v>
      </c>
      <c r="K10" s="44">
        <f>SUM(K3:K8)</f>
        <v>5862</v>
      </c>
      <c r="L10" s="44">
        <f>SUM(L3:L8)</f>
        <v>6792</v>
      </c>
      <c r="M10" s="44">
        <f>SUM(M3:M8)</f>
        <v>6820</v>
      </c>
      <c r="N10" s="44">
        <f>SUM(N3:N8)</f>
        <v>7127</v>
      </c>
      <c r="O10" s="44">
        <f>SUM(O3:O8)</f>
        <v>6705</v>
      </c>
      <c r="P10" s="44">
        <f t="shared" ref="P10:AB10" si="5">SUM(P3:P8)</f>
        <v>0</v>
      </c>
      <c r="Q10" s="44">
        <f t="shared" si="5"/>
        <v>0</v>
      </c>
      <c r="R10" s="44">
        <f t="shared" si="5"/>
        <v>0</v>
      </c>
      <c r="S10" s="44">
        <f t="shared" si="5"/>
        <v>0</v>
      </c>
      <c r="T10" s="44">
        <f t="shared" si="5"/>
        <v>0</v>
      </c>
      <c r="U10" s="44">
        <f t="shared" si="5"/>
        <v>0</v>
      </c>
      <c r="V10" s="44">
        <f t="shared" si="5"/>
        <v>0</v>
      </c>
      <c r="W10" s="44">
        <f t="shared" si="5"/>
        <v>9</v>
      </c>
      <c r="X10" s="44">
        <f t="shared" si="5"/>
        <v>24</v>
      </c>
      <c r="Y10" s="44">
        <f t="shared" si="5"/>
        <v>42</v>
      </c>
      <c r="Z10" s="44">
        <f t="shared" si="5"/>
        <v>68</v>
      </c>
      <c r="AA10" s="44">
        <f t="shared" si="5"/>
        <v>9457</v>
      </c>
      <c r="AB10" s="44">
        <f t="shared" si="5"/>
        <v>10492</v>
      </c>
      <c r="AC10" s="46"/>
      <c r="AD10" s="44"/>
      <c r="AE10" s="44">
        <v>11498</v>
      </c>
      <c r="AF10" s="44">
        <v>12604</v>
      </c>
      <c r="AG10" s="44">
        <v>12500</v>
      </c>
      <c r="AH10" s="44">
        <v>13562</v>
      </c>
      <c r="AI10" s="44">
        <v>11715</v>
      </c>
      <c r="AJ10" s="44">
        <v>11806</v>
      </c>
      <c r="AK10" s="44">
        <v>11770</v>
      </c>
      <c r="AL10" s="44">
        <v>12219</v>
      </c>
      <c r="AM10" s="44"/>
      <c r="AN10" s="44"/>
      <c r="AO10" s="44"/>
      <c r="AP10" s="44"/>
      <c r="AQ10" s="44"/>
      <c r="AR10" s="44">
        <f>SUM(AR3:AR9)</f>
        <v>12880</v>
      </c>
      <c r="AS10" s="44">
        <f>SUM(AS3:AS9)</f>
        <v>12294</v>
      </c>
      <c r="AT10" s="44">
        <f t="shared" ref="AT10:AU10" si="6">SUM(AT3:AT9)</f>
        <v>12924</v>
      </c>
      <c r="AU10" s="44">
        <f t="shared" si="6"/>
        <v>12978</v>
      </c>
      <c r="AV10" s="44">
        <f t="shared" ref="AV10:BN10" si="7">SUM(AV3:AV9)</f>
        <v>12729</v>
      </c>
      <c r="AW10" s="44">
        <f t="shared" si="7"/>
        <v>12247</v>
      </c>
      <c r="AX10" s="44">
        <f t="shared" si="7"/>
        <v>12703</v>
      </c>
      <c r="AY10" s="44">
        <f t="shared" si="7"/>
        <v>13227</v>
      </c>
      <c r="AZ10" s="44">
        <f t="shared" si="7"/>
        <v>11292</v>
      </c>
      <c r="BA10" s="44">
        <f t="shared" si="7"/>
        <v>11209</v>
      </c>
      <c r="BB10" s="44">
        <f t="shared" si="7"/>
        <v>11949</v>
      </c>
      <c r="BC10" s="44">
        <f t="shared" si="7"/>
        <v>12331</v>
      </c>
      <c r="BD10" s="44">
        <f t="shared" si="7"/>
        <v>11116</v>
      </c>
      <c r="BE10" s="44">
        <f t="shared" si="7"/>
        <v>11619</v>
      </c>
      <c r="BF10" s="44">
        <f t="shared" si="7"/>
        <v>11888</v>
      </c>
      <c r="BG10" s="44">
        <f t="shared" si="7"/>
        <v>12650</v>
      </c>
      <c r="BH10" s="44">
        <f t="shared" si="7"/>
        <v>10492</v>
      </c>
      <c r="BI10" s="44">
        <f t="shared" si="7"/>
        <v>10908</v>
      </c>
      <c r="BJ10" s="44">
        <f t="shared" si="7"/>
        <v>10716</v>
      </c>
      <c r="BK10" s="44">
        <f t="shared" si="7"/>
        <v>11397</v>
      </c>
      <c r="BL10" s="44">
        <f t="shared" si="7"/>
        <v>9321</v>
      </c>
      <c r="BM10" s="44">
        <f t="shared" si="7"/>
        <v>9719</v>
      </c>
      <c r="BN10" s="44">
        <f t="shared" si="7"/>
        <v>9991</v>
      </c>
      <c r="BO10" s="44"/>
      <c r="BP10" s="44"/>
      <c r="BQ10" s="44"/>
      <c r="BR10" s="44"/>
      <c r="BS10" s="45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>
        <f>SUM(C10:F10)</f>
        <v>17317</v>
      </c>
      <c r="CE10" s="44">
        <f t="shared" ref="CE10:CE11" si="8">SUM(G10:J10)</f>
        <v>21471</v>
      </c>
      <c r="CF10" s="44">
        <f t="shared" ref="CF10:CF11" si="9">SUM(K10:N10)</f>
        <v>26601</v>
      </c>
      <c r="CG10" s="44">
        <v>28765</v>
      </c>
      <c r="CH10" s="44">
        <v>34821</v>
      </c>
      <c r="CI10" s="44"/>
      <c r="CJ10" s="44"/>
      <c r="CK10" s="44"/>
      <c r="CL10" s="46"/>
      <c r="CM10" s="46"/>
      <c r="CN10" s="46"/>
      <c r="CO10" s="46"/>
      <c r="CP10" s="46">
        <f>SUM(CP3:CP9)</f>
        <v>47677</v>
      </c>
      <c r="CQ10" s="46">
        <f t="shared" ref="CQ10:CS10" si="10">SUM(CQ3:CQ9)</f>
        <v>46954</v>
      </c>
      <c r="CR10" s="46">
        <f t="shared" si="10"/>
        <v>44766</v>
      </c>
      <c r="CS10" s="46">
        <f t="shared" si="10"/>
        <v>40428</v>
      </c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</row>
    <row r="11" spans="1:141" ht="12.75" customHeight="1" x14ac:dyDescent="0.2">
      <c r="A11" s="41"/>
      <c r="B11" s="47" t="s">
        <v>132</v>
      </c>
      <c r="C11" s="45">
        <v>2939</v>
      </c>
      <c r="D11" s="45">
        <v>2966</v>
      </c>
      <c r="E11" s="45">
        <v>2806</v>
      </c>
      <c r="F11" s="45">
        <v>3093</v>
      </c>
      <c r="G11" s="44">
        <v>3004</v>
      </c>
      <c r="H11" s="44">
        <v>2879</v>
      </c>
      <c r="I11" s="44">
        <v>2747</v>
      </c>
      <c r="J11" s="44">
        <f>11315-I11-H11-G11</f>
        <v>2685</v>
      </c>
      <c r="K11" s="44">
        <v>2773</v>
      </c>
      <c r="L11" s="44">
        <v>3099</v>
      </c>
      <c r="M11" s="44">
        <v>2963</v>
      </c>
      <c r="N11" s="44">
        <v>2992</v>
      </c>
      <c r="O11" s="44">
        <v>2655</v>
      </c>
      <c r="P11" s="44"/>
      <c r="Q11" s="44"/>
      <c r="R11" s="44"/>
      <c r="S11" s="44"/>
      <c r="T11" s="44"/>
      <c r="U11" s="44"/>
      <c r="V11" s="44"/>
      <c r="W11" s="44">
        <v>2824</v>
      </c>
      <c r="X11" s="44">
        <v>2779</v>
      </c>
      <c r="Y11" s="44">
        <v>2572</v>
      </c>
      <c r="Z11" s="44">
        <v>2694</v>
      </c>
      <c r="AA11" s="44">
        <v>2573</v>
      </c>
      <c r="AB11" s="44">
        <f>5048-AA11</f>
        <v>2475</v>
      </c>
      <c r="AC11" s="44"/>
      <c r="AD11" s="44"/>
      <c r="AE11" s="44">
        <v>2897</v>
      </c>
      <c r="AF11" s="44">
        <v>2784</v>
      </c>
      <c r="AG11" s="44">
        <v>2772</v>
      </c>
      <c r="AH11" s="44">
        <v>2778</v>
      </c>
      <c r="AI11" s="44">
        <v>2725</v>
      </c>
      <c r="AJ11" s="44">
        <v>2667</v>
      </c>
      <c r="AK11" s="44">
        <v>2760</v>
      </c>
      <c r="AL11" s="44">
        <v>2938</v>
      </c>
      <c r="AM11" s="44"/>
      <c r="AN11" s="44"/>
      <c r="AO11" s="44"/>
      <c r="AP11" s="44"/>
      <c r="AQ11" s="44"/>
      <c r="AR11" s="44">
        <v>2335</v>
      </c>
      <c r="AS11" s="44">
        <v>2386</v>
      </c>
      <c r="AT11" s="44">
        <v>2178</v>
      </c>
      <c r="AU11" s="44">
        <v>2415</v>
      </c>
      <c r="AV11" s="44">
        <v>2180</v>
      </c>
      <c r="AW11" s="44">
        <v>2237</v>
      </c>
      <c r="AX11" s="44">
        <v>2204</v>
      </c>
      <c r="AY11" s="44">
        <v>2687</v>
      </c>
      <c r="AZ11" s="44">
        <v>2314</v>
      </c>
      <c r="BA11" s="44">
        <v>2194</v>
      </c>
      <c r="BB11" s="44">
        <v>1678</v>
      </c>
      <c r="BC11" s="44">
        <v>2535</v>
      </c>
      <c r="BD11" s="44">
        <v>2041</v>
      </c>
      <c r="BE11" s="44">
        <v>2391</v>
      </c>
      <c r="BF11" s="44">
        <v>2085</v>
      </c>
      <c r="BG11" s="44">
        <v>2312</v>
      </c>
      <c r="BH11" s="44">
        <v>1851</v>
      </c>
      <c r="BI11" s="44">
        <v>2053</v>
      </c>
      <c r="BJ11" s="44">
        <v>1970</v>
      </c>
      <c r="BK11" s="44">
        <v>2012</v>
      </c>
      <c r="BL11" s="44">
        <v>1967</v>
      </c>
      <c r="BM11" s="44">
        <v>1626</v>
      </c>
      <c r="BN11" s="44">
        <v>1989</v>
      </c>
      <c r="BO11" s="44"/>
      <c r="BP11" s="44"/>
      <c r="BQ11" s="44"/>
      <c r="BR11" s="44"/>
      <c r="BS11" s="43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4">
        <f t="shared" ref="CD11:CD30" si="11">SUM(C11:F11)</f>
        <v>11804</v>
      </c>
      <c r="CE11" s="44">
        <f t="shared" si="8"/>
        <v>11315</v>
      </c>
      <c r="CF11" s="44">
        <f t="shared" si="9"/>
        <v>11827</v>
      </c>
      <c r="CG11" s="44">
        <v>10785</v>
      </c>
      <c r="CH11" s="44">
        <v>11302</v>
      </c>
      <c r="CI11" s="42"/>
      <c r="CJ11" s="42"/>
      <c r="CK11" s="42"/>
      <c r="CL11" s="40"/>
      <c r="CM11" s="46"/>
      <c r="CN11" s="46"/>
      <c r="CO11" s="46"/>
      <c r="CP11" s="46">
        <f t="shared" ref="CP11" si="12">SUM(AY11:BB11)</f>
        <v>8873</v>
      </c>
      <c r="CQ11" s="46">
        <f t="shared" ref="CQ11" si="13">SUM(BC11:BF11)</f>
        <v>9052</v>
      </c>
      <c r="CR11" s="46">
        <f t="shared" ref="CR11" si="14">SUM(BG11:BJ11)</f>
        <v>8186</v>
      </c>
      <c r="CS11" s="46">
        <f t="shared" ref="CS11" si="15">SUM(BK11:BN11)</f>
        <v>7594</v>
      </c>
      <c r="CT11" s="46"/>
      <c r="CU11" s="46"/>
      <c r="CV11" s="46"/>
      <c r="CW11" s="46"/>
      <c r="CX11" s="46"/>
      <c r="CY11" s="46"/>
      <c r="CZ11" s="46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</row>
    <row r="12" spans="1:141" ht="12.75" customHeight="1" x14ac:dyDescent="0.2">
      <c r="A12" s="41"/>
      <c r="B12" s="47" t="s">
        <v>194</v>
      </c>
      <c r="C12" s="45"/>
      <c r="D12" s="45"/>
      <c r="E12" s="45"/>
      <c r="F12" s="45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>
        <f t="shared" ref="AR12" si="16">+AR11+AR10</f>
        <v>15215</v>
      </c>
      <c r="AS12" s="44">
        <f t="shared" ref="AS12:AU12" si="17">+AS11+AS10</f>
        <v>14680</v>
      </c>
      <c r="AT12" s="44">
        <f t="shared" si="17"/>
        <v>15102</v>
      </c>
      <c r="AU12" s="44">
        <f t="shared" si="17"/>
        <v>15393</v>
      </c>
      <c r="AV12" s="44">
        <f t="shared" ref="AV12:BE12" si="18">+AV11+AV10</f>
        <v>14909</v>
      </c>
      <c r="AW12" s="44">
        <f t="shared" si="18"/>
        <v>14484</v>
      </c>
      <c r="AX12" s="44">
        <f t="shared" si="18"/>
        <v>14907</v>
      </c>
      <c r="AY12" s="44">
        <f t="shared" si="18"/>
        <v>15914</v>
      </c>
      <c r="AZ12" s="44">
        <f t="shared" si="18"/>
        <v>13606</v>
      </c>
      <c r="BA12" s="44">
        <f t="shared" si="18"/>
        <v>13403</v>
      </c>
      <c r="BB12" s="44">
        <f t="shared" si="18"/>
        <v>13627</v>
      </c>
      <c r="BC12" s="44">
        <f t="shared" si="18"/>
        <v>14866</v>
      </c>
      <c r="BD12" s="44">
        <f t="shared" si="18"/>
        <v>13157</v>
      </c>
      <c r="BE12" s="44">
        <f t="shared" si="18"/>
        <v>14010</v>
      </c>
      <c r="BF12" s="44">
        <f t="shared" ref="BF12:BK12" si="19">+BF11+BF10</f>
        <v>13973</v>
      </c>
      <c r="BG12" s="44">
        <f t="shared" si="19"/>
        <v>14962</v>
      </c>
      <c r="BH12" s="44">
        <f t="shared" si="19"/>
        <v>12343</v>
      </c>
      <c r="BI12" s="44">
        <f t="shared" si="19"/>
        <v>12961</v>
      </c>
      <c r="BJ12" s="44">
        <f t="shared" si="19"/>
        <v>12686</v>
      </c>
      <c r="BK12" s="44">
        <f t="shared" si="19"/>
        <v>13409</v>
      </c>
      <c r="BL12" s="44">
        <f t="shared" ref="BL12:BN12" si="20">+BL11+BL10</f>
        <v>11288</v>
      </c>
      <c r="BM12" s="44">
        <f t="shared" si="20"/>
        <v>11345</v>
      </c>
      <c r="BN12" s="44">
        <f t="shared" si="20"/>
        <v>11980</v>
      </c>
      <c r="BO12" s="44"/>
      <c r="BP12" s="44"/>
      <c r="BQ12" s="44"/>
      <c r="BR12" s="44"/>
      <c r="BS12" s="43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4"/>
      <c r="CE12" s="44"/>
      <c r="CF12" s="44"/>
      <c r="CG12" s="42"/>
      <c r="CH12" s="42"/>
      <c r="CI12" s="42"/>
      <c r="CJ12" s="42"/>
      <c r="CK12" s="42"/>
      <c r="CL12" s="40"/>
      <c r="CM12" s="46"/>
      <c r="CN12" s="46"/>
      <c r="CO12" s="46"/>
      <c r="CP12" s="46">
        <f>CP11+CP10</f>
        <v>56550</v>
      </c>
      <c r="CQ12" s="46">
        <f>CQ11+CQ10</f>
        <v>56006</v>
      </c>
      <c r="CR12" s="46">
        <f>CR11+CR10</f>
        <v>52952</v>
      </c>
      <c r="CS12" s="46">
        <f>CS11+CS10</f>
        <v>48022</v>
      </c>
      <c r="CT12" s="46"/>
      <c r="CU12" s="46"/>
      <c r="CV12" s="46"/>
      <c r="CW12" s="46"/>
      <c r="CX12" s="46"/>
      <c r="CY12" s="46"/>
      <c r="CZ12" s="46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</row>
    <row r="13" spans="1:141" ht="12.75" customHeight="1" x14ac:dyDescent="0.2">
      <c r="A13" s="41"/>
      <c r="B13" s="47"/>
      <c r="C13" s="45"/>
      <c r="D13" s="45"/>
      <c r="E13" s="45"/>
      <c r="F13" s="45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3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4"/>
      <c r="CE13" s="44"/>
      <c r="CF13" s="44"/>
      <c r="CG13" s="42"/>
      <c r="CH13" s="42"/>
      <c r="CI13" s="42"/>
      <c r="CJ13" s="42"/>
      <c r="CK13" s="42"/>
      <c r="CL13" s="40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</row>
    <row r="14" spans="1:141" ht="12.75" customHeight="1" x14ac:dyDescent="0.2">
      <c r="A14" s="41"/>
      <c r="B14" s="47" t="s">
        <v>133</v>
      </c>
      <c r="C14" s="45"/>
      <c r="D14" s="45"/>
      <c r="E14" s="45"/>
      <c r="F14" s="45"/>
      <c r="G14" s="44"/>
      <c r="H14" s="44"/>
      <c r="I14" s="44">
        <v>28</v>
      </c>
      <c r="J14" s="44">
        <v>59</v>
      </c>
      <c r="K14" s="44">
        <v>370</v>
      </c>
      <c r="L14" s="44">
        <v>296</v>
      </c>
      <c r="M14" s="44">
        <v>700</v>
      </c>
      <c r="N14" s="44">
        <v>951</v>
      </c>
      <c r="O14" s="44">
        <v>1098</v>
      </c>
      <c r="P14" s="44"/>
      <c r="Q14" s="44"/>
      <c r="R14" s="44"/>
      <c r="S14" s="44"/>
      <c r="T14" s="44"/>
      <c r="U14" s="44"/>
      <c r="V14" s="44"/>
      <c r="W14" s="44">
        <v>2678</v>
      </c>
      <c r="X14" s="44">
        <v>2877</v>
      </c>
      <c r="Y14" s="44">
        <v>2847</v>
      </c>
      <c r="Z14" s="44">
        <v>3231</v>
      </c>
      <c r="AA14" s="44">
        <v>2916</v>
      </c>
      <c r="AB14" s="44">
        <f>5975-AA14</f>
        <v>3059</v>
      </c>
      <c r="AC14" s="44"/>
      <c r="AD14" s="44"/>
      <c r="AE14" s="44">
        <v>3957</v>
      </c>
      <c r="AF14" s="44">
        <v>4486</v>
      </c>
      <c r="AG14" s="44">
        <v>4680</v>
      </c>
      <c r="AH14" s="44">
        <v>4904</v>
      </c>
      <c r="AI14" s="44">
        <v>4591</v>
      </c>
      <c r="AJ14" s="44">
        <v>4952</v>
      </c>
      <c r="AK14" s="44">
        <v>5106</v>
      </c>
      <c r="AL14" s="44">
        <v>5397</v>
      </c>
      <c r="AM14" s="44"/>
      <c r="AN14" s="44"/>
      <c r="AO14" s="44"/>
      <c r="AP14" s="44"/>
      <c r="AQ14" s="44"/>
      <c r="AR14" s="44">
        <v>5729</v>
      </c>
      <c r="AS14" s="44">
        <v>6115</v>
      </c>
      <c r="AT14" s="44">
        <v>6500</v>
      </c>
      <c r="AU14" s="44">
        <v>5722</v>
      </c>
      <c r="AV14" s="44">
        <v>5415</v>
      </c>
      <c r="AW14" s="44">
        <v>5370</v>
      </c>
      <c r="AX14" s="44">
        <v>5427</v>
      </c>
      <c r="AY14" s="44">
        <v>4991</v>
      </c>
      <c r="AZ14" s="44">
        <v>4234</v>
      </c>
      <c r="BA14" s="44">
        <v>4765</v>
      </c>
      <c r="BB14" s="44">
        <v>4757</v>
      </c>
      <c r="BC14" s="44">
        <v>3909</v>
      </c>
      <c r="BD14" s="44">
        <v>3697</v>
      </c>
      <c r="BE14" s="44">
        <v>3615</v>
      </c>
      <c r="BF14" s="44">
        <v>3833</v>
      </c>
      <c r="BG14" s="44">
        <v>3322</v>
      </c>
      <c r="BH14" s="44">
        <v>2710</v>
      </c>
      <c r="BI14" s="44">
        <v>2967</v>
      </c>
      <c r="BJ14" s="44">
        <v>3323</v>
      </c>
      <c r="BK14" s="44">
        <v>2815</v>
      </c>
      <c r="BL14" s="44">
        <v>1836</v>
      </c>
      <c r="BM14" s="44">
        <v>2227</v>
      </c>
      <c r="BN14" s="44">
        <v>1786</v>
      </c>
      <c r="BO14" s="44"/>
      <c r="BP14" s="44"/>
      <c r="BQ14" s="44"/>
      <c r="BR14" s="44"/>
      <c r="BS14" s="43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4">
        <v>0</v>
      </c>
      <c r="CE14" s="44">
        <f>SUM(G14:J14)</f>
        <v>87</v>
      </c>
      <c r="CF14" s="44">
        <f>SUM(K14:N14)</f>
        <v>2317</v>
      </c>
      <c r="CG14" s="44">
        <v>5991</v>
      </c>
      <c r="CH14" s="44">
        <v>9495</v>
      </c>
      <c r="CI14" s="42"/>
      <c r="CJ14" s="42"/>
      <c r="CK14" s="42"/>
      <c r="CL14" s="40"/>
      <c r="CM14" s="46"/>
      <c r="CN14" s="46"/>
      <c r="CO14" s="46"/>
      <c r="CP14" s="46">
        <f t="shared" ref="CP14:CP19" si="21">SUM(AY14:BB14)</f>
        <v>18747</v>
      </c>
      <c r="CQ14" s="46">
        <f t="shared" ref="CQ14:CQ19" si="22">SUM(BC14:BF14)</f>
        <v>15054</v>
      </c>
      <c r="CR14" s="46">
        <f t="shared" ref="CR14:CR19" si="23">SUM(BG14:BJ14)</f>
        <v>12322</v>
      </c>
      <c r="CS14" s="46">
        <f t="shared" ref="CS14:CS19" si="24">SUM(BK14:BN14)</f>
        <v>8664</v>
      </c>
      <c r="CT14" s="46"/>
      <c r="CU14" s="46"/>
      <c r="CV14" s="46"/>
      <c r="CW14" s="46"/>
      <c r="CX14" s="46"/>
      <c r="CY14" s="46"/>
      <c r="CZ14" s="46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</row>
    <row r="15" spans="1:141" ht="12.75" customHeight="1" x14ac:dyDescent="0.2">
      <c r="A15" s="41"/>
      <c r="B15" s="47" t="s">
        <v>181</v>
      </c>
      <c r="C15" s="45"/>
      <c r="D15" s="45"/>
      <c r="E15" s="45"/>
      <c r="F15" s="45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>
        <v>0</v>
      </c>
      <c r="AS15" s="44">
        <v>0</v>
      </c>
      <c r="AT15" s="44">
        <v>0</v>
      </c>
      <c r="AU15" s="44">
        <v>0</v>
      </c>
      <c r="AV15" s="44">
        <v>0</v>
      </c>
      <c r="AW15" s="44">
        <v>0</v>
      </c>
      <c r="AX15" s="44">
        <v>50</v>
      </c>
      <c r="AY15" s="44">
        <v>229</v>
      </c>
      <c r="AZ15" s="44">
        <v>355</v>
      </c>
      <c r="BA15" s="44">
        <v>454</v>
      </c>
      <c r="BB15" s="44">
        <v>835</v>
      </c>
      <c r="BC15" s="44">
        <v>729</v>
      </c>
      <c r="BD15" s="44">
        <v>945</v>
      </c>
      <c r="BE15" s="44">
        <v>1341</v>
      </c>
      <c r="BF15" s="44">
        <v>1823</v>
      </c>
      <c r="BG15" s="44">
        <v>2063</v>
      </c>
      <c r="BH15" s="44">
        <v>2172</v>
      </c>
      <c r="BI15" s="44">
        <v>3011</v>
      </c>
      <c r="BJ15" s="44">
        <v>4053</v>
      </c>
      <c r="BK15" s="44">
        <v>4356</v>
      </c>
      <c r="BL15" s="44">
        <v>3988</v>
      </c>
      <c r="BM15" s="44">
        <v>4496</v>
      </c>
      <c r="BN15" s="44">
        <v>5910</v>
      </c>
      <c r="BO15" s="44"/>
      <c r="BP15" s="44"/>
      <c r="BQ15" s="44"/>
      <c r="BR15" s="44"/>
      <c r="BS15" s="43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4"/>
      <c r="CE15" s="44"/>
      <c r="CF15" s="44"/>
      <c r="CG15" s="42"/>
      <c r="CH15" s="42"/>
      <c r="CI15" s="42"/>
      <c r="CJ15" s="42"/>
      <c r="CK15" s="42"/>
      <c r="CL15" s="40"/>
      <c r="CM15" s="46"/>
      <c r="CN15" s="46"/>
      <c r="CO15" s="46"/>
      <c r="CP15" s="46">
        <f t="shared" si="21"/>
        <v>1873</v>
      </c>
      <c r="CQ15" s="46">
        <f t="shared" si="22"/>
        <v>4838</v>
      </c>
      <c r="CR15" s="46">
        <f t="shared" si="23"/>
        <v>11299</v>
      </c>
      <c r="CS15" s="46">
        <f t="shared" si="24"/>
        <v>18750</v>
      </c>
      <c r="CT15" s="46"/>
      <c r="CU15" s="46"/>
      <c r="CV15" s="46"/>
      <c r="CW15" s="46"/>
      <c r="CX15" s="46"/>
      <c r="CY15" s="46"/>
      <c r="CZ15" s="46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  <c r="EI15" s="40"/>
      <c r="EJ15" s="40"/>
      <c r="EK15" s="40"/>
    </row>
    <row r="16" spans="1:141" ht="12.75" customHeight="1" x14ac:dyDescent="0.2">
      <c r="A16" s="41"/>
      <c r="B16" s="47" t="s">
        <v>182</v>
      </c>
      <c r="C16" s="45"/>
      <c r="D16" s="45"/>
      <c r="E16" s="45"/>
      <c r="F16" s="45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>
        <v>0</v>
      </c>
      <c r="AS16" s="44">
        <v>540</v>
      </c>
      <c r="AT16" s="44">
        <v>992</v>
      </c>
      <c r="AU16" s="44">
        <v>1425</v>
      </c>
      <c r="AV16" s="44">
        <v>2325</v>
      </c>
      <c r="AW16" s="44">
        <v>3122</v>
      </c>
      <c r="AX16" s="44">
        <v>4365</v>
      </c>
      <c r="AY16" s="44">
        <v>4755</v>
      </c>
      <c r="AZ16" s="44">
        <v>4836</v>
      </c>
      <c r="BA16" s="44">
        <v>5432</v>
      </c>
      <c r="BB16" s="44">
        <v>6188</v>
      </c>
      <c r="BC16" s="44">
        <v>6662</v>
      </c>
      <c r="BD16" s="44">
        <v>7435</v>
      </c>
      <c r="BE16" s="44">
        <v>8892</v>
      </c>
      <c r="BF16" s="44">
        <v>10716</v>
      </c>
      <c r="BG16" s="44">
        <v>12035</v>
      </c>
      <c r="BH16" s="44">
        <v>14349</v>
      </c>
      <c r="BI16" s="44">
        <v>16390</v>
      </c>
      <c r="BJ16" s="44">
        <v>16976</v>
      </c>
      <c r="BK16" s="44">
        <v>19640</v>
      </c>
      <c r="BL16" s="44">
        <v>22101</v>
      </c>
      <c r="BM16" s="44">
        <v>23912</v>
      </c>
      <c r="BN16" s="44">
        <v>30065</v>
      </c>
      <c r="BO16" s="44"/>
      <c r="BP16" s="44"/>
      <c r="BQ16" s="44"/>
      <c r="BR16" s="44"/>
      <c r="BS16" s="43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4"/>
      <c r="CE16" s="44"/>
      <c r="CF16" s="44"/>
      <c r="CG16" s="42"/>
      <c r="CH16" s="42"/>
      <c r="CI16" s="42"/>
      <c r="CJ16" s="42"/>
      <c r="CK16" s="42"/>
      <c r="CL16" s="40"/>
      <c r="CM16" s="46"/>
      <c r="CN16" s="46"/>
      <c r="CO16" s="46"/>
      <c r="CP16" s="46">
        <f t="shared" si="21"/>
        <v>21211</v>
      </c>
      <c r="CQ16" s="46">
        <f t="shared" si="22"/>
        <v>33705</v>
      </c>
      <c r="CR16" s="46">
        <f t="shared" si="23"/>
        <v>59750</v>
      </c>
      <c r="CS16" s="46">
        <f t="shared" si="24"/>
        <v>95718</v>
      </c>
      <c r="CT16" s="46"/>
      <c r="CU16" s="46"/>
      <c r="CV16" s="46"/>
      <c r="CW16" s="46"/>
      <c r="CX16" s="46"/>
      <c r="CY16" s="46"/>
      <c r="CZ16" s="46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</row>
    <row r="17" spans="1:141" ht="12.75" customHeight="1" x14ac:dyDescent="0.2">
      <c r="A17" s="41"/>
      <c r="B17" s="47" t="s">
        <v>134</v>
      </c>
      <c r="C17" s="45">
        <v>443</v>
      </c>
      <c r="D17" s="45">
        <v>460</v>
      </c>
      <c r="E17" s="45">
        <v>464</v>
      </c>
      <c r="F17" s="45">
        <v>477</v>
      </c>
      <c r="G17" s="44">
        <v>484</v>
      </c>
      <c r="H17" s="44">
        <v>492</v>
      </c>
      <c r="I17" s="44">
        <v>519</v>
      </c>
      <c r="J17" s="44">
        <f>2064-I17-H17-G17</f>
        <v>569</v>
      </c>
      <c r="K17" s="44">
        <v>503</v>
      </c>
      <c r="L17" s="44">
        <v>583</v>
      </c>
      <c r="M17" s="44">
        <v>567</v>
      </c>
      <c r="N17" s="44">
        <v>561</v>
      </c>
      <c r="O17" s="44">
        <v>639</v>
      </c>
      <c r="P17" s="44"/>
      <c r="Q17" s="44"/>
      <c r="R17" s="44"/>
      <c r="S17" s="44"/>
      <c r="T17" s="44"/>
      <c r="U17" s="44"/>
      <c r="V17" s="44"/>
      <c r="W17" s="44">
        <v>597</v>
      </c>
      <c r="X17" s="44">
        <v>619</v>
      </c>
      <c r="Y17" s="44">
        <v>624</v>
      </c>
      <c r="Z17" s="44">
        <v>572</v>
      </c>
      <c r="AA17" s="44">
        <v>587</v>
      </c>
      <c r="AB17" s="44">
        <f>1166-AA17</f>
        <v>579</v>
      </c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3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4">
        <f t="shared" si="11"/>
        <v>1844</v>
      </c>
      <c r="CE17" s="44">
        <f t="shared" ref="CE17:CE28" si="25">SUM(G17:J17)</f>
        <v>2064</v>
      </c>
      <c r="CF17" s="44">
        <f>SUM(K17:N17)</f>
        <v>2214</v>
      </c>
      <c r="CG17" s="44">
        <v>2309</v>
      </c>
      <c r="CH17" s="44">
        <v>2511</v>
      </c>
      <c r="CI17" s="42"/>
      <c r="CJ17" s="42"/>
      <c r="CK17" s="42"/>
      <c r="CL17" s="40"/>
      <c r="CM17" s="46"/>
      <c r="CN17" s="46"/>
      <c r="CO17" s="46"/>
      <c r="CP17" s="46">
        <f t="shared" si="21"/>
        <v>0</v>
      </c>
      <c r="CQ17" s="46">
        <f t="shared" si="22"/>
        <v>0</v>
      </c>
      <c r="CR17" s="46">
        <f t="shared" si="23"/>
        <v>0</v>
      </c>
      <c r="CS17" s="46">
        <f t="shared" si="24"/>
        <v>0</v>
      </c>
      <c r="CT17" s="46"/>
      <c r="CU17" s="46"/>
      <c r="CV17" s="46"/>
      <c r="CW17" s="46"/>
      <c r="CX17" s="46"/>
      <c r="CY17" s="46"/>
      <c r="CZ17" s="46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</row>
    <row r="18" spans="1:141" ht="12.75" customHeight="1" x14ac:dyDescent="0.2">
      <c r="A18" s="41"/>
      <c r="B18" s="47" t="s">
        <v>186</v>
      </c>
      <c r="C18" s="45"/>
      <c r="D18" s="45"/>
      <c r="E18" s="45"/>
      <c r="F18" s="45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>
        <v>1404</v>
      </c>
      <c r="BH18" s="44">
        <v>1181</v>
      </c>
      <c r="BI18" s="44">
        <v>1157</v>
      </c>
      <c r="BJ18" s="44">
        <v>2446</v>
      </c>
      <c r="BK18" s="44">
        <v>4563</v>
      </c>
      <c r="BL18" s="44">
        <v>7518</v>
      </c>
      <c r="BM18" s="44">
        <v>9648</v>
      </c>
      <c r="BN18" s="44">
        <v>9614</v>
      </c>
      <c r="BO18" s="44"/>
      <c r="BP18" s="44"/>
      <c r="BQ18" s="44"/>
      <c r="BR18" s="44"/>
      <c r="BS18" s="43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4"/>
      <c r="CE18" s="44"/>
      <c r="CF18" s="44"/>
      <c r="CG18" s="42"/>
      <c r="CH18" s="42"/>
      <c r="CI18" s="42"/>
      <c r="CJ18" s="42"/>
      <c r="CK18" s="42"/>
      <c r="CL18" s="40"/>
      <c r="CM18" s="46"/>
      <c r="CN18" s="46"/>
      <c r="CO18" s="46"/>
      <c r="CP18" s="46">
        <f t="shared" si="21"/>
        <v>0</v>
      </c>
      <c r="CQ18" s="46">
        <f t="shared" si="22"/>
        <v>0</v>
      </c>
      <c r="CR18" s="46">
        <f t="shared" si="23"/>
        <v>6188</v>
      </c>
      <c r="CS18" s="46">
        <f t="shared" si="24"/>
        <v>31343</v>
      </c>
      <c r="CT18" s="46"/>
      <c r="CU18" s="46"/>
      <c r="CV18" s="46"/>
      <c r="CW18" s="46"/>
      <c r="CX18" s="46"/>
      <c r="CY18" s="46"/>
      <c r="CZ18" s="46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</row>
    <row r="19" spans="1:141" ht="12.75" customHeight="1" x14ac:dyDescent="0.2">
      <c r="A19" s="41"/>
      <c r="B19" s="47" t="s">
        <v>187</v>
      </c>
      <c r="C19" s="45"/>
      <c r="D19" s="45"/>
      <c r="E19" s="45"/>
      <c r="F19" s="45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>
        <v>883</v>
      </c>
      <c r="AS19" s="44">
        <v>987</v>
      </c>
      <c r="AT19" s="44">
        <v>1229</v>
      </c>
      <c r="AU19" s="44">
        <v>1211</v>
      </c>
      <c r="AV19" s="44">
        <v>1462</v>
      </c>
      <c r="AW19" s="44">
        <v>1442</v>
      </c>
      <c r="AX19" s="44">
        <v>1564</v>
      </c>
      <c r="AY19" s="44">
        <v>1577</v>
      </c>
      <c r="AZ19" s="44">
        <v>1308</v>
      </c>
      <c r="BA19" s="44">
        <v>1338</v>
      </c>
      <c r="BB19" s="44">
        <v>1385</v>
      </c>
      <c r="BC19" s="44">
        <v>1551</v>
      </c>
      <c r="BD19" s="44">
        <v>1992</v>
      </c>
      <c r="BE19" s="44">
        <v>2398</v>
      </c>
      <c r="BF19" s="44">
        <v>2459</v>
      </c>
      <c r="BG19" s="44">
        <v>1998</v>
      </c>
      <c r="BH19" s="44">
        <v>2462</v>
      </c>
      <c r="BI19" s="44">
        <v>3174</v>
      </c>
      <c r="BJ19" s="44">
        <v>3042</v>
      </c>
      <c r="BK19" s="44">
        <v>3279</v>
      </c>
      <c r="BL19" s="44">
        <v>2788</v>
      </c>
      <c r="BM19" s="44">
        <v>2607</v>
      </c>
      <c r="BN19" s="44">
        <v>1615</v>
      </c>
      <c r="BO19" s="44"/>
      <c r="BP19" s="44"/>
      <c r="BQ19" s="44"/>
      <c r="BR19" s="44"/>
      <c r="BS19" s="43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4"/>
      <c r="CE19" s="44"/>
      <c r="CF19" s="44"/>
      <c r="CG19" s="42"/>
      <c r="CH19" s="42"/>
      <c r="CI19" s="42"/>
      <c r="CJ19" s="42"/>
      <c r="CK19" s="42"/>
      <c r="CL19" s="40"/>
      <c r="CM19" s="46"/>
      <c r="CN19" s="46"/>
      <c r="CO19" s="46"/>
      <c r="CP19" s="46">
        <f t="shared" si="21"/>
        <v>5608</v>
      </c>
      <c r="CQ19" s="46">
        <f t="shared" si="22"/>
        <v>8400</v>
      </c>
      <c r="CR19" s="46">
        <f t="shared" si="23"/>
        <v>10676</v>
      </c>
      <c r="CS19" s="46">
        <f t="shared" si="24"/>
        <v>10289</v>
      </c>
      <c r="CT19" s="46"/>
      <c r="CU19" s="46"/>
      <c r="CV19" s="46"/>
      <c r="CW19" s="46"/>
      <c r="CX19" s="46"/>
      <c r="CY19" s="46"/>
      <c r="CZ19" s="46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</row>
    <row r="20" spans="1:141" ht="12.75" customHeight="1" x14ac:dyDescent="0.2">
      <c r="A20" s="41"/>
      <c r="B20" s="47"/>
      <c r="C20" s="45"/>
      <c r="D20" s="45"/>
      <c r="E20" s="45"/>
      <c r="F20" s="45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3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4"/>
      <c r="CE20" s="44"/>
      <c r="CF20" s="44"/>
      <c r="CG20" s="42"/>
      <c r="CH20" s="42"/>
      <c r="CI20" s="42"/>
      <c r="CJ20" s="42"/>
      <c r="CK20" s="42"/>
      <c r="CL20" s="40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  <c r="EI20" s="40"/>
      <c r="EJ20" s="40"/>
      <c r="EK20" s="40"/>
    </row>
    <row r="21" spans="1:141" ht="12.75" customHeight="1" x14ac:dyDescent="0.2">
      <c r="A21" s="41"/>
      <c r="B21" s="47" t="s">
        <v>135</v>
      </c>
      <c r="C21" s="45">
        <v>640</v>
      </c>
      <c r="D21" s="45">
        <v>478</v>
      </c>
      <c r="E21" s="45">
        <v>671</v>
      </c>
      <c r="F21" s="45">
        <v>602</v>
      </c>
      <c r="G21" s="44">
        <v>691</v>
      </c>
      <c r="H21" s="44">
        <v>675</v>
      </c>
      <c r="I21" s="44">
        <v>650</v>
      </c>
      <c r="J21" s="44">
        <f>2652-I21-H21-G21</f>
        <v>636</v>
      </c>
      <c r="K21" s="44">
        <v>645</v>
      </c>
      <c r="L21" s="44">
        <v>704</v>
      </c>
      <c r="M21" s="44">
        <v>736</v>
      </c>
      <c r="N21" s="44">
        <v>666</v>
      </c>
      <c r="O21" s="44">
        <v>711</v>
      </c>
      <c r="P21" s="44"/>
      <c r="Q21" s="44"/>
      <c r="R21" s="44"/>
      <c r="S21" s="44"/>
      <c r="T21" s="44"/>
      <c r="U21" s="44"/>
      <c r="V21" s="44"/>
      <c r="W21" s="44">
        <v>694</v>
      </c>
      <c r="X21" s="44">
        <v>681</v>
      </c>
      <c r="Y21" s="44">
        <v>504</v>
      </c>
      <c r="Z21" s="44">
        <v>367</v>
      </c>
      <c r="AA21" s="44">
        <v>426</v>
      </c>
      <c r="AB21" s="44">
        <f>878-AA21</f>
        <v>452</v>
      </c>
      <c r="AC21" s="44"/>
      <c r="AD21" s="44"/>
      <c r="AE21" s="44">
        <v>1195</v>
      </c>
      <c r="AF21" s="44">
        <v>1075</v>
      </c>
      <c r="AG21" s="44">
        <v>1223</v>
      </c>
      <c r="AH21" s="44">
        <v>1237</v>
      </c>
      <c r="AI21" s="44">
        <v>1374</v>
      </c>
      <c r="AJ21" s="44">
        <v>1391</v>
      </c>
      <c r="AK21" s="44">
        <v>1513</v>
      </c>
      <c r="AL21" s="44">
        <v>1566</v>
      </c>
      <c r="AM21" s="44"/>
      <c r="AN21" s="44"/>
      <c r="AO21" s="44"/>
      <c r="AP21" s="44"/>
      <c r="AQ21" s="44"/>
      <c r="AR21" s="44">
        <v>1206</v>
      </c>
      <c r="AS21" s="44">
        <v>1044</v>
      </c>
      <c r="AT21" s="44">
        <v>1074</v>
      </c>
      <c r="AU21" s="44">
        <v>1067</v>
      </c>
      <c r="AV21" s="44">
        <v>1125</v>
      </c>
      <c r="AW21" s="44">
        <v>1038</v>
      </c>
      <c r="AX21" s="44">
        <v>1017</v>
      </c>
      <c r="AY21" s="44">
        <v>1125</v>
      </c>
      <c r="AZ21" s="44">
        <v>977</v>
      </c>
      <c r="BA21" s="44">
        <v>954</v>
      </c>
      <c r="BB21" s="44">
        <v>975</v>
      </c>
      <c r="BC21" s="44">
        <v>1110</v>
      </c>
      <c r="BD21" s="44">
        <v>809</v>
      </c>
      <c r="BE21" s="44">
        <v>859</v>
      </c>
      <c r="BF21" s="44">
        <v>816</v>
      </c>
      <c r="BG21" s="44">
        <v>884</v>
      </c>
      <c r="BH21" s="44">
        <v>830</v>
      </c>
      <c r="BI21" s="44">
        <v>798</v>
      </c>
      <c r="BJ21" s="44">
        <v>713</v>
      </c>
      <c r="BK21" s="44">
        <v>729</v>
      </c>
      <c r="BL21" s="44">
        <v>667</v>
      </c>
      <c r="BM21" s="44">
        <v>594</v>
      </c>
      <c r="BN21" s="44">
        <v>322</v>
      </c>
      <c r="BO21" s="44"/>
      <c r="BP21" s="44"/>
      <c r="BQ21" s="44"/>
      <c r="BR21" s="44"/>
      <c r="BS21" s="43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4">
        <f t="shared" si="11"/>
        <v>2391</v>
      </c>
      <c r="CE21" s="44">
        <f t="shared" si="25"/>
        <v>2652</v>
      </c>
      <c r="CF21" s="44">
        <f>SUM(K21:N21)</f>
        <v>2751</v>
      </c>
      <c r="CG21" s="44">
        <v>2575</v>
      </c>
      <c r="CH21" s="44">
        <v>2758</v>
      </c>
      <c r="CI21" s="42"/>
      <c r="CJ21" s="42"/>
      <c r="CK21" s="42"/>
      <c r="CL21" s="40"/>
      <c r="CM21" s="46"/>
      <c r="CN21" s="46"/>
      <c r="CO21" s="46"/>
      <c r="CP21" s="46">
        <f t="shared" ref="CP21" si="26">SUM(AY21:BB21)</f>
        <v>4031</v>
      </c>
      <c r="CQ21" s="46">
        <f t="shared" ref="CQ21" si="27">SUM(BC21:BF21)</f>
        <v>3594</v>
      </c>
      <c r="CR21" s="46">
        <f t="shared" ref="CR21" si="28">SUM(BG21:BJ21)</f>
        <v>3225</v>
      </c>
      <c r="CS21" s="46">
        <f t="shared" ref="CS21" si="29">SUM(BK21:BN21)</f>
        <v>2312</v>
      </c>
      <c r="CT21" s="46"/>
      <c r="CU21" s="46"/>
      <c r="CV21" s="46"/>
      <c r="CW21" s="46"/>
      <c r="CX21" s="46"/>
      <c r="CY21" s="46"/>
      <c r="CZ21" s="46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  <c r="EI21" s="40"/>
      <c r="EJ21" s="40"/>
      <c r="EK21" s="40"/>
    </row>
    <row r="22" spans="1:141" ht="12.75" customHeight="1" x14ac:dyDescent="0.2">
      <c r="A22" s="41"/>
      <c r="B22" s="47"/>
      <c r="C22" s="45"/>
      <c r="D22" s="45"/>
      <c r="E22" s="45"/>
      <c r="F22" s="45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3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4"/>
      <c r="CE22" s="44"/>
      <c r="CF22" s="44"/>
      <c r="CG22" s="42"/>
      <c r="CH22" s="42"/>
      <c r="CI22" s="42"/>
      <c r="CJ22" s="42"/>
      <c r="CK22" s="42"/>
      <c r="CL22" s="40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</row>
    <row r="23" spans="1:141" ht="12.75" customHeight="1" x14ac:dyDescent="0.2">
      <c r="A23" s="41"/>
      <c r="B23" s="47" t="s">
        <v>28</v>
      </c>
      <c r="C23" s="45">
        <v>1440</v>
      </c>
      <c r="D23" s="45">
        <v>1648</v>
      </c>
      <c r="E23" s="45">
        <v>1534</v>
      </c>
      <c r="F23" s="45">
        <v>1774</v>
      </c>
      <c r="G23" s="44">
        <v>1805</v>
      </c>
      <c r="H23" s="44">
        <v>1874</v>
      </c>
      <c r="I23" s="44">
        <v>1651</v>
      </c>
      <c r="J23" s="44">
        <f>7072-I23-H23-G23</f>
        <v>1742</v>
      </c>
      <c r="K23" s="44">
        <v>1914</v>
      </c>
      <c r="L23" s="44">
        <v>2155</v>
      </c>
      <c r="M23" s="44">
        <v>1965</v>
      </c>
      <c r="N23" s="44">
        <f>8030-M23-L23-K23</f>
        <v>1996</v>
      </c>
      <c r="O23" s="44">
        <v>2032</v>
      </c>
      <c r="P23" s="44"/>
      <c r="Q23" s="44"/>
      <c r="R23" s="44"/>
      <c r="S23" s="44"/>
      <c r="T23" s="44"/>
      <c r="U23" s="44"/>
      <c r="V23" s="44"/>
      <c r="W23" s="44">
        <v>2027</v>
      </c>
      <c r="X23" s="44">
        <v>2542</v>
      </c>
      <c r="Y23" s="44">
        <v>2428</v>
      </c>
      <c r="Z23" s="44">
        <v>2259</v>
      </c>
      <c r="AA23" s="44">
        <v>2247</v>
      </c>
      <c r="AB23" s="44">
        <f>4539-AA23</f>
        <v>2292</v>
      </c>
      <c r="AC23" s="44"/>
      <c r="AD23" s="44"/>
      <c r="AE23" s="44">
        <v>2734</v>
      </c>
      <c r="AF23" s="44">
        <v>2757</v>
      </c>
      <c r="AG23" s="44">
        <v>2371</v>
      </c>
      <c r="AH23" s="44">
        <v>2785</v>
      </c>
      <c r="AI23" s="44">
        <v>2836</v>
      </c>
      <c r="AJ23" s="44">
        <v>2530</v>
      </c>
      <c r="AK23" s="44">
        <v>2285</v>
      </c>
      <c r="AL23" s="44">
        <v>2821</v>
      </c>
      <c r="AM23" s="44"/>
      <c r="AN23" s="44"/>
      <c r="AO23" s="44"/>
      <c r="AP23" s="44"/>
      <c r="AQ23" s="44"/>
      <c r="AR23" s="44">
        <v>1886</v>
      </c>
      <c r="AS23" s="44">
        <v>1885</v>
      </c>
      <c r="AT23" s="44">
        <v>1956</v>
      </c>
      <c r="AU23" s="44">
        <v>2012</v>
      </c>
      <c r="AV23" s="44">
        <v>2163</v>
      </c>
      <c r="AW23" s="44">
        <v>1985</v>
      </c>
      <c r="AX23" s="44">
        <v>1959</v>
      </c>
      <c r="AY23" s="44">
        <v>2181</v>
      </c>
      <c r="AZ23" s="44">
        <v>1828</v>
      </c>
      <c r="BA23" s="44">
        <v>1674</v>
      </c>
      <c r="BB23" s="44">
        <v>1520</v>
      </c>
      <c r="BC23" s="44">
        <v>1980</v>
      </c>
      <c r="BD23" s="44">
        <v>1875</v>
      </c>
      <c r="BE23" s="44">
        <v>1676</v>
      </c>
      <c r="BF23" s="44">
        <v>1690</v>
      </c>
      <c r="BG23" s="44">
        <v>2271</v>
      </c>
      <c r="BH23" s="44">
        <v>2018</v>
      </c>
      <c r="BI23" s="44">
        <v>2108</v>
      </c>
      <c r="BJ23" s="44">
        <v>1911</v>
      </c>
      <c r="BK23" s="44">
        <v>2101</v>
      </c>
      <c r="BL23" s="44">
        <v>1794</v>
      </c>
      <c r="BM23" s="44">
        <v>2078</v>
      </c>
      <c r="BN23" s="44">
        <v>1985</v>
      </c>
      <c r="BO23" s="44"/>
      <c r="BP23" s="44"/>
      <c r="BQ23" s="44"/>
      <c r="BR23" s="44"/>
      <c r="BS23" s="43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4">
        <f t="shared" si="11"/>
        <v>6396</v>
      </c>
      <c r="CE23" s="44">
        <f t="shared" si="25"/>
        <v>7072</v>
      </c>
      <c r="CF23" s="44">
        <f>SUM(K23:N23)</f>
        <v>8030</v>
      </c>
      <c r="CG23" s="44">
        <v>8347</v>
      </c>
      <c r="CH23" s="44">
        <v>8933</v>
      </c>
      <c r="CI23" s="42"/>
      <c r="CJ23" s="42"/>
      <c r="CK23" s="42"/>
      <c r="CL23" s="40"/>
      <c r="CM23" s="46"/>
      <c r="CN23" s="46"/>
      <c r="CO23" s="46"/>
      <c r="CP23" s="46">
        <f t="shared" ref="CP23:CP30" si="30">SUM(AY23:BB23)</f>
        <v>7203</v>
      </c>
      <c r="CQ23" s="46">
        <f t="shared" ref="CQ23:CQ30" si="31">SUM(BC23:BF23)</f>
        <v>7221</v>
      </c>
      <c r="CR23" s="46">
        <f t="shared" ref="CR23:CR30" si="32">SUM(BG23:BJ23)</f>
        <v>8308</v>
      </c>
      <c r="CS23" s="46">
        <f t="shared" ref="CS23:CS30" si="33">SUM(BK23:BN23)</f>
        <v>7958</v>
      </c>
      <c r="CT23" s="46"/>
      <c r="CU23" s="46"/>
      <c r="CV23" s="46"/>
      <c r="CW23" s="46"/>
      <c r="CX23" s="46"/>
      <c r="CY23" s="46"/>
      <c r="CZ23" s="46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40"/>
      <c r="EI23" s="40"/>
      <c r="EJ23" s="40"/>
      <c r="EK23" s="40"/>
    </row>
    <row r="24" spans="1:141" ht="12.75" customHeight="1" x14ac:dyDescent="0.2">
      <c r="A24" s="41"/>
      <c r="B24" s="47" t="s">
        <v>188</v>
      </c>
      <c r="C24" s="45"/>
      <c r="D24" s="45"/>
      <c r="E24" s="45"/>
      <c r="F24" s="45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C24" s="44">
        <v>497</v>
      </c>
      <c r="BD24" s="44">
        <v>623</v>
      </c>
      <c r="BE24" s="44">
        <v>411</v>
      </c>
      <c r="BF24" s="44">
        <v>581</v>
      </c>
      <c r="BG24" s="44">
        <v>565</v>
      </c>
      <c r="BH24" s="44">
        <v>619</v>
      </c>
      <c r="BI24" s="44">
        <v>512</v>
      </c>
      <c r="BJ24" s="44">
        <v>642</v>
      </c>
      <c r="BK24" s="44">
        <v>660</v>
      </c>
      <c r="BL24" s="44">
        <v>688</v>
      </c>
      <c r="BM24" s="44">
        <v>549</v>
      </c>
      <c r="BN24" s="44">
        <v>525</v>
      </c>
      <c r="BO24" s="44"/>
      <c r="BP24" s="44"/>
      <c r="BQ24" s="44"/>
      <c r="BR24" s="44"/>
      <c r="BS24" s="43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4"/>
      <c r="CE24" s="44"/>
      <c r="CF24" s="44"/>
      <c r="CG24" s="42"/>
      <c r="CH24" s="42"/>
      <c r="CI24" s="42"/>
      <c r="CJ24" s="42"/>
      <c r="CK24" s="42"/>
      <c r="CL24" s="40"/>
      <c r="CM24" s="46"/>
      <c r="CN24" s="46"/>
      <c r="CO24" s="46"/>
      <c r="CP24" s="46">
        <f t="shared" si="30"/>
        <v>0</v>
      </c>
      <c r="CQ24" s="46">
        <f t="shared" si="31"/>
        <v>2112</v>
      </c>
      <c r="CR24" s="46">
        <f t="shared" si="32"/>
        <v>2338</v>
      </c>
      <c r="CS24" s="46">
        <f t="shared" si="33"/>
        <v>2422</v>
      </c>
      <c r="CT24" s="46"/>
      <c r="CU24" s="46"/>
      <c r="CV24" s="46"/>
      <c r="CW24" s="46"/>
      <c r="CX24" s="46"/>
      <c r="CY24" s="46"/>
      <c r="CZ24" s="46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</row>
    <row r="25" spans="1:141" ht="12.75" customHeight="1" x14ac:dyDescent="0.2">
      <c r="A25" s="41"/>
      <c r="B25" s="47" t="s">
        <v>189</v>
      </c>
      <c r="C25" s="45"/>
      <c r="D25" s="45"/>
      <c r="E25" s="45"/>
      <c r="F25" s="45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>
        <v>339</v>
      </c>
      <c r="AS25" s="44">
        <v>323</v>
      </c>
      <c r="AT25" s="44">
        <v>396</v>
      </c>
      <c r="AU25" s="44">
        <v>393</v>
      </c>
      <c r="AV25" s="44">
        <v>369</v>
      </c>
      <c r="AW25" s="44">
        <v>357</v>
      </c>
      <c r="AX25" s="44">
        <v>406</v>
      </c>
      <c r="AY25" s="44">
        <v>400</v>
      </c>
      <c r="AZ25" s="44">
        <v>340</v>
      </c>
      <c r="BA25" s="44">
        <v>375</v>
      </c>
      <c r="BB25" s="44">
        <v>347</v>
      </c>
      <c r="BC25" s="44">
        <v>147</v>
      </c>
      <c r="BD25" s="44">
        <v>162</v>
      </c>
      <c r="BE25" s="44">
        <v>166</v>
      </c>
      <c r="BF25" s="44">
        <v>162</v>
      </c>
      <c r="BG25" s="44">
        <v>177</v>
      </c>
      <c r="BH25" s="44">
        <v>162</v>
      </c>
      <c r="BI25" s="44">
        <v>194</v>
      </c>
      <c r="BJ25" s="44">
        <v>226</v>
      </c>
      <c r="BK25" s="44">
        <v>197</v>
      </c>
      <c r="BL25" s="44">
        <v>250</v>
      </c>
      <c r="BM25" s="44">
        <v>285</v>
      </c>
      <c r="BN25" s="44">
        <v>329</v>
      </c>
      <c r="BO25" s="55">
        <f>SUM(BN14:BN19)/BN31</f>
        <v>0.74381671044440734</v>
      </c>
      <c r="BP25" s="44"/>
      <c r="BQ25" s="44"/>
      <c r="BR25" s="44"/>
      <c r="BS25" s="43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4"/>
      <c r="CE25" s="44"/>
      <c r="CF25" s="44"/>
      <c r="CG25" s="42"/>
      <c r="CH25" s="42"/>
      <c r="CI25" s="42"/>
      <c r="CJ25" s="42"/>
      <c r="CK25" s="42"/>
      <c r="CL25" s="40"/>
      <c r="CM25" s="46"/>
      <c r="CN25" s="46"/>
      <c r="CO25" s="46"/>
      <c r="CP25" s="46">
        <f t="shared" si="30"/>
        <v>1462</v>
      </c>
      <c r="CQ25" s="46">
        <f t="shared" si="31"/>
        <v>637</v>
      </c>
      <c r="CR25" s="46">
        <f t="shared" si="32"/>
        <v>759</v>
      </c>
      <c r="CS25" s="46">
        <f t="shared" si="33"/>
        <v>1061</v>
      </c>
      <c r="CT25" s="46"/>
      <c r="CU25" s="46"/>
      <c r="CV25" s="46"/>
      <c r="CW25" s="46"/>
      <c r="CX25" s="46"/>
      <c r="CY25" s="46"/>
      <c r="CZ25" s="46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</row>
    <row r="26" spans="1:141" ht="12.75" customHeight="1" x14ac:dyDescent="0.2">
      <c r="A26" s="41"/>
      <c r="B26" s="47" t="s">
        <v>190</v>
      </c>
      <c r="C26" s="45"/>
      <c r="D26" s="45"/>
      <c r="E26" s="45"/>
      <c r="F26" s="45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>
        <v>377</v>
      </c>
      <c r="AS26" s="44">
        <v>407</v>
      </c>
      <c r="AT26" s="44">
        <v>395</v>
      </c>
      <c r="AU26" s="44">
        <v>385</v>
      </c>
      <c r="AV26" s="44">
        <v>372</v>
      </c>
      <c r="AW26" s="44">
        <v>411</v>
      </c>
      <c r="AX26" s="44">
        <v>457</v>
      </c>
      <c r="AY26" s="44">
        <f>2810-AY25-AY23</f>
        <v>229</v>
      </c>
      <c r="AZ26" s="44">
        <f>2401-AZ23-AZ25</f>
        <v>233</v>
      </c>
      <c r="BA26" s="44">
        <f>2311-BA23-BA25</f>
        <v>262</v>
      </c>
      <c r="BB26" s="44">
        <f>2140-BB25-BB23</f>
        <v>273</v>
      </c>
      <c r="BC26" s="44">
        <f>2678-SUM(BC23:BC25)</f>
        <v>54</v>
      </c>
      <c r="BD26" s="44">
        <f>2723-BD25-BD24-BD23</f>
        <v>63</v>
      </c>
      <c r="BE26" s="44">
        <f>2326-BE25-BE24-BE23</f>
        <v>73</v>
      </c>
      <c r="BF26" s="44">
        <f>2490-BF25-BF24-BF23</f>
        <v>57</v>
      </c>
      <c r="BG26" s="44">
        <f>3077-SUM(BG23:BG25)</f>
        <v>64</v>
      </c>
      <c r="BH26" s="44">
        <f>2863-BH25-BH24-BH23</f>
        <v>64</v>
      </c>
      <c r="BI26" s="44">
        <f>2885-BI25-BI24-BI23</f>
        <v>71</v>
      </c>
      <c r="BJ26" s="44">
        <f>2881-BJ25-BJ24-BJ23</f>
        <v>102</v>
      </c>
      <c r="BK26" s="44">
        <f>3049-BK25-BK24-BK23</f>
        <v>91</v>
      </c>
      <c r="BL26" s="44">
        <f>2836-BL25-BL24-BL23</f>
        <v>104</v>
      </c>
      <c r="BM26" s="44">
        <f>2957-BM25-BM24-BM23</f>
        <v>45</v>
      </c>
      <c r="BN26" s="44">
        <f>2934-BN25-BN24-BN23</f>
        <v>95</v>
      </c>
      <c r="BO26" s="44"/>
      <c r="BP26" s="44"/>
      <c r="BQ26" s="44"/>
      <c r="BR26" s="44"/>
      <c r="BS26" s="43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4"/>
      <c r="CE26" s="44"/>
      <c r="CF26" s="44"/>
      <c r="CG26" s="42"/>
      <c r="CH26" s="42"/>
      <c r="CI26" s="42"/>
      <c r="CJ26" s="42"/>
      <c r="CK26" s="42"/>
      <c r="CL26" s="40"/>
      <c r="CM26" s="46"/>
      <c r="CN26" s="46"/>
      <c r="CO26" s="46"/>
      <c r="CP26" s="46">
        <f t="shared" si="30"/>
        <v>997</v>
      </c>
      <c r="CQ26" s="46">
        <f t="shared" si="31"/>
        <v>247</v>
      </c>
      <c r="CR26" s="46">
        <f t="shared" si="32"/>
        <v>301</v>
      </c>
      <c r="CS26" s="46">
        <f t="shared" si="33"/>
        <v>335</v>
      </c>
      <c r="CT26" s="46"/>
      <c r="CU26" s="46"/>
      <c r="CV26" s="46"/>
      <c r="CW26" s="46"/>
      <c r="CX26" s="46"/>
      <c r="CY26" s="46"/>
      <c r="CZ26" s="46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0"/>
      <c r="DS26" s="40"/>
      <c r="DT26" s="40"/>
      <c r="DU26" s="40"/>
      <c r="DV26" s="40"/>
      <c r="DW26" s="40"/>
      <c r="DX26" s="40"/>
      <c r="DY26" s="40"/>
      <c r="DZ26" s="40"/>
      <c r="EA26" s="40"/>
      <c r="EB26" s="40"/>
      <c r="EC26" s="40"/>
      <c r="ED26" s="40"/>
      <c r="EE26" s="40"/>
      <c r="EF26" s="40"/>
      <c r="EG26" s="40"/>
      <c r="EH26" s="40"/>
      <c r="EI26" s="40"/>
      <c r="EJ26" s="40"/>
      <c r="EK26" s="40"/>
    </row>
    <row r="27" spans="1:141" ht="12.75" customHeight="1" x14ac:dyDescent="0.2">
      <c r="A27" s="41"/>
      <c r="B27" s="47" t="s">
        <v>191</v>
      </c>
      <c r="C27" s="45"/>
      <c r="D27" s="45"/>
      <c r="E27" s="45"/>
      <c r="F27" s="45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>
        <f>1703+2294-AR23-AR25</f>
        <v>1772</v>
      </c>
      <c r="AS27" s="44">
        <f>1688+2301-AS23-AS25</f>
        <v>1781</v>
      </c>
      <c r="AT27" s="44">
        <f>1962+2478-AT23-AT25</f>
        <v>2088</v>
      </c>
      <c r="AU27" s="44">
        <f>1555+2533-AU23-AU25</f>
        <v>1683</v>
      </c>
      <c r="AV27" s="44">
        <f>1758+2670-AV23-AV25</f>
        <v>1896</v>
      </c>
      <c r="AW27" s="44">
        <f>1886+2524-AW23-AW25</f>
        <v>2068</v>
      </c>
      <c r="AX27" s="44">
        <f>2076+2554-AX23-AX25</f>
        <v>2265</v>
      </c>
      <c r="AY27" s="44">
        <f>444+2030</f>
        <v>2474</v>
      </c>
      <c r="AZ27" s="44">
        <f>337+1952</f>
        <v>2289</v>
      </c>
      <c r="BA27" s="44">
        <f>1890+380</f>
        <v>2270</v>
      </c>
      <c r="BB27" s="44">
        <f>1832+399</f>
        <v>2231</v>
      </c>
      <c r="BC27" s="44">
        <f>1920+379</f>
        <v>2299</v>
      </c>
      <c r="BD27" s="44">
        <f>424+1859</f>
        <v>2283</v>
      </c>
      <c r="BE27" s="44">
        <f>376+1805</f>
        <v>2181</v>
      </c>
      <c r="BF27" s="44">
        <f>1719+504</f>
        <v>2223</v>
      </c>
      <c r="BG27" s="44">
        <f>1820+466</f>
        <v>2286</v>
      </c>
      <c r="BH27" s="44">
        <f>1923+432</f>
        <v>2355</v>
      </c>
      <c r="BI27" s="44">
        <f>430+1793</f>
        <v>2223</v>
      </c>
      <c r="BJ27" s="44">
        <f>370+1602</f>
        <v>1972</v>
      </c>
      <c r="BK27" s="44">
        <f>399+1128</f>
        <v>1527</v>
      </c>
      <c r="BL27" s="44">
        <f>902+376</f>
        <v>1278</v>
      </c>
      <c r="BM27" s="44">
        <f>542+403</f>
        <v>945</v>
      </c>
      <c r="BN27" s="44">
        <f>1264+373</f>
        <v>1637</v>
      </c>
      <c r="BO27" s="44"/>
      <c r="BP27" s="44"/>
      <c r="BQ27" s="44"/>
      <c r="BR27" s="44"/>
      <c r="BS27" s="43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4"/>
      <c r="CE27" s="44"/>
      <c r="CF27" s="44"/>
      <c r="CG27" s="42"/>
      <c r="CH27" s="42"/>
      <c r="CI27" s="42"/>
      <c r="CJ27" s="42"/>
      <c r="CK27" s="42"/>
      <c r="CL27" s="40"/>
      <c r="CM27" s="46"/>
      <c r="CN27" s="46"/>
      <c r="CO27" s="46"/>
      <c r="CP27" s="46">
        <f t="shared" si="30"/>
        <v>9264</v>
      </c>
      <c r="CQ27" s="46">
        <f t="shared" si="31"/>
        <v>8986</v>
      </c>
      <c r="CR27" s="46">
        <f t="shared" si="32"/>
        <v>8836</v>
      </c>
      <c r="CS27" s="46">
        <f t="shared" si="33"/>
        <v>5387</v>
      </c>
      <c r="CT27" s="46"/>
      <c r="CU27" s="46"/>
      <c r="CV27" s="46"/>
      <c r="CW27" s="46"/>
      <c r="CX27" s="46"/>
      <c r="CY27" s="46"/>
      <c r="CZ27" s="46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40"/>
      <c r="EJ27" s="40"/>
      <c r="EK27" s="40"/>
    </row>
    <row r="28" spans="1:141" ht="12.75" customHeight="1" x14ac:dyDescent="0.2">
      <c r="A28" s="41"/>
      <c r="B28" s="47" t="s">
        <v>24</v>
      </c>
      <c r="C28" s="45">
        <v>878</v>
      </c>
      <c r="D28" s="45">
        <v>986</v>
      </c>
      <c r="E28" s="45">
        <v>941</v>
      </c>
      <c r="F28" s="45">
        <v>1060</v>
      </c>
      <c r="G28" s="44">
        <v>1034</v>
      </c>
      <c r="H28" s="44">
        <v>1122</v>
      </c>
      <c r="I28" s="44">
        <v>1074</v>
      </c>
      <c r="J28" s="44">
        <f>4401-I28-H28-G28</f>
        <v>1171</v>
      </c>
      <c r="K28" s="44">
        <v>1083</v>
      </c>
      <c r="L28" s="44">
        <v>1245</v>
      </c>
      <c r="M28" s="44">
        <v>1233</v>
      </c>
      <c r="N28" s="44">
        <f>4803-M28-L28-K28</f>
        <v>1242</v>
      </c>
      <c r="O28" s="44">
        <v>1252</v>
      </c>
      <c r="P28" s="44"/>
      <c r="Q28" s="44"/>
      <c r="R28" s="44"/>
      <c r="S28" s="44"/>
      <c r="T28" s="44"/>
      <c r="U28" s="44"/>
      <c r="V28" s="44"/>
      <c r="W28" s="44">
        <v>1537</v>
      </c>
      <c r="X28" s="44">
        <v>1479</v>
      </c>
      <c r="Y28" s="44">
        <v>1436</v>
      </c>
      <c r="Z28" s="44">
        <v>1662</v>
      </c>
      <c r="AA28" s="44">
        <v>1500</v>
      </c>
      <c r="AB28" s="44">
        <f>3009-AA28</f>
        <v>1509</v>
      </c>
      <c r="AC28" s="44"/>
      <c r="AD28" s="44"/>
      <c r="AE28" s="44">
        <v>1830</v>
      </c>
      <c r="AF28" s="44">
        <v>2083</v>
      </c>
      <c r="AG28" s="44">
        <v>1842</v>
      </c>
      <c r="AH28" s="44">
        <v>2065</v>
      </c>
      <c r="AI28" s="44">
        <v>2407</v>
      </c>
      <c r="AJ28" s="44">
        <v>2158</v>
      </c>
      <c r="AK28" s="44">
        <v>2003</v>
      </c>
      <c r="AL28" s="44">
        <v>2202</v>
      </c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3"/>
      <c r="BT28" s="42"/>
      <c r="BU28" s="42"/>
      <c r="BV28" s="42"/>
      <c r="BW28" s="42"/>
      <c r="BX28" s="42"/>
      <c r="BY28" s="42"/>
      <c r="BZ28" s="42"/>
      <c r="CA28" s="42"/>
      <c r="CB28" s="42"/>
      <c r="CC28" s="42"/>
      <c r="CD28" s="44">
        <f t="shared" si="11"/>
        <v>3865</v>
      </c>
      <c r="CE28" s="44">
        <f t="shared" si="25"/>
        <v>4401</v>
      </c>
      <c r="CF28" s="44">
        <f t="shared" ref="CF28:CF30" si="34">SUM(K28:N28)</f>
        <v>4803</v>
      </c>
      <c r="CG28" s="44">
        <v>5047</v>
      </c>
      <c r="CH28" s="44">
        <v>5698</v>
      </c>
      <c r="CI28" s="42"/>
      <c r="CJ28" s="42"/>
      <c r="CK28" s="42"/>
      <c r="CL28" s="40"/>
      <c r="CM28" s="46"/>
      <c r="CN28" s="46"/>
      <c r="CO28" s="46"/>
      <c r="CP28" s="46">
        <f t="shared" si="30"/>
        <v>0</v>
      </c>
      <c r="CQ28" s="46">
        <f t="shared" si="31"/>
        <v>0</v>
      </c>
      <c r="CR28" s="46">
        <f t="shared" si="32"/>
        <v>0</v>
      </c>
      <c r="CS28" s="46">
        <f t="shared" si="33"/>
        <v>0</v>
      </c>
      <c r="CT28" s="46"/>
      <c r="CU28" s="46"/>
      <c r="CV28" s="46"/>
      <c r="CW28" s="46"/>
      <c r="CX28" s="46"/>
      <c r="CY28" s="46"/>
      <c r="CZ28" s="46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40"/>
      <c r="EI28" s="40"/>
      <c r="EJ28" s="40"/>
      <c r="EK28" s="40"/>
    </row>
    <row r="29" spans="1:141" ht="12.75" customHeight="1" x14ac:dyDescent="0.2">
      <c r="A29" s="41"/>
      <c r="B29" s="47" t="s">
        <v>136</v>
      </c>
      <c r="C29" s="45">
        <v>385</v>
      </c>
      <c r="D29" s="45">
        <v>391</v>
      </c>
      <c r="E29" s="45">
        <v>394</v>
      </c>
      <c r="F29" s="45">
        <v>442</v>
      </c>
      <c r="G29" s="44">
        <v>409</v>
      </c>
      <c r="H29" s="44">
        <v>435</v>
      </c>
      <c r="I29" s="44">
        <v>440</v>
      </c>
      <c r="J29" s="44">
        <f>2103-I29-H29-G29-SUM(G30:I30)</f>
        <v>545</v>
      </c>
      <c r="K29" s="44">
        <v>443</v>
      </c>
      <c r="L29" s="44">
        <v>450</v>
      </c>
      <c r="M29" s="44">
        <v>517</v>
      </c>
      <c r="N29" s="44">
        <v>482</v>
      </c>
      <c r="O29" s="44">
        <v>601</v>
      </c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3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4">
        <f t="shared" si="11"/>
        <v>1612</v>
      </c>
      <c r="CE29" s="44">
        <v>1744</v>
      </c>
      <c r="CF29" s="44">
        <f t="shared" si="34"/>
        <v>1892</v>
      </c>
      <c r="CG29" s="44">
        <v>2054</v>
      </c>
      <c r="CH29" s="44">
        <v>2163</v>
      </c>
      <c r="CI29" s="42"/>
      <c r="CJ29" s="42"/>
      <c r="CK29" s="42"/>
      <c r="CL29" s="40"/>
      <c r="CM29" s="46"/>
      <c r="CN29" s="46"/>
      <c r="CO29" s="46"/>
      <c r="CP29" s="46">
        <f t="shared" si="30"/>
        <v>0</v>
      </c>
      <c r="CQ29" s="46">
        <f t="shared" si="31"/>
        <v>0</v>
      </c>
      <c r="CR29" s="46">
        <f t="shared" si="32"/>
        <v>0</v>
      </c>
      <c r="CS29" s="46">
        <f t="shared" si="33"/>
        <v>0</v>
      </c>
      <c r="CT29" s="46"/>
      <c r="CU29" s="46"/>
      <c r="CV29" s="46"/>
      <c r="CW29" s="46"/>
      <c r="CX29" s="46"/>
      <c r="CY29" s="46"/>
      <c r="CZ29" s="46"/>
      <c r="DA29" s="40"/>
      <c r="DB29" s="40"/>
      <c r="DC29" s="40"/>
      <c r="DD29" s="40"/>
      <c r="DE29" s="40"/>
      <c r="DF29" s="40"/>
      <c r="DG29" s="40"/>
      <c r="DH29" s="40"/>
      <c r="DI29" s="40"/>
      <c r="DJ29" s="40"/>
      <c r="DK29" s="40"/>
      <c r="DL29" s="40"/>
      <c r="DM29" s="40"/>
      <c r="DN29" s="40"/>
      <c r="DO29" s="40"/>
      <c r="DP29" s="40"/>
      <c r="DQ29" s="40"/>
      <c r="DR29" s="40"/>
      <c r="DS29" s="40"/>
      <c r="DT29" s="40"/>
      <c r="DU29" s="40"/>
      <c r="DV29" s="40"/>
      <c r="DW29" s="40"/>
      <c r="DX29" s="40"/>
      <c r="DY29" s="40"/>
      <c r="DZ29" s="40"/>
      <c r="EA29" s="40"/>
      <c r="EB29" s="40"/>
      <c r="EC29" s="40"/>
      <c r="ED29" s="40"/>
      <c r="EE29" s="40"/>
      <c r="EF29" s="40"/>
      <c r="EG29" s="40"/>
      <c r="EH29" s="40"/>
      <c r="EI29" s="40"/>
      <c r="EJ29" s="40"/>
      <c r="EK29" s="40"/>
    </row>
    <row r="30" spans="1:141" ht="12.75" customHeight="1" x14ac:dyDescent="0.2">
      <c r="A30" s="41"/>
      <c r="B30" s="47" t="s">
        <v>137</v>
      </c>
      <c r="C30" s="45">
        <v>68</v>
      </c>
      <c r="D30" s="45">
        <v>78</v>
      </c>
      <c r="E30" s="45">
        <v>71</v>
      </c>
      <c r="F30" s="45">
        <v>107</v>
      </c>
      <c r="G30" s="44">
        <v>81</v>
      </c>
      <c r="H30" s="44">
        <v>110</v>
      </c>
      <c r="I30" s="44">
        <v>83</v>
      </c>
      <c r="J30" s="44"/>
      <c r="K30" s="44">
        <f>524-K29</f>
        <v>81</v>
      </c>
      <c r="L30" s="44">
        <v>70</v>
      </c>
      <c r="M30" s="44">
        <v>83</v>
      </c>
      <c r="N30" s="44">
        <v>107</v>
      </c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>
        <v>637</v>
      </c>
      <c r="AB30" s="44">
        <f>1408-AA30</f>
        <v>771</v>
      </c>
      <c r="AC30" s="44"/>
      <c r="AD30" s="44"/>
      <c r="AE30" s="44">
        <v>818</v>
      </c>
      <c r="AF30" s="44">
        <v>940</v>
      </c>
      <c r="AG30" s="44">
        <v>1028</v>
      </c>
      <c r="AH30" s="44">
        <v>1084</v>
      </c>
      <c r="AI30" s="44">
        <v>938</v>
      </c>
      <c r="AJ30" s="44">
        <v>972</v>
      </c>
      <c r="AK30" s="44">
        <v>957</v>
      </c>
      <c r="AL30" s="44">
        <v>722</v>
      </c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3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4">
        <f t="shared" si="11"/>
        <v>324</v>
      </c>
      <c r="CE30" s="44">
        <v>359</v>
      </c>
      <c r="CF30" s="44">
        <f t="shared" si="34"/>
        <v>341</v>
      </c>
      <c r="CG30" s="44">
        <v>473</v>
      </c>
      <c r="CH30" s="42">
        <v>345</v>
      </c>
      <c r="CI30" s="42"/>
      <c r="CJ30" s="42"/>
      <c r="CK30" s="42"/>
      <c r="CL30" s="40"/>
      <c r="CM30" s="46"/>
      <c r="CN30" s="46"/>
      <c r="CO30" s="46"/>
      <c r="CP30" s="46">
        <f t="shared" si="30"/>
        <v>0</v>
      </c>
      <c r="CQ30" s="46">
        <f t="shared" si="31"/>
        <v>0</v>
      </c>
      <c r="CR30" s="46">
        <f t="shared" si="32"/>
        <v>0</v>
      </c>
      <c r="CS30" s="46">
        <f t="shared" si="33"/>
        <v>0</v>
      </c>
      <c r="CT30" s="46"/>
      <c r="CU30" s="46"/>
      <c r="CV30" s="46"/>
      <c r="CW30" s="46"/>
      <c r="CX30" s="46"/>
      <c r="CY30" s="46"/>
      <c r="CZ30" s="46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0"/>
      <c r="DS30" s="40"/>
      <c r="DT30" s="40"/>
      <c r="DU30" s="40"/>
      <c r="DV30" s="40"/>
      <c r="DW30" s="40"/>
      <c r="DX30" s="40"/>
      <c r="DY30" s="40"/>
      <c r="DZ30" s="40"/>
      <c r="EA30" s="40"/>
      <c r="EB30" s="40"/>
      <c r="EC30" s="40"/>
      <c r="ED30" s="40"/>
      <c r="EE30" s="40"/>
      <c r="EF30" s="40"/>
      <c r="EG30" s="40"/>
      <c r="EH30" s="40"/>
      <c r="EI30" s="40"/>
      <c r="EJ30" s="40"/>
      <c r="EK30" s="40"/>
    </row>
    <row r="31" spans="1:141" s="12" customFormat="1" ht="12.75" customHeight="1" x14ac:dyDescent="0.2">
      <c r="A31" s="8"/>
      <c r="B31" s="9" t="s">
        <v>209</v>
      </c>
      <c r="C31" s="15">
        <f t="shared" ref="C31:O31" si="35">SUM(C10:C30)</f>
        <v>10614</v>
      </c>
      <c r="D31" s="15">
        <f t="shared" si="35"/>
        <v>11110</v>
      </c>
      <c r="E31" s="15">
        <f t="shared" si="35"/>
        <v>11246</v>
      </c>
      <c r="F31" s="15">
        <f t="shared" si="35"/>
        <v>12583</v>
      </c>
      <c r="G31" s="15">
        <f t="shared" si="35"/>
        <v>12498</v>
      </c>
      <c r="H31" s="15">
        <f t="shared" si="35"/>
        <v>13001</v>
      </c>
      <c r="I31" s="15">
        <f t="shared" si="35"/>
        <v>12545</v>
      </c>
      <c r="J31" s="15">
        <f t="shared" si="35"/>
        <v>13121</v>
      </c>
      <c r="K31" s="15">
        <f t="shared" si="35"/>
        <v>13674</v>
      </c>
      <c r="L31" s="15">
        <f t="shared" si="35"/>
        <v>15394</v>
      </c>
      <c r="M31" s="15">
        <f t="shared" si="35"/>
        <v>15584</v>
      </c>
      <c r="N31" s="15">
        <f t="shared" si="35"/>
        <v>16124</v>
      </c>
      <c r="O31" s="15">
        <f t="shared" si="35"/>
        <v>15693</v>
      </c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>
        <f>SUM(AA10:AA30)</f>
        <v>20343</v>
      </c>
      <c r="AB31" s="15">
        <f>SUM(AB10:AB30)</f>
        <v>21629</v>
      </c>
      <c r="AC31" s="15">
        <f t="shared" ref="AC31:AQ31" si="36">SUM(AC10:AC30)</f>
        <v>0</v>
      </c>
      <c r="AD31" s="15">
        <f t="shared" si="36"/>
        <v>0</v>
      </c>
      <c r="AE31" s="15">
        <f t="shared" si="36"/>
        <v>24929</v>
      </c>
      <c r="AF31" s="15">
        <f t="shared" si="36"/>
        <v>26729</v>
      </c>
      <c r="AG31" s="15">
        <f t="shared" si="36"/>
        <v>26416</v>
      </c>
      <c r="AH31" s="15">
        <f t="shared" si="36"/>
        <v>28415</v>
      </c>
      <c r="AI31" s="15">
        <f t="shared" si="36"/>
        <v>26586</v>
      </c>
      <c r="AJ31" s="15">
        <f t="shared" si="36"/>
        <v>26476</v>
      </c>
      <c r="AK31" s="15">
        <f t="shared" si="36"/>
        <v>26394</v>
      </c>
      <c r="AL31" s="15">
        <f t="shared" si="36"/>
        <v>27865</v>
      </c>
      <c r="AM31" s="15">
        <f t="shared" si="36"/>
        <v>0</v>
      </c>
      <c r="AN31" s="15">
        <f t="shared" si="36"/>
        <v>0</v>
      </c>
      <c r="AO31" s="15">
        <f t="shared" si="36"/>
        <v>0</v>
      </c>
      <c r="AP31" s="15">
        <f t="shared" si="36"/>
        <v>0</v>
      </c>
      <c r="AQ31" s="15">
        <f t="shared" si="36"/>
        <v>0</v>
      </c>
      <c r="AR31" s="15">
        <f>SUM(AR12:AR30)</f>
        <v>27407</v>
      </c>
      <c r="AS31" s="15">
        <f>SUM(AS12:AS30)</f>
        <v>27762</v>
      </c>
      <c r="AT31" s="15">
        <f>SUM(AT12:AT30)</f>
        <v>29732</v>
      </c>
      <c r="AU31" s="15">
        <f t="shared" ref="AU31:BI31" si="37">SUM(AU12:AU27)</f>
        <v>29291</v>
      </c>
      <c r="AV31" s="15">
        <f t="shared" si="37"/>
        <v>30036</v>
      </c>
      <c r="AW31" s="15">
        <f t="shared" si="37"/>
        <v>30277</v>
      </c>
      <c r="AX31" s="15">
        <f t="shared" si="37"/>
        <v>32417</v>
      </c>
      <c r="AY31" s="15">
        <f t="shared" si="37"/>
        <v>33875</v>
      </c>
      <c r="AZ31" s="15">
        <f t="shared" si="37"/>
        <v>30006</v>
      </c>
      <c r="BA31" s="15">
        <f t="shared" si="37"/>
        <v>30927</v>
      </c>
      <c r="BB31" s="15">
        <f t="shared" si="37"/>
        <v>32138</v>
      </c>
      <c r="BC31" s="15">
        <f t="shared" si="37"/>
        <v>33804</v>
      </c>
      <c r="BD31" s="15">
        <f t="shared" si="37"/>
        <v>33041</v>
      </c>
      <c r="BE31" s="15">
        <f t="shared" si="37"/>
        <v>35622</v>
      </c>
      <c r="BF31" s="15">
        <f t="shared" si="37"/>
        <v>38333</v>
      </c>
      <c r="BG31" s="15">
        <f t="shared" si="37"/>
        <v>42031</v>
      </c>
      <c r="BH31" s="15">
        <f t="shared" si="37"/>
        <v>41265</v>
      </c>
      <c r="BI31" s="15">
        <f t="shared" si="37"/>
        <v>45566</v>
      </c>
      <c r="BJ31" s="15">
        <f>SUM(BJ12:BJ27)</f>
        <v>48092</v>
      </c>
      <c r="BK31" s="15">
        <f>SUM(BK12:BK27)</f>
        <v>53367</v>
      </c>
      <c r="BL31" s="15">
        <f>SUM(BL12:BL27)</f>
        <v>54300</v>
      </c>
      <c r="BM31" s="15">
        <f>SUM(BM12:BM27)</f>
        <v>58731</v>
      </c>
      <c r="BN31" s="15">
        <f>SUM(BN12:BN27)</f>
        <v>65863</v>
      </c>
      <c r="BO31" s="15"/>
      <c r="BP31" s="15"/>
      <c r="BQ31" s="15"/>
      <c r="BR31" s="15"/>
      <c r="BS31" s="13"/>
      <c r="BT31" s="13">
        <v>13647</v>
      </c>
      <c r="BU31" s="13">
        <v>16423</v>
      </c>
      <c r="BV31" s="13">
        <v>20485</v>
      </c>
      <c r="BW31" s="13">
        <v>23385</v>
      </c>
      <c r="BX31" s="13">
        <v>24866</v>
      </c>
      <c r="BY31" s="13"/>
      <c r="BZ31" s="13"/>
      <c r="CA31" s="13"/>
      <c r="CB31" s="13"/>
      <c r="CC31" s="13"/>
      <c r="CD31" s="13">
        <f>SUM(CD10:CD30)</f>
        <v>45553</v>
      </c>
      <c r="CE31" s="13">
        <f>SUM(CE10:CE30)</f>
        <v>51165</v>
      </c>
      <c r="CF31" s="13">
        <f>SUM(CF10:CF30)</f>
        <v>60776</v>
      </c>
      <c r="CG31" s="13">
        <f>SUM(CG10:CG30)</f>
        <v>66346</v>
      </c>
      <c r="CH31" s="13">
        <f>SUM(CH10:CH30)</f>
        <v>78026</v>
      </c>
      <c r="CI31" s="13">
        <v>83572</v>
      </c>
      <c r="CJ31" s="13">
        <v>88806</v>
      </c>
      <c r="CK31" s="59">
        <v>107927</v>
      </c>
      <c r="CL31" s="59">
        <v>111780</v>
      </c>
      <c r="CM31" s="59">
        <v>111696</v>
      </c>
      <c r="CN31" s="59">
        <v>111831</v>
      </c>
      <c r="CO31" s="59">
        <v>122021</v>
      </c>
      <c r="CP31" s="59">
        <f>SUM(CP12:CP30)</f>
        <v>126946</v>
      </c>
      <c r="CQ31" s="59">
        <f>SUM(CQ12:CQ30)</f>
        <v>140800</v>
      </c>
      <c r="CR31" s="59">
        <f>SUM(CR12:CR30)</f>
        <v>176954</v>
      </c>
      <c r="CS31" s="59">
        <f>SUM(CS12:CS30)</f>
        <v>232261</v>
      </c>
      <c r="CT31" s="59"/>
      <c r="CU31" s="59"/>
      <c r="CV31" s="59"/>
      <c r="CW31" s="59"/>
      <c r="CX31" s="59"/>
      <c r="CY31" s="59"/>
      <c r="CZ31" s="59"/>
    </row>
    <row r="32" spans="1:141" ht="12.75" customHeight="1" x14ac:dyDescent="0.2">
      <c r="A32" s="41"/>
      <c r="B32" s="47" t="s">
        <v>138</v>
      </c>
      <c r="C32" s="44">
        <f t="shared" ref="C32:J32" si="38">C31-C33</f>
        <v>2413</v>
      </c>
      <c r="D32" s="44">
        <f t="shared" si="38"/>
        <v>2554</v>
      </c>
      <c r="E32" s="44">
        <f t="shared" si="38"/>
        <v>2606</v>
      </c>
      <c r="F32" s="44">
        <f t="shared" si="38"/>
        <v>2536</v>
      </c>
      <c r="G32" s="44">
        <f t="shared" si="38"/>
        <v>2508</v>
      </c>
      <c r="H32" s="44">
        <f t="shared" si="38"/>
        <v>2610</v>
      </c>
      <c r="I32" s="44">
        <f t="shared" si="38"/>
        <v>2713</v>
      </c>
      <c r="J32" s="44">
        <f t="shared" si="38"/>
        <v>2694</v>
      </c>
      <c r="K32" s="44">
        <f>+K31-K33</f>
        <v>2690</v>
      </c>
      <c r="L32" s="44">
        <f>+L31-L33</f>
        <v>2969</v>
      </c>
      <c r="M32" s="44">
        <f>+M31-M33</f>
        <v>2936</v>
      </c>
      <c r="N32" s="44">
        <f>+N31-N33</f>
        <v>3224.7999999999993</v>
      </c>
      <c r="O32" s="44">
        <f>O31-O33</f>
        <v>3117</v>
      </c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>
        <f>+AB31-AB33</f>
        <v>3671</v>
      </c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>
        <f>+AX31-AX33</f>
        <v>5432</v>
      </c>
      <c r="AY32" s="44">
        <f t="shared" ref="AY32:BB32" si="39">AY31-AY33</f>
        <v>5386</v>
      </c>
      <c r="AZ32" s="44">
        <f t="shared" si="39"/>
        <v>4772</v>
      </c>
      <c r="BA32" s="44">
        <f t="shared" si="39"/>
        <v>5155</v>
      </c>
      <c r="BB32" s="44">
        <f t="shared" si="39"/>
        <v>5619</v>
      </c>
      <c r="BC32" s="44">
        <f>BC31-BC33</f>
        <v>5811</v>
      </c>
      <c r="BD32" s="44">
        <v>5547</v>
      </c>
      <c r="BE32" s="44">
        <f>+BE31-BE33</f>
        <v>6059</v>
      </c>
      <c r="BF32" s="45">
        <f>+BF31-BF33</f>
        <v>6241</v>
      </c>
      <c r="BG32" s="44">
        <f>BG31-BG33</f>
        <v>6917</v>
      </c>
      <c r="BH32" s="44">
        <v>6069</v>
      </c>
      <c r="BI32" s="44">
        <v>7200</v>
      </c>
      <c r="BJ32" s="44">
        <f t="shared" ref="BJ32:BN32" si="40">+BJ31-BJ33</f>
        <v>7213.8000000000029</v>
      </c>
      <c r="BK32" s="44">
        <f>+BK31-BK33</f>
        <v>7471.3799999999974</v>
      </c>
      <c r="BL32" s="44">
        <f t="shared" si="40"/>
        <v>7602</v>
      </c>
      <c r="BM32" s="44">
        <f t="shared" si="40"/>
        <v>7635.0299999999988</v>
      </c>
      <c r="BN32" s="44">
        <f t="shared" si="40"/>
        <v>8562.1900000000023</v>
      </c>
      <c r="BO32" s="44"/>
      <c r="BP32" s="44"/>
      <c r="BQ32" s="44"/>
      <c r="BR32" s="44"/>
      <c r="BS32" s="44"/>
      <c r="BT32" s="44">
        <v>-3751</v>
      </c>
      <c r="BU32" s="44">
        <v>-4227</v>
      </c>
      <c r="BV32" s="44">
        <f>BV33-BV31</f>
        <v>-5016</v>
      </c>
      <c r="BW32" s="44">
        <f>BW33-BW31</f>
        <v>-6036</v>
      </c>
      <c r="BX32" s="44">
        <f>BX33-BX31</f>
        <v>-6598</v>
      </c>
      <c r="BY32" s="44"/>
      <c r="BZ32" s="44"/>
      <c r="CA32" s="44"/>
      <c r="CB32" s="44"/>
      <c r="CC32" s="44"/>
      <c r="CD32" s="44"/>
      <c r="CE32" s="44">
        <f>SUM(G32:J32)</f>
        <v>10525</v>
      </c>
      <c r="CF32" s="44">
        <v>11680</v>
      </c>
      <c r="CG32" s="44">
        <v>12589</v>
      </c>
      <c r="CH32" s="44">
        <v>13465</v>
      </c>
      <c r="CI32" s="44"/>
      <c r="CJ32" s="44">
        <v>14562</v>
      </c>
      <c r="CK32" s="44">
        <v>16188</v>
      </c>
      <c r="CL32" s="46">
        <v>17183</v>
      </c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0"/>
      <c r="DS32" s="40"/>
      <c r="DT32" s="40"/>
      <c r="DU32" s="40"/>
      <c r="DV32" s="40"/>
      <c r="DW32" s="40"/>
      <c r="DX32" s="40"/>
      <c r="DY32" s="40"/>
      <c r="DZ32" s="40"/>
      <c r="EA32" s="40"/>
      <c r="EB32" s="40"/>
      <c r="EC32" s="40"/>
      <c r="ED32" s="40"/>
      <c r="EE32" s="40"/>
      <c r="EF32" s="40"/>
      <c r="EG32" s="40"/>
      <c r="EH32" s="40"/>
      <c r="EI32" s="40"/>
      <c r="EJ32" s="40"/>
      <c r="EK32" s="40"/>
    </row>
    <row r="33" spans="1:141" ht="12.75" customHeight="1" x14ac:dyDescent="0.2">
      <c r="A33" s="41"/>
      <c r="B33" s="47" t="s">
        <v>139</v>
      </c>
      <c r="C33" s="44">
        <v>8201</v>
      </c>
      <c r="D33" s="44">
        <v>8556</v>
      </c>
      <c r="E33" s="44">
        <v>8640</v>
      </c>
      <c r="F33" s="44">
        <v>10047</v>
      </c>
      <c r="G33" s="44">
        <v>9990</v>
      </c>
      <c r="H33" s="44">
        <v>10391</v>
      </c>
      <c r="I33" s="44">
        <v>9832</v>
      </c>
      <c r="J33" s="44">
        <v>10427</v>
      </c>
      <c r="K33" s="44">
        <v>10984</v>
      </c>
      <c r="L33" s="44">
        <v>12425</v>
      </c>
      <c r="M33" s="44">
        <v>12648</v>
      </c>
      <c r="N33" s="44">
        <f>+N31*0.8</f>
        <v>12899.2</v>
      </c>
      <c r="O33" s="44">
        <v>12576</v>
      </c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>
        <v>17958</v>
      </c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>
        <v>26985</v>
      </c>
      <c r="AY33" s="44">
        <v>28489</v>
      </c>
      <c r="AZ33" s="44">
        <v>25234</v>
      </c>
      <c r="BA33" s="44">
        <v>25772</v>
      </c>
      <c r="BB33" s="44">
        <v>26519</v>
      </c>
      <c r="BC33" s="44">
        <v>27993</v>
      </c>
      <c r="BD33" s="44">
        <f>+BD31-BD32</f>
        <v>27494</v>
      </c>
      <c r="BE33" s="44">
        <v>29563</v>
      </c>
      <c r="BF33" s="44">
        <v>32092</v>
      </c>
      <c r="BG33" s="44">
        <v>35114</v>
      </c>
      <c r="BH33" s="44">
        <f>+BH31-BH32</f>
        <v>35196</v>
      </c>
      <c r="BI33" s="44">
        <f>+BI31-BI32</f>
        <v>38366</v>
      </c>
      <c r="BJ33" s="44">
        <f t="shared" ref="BJ33" si="41">+BJ31*0.85</f>
        <v>40878.199999999997</v>
      </c>
      <c r="BK33" s="44">
        <f>+BK31*0.86</f>
        <v>45895.62</v>
      </c>
      <c r="BL33" s="44">
        <f>+BL31*0.86</f>
        <v>46698</v>
      </c>
      <c r="BM33" s="44">
        <f>+BM31*0.87</f>
        <v>51095.97</v>
      </c>
      <c r="BN33" s="44">
        <f>+BN31*0.87</f>
        <v>57300.81</v>
      </c>
      <c r="BO33" s="44"/>
      <c r="BP33" s="44"/>
      <c r="BQ33" s="44"/>
      <c r="BR33" s="44"/>
      <c r="BS33" s="44"/>
      <c r="BT33" s="44">
        <f>BT31+BT32</f>
        <v>9896</v>
      </c>
      <c r="BU33" s="44">
        <f>BU31+BU32</f>
        <v>12196</v>
      </c>
      <c r="BV33" s="44">
        <v>15469</v>
      </c>
      <c r="BW33" s="44">
        <v>17349</v>
      </c>
      <c r="BX33" s="44">
        <v>18268</v>
      </c>
      <c r="BY33" s="44"/>
      <c r="BZ33" s="44"/>
      <c r="CA33" s="44"/>
      <c r="CB33" s="44"/>
      <c r="CC33" s="44"/>
      <c r="CD33" s="44"/>
      <c r="CE33" s="44">
        <f>CE31-CE32</f>
        <v>40640</v>
      </c>
      <c r="CF33" s="44">
        <f>+CF31-CF32</f>
        <v>49096</v>
      </c>
      <c r="CG33" s="44">
        <f>+CG31-CG32</f>
        <v>53757</v>
      </c>
      <c r="CH33" s="44">
        <f>+CH31-CH32</f>
        <v>64561</v>
      </c>
      <c r="CI33" s="44"/>
      <c r="CJ33" s="44">
        <f>+CJ31-CJ32</f>
        <v>74244</v>
      </c>
      <c r="CK33" s="44">
        <f>+CK31-CK32</f>
        <v>91739</v>
      </c>
      <c r="CL33" s="46">
        <f>+CL31-CL32</f>
        <v>94597</v>
      </c>
      <c r="CM33" s="46">
        <v>94064</v>
      </c>
      <c r="CN33" s="46">
        <v>94214</v>
      </c>
      <c r="CO33" s="46">
        <v>101933</v>
      </c>
      <c r="CP33" s="46">
        <v>106014</v>
      </c>
      <c r="CQ33" s="46">
        <v>117142</v>
      </c>
      <c r="CR33" s="46"/>
      <c r="CS33" s="46"/>
      <c r="CT33" s="46"/>
      <c r="CU33" s="46"/>
      <c r="CV33" s="46"/>
      <c r="CW33" s="46"/>
      <c r="CX33" s="46"/>
      <c r="CY33" s="46"/>
      <c r="CZ33" s="46"/>
      <c r="DA33" s="40"/>
      <c r="DB33" s="40"/>
      <c r="DC33" s="40"/>
      <c r="DD33" s="40"/>
      <c r="DE33" s="40"/>
      <c r="DF33" s="40"/>
      <c r="DG33" s="40"/>
      <c r="DH33" s="40"/>
      <c r="DI33" s="40"/>
      <c r="DJ33" s="40"/>
      <c r="DK33" s="40"/>
      <c r="DL33" s="40"/>
      <c r="DM33" s="40"/>
      <c r="DN33" s="40"/>
      <c r="DO33" s="40"/>
      <c r="DP33" s="40"/>
      <c r="DQ33" s="40"/>
      <c r="DR33" s="40"/>
      <c r="DS33" s="40"/>
      <c r="DT33" s="40"/>
      <c r="DU33" s="40"/>
      <c r="DV33" s="40"/>
      <c r="DW33" s="40"/>
      <c r="DX33" s="40"/>
      <c r="DY33" s="40"/>
      <c r="DZ33" s="40"/>
      <c r="EA33" s="40"/>
      <c r="EB33" s="40"/>
      <c r="EC33" s="40"/>
      <c r="ED33" s="40"/>
      <c r="EE33" s="40"/>
      <c r="EF33" s="40"/>
      <c r="EG33" s="40"/>
      <c r="EH33" s="40"/>
      <c r="EI33" s="40"/>
      <c r="EJ33" s="40"/>
      <c r="EK33" s="40"/>
    </row>
    <row r="34" spans="1:141" ht="12.75" customHeight="1" x14ac:dyDescent="0.2">
      <c r="A34" s="41"/>
      <c r="B34" s="47" t="s">
        <v>140</v>
      </c>
      <c r="C34" s="44">
        <v>2975</v>
      </c>
      <c r="D34" s="44">
        <v>3178</v>
      </c>
      <c r="E34" s="44">
        <v>3155</v>
      </c>
      <c r="F34" s="44">
        <v>3558</v>
      </c>
      <c r="G34" s="44">
        <v>3844</v>
      </c>
      <c r="H34" s="44">
        <v>3837</v>
      </c>
      <c r="I34" s="44">
        <v>3502</v>
      </c>
      <c r="J34" s="44">
        <v>4237</v>
      </c>
      <c r="K34" s="44">
        <v>3984</v>
      </c>
      <c r="L34" s="44">
        <v>4364</v>
      </c>
      <c r="M34" s="44">
        <v>4573</v>
      </c>
      <c r="N34" s="44">
        <f>+M34</f>
        <v>4573</v>
      </c>
      <c r="O34" s="44">
        <v>4260</v>
      </c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>
        <v>5559</v>
      </c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>
        <v>9536</v>
      </c>
      <c r="AY34" s="44">
        <v>7590</v>
      </c>
      <c r="AZ34" s="44">
        <v>7398</v>
      </c>
      <c r="BA34" s="44">
        <v>8174</v>
      </c>
      <c r="BB34" s="44">
        <v>9766</v>
      </c>
      <c r="BC34" s="44">
        <v>8256</v>
      </c>
      <c r="BD34" s="44">
        <v>8001</v>
      </c>
      <c r="BE34" s="44">
        <v>9119</v>
      </c>
      <c r="BF34" s="44">
        <v>11632</v>
      </c>
      <c r="BG34" s="44">
        <v>10183</v>
      </c>
      <c r="BH34" s="44">
        <v>10840</v>
      </c>
      <c r="BI34" s="44">
        <v>11451</v>
      </c>
      <c r="BJ34" s="44">
        <f>+BJ31*0.3</f>
        <v>14427.6</v>
      </c>
      <c r="BK34" s="44">
        <f>+BK31*0.24</f>
        <v>12808.08</v>
      </c>
      <c r="BL34" s="44">
        <f>+BL31*0.24</f>
        <v>13032</v>
      </c>
      <c r="BM34" s="44">
        <f>+BM31*0.26</f>
        <v>15270.060000000001</v>
      </c>
      <c r="BN34" s="44">
        <f>+BN31*0.3</f>
        <v>19758.899999999998</v>
      </c>
      <c r="BO34" s="44"/>
      <c r="BP34" s="44"/>
      <c r="BQ34" s="44"/>
      <c r="BR34" s="44"/>
      <c r="BS34" s="44"/>
      <c r="BT34" s="44">
        <v>-4212</v>
      </c>
      <c r="BU34" s="44">
        <v>-4812</v>
      </c>
      <c r="BV34" s="44">
        <v>-6013</v>
      </c>
      <c r="BW34" s="44">
        <v>-6951</v>
      </c>
      <c r="BX34" s="44">
        <v>-7187</v>
      </c>
      <c r="BY34" s="44"/>
      <c r="BZ34" s="44"/>
      <c r="CA34" s="44"/>
      <c r="CB34" s="44"/>
      <c r="CC34" s="44"/>
      <c r="CD34" s="44"/>
      <c r="CE34" s="44">
        <f>SUM(G34:J34)</f>
        <v>15420</v>
      </c>
      <c r="CF34" s="44">
        <v>18195</v>
      </c>
      <c r="CG34" s="44">
        <v>19004</v>
      </c>
      <c r="CH34" s="44">
        <v>21544</v>
      </c>
      <c r="CI34" s="44"/>
      <c r="CJ34" s="44">
        <v>23223</v>
      </c>
      <c r="CK34" s="44">
        <v>28312</v>
      </c>
      <c r="CL34" s="46">
        <v>28377</v>
      </c>
      <c r="CM34" s="46">
        <v>28340</v>
      </c>
      <c r="CN34" s="46">
        <v>29397</v>
      </c>
      <c r="CO34" s="46">
        <v>31823</v>
      </c>
      <c r="CP34" s="46">
        <v>32928</v>
      </c>
      <c r="CQ34" s="46">
        <v>37008</v>
      </c>
      <c r="CR34" s="46"/>
      <c r="CS34" s="46"/>
      <c r="CT34" s="46"/>
      <c r="CU34" s="46"/>
      <c r="CV34" s="46"/>
      <c r="CW34" s="46"/>
      <c r="CX34" s="46"/>
      <c r="CY34" s="46"/>
      <c r="CZ34" s="46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0"/>
      <c r="DS34" s="40"/>
      <c r="DT34" s="40"/>
      <c r="DU34" s="40"/>
      <c r="DV34" s="40"/>
      <c r="DW34" s="40"/>
      <c r="DX34" s="40"/>
      <c r="DY34" s="40"/>
      <c r="DZ34" s="40"/>
      <c r="EA34" s="40"/>
      <c r="EB34" s="40"/>
      <c r="EC34" s="40"/>
      <c r="ED34" s="40"/>
      <c r="EE34" s="40"/>
      <c r="EF34" s="40"/>
      <c r="EG34" s="40"/>
      <c r="EH34" s="40"/>
      <c r="EI34" s="40"/>
      <c r="EJ34" s="40"/>
      <c r="EK34" s="40"/>
    </row>
    <row r="35" spans="1:141" ht="12.75" customHeight="1" x14ac:dyDescent="0.2">
      <c r="A35" s="41"/>
      <c r="B35" s="47" t="s">
        <v>141</v>
      </c>
      <c r="C35" s="44">
        <f>1858-220</f>
        <v>1638</v>
      </c>
      <c r="D35" s="44">
        <f>1980-155</f>
        <v>1825</v>
      </c>
      <c r="E35" s="44">
        <f>1579+50</f>
        <v>1629</v>
      </c>
      <c r="F35" s="44">
        <v>2439</v>
      </c>
      <c r="G35" s="44">
        <v>1744</v>
      </c>
      <c r="H35" s="44">
        <v>1849</v>
      </c>
      <c r="I35" s="44">
        <v>1884</v>
      </c>
      <c r="J35" s="44">
        <v>2387</v>
      </c>
      <c r="K35" s="44">
        <v>2131</v>
      </c>
      <c r="L35" s="44">
        <v>2434</v>
      </c>
      <c r="M35" s="44">
        <v>2302</v>
      </c>
      <c r="N35" s="44">
        <f>+M35</f>
        <v>2302</v>
      </c>
      <c r="O35" s="44">
        <v>2290</v>
      </c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>
        <v>3075</v>
      </c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>
        <v>4384</v>
      </c>
      <c r="AY35" s="44">
        <v>3777</v>
      </c>
      <c r="AZ35" s="44">
        <v>3291</v>
      </c>
      <c r="BA35" s="44">
        <v>3911</v>
      </c>
      <c r="BB35" s="44">
        <v>4483</v>
      </c>
      <c r="BC35" s="44">
        <v>3944</v>
      </c>
      <c r="BD35" s="44">
        <v>3944</v>
      </c>
      <c r="BE35" s="44">
        <v>4252</v>
      </c>
      <c r="BF35" s="44">
        <v>5632</v>
      </c>
      <c r="BG35" s="44">
        <v>5206</v>
      </c>
      <c r="BH35" s="44">
        <v>5123</v>
      </c>
      <c r="BI35" s="44">
        <v>5633</v>
      </c>
      <c r="BJ35" s="44">
        <f t="shared" ref="BJ35:BN35" si="42">+BJ31*0.11</f>
        <v>5290.12</v>
      </c>
      <c r="BK35" s="44">
        <f t="shared" si="42"/>
        <v>5870.37</v>
      </c>
      <c r="BL35" s="44">
        <f t="shared" si="42"/>
        <v>5973</v>
      </c>
      <c r="BM35" s="44">
        <f t="shared" si="42"/>
        <v>6460.41</v>
      </c>
      <c r="BN35" s="44">
        <f t="shared" si="42"/>
        <v>7244.93</v>
      </c>
      <c r="BO35" s="44"/>
      <c r="BP35" s="44"/>
      <c r="BQ35" s="44"/>
      <c r="BR35" s="44"/>
      <c r="BS35" s="44"/>
      <c r="BT35" s="44">
        <v>-2795</v>
      </c>
      <c r="BU35" s="44">
        <v>-2748</v>
      </c>
      <c r="BV35" s="44">
        <v>-3407</v>
      </c>
      <c r="BW35" s="44">
        <v>-3872</v>
      </c>
      <c r="BX35" s="44">
        <v>-3952</v>
      </c>
      <c r="BY35" s="44"/>
      <c r="BZ35" s="44"/>
      <c r="CA35" s="44"/>
      <c r="CB35" s="44"/>
      <c r="CC35" s="44"/>
      <c r="CD35" s="44"/>
      <c r="CE35" s="44">
        <f>SUM(G35:J35)</f>
        <v>7864</v>
      </c>
      <c r="CF35" s="44">
        <v>9602</v>
      </c>
      <c r="CG35" s="44">
        <v>9628</v>
      </c>
      <c r="CH35" s="44">
        <v>10897</v>
      </c>
      <c r="CI35" s="44"/>
      <c r="CJ35" s="44">
        <v>13762</v>
      </c>
      <c r="CK35" s="44">
        <v>13608</v>
      </c>
      <c r="CL35" s="46">
        <v>14563</v>
      </c>
      <c r="CM35" s="46">
        <v>14014</v>
      </c>
      <c r="CN35" s="46">
        <v>14805</v>
      </c>
      <c r="CO35" s="46">
        <v>14220</v>
      </c>
      <c r="CP35" s="46">
        <v>15462</v>
      </c>
      <c r="CQ35" s="46">
        <v>17772</v>
      </c>
      <c r="CR35" s="46"/>
      <c r="CS35" s="46"/>
      <c r="CT35" s="46"/>
      <c r="CU35" s="46"/>
      <c r="CV35" s="46"/>
      <c r="CW35" s="46"/>
      <c r="CX35" s="46"/>
      <c r="CY35" s="46"/>
      <c r="CZ35" s="46"/>
      <c r="DA35" s="40"/>
      <c r="DB35" s="40"/>
      <c r="DC35" s="40"/>
      <c r="DD35" s="40"/>
      <c r="DE35" s="40"/>
      <c r="DF35" s="40"/>
      <c r="DG35" s="40"/>
      <c r="DH35" s="40"/>
      <c r="DI35" s="40"/>
      <c r="DJ35" s="40"/>
      <c r="DK35" s="40"/>
      <c r="DL35" s="40"/>
      <c r="DM35" s="40"/>
      <c r="DN35" s="40"/>
      <c r="DO35" s="40"/>
      <c r="DP35" s="40"/>
      <c r="DQ35" s="40"/>
      <c r="DR35" s="40"/>
      <c r="DS35" s="40"/>
      <c r="DT35" s="40"/>
      <c r="DU35" s="40"/>
      <c r="DV35" s="40"/>
      <c r="DW35" s="40"/>
      <c r="DX35" s="40"/>
      <c r="DY35" s="40"/>
      <c r="DZ35" s="40"/>
      <c r="EA35" s="40"/>
      <c r="EB35" s="40"/>
      <c r="EC35" s="40"/>
      <c r="ED35" s="40"/>
      <c r="EE35" s="40"/>
      <c r="EF35" s="40"/>
      <c r="EG35" s="40"/>
      <c r="EH35" s="40"/>
      <c r="EI35" s="40"/>
      <c r="EJ35" s="40"/>
      <c r="EK35" s="40"/>
    </row>
    <row r="36" spans="1:141" ht="12.75" customHeight="1" x14ac:dyDescent="0.2">
      <c r="A36" s="41"/>
      <c r="B36" s="47" t="s">
        <v>201</v>
      </c>
      <c r="C36" s="44">
        <v>627</v>
      </c>
      <c r="D36" s="44">
        <v>626</v>
      </c>
      <c r="E36" s="44">
        <v>633</v>
      </c>
      <c r="F36" s="44">
        <v>749</v>
      </c>
      <c r="G36" s="44">
        <v>679</v>
      </c>
      <c r="H36" s="44">
        <v>693</v>
      </c>
      <c r="I36" s="44">
        <v>666</v>
      </c>
      <c r="J36" s="44">
        <v>726</v>
      </c>
      <c r="K36" s="44">
        <v>711</v>
      </c>
      <c r="L36" s="44">
        <v>745</v>
      </c>
      <c r="M36" s="44">
        <v>759</v>
      </c>
      <c r="N36" s="44">
        <f>+M36</f>
        <v>759</v>
      </c>
      <c r="O36" s="44">
        <v>756</v>
      </c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>
        <v>795</v>
      </c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>
        <v>1235</v>
      </c>
      <c r="AY36" s="44">
        <v>927</v>
      </c>
      <c r="AZ36" s="44">
        <v>827</v>
      </c>
      <c r="BA36" s="44">
        <v>1006</v>
      </c>
      <c r="BB36" s="44">
        <v>1198</v>
      </c>
      <c r="BC36" s="44">
        <v>932</v>
      </c>
      <c r="BD36" s="44">
        <v>904</v>
      </c>
      <c r="BE36" s="44">
        <v>1024</v>
      </c>
      <c r="BF36" s="44">
        <v>1190</v>
      </c>
      <c r="BG36" s="44">
        <v>970</v>
      </c>
      <c r="BH36" s="44">
        <v>991</v>
      </c>
      <c r="BI36" s="44">
        <v>1158</v>
      </c>
      <c r="BJ36" s="44">
        <f t="shared" ref="BJ36:BN36" si="43">+BF36*1.01</f>
        <v>1201.9000000000001</v>
      </c>
      <c r="BK36" s="44">
        <f t="shared" si="43"/>
        <v>979.7</v>
      </c>
      <c r="BL36" s="44">
        <f t="shared" si="43"/>
        <v>1000.91</v>
      </c>
      <c r="BM36" s="44">
        <f t="shared" si="43"/>
        <v>1169.58</v>
      </c>
      <c r="BN36" s="44">
        <f t="shared" si="43"/>
        <v>1213.9190000000001</v>
      </c>
      <c r="BO36" s="44"/>
      <c r="BP36" s="44"/>
      <c r="BQ36" s="44"/>
      <c r="BR36" s="44"/>
      <c r="BS36" s="44"/>
      <c r="BT36" s="44">
        <v>-1397</v>
      </c>
      <c r="BU36" s="44">
        <v>-1721</v>
      </c>
      <c r="BV36" s="44">
        <v>-1917</v>
      </c>
      <c r="BW36" s="44">
        <v>-1931</v>
      </c>
      <c r="BX36" s="44">
        <v>-1960</v>
      </c>
      <c r="BY36" s="44"/>
      <c r="BZ36" s="44"/>
      <c r="CA36" s="44"/>
      <c r="CB36" s="44"/>
      <c r="CC36" s="44"/>
      <c r="CD36" s="44"/>
      <c r="CE36" s="44">
        <f>SUM(G36:J36)</f>
        <v>2764</v>
      </c>
      <c r="CF36" s="44">
        <v>3065</v>
      </c>
      <c r="CG36" s="44">
        <v>3245</v>
      </c>
      <c r="CH36" s="44">
        <v>3312</v>
      </c>
      <c r="CI36" s="44"/>
      <c r="CJ36" s="44">
        <v>3537</v>
      </c>
      <c r="CK36" s="44">
        <v>3857</v>
      </c>
      <c r="CL36" s="46">
        <v>3962</v>
      </c>
      <c r="CM36" s="46">
        <v>3784</v>
      </c>
      <c r="CN36" s="46">
        <v>3916</v>
      </c>
      <c r="CO36" s="46">
        <v>4007</v>
      </c>
      <c r="CP36" s="46">
        <v>3958</v>
      </c>
      <c r="CQ36" s="46">
        <v>4050</v>
      </c>
      <c r="CR36" s="46"/>
      <c r="CS36" s="46"/>
      <c r="CT36" s="46"/>
      <c r="CU36" s="46"/>
      <c r="CV36" s="46"/>
      <c r="CW36" s="46"/>
      <c r="CX36" s="46"/>
      <c r="CY36" s="46"/>
      <c r="CZ36" s="46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  <c r="EJ36" s="40"/>
      <c r="EK36" s="40"/>
    </row>
    <row r="37" spans="1:141" ht="12.75" customHeight="1" x14ac:dyDescent="0.2">
      <c r="A37" s="41"/>
      <c r="B37" s="47" t="s">
        <v>137</v>
      </c>
      <c r="C37" s="44">
        <v>88</v>
      </c>
      <c r="D37" s="44">
        <v>74</v>
      </c>
      <c r="E37" s="44">
        <v>51</v>
      </c>
      <c r="F37" s="44">
        <v>73</v>
      </c>
      <c r="G37" s="44">
        <v>87</v>
      </c>
      <c r="H37" s="44">
        <v>78</v>
      </c>
      <c r="I37" s="44">
        <v>34</v>
      </c>
      <c r="J37" s="44">
        <v>142</v>
      </c>
      <c r="K37" s="44">
        <v>224</v>
      </c>
      <c r="L37" s="44">
        <v>159</v>
      </c>
      <c r="M37" s="44">
        <v>110</v>
      </c>
      <c r="N37" s="44">
        <f>+M37</f>
        <v>110</v>
      </c>
      <c r="O37" s="44">
        <v>148</v>
      </c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>
        <v>204</v>
      </c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>
        <v>-43</v>
      </c>
      <c r="AY37" s="44">
        <v>-107</v>
      </c>
      <c r="AZ37" s="44">
        <v>-120</v>
      </c>
      <c r="BA37" s="44">
        <v>-127</v>
      </c>
      <c r="BB37" s="44">
        <v>-106</v>
      </c>
      <c r="BC37" s="44">
        <v>-121</v>
      </c>
      <c r="BD37" s="44">
        <v>-134</v>
      </c>
      <c r="BE37" s="44">
        <v>-81</v>
      </c>
      <c r="BF37" s="44">
        <v>4</v>
      </c>
      <c r="BG37" s="44">
        <v>-392</v>
      </c>
      <c r="BH37" s="44">
        <v>-149</v>
      </c>
      <c r="BI37" s="44">
        <v>-60</v>
      </c>
      <c r="BJ37" s="44">
        <f t="shared" ref="BJ37:BN37" si="44">AVERAGE(BF37:BI37)</f>
        <v>-149.25</v>
      </c>
      <c r="BK37" s="44">
        <f t="shared" si="44"/>
        <v>-187.5625</v>
      </c>
      <c r="BL37" s="44">
        <f t="shared" si="44"/>
        <v>-136.453125</v>
      </c>
      <c r="BM37" s="44">
        <f t="shared" si="44"/>
        <v>-133.31640625</v>
      </c>
      <c r="BN37" s="44">
        <f t="shared" si="44"/>
        <v>-151.6455078125</v>
      </c>
      <c r="BO37" s="44"/>
      <c r="BP37" s="44"/>
      <c r="BQ37" s="44"/>
      <c r="BR37" s="44"/>
      <c r="BS37" s="44"/>
      <c r="BT37" s="44">
        <v>1441</v>
      </c>
      <c r="BU37" s="44">
        <v>612</v>
      </c>
      <c r="BV37" s="44">
        <v>571</v>
      </c>
      <c r="BW37" s="44">
        <v>815</v>
      </c>
      <c r="BX37" s="44">
        <v>758</v>
      </c>
      <c r="BY37" s="44"/>
      <c r="BZ37" s="44"/>
      <c r="CA37" s="44"/>
      <c r="CB37" s="44"/>
      <c r="CC37" s="44"/>
      <c r="CD37" s="44"/>
      <c r="CE37" s="44"/>
      <c r="CF37" s="44">
        <v>-657</v>
      </c>
      <c r="CG37" s="44">
        <v>-494</v>
      </c>
      <c r="CH37" s="44">
        <v>-666</v>
      </c>
      <c r="CI37" s="44"/>
      <c r="CJ37" s="44">
        <v>-770</v>
      </c>
      <c r="CK37" s="44">
        <v>-3482</v>
      </c>
      <c r="CL37" s="46">
        <v>-737</v>
      </c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0"/>
      <c r="DB37" s="40"/>
      <c r="DC37" s="40"/>
      <c r="DD37" s="40"/>
      <c r="DE37" s="40"/>
      <c r="DF37" s="40"/>
      <c r="DG37" s="40"/>
      <c r="DH37" s="40"/>
      <c r="DI37" s="40"/>
      <c r="DJ37" s="40"/>
      <c r="DK37" s="40"/>
      <c r="DL37" s="40"/>
      <c r="DM37" s="40"/>
      <c r="DN37" s="40"/>
      <c r="DO37" s="40"/>
      <c r="DP37" s="40"/>
      <c r="DQ37" s="40"/>
      <c r="DR37" s="40"/>
      <c r="DS37" s="40"/>
      <c r="DT37" s="40"/>
      <c r="DU37" s="40"/>
      <c r="DV37" s="40"/>
      <c r="DW37" s="40"/>
      <c r="DX37" s="40"/>
      <c r="DY37" s="40"/>
      <c r="DZ37" s="40"/>
      <c r="EA37" s="40"/>
      <c r="EB37" s="40"/>
      <c r="EC37" s="40"/>
      <c r="ED37" s="40"/>
      <c r="EE37" s="40"/>
      <c r="EF37" s="40"/>
      <c r="EG37" s="40"/>
      <c r="EH37" s="40"/>
      <c r="EI37" s="40"/>
      <c r="EJ37" s="40"/>
      <c r="EK37" s="40"/>
    </row>
    <row r="38" spans="1:141" ht="12.75" customHeight="1" x14ac:dyDescent="0.2">
      <c r="A38" s="41"/>
      <c r="B38" s="47" t="s">
        <v>142</v>
      </c>
      <c r="C38" s="44">
        <f t="shared" ref="C38:K38" si="45">SUM(C34:C36)-C37</f>
        <v>5152</v>
      </c>
      <c r="D38" s="44">
        <f t="shared" si="45"/>
        <v>5555</v>
      </c>
      <c r="E38" s="44">
        <f t="shared" si="45"/>
        <v>5366</v>
      </c>
      <c r="F38" s="44">
        <f t="shared" si="45"/>
        <v>6673</v>
      </c>
      <c r="G38" s="44">
        <f t="shared" si="45"/>
        <v>6180</v>
      </c>
      <c r="H38" s="44">
        <f t="shared" si="45"/>
        <v>6301</v>
      </c>
      <c r="I38" s="44">
        <f t="shared" si="45"/>
        <v>6018</v>
      </c>
      <c r="J38" s="44">
        <f t="shared" si="45"/>
        <v>7208</v>
      </c>
      <c r="K38" s="44">
        <f t="shared" si="45"/>
        <v>6602</v>
      </c>
      <c r="L38" s="44">
        <f>SUM(L34:L36)-L37</f>
        <v>7384</v>
      </c>
      <c r="M38" s="44">
        <f>SUM(M34:M36)-M37</f>
        <v>7524</v>
      </c>
      <c r="N38" s="44">
        <f>SUM(N34:N36)-N37</f>
        <v>7524</v>
      </c>
      <c r="O38" s="44">
        <f>SUM(O34:O36)-O37</f>
        <v>7158</v>
      </c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>
        <f>SUM(AB34:AB37)</f>
        <v>9633</v>
      </c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>
        <f t="shared" ref="AX38:BB38" si="46">SUM(AX34:AX37)</f>
        <v>15112</v>
      </c>
      <c r="AY38" s="44">
        <f t="shared" si="46"/>
        <v>12187</v>
      </c>
      <c r="AZ38" s="44">
        <f t="shared" si="46"/>
        <v>11396</v>
      </c>
      <c r="BA38" s="44">
        <f t="shared" si="46"/>
        <v>12964</v>
      </c>
      <c r="BB38" s="44">
        <f t="shared" si="46"/>
        <v>15341</v>
      </c>
      <c r="BC38" s="44">
        <f t="shared" ref="BC38:BH38" si="47">SUM(BC34:BC37)</f>
        <v>13011</v>
      </c>
      <c r="BD38" s="44">
        <f t="shared" si="47"/>
        <v>12715</v>
      </c>
      <c r="BE38" s="44">
        <f t="shared" si="47"/>
        <v>14314</v>
      </c>
      <c r="BF38" s="44">
        <f t="shared" si="47"/>
        <v>18458</v>
      </c>
      <c r="BG38" s="44">
        <f t="shared" si="47"/>
        <v>15967</v>
      </c>
      <c r="BH38" s="44">
        <f t="shared" si="47"/>
        <v>16805</v>
      </c>
      <c r="BI38" s="44">
        <f t="shared" ref="BI38:BN38" si="48">SUM(BI34:BI37)</f>
        <v>18182</v>
      </c>
      <c r="BJ38" s="44">
        <f t="shared" si="48"/>
        <v>20770.370000000003</v>
      </c>
      <c r="BK38" s="44">
        <f t="shared" si="48"/>
        <v>19470.587500000001</v>
      </c>
      <c r="BL38" s="44">
        <f t="shared" si="48"/>
        <v>19869.456875</v>
      </c>
      <c r="BM38" s="44">
        <f t="shared" si="48"/>
        <v>22766.733593750003</v>
      </c>
      <c r="BN38" s="44">
        <f t="shared" si="48"/>
        <v>28066.1034921875</v>
      </c>
      <c r="BO38" s="44"/>
      <c r="BP38" s="44"/>
      <c r="BQ38" s="44"/>
      <c r="BR38" s="44"/>
      <c r="BS38" s="44"/>
      <c r="BT38" s="44">
        <f>BT33+SUM(BT34:BT37)</f>
        <v>2933</v>
      </c>
      <c r="BU38" s="44">
        <f>BU33+SUM(BU34:BU37)</f>
        <v>3527</v>
      </c>
      <c r="BV38" s="44">
        <f>BV33+SUM(BV34:BV37)</f>
        <v>4703</v>
      </c>
      <c r="BW38" s="44">
        <f>BW33+SUM(BW34:BW37)</f>
        <v>5410</v>
      </c>
      <c r="BX38" s="44">
        <f>BX33+SUM(BX34:BX37)</f>
        <v>5927</v>
      </c>
      <c r="BY38" s="44"/>
      <c r="BZ38" s="44"/>
      <c r="CA38" s="44"/>
      <c r="CB38" s="44"/>
      <c r="CC38" s="44"/>
      <c r="CD38" s="44"/>
      <c r="CE38" s="44">
        <f>SUM(CE34:CE36)</f>
        <v>26048</v>
      </c>
      <c r="CF38" s="44">
        <f>SUM(CF34:CF37)</f>
        <v>30205</v>
      </c>
      <c r="CG38" s="44">
        <f>SUM(CG34:CG37)</f>
        <v>31383</v>
      </c>
      <c r="CH38" s="44">
        <f>SUM(CH34:CH37)</f>
        <v>35087</v>
      </c>
      <c r="CI38" s="44">
        <f>SUM(CI34:CI36)</f>
        <v>0</v>
      </c>
      <c r="CJ38" s="44">
        <f>SUM(CJ34:CJ37)</f>
        <v>39752</v>
      </c>
      <c r="CK38" s="44">
        <f>SUM(CK34:CK37)</f>
        <v>42295</v>
      </c>
      <c r="CL38" s="44">
        <f>SUM(CL34:CL37)</f>
        <v>46165</v>
      </c>
      <c r="CM38" s="46">
        <f>SUM(CM34:CM36)</f>
        <v>46138</v>
      </c>
      <c r="CN38" s="46">
        <f t="shared" ref="CN38:CP38" si="49">SUM(CN34:CN36)</f>
        <v>48118</v>
      </c>
      <c r="CO38" s="46">
        <f t="shared" si="49"/>
        <v>50050</v>
      </c>
      <c r="CP38" s="46">
        <f t="shared" si="49"/>
        <v>52348</v>
      </c>
      <c r="CQ38" s="46">
        <f>SUM(CQ34:CQ36)</f>
        <v>58830</v>
      </c>
      <c r="CR38" s="46"/>
      <c r="CS38" s="46"/>
      <c r="CT38" s="46"/>
      <c r="CU38" s="46"/>
      <c r="CV38" s="46"/>
      <c r="CW38" s="46"/>
      <c r="CX38" s="46"/>
      <c r="CY38" s="46"/>
      <c r="CZ38" s="46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0"/>
      <c r="DS38" s="40"/>
      <c r="DT38" s="40"/>
      <c r="DU38" s="40"/>
      <c r="DV38" s="40"/>
      <c r="DW38" s="40"/>
      <c r="DX38" s="40"/>
      <c r="DY38" s="40"/>
      <c r="DZ38" s="40"/>
      <c r="EA38" s="40"/>
      <c r="EB38" s="40"/>
      <c r="EC38" s="40"/>
      <c r="ED38" s="40"/>
      <c r="EE38" s="40"/>
      <c r="EF38" s="40"/>
      <c r="EG38" s="40"/>
      <c r="EH38" s="40"/>
      <c r="EI38" s="40"/>
      <c r="EJ38" s="40"/>
      <c r="EK38" s="40"/>
    </row>
    <row r="39" spans="1:141" ht="12.75" customHeight="1" x14ac:dyDescent="0.2">
      <c r="A39" s="41"/>
      <c r="B39" s="47" t="s">
        <v>202</v>
      </c>
      <c r="C39" s="44">
        <f t="shared" ref="C39:K39" si="50">C33-C38</f>
        <v>3049</v>
      </c>
      <c r="D39" s="44">
        <f t="shared" si="50"/>
        <v>3001</v>
      </c>
      <c r="E39" s="44">
        <f t="shared" si="50"/>
        <v>3274</v>
      </c>
      <c r="F39" s="44">
        <f t="shared" si="50"/>
        <v>3374</v>
      </c>
      <c r="G39" s="44">
        <f t="shared" si="50"/>
        <v>3810</v>
      </c>
      <c r="H39" s="44">
        <f t="shared" si="50"/>
        <v>4090</v>
      </c>
      <c r="I39" s="44">
        <f t="shared" si="50"/>
        <v>3814</v>
      </c>
      <c r="J39" s="44">
        <f t="shared" si="50"/>
        <v>3219</v>
      </c>
      <c r="K39" s="44">
        <f t="shared" si="50"/>
        <v>4382</v>
      </c>
      <c r="L39" s="44">
        <f>L33-L38</f>
        <v>5041</v>
      </c>
      <c r="M39" s="44">
        <f>M33-M38</f>
        <v>5124</v>
      </c>
      <c r="N39" s="44">
        <f>N33-N38</f>
        <v>5375.2000000000007</v>
      </c>
      <c r="O39" s="44">
        <f>O33-O38</f>
        <v>5418</v>
      </c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>
        <f>AB33-AB38</f>
        <v>8325</v>
      </c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>
        <f t="shared" ref="AX39:BB39" si="51">AX33-AX38</f>
        <v>11873</v>
      </c>
      <c r="AY39" s="44">
        <f t="shared" si="51"/>
        <v>16302</v>
      </c>
      <c r="AZ39" s="44">
        <f t="shared" si="51"/>
        <v>13838</v>
      </c>
      <c r="BA39" s="44">
        <f t="shared" si="51"/>
        <v>12808</v>
      </c>
      <c r="BB39" s="44">
        <f t="shared" si="51"/>
        <v>11178</v>
      </c>
      <c r="BC39" s="44">
        <f t="shared" ref="BC39:BH39" si="52">BC33-BC38</f>
        <v>14982</v>
      </c>
      <c r="BD39" s="44">
        <f t="shared" si="52"/>
        <v>14779</v>
      </c>
      <c r="BE39" s="44">
        <f t="shared" si="52"/>
        <v>15249</v>
      </c>
      <c r="BF39" s="44">
        <f t="shared" si="52"/>
        <v>13634</v>
      </c>
      <c r="BG39" s="44">
        <f t="shared" si="52"/>
        <v>19147</v>
      </c>
      <c r="BH39" s="44">
        <f t="shared" si="52"/>
        <v>18391</v>
      </c>
      <c r="BI39" s="44">
        <f t="shared" ref="BI39:BN39" si="53">BI33-BI38</f>
        <v>20184</v>
      </c>
      <c r="BJ39" s="44">
        <f t="shared" si="53"/>
        <v>20107.829999999994</v>
      </c>
      <c r="BK39" s="44">
        <f t="shared" si="53"/>
        <v>26425.032500000001</v>
      </c>
      <c r="BL39" s="44">
        <f t="shared" si="53"/>
        <v>26828.543125</v>
      </c>
      <c r="BM39" s="44">
        <f t="shared" si="53"/>
        <v>28329.236406249998</v>
      </c>
      <c r="BN39" s="44">
        <f t="shared" si="53"/>
        <v>29234.706507812498</v>
      </c>
      <c r="BO39" s="44"/>
      <c r="BP39" s="44"/>
      <c r="BQ39" s="44"/>
      <c r="BR39" s="44"/>
      <c r="BS39" s="44"/>
      <c r="BT39" s="44">
        <v>-26</v>
      </c>
      <c r="BU39" s="44">
        <v>2</v>
      </c>
      <c r="BV39" s="44">
        <v>3</v>
      </c>
      <c r="BW39" s="44">
        <v>49</v>
      </c>
      <c r="BX39" s="44">
        <v>27</v>
      </c>
      <c r="BY39" s="44">
        <f>-63-41-45+78+9-2-2+7</f>
        <v>-59</v>
      </c>
      <c r="BZ39" s="44">
        <f>-38-44+7-32-31+4+5+12</f>
        <v>-117</v>
      </c>
      <c r="CA39" s="44"/>
      <c r="CB39" s="44"/>
      <c r="CC39" s="44"/>
      <c r="CD39" s="44"/>
      <c r="CE39" s="44">
        <f t="shared" ref="CE39:CL39" si="54">CE33-CE38</f>
        <v>14592</v>
      </c>
      <c r="CF39" s="44">
        <f t="shared" si="54"/>
        <v>18891</v>
      </c>
      <c r="CG39" s="44">
        <f>CG33-CG38</f>
        <v>22374</v>
      </c>
      <c r="CH39" s="44">
        <f>CH33-CH38</f>
        <v>29474</v>
      </c>
      <c r="CI39" s="44">
        <f t="shared" si="54"/>
        <v>0</v>
      </c>
      <c r="CJ39" s="44">
        <f t="shared" si="54"/>
        <v>34492</v>
      </c>
      <c r="CK39" s="44">
        <f t="shared" si="54"/>
        <v>49444</v>
      </c>
      <c r="CL39" s="44">
        <f t="shared" si="54"/>
        <v>48432</v>
      </c>
      <c r="CM39" s="46">
        <f>CM33-CM38</f>
        <v>47926</v>
      </c>
      <c r="CN39" s="46">
        <f t="shared" ref="CN39:CQ39" si="55">CN33-CN38</f>
        <v>46096</v>
      </c>
      <c r="CO39" s="46">
        <f t="shared" si="55"/>
        <v>51883</v>
      </c>
      <c r="CP39" s="46">
        <f t="shared" si="55"/>
        <v>53666</v>
      </c>
      <c r="CQ39" s="46">
        <f t="shared" si="55"/>
        <v>58312</v>
      </c>
      <c r="CR39" s="46"/>
      <c r="CS39" s="46"/>
      <c r="CT39" s="46"/>
      <c r="CU39" s="46"/>
      <c r="CV39" s="46"/>
      <c r="CW39" s="46"/>
      <c r="CX39" s="46"/>
      <c r="CY39" s="46"/>
      <c r="CZ39" s="46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40"/>
      <c r="DN39" s="40"/>
      <c r="DO39" s="40"/>
      <c r="DP39" s="40"/>
      <c r="DQ39" s="40"/>
      <c r="DR39" s="40"/>
      <c r="DS39" s="40"/>
      <c r="DT39" s="40"/>
      <c r="DU39" s="40"/>
      <c r="DV39" s="40"/>
      <c r="DW39" s="40"/>
      <c r="DX39" s="40"/>
      <c r="DY39" s="40"/>
      <c r="DZ39" s="40"/>
      <c r="EA39" s="40"/>
      <c r="EB39" s="40"/>
      <c r="EC39" s="40"/>
      <c r="ED39" s="40"/>
      <c r="EE39" s="40"/>
      <c r="EF39" s="40"/>
      <c r="EG39" s="40"/>
      <c r="EH39" s="40"/>
      <c r="EI39" s="40"/>
      <c r="EJ39" s="40"/>
      <c r="EK39" s="40"/>
    </row>
    <row r="40" spans="1:141" ht="12.75" customHeight="1" x14ac:dyDescent="0.2">
      <c r="A40" s="41"/>
      <c r="B40" s="47" t="s">
        <v>205</v>
      </c>
      <c r="C40" s="44">
        <v>-67</v>
      </c>
      <c r="D40" s="44">
        <v>-3</v>
      </c>
      <c r="E40" s="44">
        <v>-58</v>
      </c>
      <c r="F40" s="44">
        <v>4</v>
      </c>
      <c r="G40" s="44">
        <v>-35</v>
      </c>
      <c r="H40" s="44">
        <v>-11</v>
      </c>
      <c r="I40" s="44">
        <v>-7</v>
      </c>
      <c r="J40" s="44">
        <v>-2</v>
      </c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>
        <v>379</v>
      </c>
      <c r="BU40" s="44">
        <v>218</v>
      </c>
      <c r="BV40" s="44">
        <v>539</v>
      </c>
      <c r="BW40" s="44">
        <v>368</v>
      </c>
      <c r="BX40" s="44">
        <v>555</v>
      </c>
      <c r="BY40" s="44">
        <f>421+446+177+438</f>
        <v>1482</v>
      </c>
      <c r="BZ40" s="44">
        <f>178+104+125+491</f>
        <v>898</v>
      </c>
      <c r="CA40" s="38"/>
      <c r="CB40" s="38"/>
      <c r="CC40" s="38"/>
      <c r="CD40" s="38"/>
      <c r="CE40" s="38"/>
      <c r="CF40" s="44"/>
      <c r="CG40" s="38"/>
      <c r="CH40" s="38"/>
      <c r="CI40" s="44"/>
      <c r="CJ40" s="44"/>
      <c r="CK40" s="44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0"/>
      <c r="DS40" s="40"/>
      <c r="DT40" s="40"/>
      <c r="DU40" s="40"/>
      <c r="DV40" s="40"/>
      <c r="DW40" s="40"/>
      <c r="DX40" s="40"/>
      <c r="DY40" s="40"/>
      <c r="DZ40" s="40"/>
      <c r="EA40" s="40"/>
      <c r="EB40" s="40"/>
      <c r="EC40" s="40"/>
      <c r="ED40" s="40"/>
      <c r="EE40" s="40"/>
      <c r="EF40" s="40"/>
      <c r="EG40" s="40"/>
      <c r="EH40" s="40"/>
      <c r="EI40" s="40"/>
      <c r="EJ40" s="40"/>
      <c r="EK40" s="40"/>
    </row>
    <row r="41" spans="1:141" ht="12.75" customHeight="1" x14ac:dyDescent="0.2">
      <c r="A41" s="41"/>
      <c r="B41" s="47" t="s">
        <v>143</v>
      </c>
      <c r="C41" s="44">
        <v>474</v>
      </c>
      <c r="D41" s="44">
        <v>429</v>
      </c>
      <c r="E41" s="44">
        <v>306</v>
      </c>
      <c r="F41" s="44">
        <v>-82</v>
      </c>
      <c r="G41" s="44">
        <v>142</v>
      </c>
      <c r="H41" s="44">
        <v>166</v>
      </c>
      <c r="I41" s="44">
        <v>9</v>
      </c>
      <c r="J41" s="44">
        <v>58</v>
      </c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>
        <v>256</v>
      </c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>
        <v>-110</v>
      </c>
      <c r="BU41" s="44">
        <v>-398</v>
      </c>
      <c r="BV41" s="44">
        <v>-361</v>
      </c>
      <c r="BW41" s="44">
        <v>-132</v>
      </c>
      <c r="BX41" s="44">
        <v>-181</v>
      </c>
      <c r="BY41" s="44">
        <f>-133-116-103-117</f>
        <v>-469</v>
      </c>
      <c r="BZ41" s="44">
        <f>-22-44-52-186</f>
        <v>-304</v>
      </c>
      <c r="CA41" s="38"/>
      <c r="CB41" s="38"/>
      <c r="CC41" s="38"/>
      <c r="CD41" s="38"/>
      <c r="CE41" s="38"/>
      <c r="CF41" s="44"/>
      <c r="CG41" s="44"/>
      <c r="CH41" s="44"/>
      <c r="CI41" s="44"/>
      <c r="CJ41" s="44"/>
      <c r="CK41" s="44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0"/>
      <c r="DB41" s="40"/>
      <c r="DC41" s="40"/>
      <c r="DD41" s="40"/>
      <c r="DE41" s="40"/>
      <c r="DF41" s="40"/>
      <c r="DG41" s="40"/>
      <c r="DH41" s="40"/>
      <c r="DI41" s="40"/>
      <c r="DJ41" s="40"/>
      <c r="DK41" s="40"/>
      <c r="DL41" s="40"/>
      <c r="DM41" s="40"/>
      <c r="DN41" s="40"/>
      <c r="DO41" s="40"/>
      <c r="DP41" s="40"/>
      <c r="DQ41" s="40"/>
      <c r="DR41" s="40"/>
      <c r="DS41" s="40"/>
      <c r="DT41" s="40"/>
      <c r="DU41" s="40"/>
      <c r="DV41" s="40"/>
      <c r="DW41" s="40"/>
      <c r="DX41" s="40"/>
      <c r="DY41" s="40"/>
      <c r="DZ41" s="40"/>
      <c r="EA41" s="40"/>
      <c r="EB41" s="40"/>
      <c r="EC41" s="40"/>
      <c r="ED41" s="40"/>
      <c r="EE41" s="40"/>
      <c r="EF41" s="40"/>
      <c r="EG41" s="40"/>
      <c r="EH41" s="40"/>
      <c r="EI41" s="40"/>
      <c r="EJ41" s="40"/>
      <c r="EK41" s="40"/>
    </row>
    <row r="42" spans="1:141" ht="12.75" customHeight="1" x14ac:dyDescent="0.2">
      <c r="A42" s="41"/>
      <c r="B42" s="47" t="s">
        <v>144</v>
      </c>
      <c r="C42" s="44">
        <v>368</v>
      </c>
      <c r="D42" s="44">
        <v>-21</v>
      </c>
      <c r="E42" s="44">
        <v>66</v>
      </c>
      <c r="F42" s="44">
        <v>-226</v>
      </c>
      <c r="G42" s="44">
        <v>-412</v>
      </c>
      <c r="H42" s="44">
        <v>-361</v>
      </c>
      <c r="I42" s="44">
        <v>-209</v>
      </c>
      <c r="J42" s="44">
        <v>-283</v>
      </c>
      <c r="K42" s="44">
        <v>-65</v>
      </c>
      <c r="L42" s="44">
        <f>-4+146-575</f>
        <v>-433</v>
      </c>
      <c r="M42" s="44">
        <f>-22+31-477</f>
        <v>-468</v>
      </c>
      <c r="N42" s="44">
        <f>+M42</f>
        <v>-468</v>
      </c>
      <c r="O42" s="44">
        <f>84-212</f>
        <v>-128</v>
      </c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39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>
        <v>794</v>
      </c>
      <c r="AY42" s="44">
        <v>1281</v>
      </c>
      <c r="AZ42" s="44">
        <v>422</v>
      </c>
      <c r="BA42" s="44">
        <v>117</v>
      </c>
      <c r="BB42" s="44">
        <v>-824</v>
      </c>
      <c r="BC42" s="44">
        <v>-956</v>
      </c>
      <c r="BD42" s="44">
        <f>-90-48</f>
        <v>-138</v>
      </c>
      <c r="BE42" s="44">
        <v>137</v>
      </c>
      <c r="BF42" s="44">
        <v>521</v>
      </c>
      <c r="BG42" s="44">
        <v>1228</v>
      </c>
      <c r="BH42" s="44">
        <f>-1656+3252</f>
        <v>1596</v>
      </c>
      <c r="BI42" s="44">
        <f>-1573+3725</f>
        <v>2152</v>
      </c>
      <c r="BJ42" s="44">
        <f t="shared" ref="BJ42:BN42" si="56">AVERAGE(BF42:BI42)</f>
        <v>1374.25</v>
      </c>
      <c r="BK42" s="44">
        <f t="shared" si="56"/>
        <v>1587.5625</v>
      </c>
      <c r="BL42" s="44">
        <f t="shared" si="56"/>
        <v>1677.453125</v>
      </c>
      <c r="BM42" s="44">
        <f t="shared" si="56"/>
        <v>1697.81640625</v>
      </c>
      <c r="BN42" s="44">
        <f t="shared" si="56"/>
        <v>1584.2705078125</v>
      </c>
      <c r="BO42" s="44"/>
      <c r="BP42" s="44"/>
      <c r="BQ42" s="44"/>
      <c r="BR42" s="44"/>
      <c r="BS42" s="44"/>
      <c r="BT42" s="44">
        <f t="shared" ref="BT42:BZ42" si="57">BT38+SUM(BT39:BT41)</f>
        <v>3176</v>
      </c>
      <c r="BU42" s="44">
        <f t="shared" si="57"/>
        <v>3349</v>
      </c>
      <c r="BV42" s="44">
        <f t="shared" si="57"/>
        <v>4884</v>
      </c>
      <c r="BW42" s="44">
        <f t="shared" si="57"/>
        <v>5695</v>
      </c>
      <c r="BX42" s="44">
        <f t="shared" si="57"/>
        <v>6328</v>
      </c>
      <c r="BY42" s="44">
        <f t="shared" si="57"/>
        <v>954</v>
      </c>
      <c r="BZ42" s="44">
        <f t="shared" si="57"/>
        <v>477</v>
      </c>
      <c r="CA42" s="38"/>
      <c r="CB42" s="38"/>
      <c r="CC42" s="38"/>
      <c r="CD42" s="38"/>
      <c r="CE42" s="38"/>
      <c r="CF42" s="44">
        <f>1452-2057</f>
        <v>-605</v>
      </c>
      <c r="CG42" s="44">
        <f>514-963</f>
        <v>-449</v>
      </c>
      <c r="CH42" s="44">
        <f>125-1788</f>
        <v>-1663</v>
      </c>
      <c r="CI42" s="44"/>
      <c r="CJ42" s="44">
        <f>167-563</f>
        <v>-396</v>
      </c>
      <c r="CK42" s="44">
        <f>85-6046</f>
        <v>-5961</v>
      </c>
      <c r="CL42" s="46">
        <f>92-726</f>
        <v>-634</v>
      </c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0"/>
      <c r="DS42" s="40"/>
      <c r="DT42" s="40"/>
      <c r="DU42" s="40"/>
      <c r="DV42" s="40"/>
      <c r="DW42" s="40"/>
      <c r="DX42" s="40"/>
      <c r="DY42" s="40"/>
      <c r="DZ42" s="40"/>
      <c r="EA42" s="40"/>
      <c r="EB42" s="40"/>
      <c r="EC42" s="40"/>
      <c r="ED42" s="40"/>
      <c r="EE42" s="40"/>
      <c r="EF42" s="40"/>
      <c r="EG42" s="40"/>
      <c r="EH42" s="40"/>
      <c r="EI42" s="40"/>
      <c r="EJ42" s="40"/>
      <c r="EK42" s="40"/>
    </row>
    <row r="43" spans="1:141" ht="12.75" customHeight="1" x14ac:dyDescent="0.2">
      <c r="A43" s="41"/>
      <c r="B43" s="47" t="s">
        <v>203</v>
      </c>
      <c r="C43" s="44">
        <f t="shared" ref="C43:O43" si="58">SUM(C39:C42)</f>
        <v>3824</v>
      </c>
      <c r="D43" s="44">
        <f t="shared" si="58"/>
        <v>3406</v>
      </c>
      <c r="E43" s="44">
        <f t="shared" si="58"/>
        <v>3588</v>
      </c>
      <c r="F43" s="44">
        <f t="shared" si="58"/>
        <v>3070</v>
      </c>
      <c r="G43" s="44">
        <f t="shared" si="58"/>
        <v>3505</v>
      </c>
      <c r="H43" s="44">
        <f t="shared" si="58"/>
        <v>3884</v>
      </c>
      <c r="I43" s="44">
        <f t="shared" si="58"/>
        <v>3607</v>
      </c>
      <c r="J43" s="44">
        <f t="shared" si="58"/>
        <v>2992</v>
      </c>
      <c r="K43" s="44">
        <f t="shared" si="58"/>
        <v>4317</v>
      </c>
      <c r="L43" s="44">
        <f t="shared" si="58"/>
        <v>4608</v>
      </c>
      <c r="M43" s="44">
        <f t="shared" si="58"/>
        <v>4656</v>
      </c>
      <c r="N43" s="44">
        <f t="shared" si="58"/>
        <v>4907.2000000000007</v>
      </c>
      <c r="O43" s="44">
        <f t="shared" si="58"/>
        <v>5290</v>
      </c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>
        <f>+AB41+AB39</f>
        <v>8581</v>
      </c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>
        <f t="shared" ref="AX43:BB43" si="59">AX39-AX42</f>
        <v>11079</v>
      </c>
      <c r="AY43" s="44">
        <f t="shared" si="59"/>
        <v>15021</v>
      </c>
      <c r="AZ43" s="44">
        <f t="shared" si="59"/>
        <v>13416</v>
      </c>
      <c r="BA43" s="44">
        <f t="shared" si="59"/>
        <v>12691</v>
      </c>
      <c r="BB43" s="44">
        <f t="shared" si="59"/>
        <v>12002</v>
      </c>
      <c r="BC43" s="44">
        <f>BC39-BC42</f>
        <v>15938</v>
      </c>
      <c r="BD43" s="44">
        <f>BD39-BD42</f>
        <v>14917</v>
      </c>
      <c r="BE43" s="44">
        <f t="shared" ref="BE43:BN43" si="60">BE39-BE42</f>
        <v>15112</v>
      </c>
      <c r="BF43" s="44">
        <f t="shared" si="60"/>
        <v>13113</v>
      </c>
      <c r="BG43" s="44">
        <f t="shared" si="60"/>
        <v>17919</v>
      </c>
      <c r="BH43" s="44">
        <f t="shared" si="60"/>
        <v>16795</v>
      </c>
      <c r="BI43" s="44">
        <f t="shared" si="60"/>
        <v>18032</v>
      </c>
      <c r="BJ43" s="44">
        <f t="shared" si="60"/>
        <v>18733.579999999994</v>
      </c>
      <c r="BK43" s="44">
        <f t="shared" si="60"/>
        <v>24837.47</v>
      </c>
      <c r="BL43" s="44">
        <f t="shared" si="60"/>
        <v>25151.09</v>
      </c>
      <c r="BM43" s="44">
        <f t="shared" si="60"/>
        <v>26631.42</v>
      </c>
      <c r="BN43" s="44">
        <f t="shared" si="60"/>
        <v>27650.435999999998</v>
      </c>
      <c r="BO43" s="44"/>
      <c r="BP43" s="44"/>
      <c r="BQ43" s="44"/>
      <c r="BR43" s="44"/>
      <c r="BS43" s="44"/>
      <c r="BT43" s="44">
        <v>-1160</v>
      </c>
      <c r="BU43" s="44">
        <v>-1348</v>
      </c>
      <c r="BV43" s="44">
        <v>-1730</v>
      </c>
      <c r="BW43" s="44">
        <v>-2075</v>
      </c>
      <c r="BX43" s="44">
        <v>-2212</v>
      </c>
      <c r="BY43" s="44"/>
      <c r="BZ43" s="44"/>
      <c r="CA43" s="44"/>
      <c r="CB43" s="44"/>
      <c r="CC43" s="44"/>
      <c r="CD43" s="44"/>
      <c r="CE43" s="44">
        <f t="shared" ref="CE43:CI43" si="61">CE39+SUM(CE40:CE42)</f>
        <v>14592</v>
      </c>
      <c r="CF43" s="44">
        <f t="shared" si="61"/>
        <v>18286</v>
      </c>
      <c r="CG43" s="44">
        <f t="shared" si="61"/>
        <v>21925</v>
      </c>
      <c r="CH43" s="44">
        <f t="shared" si="61"/>
        <v>27811</v>
      </c>
      <c r="CI43" s="44">
        <f t="shared" si="61"/>
        <v>0</v>
      </c>
      <c r="CJ43" s="44">
        <f>CJ39+SUM(CJ40:CJ42)</f>
        <v>34096</v>
      </c>
      <c r="CK43" s="44">
        <f>CK39+SUM(CK40:CK42)</f>
        <v>43483</v>
      </c>
      <c r="CL43" s="44">
        <f>CL39+SUM(CL40:CL42)</f>
        <v>47798</v>
      </c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0"/>
      <c r="DB43" s="40"/>
      <c r="DC43" s="40"/>
      <c r="DD43" s="40"/>
      <c r="DE43" s="40"/>
      <c r="DF43" s="40"/>
      <c r="DG43" s="40"/>
      <c r="DH43" s="40"/>
      <c r="DI43" s="40"/>
      <c r="DJ43" s="40"/>
      <c r="DK43" s="40"/>
      <c r="DL43" s="40"/>
      <c r="DM43" s="40"/>
      <c r="DN43" s="40"/>
      <c r="DO43" s="40"/>
      <c r="DP43" s="40"/>
      <c r="DQ43" s="40"/>
      <c r="DR43" s="40"/>
      <c r="DS43" s="40"/>
      <c r="DT43" s="40"/>
      <c r="DU43" s="40"/>
      <c r="DV43" s="40"/>
      <c r="DW43" s="40"/>
      <c r="DX43" s="40"/>
      <c r="DY43" s="40"/>
      <c r="DZ43" s="40"/>
      <c r="EA43" s="40"/>
      <c r="EB43" s="40"/>
      <c r="EC43" s="40"/>
      <c r="ED43" s="40"/>
      <c r="EE43" s="40"/>
      <c r="EF43" s="40"/>
      <c r="EG43" s="40"/>
      <c r="EH43" s="40"/>
      <c r="EI43" s="40"/>
      <c r="EJ43" s="40"/>
      <c r="EK43" s="40"/>
    </row>
    <row r="44" spans="1:141" ht="12.75" customHeight="1" x14ac:dyDescent="0.2">
      <c r="A44" s="41"/>
      <c r="B44" s="47" t="s">
        <v>208</v>
      </c>
      <c r="C44" s="44">
        <f t="shared" ref="C44:J44" si="62">C43-C45</f>
        <v>1644</v>
      </c>
      <c r="D44" s="44">
        <f t="shared" si="62"/>
        <v>935</v>
      </c>
      <c r="E44" s="44">
        <f t="shared" si="62"/>
        <v>924</v>
      </c>
      <c r="F44" s="44">
        <f t="shared" si="62"/>
        <v>740</v>
      </c>
      <c r="G44" s="44">
        <f t="shared" si="62"/>
        <v>806</v>
      </c>
      <c r="H44" s="44">
        <f t="shared" si="62"/>
        <v>893</v>
      </c>
      <c r="I44" s="44">
        <f t="shared" si="62"/>
        <v>852</v>
      </c>
      <c r="J44" s="44">
        <f t="shared" si="62"/>
        <v>669</v>
      </c>
      <c r="K44" s="44">
        <v>993</v>
      </c>
      <c r="L44" s="44">
        <v>1060</v>
      </c>
      <c r="M44" s="44">
        <v>1071</v>
      </c>
      <c r="N44" s="44">
        <f>+N43*0.25</f>
        <v>1226.8000000000002</v>
      </c>
      <c r="O44" s="44">
        <f>O43-O45</f>
        <v>1217</v>
      </c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>
        <f>+AB43-6994</f>
        <v>1587</v>
      </c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>
        <v>2362</v>
      </c>
      <c r="AY44" s="44">
        <v>3124</v>
      </c>
      <c r="AZ44" s="44">
        <v>2791</v>
      </c>
      <c r="BA44" s="44">
        <v>2393</v>
      </c>
      <c r="BB44" s="44">
        <v>2684</v>
      </c>
      <c r="BC44" s="44">
        <v>3315</v>
      </c>
      <c r="BD44" s="44">
        <v>2794</v>
      </c>
      <c r="BE44" s="44">
        <v>2993</v>
      </c>
      <c r="BF44" s="44">
        <v>2221</v>
      </c>
      <c r="BG44" s="44">
        <v>3709</v>
      </c>
      <c r="BH44" s="44">
        <v>3477</v>
      </c>
      <c r="BI44" s="44">
        <v>3627</v>
      </c>
      <c r="BJ44" s="44">
        <f t="shared" ref="BJ44:BN44" si="63">+BJ43*0.2</f>
        <v>3746.715999999999</v>
      </c>
      <c r="BK44" s="44">
        <f t="shared" si="63"/>
        <v>4967.4940000000006</v>
      </c>
      <c r="BL44" s="44">
        <f t="shared" si="63"/>
        <v>5030.2180000000008</v>
      </c>
      <c r="BM44" s="44">
        <f t="shared" si="63"/>
        <v>5326.2839999999997</v>
      </c>
      <c r="BN44" s="44">
        <f t="shared" si="63"/>
        <v>5530.0871999999999</v>
      </c>
      <c r="BO44" s="44"/>
      <c r="BP44" s="44"/>
      <c r="BQ44" s="44"/>
      <c r="BR44" s="44"/>
      <c r="BS44" s="44"/>
      <c r="BT44" s="44">
        <f t="shared" ref="BT44:BZ44" si="64">BT42+BT43</f>
        <v>2016</v>
      </c>
      <c r="BU44" s="44">
        <f t="shared" si="64"/>
        <v>2001</v>
      </c>
      <c r="BV44" s="44">
        <f t="shared" si="64"/>
        <v>3154</v>
      </c>
      <c r="BW44" s="44">
        <f t="shared" si="64"/>
        <v>3620</v>
      </c>
      <c r="BX44" s="44">
        <f t="shared" si="64"/>
        <v>4116</v>
      </c>
      <c r="BY44" s="44">
        <f t="shared" si="64"/>
        <v>954</v>
      </c>
      <c r="BZ44" s="44">
        <f t="shared" si="64"/>
        <v>477</v>
      </c>
      <c r="CA44" s="38"/>
      <c r="CB44" s="38"/>
      <c r="CC44" s="38"/>
      <c r="CD44" s="38"/>
      <c r="CE44" s="44">
        <f>+CE43*0.35</f>
        <v>5107.2</v>
      </c>
      <c r="CF44" s="44">
        <v>3883</v>
      </c>
      <c r="CG44" s="44">
        <v>4828</v>
      </c>
      <c r="CH44" s="44">
        <v>6379</v>
      </c>
      <c r="CI44" s="44"/>
      <c r="CJ44" s="44">
        <v>7615</v>
      </c>
      <c r="CK44" s="44">
        <v>8623</v>
      </c>
      <c r="CL44" s="46">
        <v>9873</v>
      </c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0"/>
      <c r="DS44" s="40"/>
      <c r="DT44" s="40"/>
      <c r="DU44" s="40"/>
      <c r="DV44" s="40"/>
      <c r="DW44" s="40"/>
      <c r="DX44" s="40"/>
      <c r="DY44" s="40"/>
      <c r="DZ44" s="40"/>
      <c r="EA44" s="40"/>
      <c r="EB44" s="40"/>
      <c r="EC44" s="40"/>
      <c r="ED44" s="40"/>
      <c r="EE44" s="40"/>
      <c r="EF44" s="40"/>
      <c r="EG44" s="40"/>
      <c r="EH44" s="40"/>
      <c r="EI44" s="40"/>
      <c r="EJ44" s="40"/>
      <c r="EK44" s="40"/>
    </row>
    <row r="45" spans="1:141" ht="12.75" customHeight="1" x14ac:dyDescent="0.2">
      <c r="A45" s="41"/>
      <c r="B45" s="47" t="s">
        <v>204</v>
      </c>
      <c r="C45" s="44">
        <v>2180</v>
      </c>
      <c r="D45" s="44">
        <v>2471</v>
      </c>
      <c r="E45" s="44">
        <v>2664</v>
      </c>
      <c r="F45" s="44">
        <v>2330</v>
      </c>
      <c r="G45" s="44">
        <v>2699</v>
      </c>
      <c r="H45" s="44">
        <v>2991</v>
      </c>
      <c r="I45" s="44">
        <v>2755</v>
      </c>
      <c r="J45" s="44">
        <v>2323</v>
      </c>
      <c r="K45" s="44">
        <f>+K43-K44</f>
        <v>3324</v>
      </c>
      <c r="L45" s="44">
        <f>+L43-L44</f>
        <v>3548</v>
      </c>
      <c r="M45" s="44">
        <f>+M43-M44</f>
        <v>3585</v>
      </c>
      <c r="N45" s="44">
        <f>+N43-N44</f>
        <v>3680.4000000000005</v>
      </c>
      <c r="O45" s="44">
        <f>4073</f>
        <v>4073</v>
      </c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>
        <f>+AB43-AB44</f>
        <v>6994</v>
      </c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>
        <f t="shared" ref="AX45:BB45" si="65">AX43-AX44</f>
        <v>8717</v>
      </c>
      <c r="AY45" s="44">
        <f t="shared" si="65"/>
        <v>11897</v>
      </c>
      <c r="AZ45" s="44">
        <f t="shared" si="65"/>
        <v>10625</v>
      </c>
      <c r="BA45" s="44">
        <f t="shared" si="65"/>
        <v>10298</v>
      </c>
      <c r="BB45" s="44">
        <f t="shared" si="65"/>
        <v>9318</v>
      </c>
      <c r="BC45" s="44">
        <f>BC43-BC44</f>
        <v>12623</v>
      </c>
      <c r="BD45" s="44">
        <f>BD43-BD44</f>
        <v>12123</v>
      </c>
      <c r="BE45" s="44">
        <f t="shared" ref="BE45:BG45" si="66">BE43-BE44</f>
        <v>12119</v>
      </c>
      <c r="BF45" s="44">
        <f t="shared" si="66"/>
        <v>10892</v>
      </c>
      <c r="BG45" s="44">
        <f t="shared" si="66"/>
        <v>14210</v>
      </c>
      <c r="BH45" s="44">
        <f>BH43-BH44</f>
        <v>13318</v>
      </c>
      <c r="BI45" s="44">
        <f t="shared" ref="BI45:BN45" si="67">BI43-BI44</f>
        <v>14405</v>
      </c>
      <c r="BJ45" s="44">
        <f t="shared" si="67"/>
        <v>14986.863999999996</v>
      </c>
      <c r="BK45" s="44">
        <f t="shared" si="67"/>
        <v>19869.976000000002</v>
      </c>
      <c r="BL45" s="44">
        <f t="shared" si="67"/>
        <v>20120.871999999999</v>
      </c>
      <c r="BM45" s="44">
        <f t="shared" si="67"/>
        <v>21305.135999999999</v>
      </c>
      <c r="BN45" s="44">
        <f t="shared" si="67"/>
        <v>22120.3488</v>
      </c>
      <c r="BO45" s="44"/>
      <c r="BP45" s="44"/>
      <c r="BQ45" s="44"/>
      <c r="BR45" s="44"/>
      <c r="BS45" s="44"/>
      <c r="BT45" s="11">
        <f t="shared" ref="BT45:BX45" si="68">BT44/BT46</f>
        <v>5.4339622641509431</v>
      </c>
      <c r="BU45" s="11">
        <f t="shared" si="68"/>
        <v>5.5909784351966199</v>
      </c>
      <c r="BV45" s="11">
        <f t="shared" si="68"/>
        <v>9.0298275927642493</v>
      </c>
      <c r="BW45" s="11">
        <f t="shared" si="68"/>
        <v>10.449736117774917</v>
      </c>
      <c r="BX45" s="11">
        <f t="shared" si="68"/>
        <v>11.849703476124272</v>
      </c>
      <c r="BY45" s="11"/>
      <c r="BZ45" s="11"/>
      <c r="CA45" s="44"/>
      <c r="CB45" s="44"/>
      <c r="CC45" s="44"/>
      <c r="CD45" s="44"/>
      <c r="CE45" s="44">
        <f t="shared" ref="CE45:CL45" si="69">CE43-CE44</f>
        <v>9484.7999999999993</v>
      </c>
      <c r="CF45" s="44">
        <f>CF43-CF44</f>
        <v>14403</v>
      </c>
      <c r="CG45" s="44">
        <f t="shared" si="69"/>
        <v>17097</v>
      </c>
      <c r="CH45" s="44">
        <f t="shared" si="69"/>
        <v>21432</v>
      </c>
      <c r="CI45" s="44">
        <f t="shared" si="69"/>
        <v>0</v>
      </c>
      <c r="CJ45" s="44">
        <f t="shared" si="69"/>
        <v>26481</v>
      </c>
      <c r="CK45" s="44">
        <f t="shared" si="69"/>
        <v>34860</v>
      </c>
      <c r="CL45" s="44">
        <f t="shared" si="69"/>
        <v>37925</v>
      </c>
      <c r="CM45" s="46"/>
      <c r="CN45" s="46"/>
      <c r="CO45" s="46"/>
      <c r="CP45" s="46"/>
      <c r="CQ45" s="46"/>
      <c r="CR45" s="46">
        <f t="shared" ref="CR45:DQ45" si="70">CQ45*(1+$DC$49)</f>
        <v>0</v>
      </c>
      <c r="CS45" s="46">
        <f t="shared" si="70"/>
        <v>0</v>
      </c>
      <c r="CT45" s="46">
        <f t="shared" si="70"/>
        <v>0</v>
      </c>
      <c r="CU45" s="46">
        <f t="shared" si="70"/>
        <v>0</v>
      </c>
      <c r="CV45" s="46">
        <f t="shared" si="70"/>
        <v>0</v>
      </c>
      <c r="CW45" s="46">
        <f t="shared" si="70"/>
        <v>0</v>
      </c>
      <c r="CX45" s="46">
        <f t="shared" si="70"/>
        <v>0</v>
      </c>
      <c r="CY45" s="46">
        <f t="shared" si="70"/>
        <v>0</v>
      </c>
      <c r="CZ45" s="46">
        <f t="shared" si="70"/>
        <v>0</v>
      </c>
      <c r="DA45" s="46">
        <f t="shared" si="70"/>
        <v>0</v>
      </c>
      <c r="DB45" s="46">
        <f t="shared" si="70"/>
        <v>0</v>
      </c>
      <c r="DC45" s="46">
        <f t="shared" si="70"/>
        <v>0</v>
      </c>
      <c r="DD45" s="46">
        <f t="shared" si="70"/>
        <v>0</v>
      </c>
      <c r="DE45" s="46">
        <f t="shared" si="70"/>
        <v>0</v>
      </c>
      <c r="DF45" s="46">
        <f t="shared" si="70"/>
        <v>0</v>
      </c>
      <c r="DG45" s="46">
        <f t="shared" si="70"/>
        <v>0</v>
      </c>
      <c r="DH45" s="46">
        <f t="shared" si="70"/>
        <v>0</v>
      </c>
      <c r="DI45" s="46">
        <f t="shared" si="70"/>
        <v>0</v>
      </c>
      <c r="DJ45" s="46">
        <f t="shared" si="70"/>
        <v>0</v>
      </c>
      <c r="DK45" s="46">
        <f t="shared" si="70"/>
        <v>0</v>
      </c>
      <c r="DL45" s="46">
        <f t="shared" si="70"/>
        <v>0</v>
      </c>
      <c r="DM45" s="46">
        <f t="shared" si="70"/>
        <v>0</v>
      </c>
      <c r="DN45" s="46">
        <f t="shared" si="70"/>
        <v>0</v>
      </c>
      <c r="DO45" s="46">
        <f t="shared" si="70"/>
        <v>0</v>
      </c>
      <c r="DP45" s="46">
        <f t="shared" si="70"/>
        <v>0</v>
      </c>
      <c r="DQ45" s="46">
        <f t="shared" si="70"/>
        <v>0</v>
      </c>
      <c r="DR45" s="46">
        <f t="shared" ref="DR45:EK45" si="71">DQ45*(1+$DC$49)</f>
        <v>0</v>
      </c>
      <c r="DS45" s="46">
        <f t="shared" si="71"/>
        <v>0</v>
      </c>
      <c r="DT45" s="46">
        <f t="shared" si="71"/>
        <v>0</v>
      </c>
      <c r="DU45" s="46">
        <f t="shared" si="71"/>
        <v>0</v>
      </c>
      <c r="DV45" s="46">
        <f t="shared" si="71"/>
        <v>0</v>
      </c>
      <c r="DW45" s="46">
        <f t="shared" si="71"/>
        <v>0</v>
      </c>
      <c r="DX45" s="46">
        <f t="shared" si="71"/>
        <v>0</v>
      </c>
      <c r="DY45" s="46">
        <f t="shared" si="71"/>
        <v>0</v>
      </c>
      <c r="DZ45" s="46">
        <f t="shared" si="71"/>
        <v>0</v>
      </c>
      <c r="EA45" s="46">
        <f t="shared" si="71"/>
        <v>0</v>
      </c>
      <c r="EB45" s="46">
        <f t="shared" si="71"/>
        <v>0</v>
      </c>
      <c r="EC45" s="46">
        <f t="shared" si="71"/>
        <v>0</v>
      </c>
      <c r="ED45" s="46">
        <f t="shared" si="71"/>
        <v>0</v>
      </c>
      <c r="EE45" s="46">
        <f t="shared" si="71"/>
        <v>0</v>
      </c>
      <c r="EF45" s="46">
        <f t="shared" si="71"/>
        <v>0</v>
      </c>
      <c r="EG45" s="46">
        <f t="shared" si="71"/>
        <v>0</v>
      </c>
      <c r="EH45" s="46">
        <f t="shared" si="71"/>
        <v>0</v>
      </c>
      <c r="EI45" s="46">
        <f t="shared" si="71"/>
        <v>0</v>
      </c>
      <c r="EJ45" s="46">
        <f t="shared" si="71"/>
        <v>0</v>
      </c>
      <c r="EK45" s="46">
        <f t="shared" si="71"/>
        <v>0</v>
      </c>
    </row>
    <row r="46" spans="1:141" s="12" customFormat="1" ht="12.75" customHeight="1" x14ac:dyDescent="0.2">
      <c r="A46" s="8"/>
      <c r="B46" s="9" t="s">
        <v>145</v>
      </c>
      <c r="C46" s="11">
        <f t="shared" ref="C46:J46" si="72">C45/C47</f>
        <v>3.4807600191601473</v>
      </c>
      <c r="D46" s="11">
        <f t="shared" si="72"/>
        <v>3.994503718073068</v>
      </c>
      <c r="E46" s="11">
        <f t="shared" si="72"/>
        <v>4.3359375</v>
      </c>
      <c r="F46" s="11">
        <f t="shared" si="72"/>
        <v>3.7923177083333335</v>
      </c>
      <c r="G46" s="11">
        <f t="shared" si="72"/>
        <v>4.4050922147870084</v>
      </c>
      <c r="H46" s="11">
        <f t="shared" si="72"/>
        <v>4.9202171409771349</v>
      </c>
      <c r="I46" s="11">
        <f t="shared" si="72"/>
        <v>4.5809777186564684</v>
      </c>
      <c r="J46" s="11">
        <f t="shared" si="72"/>
        <v>3.9028897849462361</v>
      </c>
      <c r="K46" s="11">
        <f>K45/K47</f>
        <v>5.6053962900505905</v>
      </c>
      <c r="L46" s="11">
        <f>L45/L47</f>
        <v>6.0247919850568863</v>
      </c>
      <c r="M46" s="11">
        <f>M45/M47</f>
        <v>6.156620298815044</v>
      </c>
      <c r="N46" s="11">
        <f>N45/N47</f>
        <v>6.2064080944350772</v>
      </c>
      <c r="O46" s="11">
        <f>O45/O47</f>
        <v>7.1256123163051086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>
        <f>AB45/AB47</f>
        <v>2.6522563519150548</v>
      </c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>
        <f t="shared" ref="AX46:BB46" si="73">AX45/AX47</f>
        <v>3.6884864384547029</v>
      </c>
      <c r="AY46" s="11">
        <f t="shared" si="73"/>
        <v>5.0522337353490743</v>
      </c>
      <c r="AZ46" s="11">
        <f t="shared" si="73"/>
        <v>4.5311100686596442</v>
      </c>
      <c r="BA46" s="11">
        <f t="shared" si="73"/>
        <v>4.4100895036615135</v>
      </c>
      <c r="BB46" s="11">
        <f t="shared" si="73"/>
        <v>4.0075695669003482</v>
      </c>
      <c r="BC46" s="11">
        <f>BC45/BC47</f>
        <v>5.451286923475557</v>
      </c>
      <c r="BD46" s="11">
        <f>BD45/BD47</f>
        <v>5.256471404413996</v>
      </c>
      <c r="BE46" s="11">
        <f t="shared" ref="BE46:BG46" si="74">BE45/BE47</f>
        <v>5.2753232055021106</v>
      </c>
      <c r="BF46" s="11">
        <f t="shared" si="74"/>
        <v>4.7550860036671621</v>
      </c>
      <c r="BG46" s="11">
        <f t="shared" si="74"/>
        <v>6.223448517496605</v>
      </c>
      <c r="BH46" s="11">
        <f>BH45/BH47</f>
        <v>5.8512367646412722</v>
      </c>
      <c r="BI46" s="11">
        <f t="shared" ref="BI46:BN46" si="75">BI45/BI47</f>
        <v>6.3500110204981262</v>
      </c>
      <c r="BJ46" s="11">
        <f t="shared" si="75"/>
        <v>6.6065082653735931</v>
      </c>
      <c r="BK46" s="11">
        <f t="shared" si="75"/>
        <v>8.7590813312761746</v>
      </c>
      <c r="BL46" s="11">
        <f t="shared" si="75"/>
        <v>8.8696812871941813</v>
      </c>
      <c r="BM46" s="11">
        <f t="shared" si="75"/>
        <v>9.3917284549261613</v>
      </c>
      <c r="BN46" s="11">
        <f t="shared" si="75"/>
        <v>9.7510905003306156</v>
      </c>
      <c r="BO46" s="11"/>
      <c r="BP46" s="11"/>
      <c r="BQ46" s="11"/>
      <c r="BR46" s="11"/>
      <c r="BS46" s="10"/>
      <c r="BT46" s="44">
        <v>371</v>
      </c>
      <c r="BU46" s="44">
        <v>357.89800000000002</v>
      </c>
      <c r="BV46" s="44">
        <v>349.28684602210484</v>
      </c>
      <c r="BW46" s="44">
        <v>346.42023101831342</v>
      </c>
      <c r="BX46" s="44">
        <v>347.35046394141801</v>
      </c>
      <c r="BY46" s="44"/>
      <c r="BZ46" s="44"/>
      <c r="CA46" s="10"/>
      <c r="CB46" s="10"/>
      <c r="CC46" s="10"/>
      <c r="CD46" s="10"/>
      <c r="CE46" s="10"/>
      <c r="CF46" s="11">
        <f t="shared" ref="CF46:CH46" si="76">CF45/CF47</f>
        <v>24.600453988798879</v>
      </c>
      <c r="CG46" s="11">
        <f t="shared" si="76"/>
        <v>29.987792300730359</v>
      </c>
      <c r="CH46" s="11">
        <f t="shared" si="76"/>
        <v>38.849452931835813</v>
      </c>
      <c r="CI46" s="11"/>
      <c r="CJ46" s="11"/>
      <c r="CK46" s="11"/>
    </row>
    <row r="47" spans="1:141" ht="12.75" customHeight="1" x14ac:dyDescent="0.2">
      <c r="B47" s="47" t="s">
        <v>11</v>
      </c>
      <c r="C47" s="44">
        <v>626.29999999999995</v>
      </c>
      <c r="D47" s="44">
        <v>618.6</v>
      </c>
      <c r="E47" s="44">
        <v>614.4</v>
      </c>
      <c r="F47" s="44">
        <v>614.4</v>
      </c>
      <c r="G47" s="44">
        <v>612.70000000000005</v>
      </c>
      <c r="H47" s="44">
        <v>607.9</v>
      </c>
      <c r="I47" s="44">
        <v>601.4</v>
      </c>
      <c r="J47" s="44">
        <v>595.20000000000005</v>
      </c>
      <c r="K47" s="44">
        <v>593</v>
      </c>
      <c r="L47" s="44">
        <v>588.9</v>
      </c>
      <c r="M47" s="44">
        <v>582.29999999999995</v>
      </c>
      <c r="N47" s="44">
        <v>593</v>
      </c>
      <c r="O47" s="44">
        <v>571.6</v>
      </c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>
        <v>2637</v>
      </c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>
        <v>2363.3000000000002</v>
      </c>
      <c r="AY47" s="44">
        <v>2354.8000000000002</v>
      </c>
      <c r="AZ47" s="44">
        <v>2344.9</v>
      </c>
      <c r="BA47" s="44">
        <v>2335.1</v>
      </c>
      <c r="BB47" s="44">
        <v>2325.1</v>
      </c>
      <c r="BC47" s="44">
        <v>2315.6</v>
      </c>
      <c r="BD47" s="44">
        <v>2306.3000000000002</v>
      </c>
      <c r="BE47" s="44">
        <v>2297.3000000000002</v>
      </c>
      <c r="BF47" s="44">
        <v>2290.6</v>
      </c>
      <c r="BG47" s="44">
        <v>2283.3000000000002</v>
      </c>
      <c r="BH47" s="44">
        <v>2276.1</v>
      </c>
      <c r="BI47" s="44">
        <v>2268.5</v>
      </c>
      <c r="BJ47" s="44">
        <f t="shared" ref="BJ47:BN47" si="77">+BI47</f>
        <v>2268.5</v>
      </c>
      <c r="BK47" s="44">
        <f t="shared" si="77"/>
        <v>2268.5</v>
      </c>
      <c r="BL47" s="44">
        <f t="shared" si="77"/>
        <v>2268.5</v>
      </c>
      <c r="BM47" s="44">
        <f t="shared" si="77"/>
        <v>2268.5</v>
      </c>
      <c r="BN47" s="44">
        <f t="shared" si="77"/>
        <v>2268.5</v>
      </c>
      <c r="BO47" s="44"/>
      <c r="BP47" s="44"/>
      <c r="BQ47" s="44"/>
      <c r="BR47" s="44"/>
      <c r="BS47" s="48"/>
      <c r="BT47" s="44">
        <f>BT44</f>
        <v>2016</v>
      </c>
      <c r="BU47" s="44">
        <f t="shared" ref="BU47:BZ47" si="78">BU44</f>
        <v>2001</v>
      </c>
      <c r="BV47" s="44">
        <f t="shared" si="78"/>
        <v>3154</v>
      </c>
      <c r="BW47" s="44">
        <f t="shared" si="78"/>
        <v>3620</v>
      </c>
      <c r="BX47" s="44">
        <f t="shared" si="78"/>
        <v>4116</v>
      </c>
      <c r="BY47" s="44">
        <f t="shared" si="78"/>
        <v>954</v>
      </c>
      <c r="BZ47" s="44">
        <f t="shared" si="78"/>
        <v>477</v>
      </c>
      <c r="CA47" s="44"/>
      <c r="CB47" s="44"/>
      <c r="CC47" s="44"/>
      <c r="CD47" s="44"/>
      <c r="CE47" s="44"/>
      <c r="CF47" s="44">
        <v>585.47699999999998</v>
      </c>
      <c r="CG47" s="44">
        <v>570.13199999999995</v>
      </c>
      <c r="CH47" s="44">
        <v>551.66800000000001</v>
      </c>
      <c r="CI47" s="44"/>
      <c r="CJ47" s="44">
        <v>2630.2179999999998</v>
      </c>
      <c r="CK47" s="44">
        <v>2577.6979999999999</v>
      </c>
      <c r="CL47" s="46">
        <v>2534.7289999999998</v>
      </c>
      <c r="CO47" s="40"/>
      <c r="CP47" s="40"/>
      <c r="CQ47" s="40"/>
      <c r="CR47" s="40"/>
      <c r="CS47" s="40"/>
      <c r="CT47" s="40"/>
      <c r="CU47" s="40"/>
      <c r="CV47" s="40"/>
      <c r="CW47" s="40"/>
      <c r="CX47" s="40"/>
      <c r="CY47" s="40"/>
      <c r="CZ47" s="40"/>
      <c r="DA47" s="40"/>
      <c r="DB47" s="40"/>
      <c r="DC47" s="40"/>
      <c r="DD47" s="40"/>
      <c r="DE47" s="40"/>
      <c r="DF47" s="40"/>
      <c r="DG47" s="40"/>
      <c r="DH47" s="40"/>
      <c r="DI47" s="40"/>
      <c r="DJ47" s="40"/>
      <c r="DK47" s="40"/>
      <c r="DL47" s="40"/>
      <c r="DM47" s="40"/>
      <c r="DN47" s="40"/>
      <c r="DO47" s="40"/>
      <c r="DP47" s="40"/>
      <c r="DQ47" s="40"/>
      <c r="DR47" s="40"/>
      <c r="DS47" s="40"/>
      <c r="DT47" s="40"/>
      <c r="DU47" s="40"/>
      <c r="DV47" s="40"/>
      <c r="DW47" s="40"/>
      <c r="DX47" s="40"/>
      <c r="DY47" s="40"/>
      <c r="DZ47" s="40"/>
      <c r="EA47" s="40"/>
      <c r="EB47" s="40"/>
      <c r="EC47" s="40"/>
      <c r="ED47" s="40"/>
      <c r="EE47" s="40"/>
      <c r="EF47" s="40"/>
      <c r="EG47" s="40"/>
      <c r="EH47" s="40"/>
      <c r="EI47" s="40"/>
      <c r="EJ47" s="40"/>
      <c r="EK47" s="40"/>
    </row>
    <row r="48" spans="1:141" s="5" customFormat="1" ht="12.75" customHeight="1" x14ac:dyDescent="0.2">
      <c r="B48" s="47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L48" s="41"/>
      <c r="CO48" s="41"/>
      <c r="CP48" s="41"/>
      <c r="CQ48" s="41"/>
      <c r="CR48" s="41"/>
      <c r="CS48" s="41"/>
      <c r="CT48" s="41"/>
      <c r="CU48" s="41"/>
      <c r="CV48" s="41"/>
      <c r="CW48" s="41"/>
      <c r="CX48" s="41"/>
      <c r="CY48" s="41"/>
      <c r="CZ48" s="41"/>
      <c r="DA48" s="41"/>
      <c r="DD48" s="41"/>
      <c r="DE48" s="41"/>
      <c r="DF48" s="41"/>
      <c r="DG48" s="41"/>
      <c r="DH48" s="41"/>
      <c r="DI48" s="41"/>
      <c r="DJ48" s="41"/>
      <c r="DK48" s="41"/>
      <c r="DL48" s="41"/>
      <c r="DM48" s="41"/>
      <c r="DN48" s="41"/>
      <c r="DO48" s="41"/>
      <c r="DP48" s="41"/>
      <c r="DQ48" s="41"/>
      <c r="DR48" s="41"/>
      <c r="DS48" s="41"/>
      <c r="DT48" s="41"/>
      <c r="DU48" s="41"/>
      <c r="DV48" s="41"/>
      <c r="DW48" s="41"/>
      <c r="DX48" s="41"/>
      <c r="DY48" s="41"/>
      <c r="DZ48" s="41"/>
      <c r="EA48" s="41"/>
      <c r="EB48" s="41"/>
      <c r="EC48" s="41"/>
      <c r="ED48" s="41"/>
      <c r="EE48" s="41"/>
      <c r="EF48" s="41"/>
      <c r="EG48" s="41"/>
      <c r="EH48" s="41"/>
      <c r="EI48" s="41"/>
      <c r="EJ48" s="41"/>
      <c r="EK48" s="41"/>
    </row>
    <row r="49" spans="2:141" ht="12.75" customHeight="1" x14ac:dyDescent="0.2">
      <c r="B49" s="47" t="s">
        <v>149</v>
      </c>
      <c r="C49" s="53"/>
      <c r="D49" s="53"/>
      <c r="E49" s="53"/>
      <c r="F49" s="53"/>
      <c r="G49" s="54">
        <f t="shared" ref="G49:O49" si="79">G31/C31-1</f>
        <v>0.17750141322781232</v>
      </c>
      <c r="H49" s="54">
        <f t="shared" si="79"/>
        <v>0.17020702070207028</v>
      </c>
      <c r="I49" s="54">
        <f t="shared" si="79"/>
        <v>0.11550773608394094</v>
      </c>
      <c r="J49" s="54">
        <f t="shared" si="79"/>
        <v>4.2756099499324574E-2</v>
      </c>
      <c r="K49" s="54">
        <f t="shared" si="79"/>
        <v>9.4095055208833323E-2</v>
      </c>
      <c r="L49" s="54">
        <f t="shared" si="79"/>
        <v>0.18406276440273817</v>
      </c>
      <c r="M49" s="54">
        <f t="shared" si="79"/>
        <v>0.24224790753288161</v>
      </c>
      <c r="N49" s="54">
        <f t="shared" si="79"/>
        <v>0.22886975078119054</v>
      </c>
      <c r="O49" s="54">
        <f t="shared" si="79"/>
        <v>0.14765247915752533</v>
      </c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>
        <f t="shared" ref="BA49:BH49" si="80">BA31/AW31-1</f>
        <v>2.1468441391155002E-2</v>
      </c>
      <c r="BB49" s="54">
        <f t="shared" si="80"/>
        <v>-8.6065953049325739E-3</v>
      </c>
      <c r="BC49" s="54">
        <f t="shared" si="80"/>
        <v>-2.0959409594095701E-3</v>
      </c>
      <c r="BD49" s="54">
        <f t="shared" si="80"/>
        <v>0.10114643737919082</v>
      </c>
      <c r="BE49" s="54">
        <f t="shared" si="80"/>
        <v>0.15180909884566884</v>
      </c>
      <c r="BF49" s="54">
        <f t="shared" si="80"/>
        <v>0.19276246188312895</v>
      </c>
      <c r="BG49" s="54">
        <f t="shared" si="80"/>
        <v>0.24337356525854936</v>
      </c>
      <c r="BH49" s="54">
        <f t="shared" si="80"/>
        <v>0.24890287824218404</v>
      </c>
      <c r="BI49" s="54">
        <f t="shared" ref="BI49:BJ49" si="81">BI31/BE31-1</f>
        <v>0.27915333221043181</v>
      </c>
      <c r="BJ49" s="54">
        <f t="shared" si="81"/>
        <v>0.2545848224767171</v>
      </c>
      <c r="BK49" s="54">
        <f>BK31/BG31-1</f>
        <v>0.26970569341676387</v>
      </c>
      <c r="BL49" s="54">
        <f>BL31/BH31-1</f>
        <v>0.31588513267902574</v>
      </c>
      <c r="BM49" s="54">
        <f>BM31/BI31-1</f>
        <v>0.28892156432427685</v>
      </c>
      <c r="BN49" s="54">
        <f>BN31/BJ31-1</f>
        <v>0.36952091824003985</v>
      </c>
      <c r="BO49" s="54"/>
      <c r="BP49" s="54"/>
      <c r="BQ49" s="54"/>
      <c r="BR49" s="54"/>
      <c r="BS49" s="53"/>
      <c r="BT49" s="53"/>
      <c r="BU49" s="55">
        <f>BU31/BT31-1</f>
        <v>0.20341466989081858</v>
      </c>
      <c r="BV49" s="55">
        <f>BV31/BU31-1</f>
        <v>0.24733605309626738</v>
      </c>
      <c r="BW49" s="55">
        <f>BW31/BV31-1</f>
        <v>0.14156700024408098</v>
      </c>
      <c r="BX49" s="55">
        <f>BX31/BW31-1</f>
        <v>6.333119521060504E-2</v>
      </c>
      <c r="BY49" s="55">
        <f>BY31/BX31-1</f>
        <v>-1</v>
      </c>
      <c r="BZ49" s="55"/>
      <c r="CA49" s="55"/>
      <c r="CB49" s="55"/>
      <c r="CC49" s="55"/>
      <c r="CD49" s="55"/>
      <c r="CE49" s="55"/>
      <c r="CF49" s="55">
        <f t="shared" ref="CF49:CR49" si="82">CF31/CE31-1</f>
        <v>0.18784325222319942</v>
      </c>
      <c r="CG49" s="55">
        <f t="shared" si="82"/>
        <v>9.164801895485053E-2</v>
      </c>
      <c r="CH49" s="55">
        <f t="shared" si="82"/>
        <v>0.17604678503602322</v>
      </c>
      <c r="CI49" s="55">
        <f t="shared" si="82"/>
        <v>7.1078871145515699E-2</v>
      </c>
      <c r="CJ49" s="55">
        <f t="shared" si="82"/>
        <v>6.262863159910026E-2</v>
      </c>
      <c r="CK49" s="55">
        <f t="shared" si="82"/>
        <v>0.21531202846654507</v>
      </c>
      <c r="CL49" s="55">
        <f t="shared" si="82"/>
        <v>3.5700056519684553E-2</v>
      </c>
      <c r="CM49" s="55">
        <f t="shared" si="82"/>
        <v>-7.5147611379500212E-4</v>
      </c>
      <c r="CN49" s="55">
        <f t="shared" si="82"/>
        <v>1.208637730984119E-3</v>
      </c>
      <c r="CO49" s="55">
        <f t="shared" si="82"/>
        <v>9.1119635879139071E-2</v>
      </c>
      <c r="CP49" s="55">
        <f t="shared" si="82"/>
        <v>4.0361904918005953E-2</v>
      </c>
      <c r="CQ49" s="55">
        <f t="shared" si="82"/>
        <v>0.10913301718841084</v>
      </c>
      <c r="CR49" s="55">
        <f t="shared" si="82"/>
        <v>0.25677556818181824</v>
      </c>
      <c r="CS49" s="55"/>
      <c r="CT49" s="55"/>
      <c r="CU49" s="55"/>
      <c r="CV49" s="55"/>
      <c r="CW49" s="55"/>
      <c r="CX49" s="55"/>
      <c r="CY49" s="55"/>
      <c r="CZ49" s="55"/>
      <c r="DA49" s="40"/>
      <c r="DB49" s="49" t="s">
        <v>146</v>
      </c>
      <c r="DC49" s="50">
        <v>0.02</v>
      </c>
      <c r="DD49" s="40"/>
      <c r="DE49" s="40"/>
      <c r="DF49" s="40"/>
      <c r="DG49" s="40"/>
      <c r="DH49" s="40"/>
      <c r="DI49" s="40"/>
      <c r="DJ49" s="40"/>
      <c r="DK49" s="40"/>
      <c r="DL49" s="40"/>
      <c r="DM49" s="40"/>
      <c r="DN49" s="40"/>
      <c r="DO49" s="40"/>
      <c r="DP49" s="40"/>
      <c r="DQ49" s="40"/>
      <c r="DR49" s="40"/>
      <c r="DS49" s="40"/>
      <c r="DT49" s="40"/>
      <c r="DU49" s="40"/>
      <c r="DV49" s="40"/>
      <c r="DW49" s="40"/>
      <c r="DX49" s="40"/>
      <c r="DY49" s="40"/>
      <c r="DZ49" s="40"/>
      <c r="EA49" s="40"/>
      <c r="EB49" s="40"/>
      <c r="EC49" s="40"/>
      <c r="ED49" s="40"/>
      <c r="EE49" s="40"/>
      <c r="EF49" s="40"/>
      <c r="EG49" s="40"/>
      <c r="EH49" s="40"/>
      <c r="EI49" s="40"/>
      <c r="EJ49" s="40"/>
      <c r="EK49" s="40"/>
    </row>
    <row r="50" spans="2:141" ht="12.75" customHeight="1" x14ac:dyDescent="0.2">
      <c r="B50" s="47" t="s">
        <v>150</v>
      </c>
      <c r="C50" s="53"/>
      <c r="D50" s="53"/>
      <c r="E50" s="53"/>
      <c r="F50" s="53"/>
      <c r="G50" s="54"/>
      <c r="H50" s="54"/>
      <c r="I50" s="54"/>
      <c r="J50" s="54"/>
      <c r="K50" s="54">
        <v>0.11</v>
      </c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3"/>
      <c r="BT50" s="53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 t="s">
        <v>151</v>
      </c>
      <c r="CG50" s="55"/>
      <c r="CH50" s="55"/>
      <c r="CI50" s="55"/>
      <c r="CJ50" s="55"/>
      <c r="CK50" s="55"/>
      <c r="CL50" s="40"/>
      <c r="CM50" s="40"/>
      <c r="CN50" s="37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9" t="s">
        <v>147</v>
      </c>
      <c r="DC50" s="50">
        <v>0.1</v>
      </c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0"/>
      <c r="DS50" s="40"/>
      <c r="DT50" s="40"/>
      <c r="DU50" s="40"/>
      <c r="DV50" s="40"/>
      <c r="DW50" s="40"/>
      <c r="DX50" s="40"/>
      <c r="DY50" s="40"/>
      <c r="DZ50" s="40"/>
      <c r="EA50" s="40"/>
      <c r="EB50" s="40"/>
      <c r="EC50" s="40"/>
      <c r="ED50" s="40"/>
      <c r="EE50" s="40"/>
      <c r="EF50" s="40"/>
      <c r="EG50" s="40"/>
      <c r="EH50" s="40"/>
      <c r="EI50" s="40"/>
      <c r="EJ50" s="40"/>
      <c r="EK50" s="40"/>
    </row>
    <row r="51" spans="2:141" ht="12.75" customHeight="1" x14ac:dyDescent="0.2">
      <c r="B51" s="47" t="s">
        <v>192</v>
      </c>
      <c r="C51" s="53"/>
      <c r="D51" s="53"/>
      <c r="E51" s="53"/>
      <c r="F51" s="53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5">
        <f t="shared" ref="BA51:BH51" si="83">BA16/AW16-1</f>
        <v>0.73991031390134521</v>
      </c>
      <c r="BB51" s="55">
        <f t="shared" si="83"/>
        <v>0.41764032073310431</v>
      </c>
      <c r="BC51" s="55">
        <f t="shared" si="83"/>
        <v>0.40105152471083061</v>
      </c>
      <c r="BD51" s="55">
        <f t="shared" si="83"/>
        <v>0.53742762613730366</v>
      </c>
      <c r="BE51" s="55">
        <f t="shared" si="83"/>
        <v>0.63696612665684826</v>
      </c>
      <c r="BF51" s="55">
        <f t="shared" si="83"/>
        <v>0.73173884938590827</v>
      </c>
      <c r="BG51" s="55">
        <f t="shared" si="83"/>
        <v>0.80651456019213441</v>
      </c>
      <c r="BH51" s="55">
        <f t="shared" si="83"/>
        <v>0.9299260255548083</v>
      </c>
      <c r="BI51" s="55">
        <f t="shared" ref="BI51:BN51" si="84">BI16/BE16-1</f>
        <v>0.84322986954565904</v>
      </c>
      <c r="BJ51" s="55">
        <f t="shared" si="84"/>
        <v>0.58417319895483399</v>
      </c>
      <c r="BK51" s="55">
        <f t="shared" si="84"/>
        <v>0.63190693809721643</v>
      </c>
      <c r="BL51" s="55">
        <f t="shared" si="84"/>
        <v>0.54024670708760203</v>
      </c>
      <c r="BM51" s="55">
        <f t="shared" si="84"/>
        <v>0.45893837705918239</v>
      </c>
      <c r="BN51" s="55">
        <f t="shared" si="84"/>
        <v>0.77102968897266733</v>
      </c>
      <c r="BO51" s="55"/>
      <c r="BP51" s="55"/>
      <c r="BQ51" s="54"/>
      <c r="BR51" s="54"/>
      <c r="BS51" s="53"/>
      <c r="BT51" s="53"/>
      <c r="BU51" s="55"/>
      <c r="BV51" s="55"/>
      <c r="BW51" s="55"/>
      <c r="BX51" s="55"/>
      <c r="BY51" s="55"/>
      <c r="BZ51" s="55"/>
      <c r="CA51" s="55"/>
      <c r="CB51" s="55"/>
      <c r="CC51" s="55"/>
      <c r="CD51" s="55"/>
      <c r="CE51" s="55"/>
      <c r="CF51" s="55"/>
      <c r="CG51" s="55"/>
      <c r="CH51" s="55"/>
      <c r="CI51" s="55"/>
      <c r="CJ51" s="55"/>
      <c r="CK51" s="55"/>
      <c r="CL51" s="40"/>
      <c r="CM51" s="40"/>
      <c r="CN51" s="37"/>
      <c r="CO51" s="40"/>
      <c r="CP51" s="40"/>
      <c r="CQ51" s="40"/>
      <c r="CR51" s="40"/>
      <c r="CS51" s="40"/>
      <c r="CT51" s="40"/>
      <c r="CU51" s="40"/>
      <c r="CV51" s="40"/>
      <c r="CW51" s="40"/>
      <c r="CX51" s="40"/>
      <c r="CY51" s="40"/>
      <c r="CZ51" s="40"/>
      <c r="DA51" s="40"/>
      <c r="DB51" s="49" t="s">
        <v>148</v>
      </c>
      <c r="DC51" s="46">
        <f>NPV(DC50,CH45:EV45)+CG45+Main!J5-Main!J6</f>
        <v>115271.49383735584</v>
      </c>
      <c r="DD51" s="40"/>
      <c r="DE51" s="40"/>
      <c r="DF51" s="40"/>
      <c r="DG51" s="40"/>
      <c r="DH51" s="40"/>
      <c r="DI51" s="40"/>
      <c r="DJ51" s="40"/>
      <c r="DK51" s="40"/>
      <c r="DL51" s="40"/>
      <c r="DM51" s="40"/>
      <c r="DN51" s="40"/>
      <c r="DO51" s="40"/>
      <c r="DP51" s="40"/>
      <c r="DQ51" s="40"/>
      <c r="DR51" s="40"/>
      <c r="DS51" s="40"/>
      <c r="DT51" s="40"/>
      <c r="DU51" s="40"/>
      <c r="DV51" s="40"/>
      <c r="DW51" s="40"/>
      <c r="DX51" s="40"/>
      <c r="DY51" s="40"/>
      <c r="DZ51" s="40"/>
      <c r="EA51" s="40"/>
      <c r="EB51" s="40"/>
      <c r="EC51" s="40"/>
      <c r="ED51" s="40"/>
      <c r="EE51" s="40"/>
      <c r="EF51" s="40"/>
      <c r="EG51" s="40"/>
      <c r="EH51" s="40"/>
      <c r="EI51" s="40"/>
      <c r="EJ51" s="40"/>
      <c r="EK51" s="40"/>
    </row>
    <row r="52" spans="2:141" ht="12.75" customHeight="1" x14ac:dyDescent="0.2">
      <c r="B52" s="47" t="s">
        <v>193</v>
      </c>
      <c r="C52" s="53"/>
      <c r="D52" s="53"/>
      <c r="E52" s="53"/>
      <c r="F52" s="53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5">
        <f t="shared" ref="BA52:BN52" si="85">SUM(BA14:BA19)/SUM(AW14:AW19)-1</f>
        <v>0.20686531105294947</v>
      </c>
      <c r="BB52" s="55">
        <f t="shared" si="85"/>
        <v>0.15421707873049262</v>
      </c>
      <c r="BC52" s="55">
        <f t="shared" si="85"/>
        <v>0.11244806094182835</v>
      </c>
      <c r="BD52" s="55">
        <f t="shared" si="85"/>
        <v>0.31081710612130808</v>
      </c>
      <c r="BE52" s="55">
        <f t="shared" si="85"/>
        <v>0.35507548586204019</v>
      </c>
      <c r="BF52" s="55">
        <f t="shared" si="85"/>
        <v>0.43038359285985561</v>
      </c>
      <c r="BG52" s="55">
        <f t="shared" si="85"/>
        <v>0.62026301455139676</v>
      </c>
      <c r="BH52" s="55">
        <f t="shared" si="85"/>
        <v>0.62584405430378842</v>
      </c>
      <c r="BI52" s="55">
        <f>SUM(BI14:BI19)/SUM(BE14:BE19)-1</f>
        <v>0.64341991874923066</v>
      </c>
      <c r="BJ52" s="55">
        <f t="shared" si="85"/>
        <v>0.58462110349954854</v>
      </c>
      <c r="BK52" s="55">
        <f t="shared" si="85"/>
        <v>0.66424935164729604</v>
      </c>
      <c r="BL52" s="55">
        <f t="shared" si="85"/>
        <v>0.67137361196117862</v>
      </c>
      <c r="BM52" s="55">
        <f t="shared" si="85"/>
        <v>0.60642720701149866</v>
      </c>
      <c r="BN52" s="55">
        <f t="shared" si="85"/>
        <v>0.64175603217158184</v>
      </c>
      <c r="BO52" s="55"/>
      <c r="BP52" s="55"/>
      <c r="BQ52" s="54"/>
      <c r="BR52" s="54"/>
      <c r="BS52" s="53"/>
      <c r="BT52" s="53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55"/>
      <c r="CJ52" s="55"/>
      <c r="CK52" s="55"/>
      <c r="CL52" s="40"/>
      <c r="CM52" s="40"/>
      <c r="CN52" s="37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37" t="s">
        <v>148</v>
      </c>
      <c r="DC52" s="52">
        <f>DC51/Main!$J$3</f>
        <v>51.081934697046819</v>
      </c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0"/>
      <c r="DS52" s="40"/>
      <c r="DT52" s="40"/>
      <c r="DU52" s="40"/>
      <c r="DV52" s="40"/>
      <c r="DW52" s="40"/>
      <c r="DX52" s="40"/>
      <c r="DY52" s="40"/>
      <c r="DZ52" s="40"/>
      <c r="EA52" s="40"/>
      <c r="EB52" s="40"/>
      <c r="EC52" s="40"/>
      <c r="ED52" s="40"/>
      <c r="EE52" s="40"/>
      <c r="EF52" s="40"/>
      <c r="EG52" s="40"/>
      <c r="EH52" s="40"/>
      <c r="EI52" s="40"/>
      <c r="EJ52" s="40"/>
      <c r="EK52" s="40"/>
    </row>
    <row r="53" spans="2:141" ht="12.75" customHeight="1" x14ac:dyDescent="0.2">
      <c r="B53" s="47" t="s">
        <v>200</v>
      </c>
      <c r="C53" s="53"/>
      <c r="D53" s="53"/>
      <c r="E53" s="53"/>
      <c r="F53" s="53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5">
        <f t="shared" ref="BA53:BN53" si="86">BA19/AW19-1</f>
        <v>-7.2122052704576944E-2</v>
      </c>
      <c r="BB53" s="55">
        <f t="shared" si="86"/>
        <v>-0.11445012787723785</v>
      </c>
      <c r="BC53" s="55">
        <f t="shared" si="86"/>
        <v>-1.6487000634115456E-2</v>
      </c>
      <c r="BD53" s="55">
        <f t="shared" si="86"/>
        <v>0.52293577981651373</v>
      </c>
      <c r="BE53" s="55">
        <f t="shared" si="86"/>
        <v>0.79222720478325859</v>
      </c>
      <c r="BF53" s="55">
        <f t="shared" si="86"/>
        <v>0.77545126353790605</v>
      </c>
      <c r="BG53" s="55">
        <f t="shared" si="86"/>
        <v>0.28820116054158618</v>
      </c>
      <c r="BH53" s="55">
        <f t="shared" si="86"/>
        <v>0.23594377510040165</v>
      </c>
      <c r="BI53" s="55">
        <f>BI19/BE19-1</f>
        <v>0.32360300250208507</v>
      </c>
      <c r="BJ53" s="55">
        <f t="shared" si="86"/>
        <v>0.23708824725498179</v>
      </c>
      <c r="BK53" s="55">
        <f>BK19/BG19-1</f>
        <v>0.64114114114114118</v>
      </c>
      <c r="BL53" s="55">
        <f t="shared" si="86"/>
        <v>0.13241267262388301</v>
      </c>
      <c r="BM53" s="55">
        <f t="shared" si="86"/>
        <v>-0.17863894139886582</v>
      </c>
      <c r="BN53" s="55">
        <f t="shared" si="86"/>
        <v>-0.46909927679158447</v>
      </c>
      <c r="BO53" s="55"/>
      <c r="BP53" s="55"/>
      <c r="BQ53" s="54"/>
      <c r="BR53" s="54"/>
      <c r="BS53" s="53"/>
      <c r="BT53" s="53"/>
      <c r="BU53" s="55"/>
      <c r="BV53" s="55"/>
      <c r="BW53" s="55"/>
      <c r="BX53" s="55"/>
      <c r="BY53" s="55"/>
      <c r="BZ53" s="55"/>
      <c r="CA53" s="55"/>
      <c r="CB53" s="55"/>
      <c r="CC53" s="55"/>
      <c r="CD53" s="55"/>
      <c r="CE53" s="55"/>
      <c r="CF53" s="55"/>
      <c r="CG53" s="55"/>
      <c r="CH53" s="55"/>
      <c r="CI53" s="55"/>
      <c r="CJ53" s="55"/>
      <c r="CK53" s="55"/>
      <c r="CL53" s="40"/>
      <c r="CM53" s="40"/>
      <c r="CN53" s="37"/>
      <c r="CO53" s="40"/>
      <c r="CP53" s="40"/>
      <c r="CQ53" s="40"/>
      <c r="CR53" s="40"/>
      <c r="CS53" s="40"/>
      <c r="CT53" s="40"/>
      <c r="CU53" s="40"/>
      <c r="CV53" s="40"/>
      <c r="CW53" s="40"/>
      <c r="CX53" s="40"/>
      <c r="CY53" s="40"/>
      <c r="CZ53" s="40"/>
      <c r="DA53" s="40"/>
      <c r="DB53" s="37"/>
      <c r="DC53" s="52"/>
      <c r="DD53" s="40"/>
      <c r="DE53" s="40"/>
      <c r="DF53" s="40"/>
      <c r="DG53" s="40"/>
      <c r="DH53" s="40"/>
      <c r="DI53" s="40"/>
      <c r="DJ53" s="40"/>
      <c r="DK53" s="40"/>
      <c r="DL53" s="40"/>
      <c r="DM53" s="40"/>
      <c r="DN53" s="40"/>
      <c r="DO53" s="40"/>
      <c r="DP53" s="40"/>
      <c r="DQ53" s="40"/>
      <c r="DR53" s="40"/>
      <c r="DS53" s="40"/>
      <c r="DT53" s="40"/>
      <c r="DU53" s="40"/>
      <c r="DV53" s="40"/>
      <c r="DW53" s="40"/>
      <c r="DX53" s="40"/>
      <c r="DY53" s="40"/>
      <c r="DZ53" s="40"/>
      <c r="EA53" s="40"/>
      <c r="EB53" s="40"/>
      <c r="EC53" s="40"/>
      <c r="ED53" s="40"/>
      <c r="EE53" s="40"/>
      <c r="EF53" s="40"/>
      <c r="EG53" s="40"/>
      <c r="EH53" s="40"/>
      <c r="EI53" s="40"/>
      <c r="EJ53" s="40"/>
      <c r="EK53" s="40"/>
    </row>
    <row r="54" spans="2:141" ht="12.75" customHeight="1" x14ac:dyDescent="0.2">
      <c r="B54" s="47" t="s">
        <v>195</v>
      </c>
      <c r="C54" s="53"/>
      <c r="D54" s="53"/>
      <c r="E54" s="53"/>
      <c r="F54" s="53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5">
        <f t="shared" ref="BA54:BN54" si="87">BA12/AW12-1</f>
        <v>-7.4634078983706109E-2</v>
      </c>
      <c r="BB54" s="55">
        <f t="shared" si="87"/>
        <v>-8.5865700677534074E-2</v>
      </c>
      <c r="BC54" s="55">
        <f t="shared" si="87"/>
        <v>-6.5853965062209419E-2</v>
      </c>
      <c r="BD54" s="55">
        <f t="shared" si="87"/>
        <v>-3.3000146993973245E-2</v>
      </c>
      <c r="BE54" s="55">
        <f t="shared" si="87"/>
        <v>4.5288368275759217E-2</v>
      </c>
      <c r="BF54" s="55">
        <f t="shared" si="87"/>
        <v>2.5390768327584912E-2</v>
      </c>
      <c r="BG54" s="55">
        <f t="shared" si="87"/>
        <v>6.4576886855913784E-3</v>
      </c>
      <c r="BH54" s="55">
        <f t="shared" si="87"/>
        <v>-6.1868207038078604E-2</v>
      </c>
      <c r="BI54" s="55">
        <f>BI12/BE12-1</f>
        <v>-7.487508922198427E-2</v>
      </c>
      <c r="BJ54" s="55">
        <f t="shared" si="87"/>
        <v>-9.2106204823588333E-2</v>
      </c>
      <c r="BK54" s="55">
        <f t="shared" si="87"/>
        <v>-0.1037962839192621</v>
      </c>
      <c r="BL54" s="55">
        <f t="shared" si="87"/>
        <v>-8.5473547759863933E-2</v>
      </c>
      <c r="BM54" s="55">
        <f t="shared" si="87"/>
        <v>-0.12468173752025302</v>
      </c>
      <c r="BN54" s="55">
        <f t="shared" si="87"/>
        <v>-5.565189973198803E-2</v>
      </c>
      <c r="BO54" s="55"/>
      <c r="BP54" s="55"/>
      <c r="BQ54" s="54"/>
      <c r="BR54" s="54"/>
      <c r="BS54" s="53"/>
      <c r="BT54" s="53"/>
      <c r="BU54" s="55"/>
      <c r="BV54" s="55"/>
      <c r="BW54" s="55"/>
      <c r="BX54" s="55"/>
      <c r="BY54" s="55"/>
      <c r="BZ54" s="55"/>
      <c r="CA54" s="55"/>
      <c r="CB54" s="55"/>
      <c r="CC54" s="55"/>
      <c r="CD54" s="55"/>
      <c r="CE54" s="55"/>
      <c r="CF54" s="55"/>
      <c r="CG54" s="55"/>
      <c r="CH54" s="55"/>
      <c r="CI54" s="55"/>
      <c r="CJ54" s="55"/>
      <c r="CK54" s="55"/>
      <c r="CL54" s="40"/>
      <c r="CM54" s="40"/>
      <c r="CN54" s="37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37"/>
      <c r="DC54" s="52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</row>
    <row r="55" spans="2:141" ht="12.75" customHeight="1" x14ac:dyDescent="0.2">
      <c r="B55" s="37" t="s">
        <v>152</v>
      </c>
      <c r="C55" s="56">
        <f t="shared" ref="C55:N55" si="88">C33/C31</f>
        <v>0.77265875259091765</v>
      </c>
      <c r="D55" s="56">
        <f t="shared" si="88"/>
        <v>0.77011701170117008</v>
      </c>
      <c r="E55" s="56">
        <f t="shared" si="88"/>
        <v>0.76827316379157029</v>
      </c>
      <c r="F55" s="56">
        <f t="shared" si="88"/>
        <v>0.79845823730429943</v>
      </c>
      <c r="G55" s="56">
        <f t="shared" si="88"/>
        <v>0.79932789246279401</v>
      </c>
      <c r="H55" s="56">
        <f t="shared" si="88"/>
        <v>0.79924621182985922</v>
      </c>
      <c r="I55" s="56">
        <f t="shared" si="88"/>
        <v>0.78373854125149467</v>
      </c>
      <c r="J55" s="56">
        <f t="shared" si="88"/>
        <v>0.79468028351497599</v>
      </c>
      <c r="K55" s="56">
        <f t="shared" si="88"/>
        <v>0.80327629077080587</v>
      </c>
      <c r="L55" s="56">
        <f t="shared" si="88"/>
        <v>0.80713264908405868</v>
      </c>
      <c r="M55" s="56">
        <f t="shared" si="88"/>
        <v>0.8116016427104723</v>
      </c>
      <c r="N55" s="56">
        <f t="shared" si="88"/>
        <v>0.8</v>
      </c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>
        <f t="shared" ref="AX55" si="89">AX33/AX31</f>
        <v>0.83243359965450225</v>
      </c>
      <c r="AY55" s="56">
        <f t="shared" ref="AY55:BB55" si="90">AY33/AY31</f>
        <v>0.84100369003690034</v>
      </c>
      <c r="AZ55" s="56">
        <f t="shared" si="90"/>
        <v>0.84096514030527225</v>
      </c>
      <c r="BA55" s="56">
        <f t="shared" si="90"/>
        <v>0.83331716623015484</v>
      </c>
      <c r="BB55" s="56">
        <f t="shared" si="90"/>
        <v>0.8251602464372394</v>
      </c>
      <c r="BC55" s="56">
        <f t="shared" ref="BC55:BF55" si="91">BC33/BC31</f>
        <v>0.82809726659566918</v>
      </c>
      <c r="BD55" s="56">
        <f t="shared" si="91"/>
        <v>0.83211767198329345</v>
      </c>
      <c r="BE55" s="56">
        <f t="shared" si="91"/>
        <v>0.82990848352141933</v>
      </c>
      <c r="BF55" s="56">
        <f t="shared" si="91"/>
        <v>0.83718988860772703</v>
      </c>
      <c r="BG55" s="56">
        <f>BG33/BG31</f>
        <v>0.83543099141110133</v>
      </c>
      <c r="BH55" s="56">
        <f t="shared" ref="BH55:BN55" si="92">BH33/BH31</f>
        <v>0.85292620865139945</v>
      </c>
      <c r="BI55" s="56">
        <f>BI33/BI31</f>
        <v>0.8419874467804942</v>
      </c>
      <c r="BJ55" s="56">
        <f t="shared" si="92"/>
        <v>0.85</v>
      </c>
      <c r="BK55" s="56">
        <f t="shared" si="92"/>
        <v>0.8600000000000001</v>
      </c>
      <c r="BL55" s="56">
        <f t="shared" si="92"/>
        <v>0.86</v>
      </c>
      <c r="BM55" s="56">
        <f t="shared" si="92"/>
        <v>0.87</v>
      </c>
      <c r="BN55" s="56">
        <f t="shared" si="92"/>
        <v>0.87</v>
      </c>
      <c r="BO55" s="56"/>
      <c r="BP55" s="56"/>
      <c r="BQ55" s="56"/>
      <c r="BR55" s="56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56">
        <f t="shared" ref="CE55:CS55" si="93">CE33/CE31</f>
        <v>0.79429297371249874</v>
      </c>
      <c r="CF55" s="56">
        <f t="shared" si="93"/>
        <v>0.80781887587205481</v>
      </c>
      <c r="CG55" s="56">
        <f t="shared" si="93"/>
        <v>0.81025231362855332</v>
      </c>
      <c r="CH55" s="56">
        <f t="shared" si="93"/>
        <v>0.82742931843231748</v>
      </c>
      <c r="CI55" s="56">
        <f t="shared" si="93"/>
        <v>0</v>
      </c>
      <c r="CJ55" s="56">
        <f t="shared" si="93"/>
        <v>0.83602459293290998</v>
      </c>
      <c r="CK55" s="56">
        <f t="shared" si="93"/>
        <v>0.85000972879816916</v>
      </c>
      <c r="CL55" s="56">
        <f t="shared" si="93"/>
        <v>0.84627840400787258</v>
      </c>
      <c r="CM55" s="56">
        <f t="shared" si="93"/>
        <v>0.84214295946139517</v>
      </c>
      <c r="CN55" s="56">
        <f t="shared" si="93"/>
        <v>0.84246765208215968</v>
      </c>
      <c r="CO55" s="56">
        <f t="shared" si="93"/>
        <v>0.8353725997983954</v>
      </c>
      <c r="CP55" s="56">
        <f t="shared" si="93"/>
        <v>0.83511099207537065</v>
      </c>
      <c r="CQ55" s="56">
        <f t="shared" si="93"/>
        <v>0.83197443181818187</v>
      </c>
      <c r="CR55" s="56">
        <f t="shared" si="93"/>
        <v>0</v>
      </c>
      <c r="CS55" s="56">
        <f t="shared" si="93"/>
        <v>0</v>
      </c>
      <c r="CT55" s="56"/>
      <c r="CU55" s="56"/>
      <c r="CV55" s="56"/>
      <c r="CW55" s="56"/>
      <c r="CX55" s="56"/>
      <c r="CY55" s="56"/>
      <c r="CZ55" s="56"/>
      <c r="DA55" s="40"/>
      <c r="DB55" s="40"/>
      <c r="DC55" s="40"/>
      <c r="DD55" s="40"/>
      <c r="DE55" s="40"/>
      <c r="DF55" s="40"/>
      <c r="DG55" s="40"/>
      <c r="DH55" s="40"/>
      <c r="DI55" s="40"/>
      <c r="DJ55" s="40"/>
      <c r="DK55" s="40"/>
      <c r="DL55" s="40"/>
      <c r="DM55" s="40"/>
      <c r="DN55" s="40"/>
      <c r="DO55" s="40"/>
      <c r="DP55" s="40"/>
      <c r="DQ55" s="40"/>
      <c r="DR55" s="40"/>
      <c r="DS55" s="40"/>
      <c r="DT55" s="40"/>
      <c r="DU55" s="40"/>
      <c r="DV55" s="40"/>
      <c r="DW55" s="40"/>
      <c r="DX55" s="40"/>
      <c r="DY55" s="40"/>
      <c r="DZ55" s="40"/>
      <c r="EA55" s="40"/>
      <c r="EB55" s="40"/>
      <c r="EC55" s="40"/>
      <c r="ED55" s="40"/>
      <c r="EE55" s="40"/>
      <c r="EF55" s="40"/>
      <c r="EG55" s="40"/>
      <c r="EH55" s="40"/>
      <c r="EI55" s="40"/>
      <c r="EJ55" s="40"/>
      <c r="EK55" s="40"/>
    </row>
    <row r="56" spans="2:141" ht="12.75" customHeight="1" x14ac:dyDescent="0.2">
      <c r="B56" s="37" t="s">
        <v>206</v>
      </c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>
        <f t="shared" ref="AX56" si="94">+AX34/AX31</f>
        <v>0.29416664095999012</v>
      </c>
      <c r="AY56" s="56">
        <f t="shared" ref="AY56:BB56" si="95">+AY34/AY31</f>
        <v>0.22405904059040591</v>
      </c>
      <c r="AZ56" s="56">
        <f t="shared" si="95"/>
        <v>0.24655068986202761</v>
      </c>
      <c r="BA56" s="56">
        <f t="shared" si="95"/>
        <v>0.26429980276134124</v>
      </c>
      <c r="BB56" s="56">
        <f t="shared" si="95"/>
        <v>0.30387703030680191</v>
      </c>
      <c r="BC56" s="56">
        <f>+BC34/BC31</f>
        <v>0.24423145189918352</v>
      </c>
      <c r="BD56" s="56">
        <f t="shared" ref="BD56:BN56" si="96">+BD34/BD31</f>
        <v>0.24215368784237765</v>
      </c>
      <c r="BE56" s="56">
        <f t="shared" si="96"/>
        <v>0.25599348717084947</v>
      </c>
      <c r="BF56" s="56">
        <f t="shared" si="96"/>
        <v>0.30344611692275586</v>
      </c>
      <c r="BG56" s="56">
        <f t="shared" si="96"/>
        <v>0.24227355999143491</v>
      </c>
      <c r="BH56" s="56">
        <f t="shared" si="96"/>
        <v>0.26269235429540772</v>
      </c>
      <c r="BI56" s="56">
        <f>+BI34/BI31</f>
        <v>0.25130579818285564</v>
      </c>
      <c r="BJ56" s="56">
        <f t="shared" si="96"/>
        <v>0.3</v>
      </c>
      <c r="BK56" s="56">
        <f t="shared" si="96"/>
        <v>0.24</v>
      </c>
      <c r="BL56" s="56">
        <f t="shared" si="96"/>
        <v>0.24</v>
      </c>
      <c r="BM56" s="56">
        <f t="shared" si="96"/>
        <v>0.26</v>
      </c>
      <c r="BN56" s="56">
        <f t="shared" si="96"/>
        <v>0.3</v>
      </c>
      <c r="BO56" s="56"/>
      <c r="BP56" s="56"/>
      <c r="BQ56" s="56"/>
      <c r="BR56" s="56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56"/>
      <c r="CF56" s="56"/>
      <c r="CG56" s="56"/>
      <c r="CH56" s="56"/>
      <c r="CI56" s="56"/>
      <c r="CJ56" s="56"/>
      <c r="CK56" s="56"/>
      <c r="CL56" s="40"/>
      <c r="CM56" s="40"/>
      <c r="CN56" s="40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0"/>
      <c r="DS56" s="40"/>
      <c r="DT56" s="40"/>
      <c r="DU56" s="40"/>
      <c r="DV56" s="40"/>
      <c r="DW56" s="40"/>
      <c r="DX56" s="40"/>
      <c r="DY56" s="40"/>
      <c r="DZ56" s="40"/>
      <c r="EA56" s="40"/>
      <c r="EB56" s="40"/>
      <c r="EC56" s="40"/>
      <c r="ED56" s="40"/>
      <c r="EE56" s="40"/>
      <c r="EF56" s="40"/>
      <c r="EG56" s="40"/>
      <c r="EH56" s="40"/>
      <c r="EI56" s="40"/>
      <c r="EJ56" s="40"/>
      <c r="EK56" s="40"/>
    </row>
    <row r="57" spans="2:141" ht="12.75" customHeight="1" x14ac:dyDescent="0.2">
      <c r="B57" s="37" t="s">
        <v>207</v>
      </c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>
        <f t="shared" ref="AX57" si="97">+AX35/AX31</f>
        <v>0.13523768393127064</v>
      </c>
      <c r="AY57" s="56">
        <f>+AY35/AY31</f>
        <v>0.11149815498154982</v>
      </c>
      <c r="AZ57" s="56">
        <f t="shared" ref="AZ57:BN57" si="98">+AZ35/AZ31</f>
        <v>0.10967806438712258</v>
      </c>
      <c r="BA57" s="56">
        <f t="shared" si="98"/>
        <v>0.12645908106185533</v>
      </c>
      <c r="BB57" s="56">
        <f t="shared" si="98"/>
        <v>0.13949218993092288</v>
      </c>
      <c r="BC57" s="56">
        <f t="shared" si="98"/>
        <v>0.11667258312625725</v>
      </c>
      <c r="BD57" s="56">
        <f t="shared" si="98"/>
        <v>0.11936684725038589</v>
      </c>
      <c r="BE57" s="56">
        <f t="shared" si="98"/>
        <v>0.11936443770703498</v>
      </c>
      <c r="BF57" s="56">
        <f t="shared" si="98"/>
        <v>0.14692301672188454</v>
      </c>
      <c r="BG57" s="56">
        <f t="shared" si="98"/>
        <v>0.12386095976779044</v>
      </c>
      <c r="BH57" s="56">
        <f t="shared" si="98"/>
        <v>0.124148794377802</v>
      </c>
      <c r="BI57" s="56">
        <f>+BI35/BI31</f>
        <v>0.12362287670631611</v>
      </c>
      <c r="BJ57" s="56">
        <f t="shared" si="98"/>
        <v>0.11</v>
      </c>
      <c r="BK57" s="56">
        <f t="shared" si="98"/>
        <v>0.11</v>
      </c>
      <c r="BL57" s="56">
        <f t="shared" si="98"/>
        <v>0.11</v>
      </c>
      <c r="BM57" s="56">
        <f t="shared" si="98"/>
        <v>0.11</v>
      </c>
      <c r="BN57" s="56">
        <f t="shared" si="98"/>
        <v>0.11</v>
      </c>
      <c r="BO57" s="56"/>
      <c r="BP57" s="56"/>
      <c r="BQ57" s="56"/>
      <c r="BR57" s="56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56"/>
      <c r="CF57" s="56"/>
      <c r="CG57" s="56"/>
      <c r="CH57" s="56"/>
      <c r="CI57" s="56"/>
      <c r="CJ57" s="56"/>
      <c r="CK57" s="56"/>
      <c r="CL57" s="40"/>
      <c r="CM57" s="40"/>
      <c r="CN57" s="40"/>
      <c r="CO57" s="40"/>
      <c r="CP57" s="40"/>
      <c r="CQ57" s="40"/>
      <c r="CR57" s="40"/>
      <c r="CS57" s="40"/>
      <c r="CT57" s="40"/>
      <c r="CU57" s="40"/>
      <c r="CV57" s="40"/>
      <c r="CW57" s="40"/>
      <c r="CX57" s="40"/>
      <c r="CY57" s="40"/>
      <c r="CZ57" s="40"/>
      <c r="DA57" s="40"/>
      <c r="DB57" s="40"/>
      <c r="DC57" s="40"/>
      <c r="DD57" s="40"/>
      <c r="DE57" s="40"/>
      <c r="DF57" s="40"/>
      <c r="DG57" s="40"/>
      <c r="DH57" s="40"/>
      <c r="DI57" s="40"/>
      <c r="DJ57" s="40"/>
      <c r="DK57" s="40"/>
      <c r="DL57" s="40"/>
      <c r="DM57" s="40"/>
      <c r="DN57" s="40"/>
      <c r="DO57" s="40"/>
      <c r="DP57" s="40"/>
      <c r="DQ57" s="40"/>
      <c r="DR57" s="40"/>
      <c r="DS57" s="40"/>
      <c r="DT57" s="40"/>
      <c r="DU57" s="40"/>
      <c r="DV57" s="40"/>
      <c r="DW57" s="40"/>
      <c r="DX57" s="40"/>
      <c r="DY57" s="40"/>
      <c r="DZ57" s="40"/>
      <c r="EA57" s="40"/>
      <c r="EB57" s="40"/>
      <c r="EC57" s="40"/>
      <c r="ED57" s="40"/>
      <c r="EE57" s="40"/>
      <c r="EF57" s="40"/>
      <c r="EG57" s="40"/>
      <c r="EH57" s="40"/>
      <c r="EI57" s="40"/>
      <c r="EJ57" s="40"/>
      <c r="EK57" s="40"/>
    </row>
    <row r="58" spans="2:141" ht="12.75" customHeight="1" x14ac:dyDescent="0.2">
      <c r="B58" s="37" t="s">
        <v>153</v>
      </c>
      <c r="C58" s="56">
        <f>C44/C43</f>
        <v>0.42991631799163182</v>
      </c>
      <c r="D58" s="56">
        <f t="shared" ref="D58:M58" si="99">D44/D43</f>
        <v>0.27451556077510275</v>
      </c>
      <c r="E58" s="56">
        <f t="shared" si="99"/>
        <v>0.25752508361204013</v>
      </c>
      <c r="F58" s="56">
        <f t="shared" si="99"/>
        <v>0.24104234527687296</v>
      </c>
      <c r="G58" s="56">
        <f t="shared" si="99"/>
        <v>0.22995720399429387</v>
      </c>
      <c r="H58" s="56">
        <f t="shared" si="99"/>
        <v>0.22991761071060762</v>
      </c>
      <c r="I58" s="56">
        <f t="shared" si="99"/>
        <v>0.23620737454948712</v>
      </c>
      <c r="J58" s="56">
        <f t="shared" si="99"/>
        <v>0.22359625668449198</v>
      </c>
      <c r="K58" s="56">
        <f t="shared" si="99"/>
        <v>0.23002084781097984</v>
      </c>
      <c r="L58" s="56">
        <f t="shared" si="99"/>
        <v>0.23003472222222221</v>
      </c>
      <c r="M58" s="56">
        <f t="shared" si="99"/>
        <v>0.23002577319587628</v>
      </c>
      <c r="N58" s="56">
        <f>N44/N43</f>
        <v>0.25</v>
      </c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>
        <f t="shared" ref="AX58" si="100">+AX44/AX43</f>
        <v>0.21319613683545446</v>
      </c>
      <c r="AY58" s="56">
        <f t="shared" ref="AY58:BB58" si="101">+AY44/AY43</f>
        <v>0.20797550096531522</v>
      </c>
      <c r="AZ58" s="56">
        <f t="shared" si="101"/>
        <v>0.20803518187239117</v>
      </c>
      <c r="BA58" s="56">
        <f t="shared" si="101"/>
        <v>0.18855882121188244</v>
      </c>
      <c r="BB58" s="56">
        <f t="shared" si="101"/>
        <v>0.22362939510081653</v>
      </c>
      <c r="BC58" s="56">
        <f t="shared" ref="BC58:BG58" si="102">+BC44/BC43</f>
        <v>0.20799347471451876</v>
      </c>
      <c r="BD58" s="56">
        <f t="shared" si="102"/>
        <v>0.18730307702621171</v>
      </c>
      <c r="BE58" s="56">
        <f t="shared" si="102"/>
        <v>0.19805452620434091</v>
      </c>
      <c r="BF58" s="56">
        <f t="shared" si="102"/>
        <v>0.16937390375962785</v>
      </c>
      <c r="BG58" s="56">
        <f t="shared" si="102"/>
        <v>0.20698699704224566</v>
      </c>
      <c r="BH58" s="56">
        <f>+BH44/BH43</f>
        <v>0.20702590056564454</v>
      </c>
      <c r="BI58" s="56">
        <f>+BI44/BI43</f>
        <v>0.20114241348713399</v>
      </c>
      <c r="BJ58" s="56">
        <f t="shared" ref="BJ58:BN58" si="103">+BJ44/BJ43</f>
        <v>0.2</v>
      </c>
      <c r="BK58" s="56">
        <f t="shared" si="103"/>
        <v>0.2</v>
      </c>
      <c r="BL58" s="56">
        <f t="shared" si="103"/>
        <v>0.20000000000000004</v>
      </c>
      <c r="BM58" s="56">
        <f t="shared" si="103"/>
        <v>0.2</v>
      </c>
      <c r="BN58" s="56">
        <f t="shared" si="103"/>
        <v>0.2</v>
      </c>
      <c r="BO58" s="56"/>
      <c r="BP58" s="56"/>
      <c r="BQ58" s="56"/>
      <c r="BR58" s="56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40"/>
      <c r="CM58" s="40"/>
      <c r="CN58" s="40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0"/>
      <c r="DS58" s="40"/>
      <c r="DT58" s="40"/>
      <c r="DU58" s="40"/>
      <c r="DV58" s="40"/>
      <c r="DW58" s="40"/>
      <c r="DX58" s="40"/>
      <c r="DY58" s="40"/>
      <c r="DZ58" s="40"/>
      <c r="EA58" s="40"/>
      <c r="EB58" s="40"/>
      <c r="EC58" s="40"/>
      <c r="ED58" s="40"/>
      <c r="EE58" s="40"/>
      <c r="EF58" s="40"/>
      <c r="EG58" s="40"/>
      <c r="EH58" s="40"/>
      <c r="EI58" s="40"/>
      <c r="EJ58" s="40"/>
      <c r="EK58" s="40"/>
    </row>
    <row r="59" spans="2:141" ht="12.75" customHeight="1" x14ac:dyDescent="0.2">
      <c r="B59" s="37" t="s">
        <v>154</v>
      </c>
      <c r="C59" s="39"/>
      <c r="D59" s="39"/>
      <c r="E59" s="39"/>
      <c r="F59" s="39"/>
      <c r="G59" s="56">
        <f t="shared" ref="G59:N59" si="104">+G46/C46-1</f>
        <v>0.26555470372527656</v>
      </c>
      <c r="H59" s="56">
        <f t="shared" si="104"/>
        <v>0.2317467921523495</v>
      </c>
      <c r="I59" s="56">
        <f t="shared" si="104"/>
        <v>5.6513780158608862E-2</v>
      </c>
      <c r="J59" s="56">
        <f t="shared" si="104"/>
        <v>2.9156860030458143E-2</v>
      </c>
      <c r="K59" s="56">
        <f t="shared" si="104"/>
        <v>0.27248103257280354</v>
      </c>
      <c r="L59" s="56">
        <f t="shared" si="104"/>
        <v>0.2244971740943098</v>
      </c>
      <c r="M59" s="56">
        <f t="shared" si="104"/>
        <v>0.34395333855076848</v>
      </c>
      <c r="N59" s="56">
        <f t="shared" si="104"/>
        <v>0.59020839337398123</v>
      </c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56"/>
      <c r="BK59" s="56"/>
      <c r="BL59" s="56"/>
      <c r="BM59" s="56"/>
      <c r="BN59" s="56"/>
      <c r="BO59" s="56"/>
      <c r="BP59" s="56"/>
      <c r="BQ59" s="56"/>
      <c r="BR59" s="56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40"/>
      <c r="CM59" s="40"/>
      <c r="CN59" s="40"/>
      <c r="CO59" s="40"/>
      <c r="CP59" s="40"/>
      <c r="CQ59" s="40"/>
      <c r="CR59" s="40"/>
      <c r="CS59" s="40"/>
      <c r="CT59" s="40"/>
      <c r="CU59" s="40"/>
      <c r="CV59" s="40"/>
      <c r="CW59" s="40"/>
      <c r="CX59" s="40"/>
      <c r="CY59" s="40"/>
      <c r="CZ59" s="40"/>
      <c r="DA59" s="40"/>
      <c r="DB59" s="40"/>
      <c r="DC59" s="40"/>
      <c r="DD59" s="40"/>
      <c r="DE59" s="40"/>
      <c r="DF59" s="40"/>
      <c r="DG59" s="40"/>
      <c r="DH59" s="40"/>
      <c r="DI59" s="40"/>
      <c r="DJ59" s="40"/>
      <c r="DK59" s="40"/>
      <c r="DL59" s="40"/>
      <c r="DM59" s="40"/>
      <c r="DN59" s="40"/>
      <c r="DO59" s="40"/>
      <c r="DP59" s="40"/>
      <c r="DQ59" s="40"/>
      <c r="DR59" s="40"/>
      <c r="DS59" s="40"/>
      <c r="DT59" s="40"/>
      <c r="DU59" s="40"/>
      <c r="DV59" s="40"/>
      <c r="DW59" s="40"/>
      <c r="DX59" s="40"/>
      <c r="DY59" s="40"/>
      <c r="DZ59" s="40"/>
      <c r="EA59" s="40"/>
      <c r="EB59" s="40"/>
      <c r="EC59" s="40"/>
      <c r="ED59" s="40"/>
      <c r="EE59" s="40"/>
      <c r="EF59" s="40"/>
      <c r="EG59" s="40"/>
      <c r="EH59" s="40"/>
      <c r="EI59" s="40"/>
      <c r="EJ59" s="40"/>
      <c r="EK59" s="40"/>
    </row>
    <row r="61" spans="2:141" ht="12.75" customHeight="1" x14ac:dyDescent="0.2">
      <c r="B61" s="37" t="s">
        <v>155</v>
      </c>
      <c r="C61" s="39"/>
      <c r="D61" s="39"/>
      <c r="E61" s="39"/>
      <c r="F61" s="39"/>
      <c r="G61" s="39"/>
      <c r="H61" s="39"/>
      <c r="I61" s="39"/>
      <c r="J61" s="39"/>
      <c r="K61" s="56">
        <v>0.21</v>
      </c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</row>
    <row r="63" spans="2:141" ht="12.75" customHeight="1" x14ac:dyDescent="0.2">
      <c r="B63" s="37" t="s">
        <v>156</v>
      </c>
      <c r="C63" s="39"/>
      <c r="D63" s="39"/>
      <c r="E63" s="39"/>
      <c r="F63" s="39"/>
      <c r="G63" s="39"/>
      <c r="H63" s="39"/>
      <c r="I63" s="39"/>
      <c r="J63" s="39"/>
      <c r="K63" s="57">
        <v>5221</v>
      </c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</row>
    <row r="64" spans="2:141" ht="12.75" customHeight="1" x14ac:dyDescent="0.2">
      <c r="B64" s="37" t="s">
        <v>157</v>
      </c>
      <c r="C64" s="39"/>
      <c r="D64" s="39"/>
      <c r="E64" s="39"/>
      <c r="F64" s="39"/>
      <c r="G64" s="39"/>
      <c r="H64" s="39"/>
      <c r="I64" s="39"/>
      <c r="J64" s="39"/>
      <c r="K64" s="57">
        <v>4432</v>
      </c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</row>
    <row r="65" spans="2:141" ht="12.75" customHeight="1" x14ac:dyDescent="0.2">
      <c r="B65" s="37" t="s">
        <v>158</v>
      </c>
      <c r="C65" s="39"/>
      <c r="D65" s="39"/>
      <c r="E65" s="39"/>
      <c r="F65" s="39"/>
      <c r="G65" s="39"/>
      <c r="H65" s="39"/>
      <c r="I65" s="39"/>
      <c r="J65" s="39"/>
      <c r="K65" s="57">
        <v>2865</v>
      </c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</row>
    <row r="66" spans="2:141" ht="12.75" customHeight="1" x14ac:dyDescent="0.2">
      <c r="B66" s="37" t="s">
        <v>159</v>
      </c>
      <c r="C66" s="39"/>
      <c r="D66" s="39"/>
      <c r="E66" s="39"/>
      <c r="F66" s="39"/>
      <c r="G66" s="39"/>
      <c r="H66" s="39"/>
      <c r="I66" s="39"/>
      <c r="J66" s="39"/>
      <c r="K66" s="57">
        <v>1156</v>
      </c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</row>
    <row r="68" spans="2:141" ht="12.75" customHeight="1" x14ac:dyDescent="0.2">
      <c r="B68" s="37" t="s">
        <v>160</v>
      </c>
      <c r="C68" s="39"/>
      <c r="D68" s="39"/>
      <c r="E68" s="39"/>
      <c r="F68" s="39"/>
      <c r="G68" s="57">
        <v>27429</v>
      </c>
      <c r="H68" s="57">
        <v>27998</v>
      </c>
      <c r="I68" s="57">
        <v>28497</v>
      </c>
      <c r="J68" s="57">
        <v>28809</v>
      </c>
      <c r="K68" s="57">
        <v>29154</v>
      </c>
      <c r="L68" s="57">
        <v>29364</v>
      </c>
      <c r="M68" s="57">
        <v>29515</v>
      </c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57">
        <v>45157</v>
      </c>
      <c r="BD68" s="57">
        <v>45971</v>
      </c>
      <c r="BE68" s="57">
        <v>46982</v>
      </c>
      <c r="BF68" s="57">
        <v>47792</v>
      </c>
      <c r="BG68" s="57">
        <v>49295</v>
      </c>
      <c r="BH68" s="57">
        <v>50816</v>
      </c>
      <c r="BI68" s="57">
        <v>52696</v>
      </c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57">
        <v>27068</v>
      </c>
      <c r="CE68" s="57">
        <v>29329</v>
      </c>
      <c r="CF68" s="57">
        <v>30483</v>
      </c>
      <c r="CG68" s="57">
        <v>32632</v>
      </c>
      <c r="CH68" s="57">
        <v>34731</v>
      </c>
      <c r="CI68" s="57">
        <v>38436</v>
      </c>
      <c r="CJ68" s="57">
        <v>41450</v>
      </c>
      <c r="CK68" s="57">
        <v>41222</v>
      </c>
      <c r="CL68" s="46">
        <v>42446</v>
      </c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</row>
    <row r="70" spans="2:141" ht="12.75" customHeight="1" x14ac:dyDescent="0.2">
      <c r="B70" s="37" t="s">
        <v>223</v>
      </c>
      <c r="BI70" s="64">
        <f>+BI71-BI80</f>
        <v>11437</v>
      </c>
      <c r="BJ70" s="64">
        <f t="shared" ref="BJ70:BK70" si="105">+BJ71-BJ80</f>
        <v>0</v>
      </c>
      <c r="BK70" s="64">
        <f t="shared" si="105"/>
        <v>0</v>
      </c>
    </row>
    <row r="71" spans="2:141" ht="12.75" customHeight="1" x14ac:dyDescent="0.2">
      <c r="B71" s="37" t="s">
        <v>210</v>
      </c>
      <c r="BI71" s="64">
        <f>28465+5277+9008+781+458</f>
        <v>43989</v>
      </c>
    </row>
    <row r="72" spans="2:141" ht="12.75" customHeight="1" x14ac:dyDescent="0.2">
      <c r="B72" s="37" t="s">
        <v>137</v>
      </c>
      <c r="BI72" s="64">
        <f>5406+247</f>
        <v>5653</v>
      </c>
    </row>
    <row r="73" spans="2:141" ht="12.75" customHeight="1" x14ac:dyDescent="0.2">
      <c r="B73" s="37" t="s">
        <v>216</v>
      </c>
      <c r="BI73" s="64">
        <f>2541+11303</f>
        <v>13844</v>
      </c>
    </row>
    <row r="74" spans="2:141" ht="12.75" customHeight="1" x14ac:dyDescent="0.2">
      <c r="B74" s="37" t="s">
        <v>215</v>
      </c>
      <c r="BI74" s="64">
        <v>45563</v>
      </c>
    </row>
    <row r="75" spans="2:141" ht="12.75" customHeight="1" x14ac:dyDescent="0.2">
      <c r="B75" s="37" t="s">
        <v>214</v>
      </c>
      <c r="BI75" s="64">
        <v>23222</v>
      </c>
    </row>
    <row r="76" spans="2:141" ht="12.75" customHeight="1" x14ac:dyDescent="0.2">
      <c r="B76" s="37" t="s">
        <v>213</v>
      </c>
      <c r="BI76" s="64">
        <v>63641</v>
      </c>
    </row>
    <row r="77" spans="2:141" ht="12.75" customHeight="1" x14ac:dyDescent="0.2">
      <c r="B77" s="37" t="s">
        <v>212</v>
      </c>
      <c r="BI77" s="64">
        <v>46924</v>
      </c>
    </row>
    <row r="78" spans="2:141" ht="12.75" customHeight="1" x14ac:dyDescent="0.2">
      <c r="B78" s="37" t="s">
        <v>211</v>
      </c>
      <c r="BI78" s="64">
        <f>SUM(BI71:BI77)</f>
        <v>242836</v>
      </c>
    </row>
    <row r="80" spans="2:141" ht="12.75" customHeight="1" x14ac:dyDescent="0.2">
      <c r="B80" s="37" t="s">
        <v>217</v>
      </c>
      <c r="BI80" s="64">
        <f>24136+1833+6583</f>
        <v>32552</v>
      </c>
    </row>
    <row r="81" spans="2:61" ht="12.75" customHeight="1" x14ac:dyDescent="0.2">
      <c r="B81" s="37" t="s">
        <v>218</v>
      </c>
      <c r="BI81" s="64">
        <f>84745+5300</f>
        <v>90045</v>
      </c>
    </row>
    <row r="82" spans="2:61" ht="12.75" customHeight="1" x14ac:dyDescent="0.2">
      <c r="B82" s="37" t="s">
        <v>137</v>
      </c>
      <c r="BI82" s="64">
        <f>21389+240</f>
        <v>21629</v>
      </c>
    </row>
    <row r="83" spans="2:61" ht="12.75" customHeight="1" x14ac:dyDescent="0.2">
      <c r="B83" s="37" t="s">
        <v>216</v>
      </c>
      <c r="BI83" s="64">
        <v>7397</v>
      </c>
    </row>
    <row r="84" spans="2:61" ht="12.75" customHeight="1" x14ac:dyDescent="0.2">
      <c r="B84" s="37" t="s">
        <v>219</v>
      </c>
      <c r="BI84" s="64">
        <v>8310</v>
      </c>
    </row>
    <row r="85" spans="2:61" ht="12.75" customHeight="1" x14ac:dyDescent="0.2">
      <c r="B85" s="37" t="s">
        <v>220</v>
      </c>
      <c r="BI85" s="64">
        <f>5640+583</f>
        <v>6223</v>
      </c>
    </row>
    <row r="86" spans="2:61" ht="12.75" customHeight="1" x14ac:dyDescent="0.2">
      <c r="B86" s="37" t="s">
        <v>221</v>
      </c>
      <c r="BI86" s="64">
        <v>76680</v>
      </c>
    </row>
    <row r="87" spans="2:61" ht="12.75" customHeight="1" x14ac:dyDescent="0.2">
      <c r="B87" s="37" t="s">
        <v>222</v>
      </c>
      <c r="BI87" s="64">
        <f>SUM(BI80:BI86)</f>
        <v>242836</v>
      </c>
    </row>
  </sheetData>
  <phoneticPr fontId="0" type="noConversion"/>
  <hyperlinks>
    <hyperlink ref="A1" location="Main!A1" display="Main" xr:uid="{00000000-0004-0000-0100-000000000000}"/>
  </hyperlinks>
  <pageMargins left="0.78740157480314965" right="0.78740157480314965" top="0.78740157480314965" bottom="0.78740157480314965" header="0.78740157480314965" footer="0.78740157480314965"/>
  <pageSetup paperSize="9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F92FB-C887-4608-8562-B19F03734CE9}">
  <dimension ref="A1:C12"/>
  <sheetViews>
    <sheetView zoomScale="205" zoomScaleNormal="205" workbookViewId="0">
      <selection activeCell="C12" sqref="C12"/>
    </sheetView>
  </sheetViews>
  <sheetFormatPr defaultColWidth="8.85546875" defaultRowHeight="12.75" x14ac:dyDescent="0.2"/>
  <cols>
    <col min="1" max="1" width="5" bestFit="1" customWidth="1"/>
  </cols>
  <sheetData>
    <row r="1" spans="1:3" x14ac:dyDescent="0.2">
      <c r="A1" s="62" t="s">
        <v>60</v>
      </c>
    </row>
    <row r="2" spans="1:3" x14ac:dyDescent="0.2">
      <c r="B2" s="63" t="s">
        <v>228</v>
      </c>
      <c r="C2" s="63" t="s">
        <v>182</v>
      </c>
    </row>
    <row r="3" spans="1:3" x14ac:dyDescent="0.2">
      <c r="B3" s="63" t="s">
        <v>229</v>
      </c>
      <c r="C3" s="63" t="s">
        <v>230</v>
      </c>
    </row>
    <row r="4" spans="1:3" x14ac:dyDescent="0.2">
      <c r="B4" s="63" t="s">
        <v>242</v>
      </c>
      <c r="C4" s="63" t="s">
        <v>243</v>
      </c>
    </row>
    <row r="5" spans="1:3" x14ac:dyDescent="0.2">
      <c r="C5" s="63" t="s">
        <v>244</v>
      </c>
    </row>
    <row r="6" spans="1:3" x14ac:dyDescent="0.2">
      <c r="C6" s="63" t="s">
        <v>245</v>
      </c>
    </row>
    <row r="7" spans="1:3" x14ac:dyDescent="0.2">
      <c r="C7" s="65" t="s">
        <v>246</v>
      </c>
    </row>
    <row r="8" spans="1:3" x14ac:dyDescent="0.2">
      <c r="C8" s="63" t="s">
        <v>247</v>
      </c>
    </row>
    <row r="9" spans="1:3" x14ac:dyDescent="0.2">
      <c r="C9" s="63" t="s">
        <v>248</v>
      </c>
    </row>
    <row r="10" spans="1:3" x14ac:dyDescent="0.2">
      <c r="C10" s="63" t="s">
        <v>249</v>
      </c>
    </row>
    <row r="11" spans="1:3" x14ac:dyDescent="0.2">
      <c r="C11" s="63" t="s">
        <v>250</v>
      </c>
    </row>
    <row r="12" spans="1:3" x14ac:dyDescent="0.2">
      <c r="C12" s="63" t="s">
        <v>251</v>
      </c>
    </row>
  </sheetData>
  <hyperlinks>
    <hyperlink ref="A1" location="Main!A1" display="Main" xr:uid="{4D74E2C0-CE77-4509-AF4F-7EE8A8441B4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D9CEC-A88D-4DC0-AD39-2C4A128DD628}">
  <dimension ref="A1:C8"/>
  <sheetViews>
    <sheetView zoomScale="265" zoomScaleNormal="265" workbookViewId="0">
      <selection activeCell="C3" sqref="C3"/>
    </sheetView>
  </sheetViews>
  <sheetFormatPr defaultColWidth="9.140625" defaultRowHeight="12.75" x14ac:dyDescent="0.2"/>
  <cols>
    <col min="1" max="1" width="5" style="63" bestFit="1" customWidth="1"/>
    <col min="2" max="2" width="12.85546875" style="63" bestFit="1" customWidth="1"/>
    <col min="3" max="16384" width="9.140625" style="63"/>
  </cols>
  <sheetData>
    <row r="1" spans="1:3" x14ac:dyDescent="0.2">
      <c r="A1" s="62" t="s">
        <v>60</v>
      </c>
    </row>
    <row r="2" spans="1:3" x14ac:dyDescent="0.2">
      <c r="B2" s="63" t="s">
        <v>228</v>
      </c>
      <c r="C2" s="63" t="s">
        <v>240</v>
      </c>
    </row>
    <row r="3" spans="1:3" x14ac:dyDescent="0.2">
      <c r="B3" s="63" t="s">
        <v>229</v>
      </c>
      <c r="C3" s="63" t="s">
        <v>230</v>
      </c>
    </row>
    <row r="4" spans="1:3" x14ac:dyDescent="0.2">
      <c r="B4" s="63" t="s">
        <v>231</v>
      </c>
      <c r="C4" s="63" t="s">
        <v>232</v>
      </c>
    </row>
    <row r="5" spans="1:3" x14ac:dyDescent="0.2">
      <c r="B5" s="63" t="s">
        <v>177</v>
      </c>
      <c r="C5" s="63" t="s">
        <v>233</v>
      </c>
    </row>
    <row r="6" spans="1:3" x14ac:dyDescent="0.2">
      <c r="B6" s="63" t="s">
        <v>1</v>
      </c>
      <c r="C6" s="63" t="s">
        <v>234</v>
      </c>
    </row>
    <row r="7" spans="1:3" x14ac:dyDescent="0.2">
      <c r="B7" s="63" t="s">
        <v>235</v>
      </c>
      <c r="C7" s="63" t="s">
        <v>236</v>
      </c>
    </row>
    <row r="8" spans="1:3" x14ac:dyDescent="0.2">
      <c r="B8" s="63" t="s">
        <v>3</v>
      </c>
      <c r="C8" s="63" t="s">
        <v>237</v>
      </c>
    </row>
  </sheetData>
  <hyperlinks>
    <hyperlink ref="A1" location="Main!A1" display="Main" xr:uid="{FCD08E1D-6D9D-41B9-8C14-7430FC77568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8064B-B3CC-424E-9268-F7CDEC53E6BD}">
  <dimension ref="A1"/>
  <sheetViews>
    <sheetView workbookViewId="0"/>
  </sheetViews>
  <sheetFormatPr defaultColWidth="9.140625" defaultRowHeight="12.75" x14ac:dyDescent="0.2"/>
  <cols>
    <col min="1" max="1" width="5" style="63" bestFit="1" customWidth="1"/>
    <col min="2" max="16384" width="9.140625" style="63"/>
  </cols>
  <sheetData>
    <row r="1" spans="1:1" x14ac:dyDescent="0.2">
      <c r="A1" s="62" t="s">
        <v>60</v>
      </c>
    </row>
  </sheetData>
  <hyperlinks>
    <hyperlink ref="A1" location="Main!A1" display="Main" xr:uid="{3917269E-16CE-484C-8E07-C5A7234FCC9D}"/>
  </hyperlink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sqref="A1:IV65536"/>
    </sheetView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2" t="s">
        <v>60</v>
      </c>
    </row>
    <row r="2" spans="1:3" x14ac:dyDescent="0.2">
      <c r="B2" s="1" t="s">
        <v>161</v>
      </c>
      <c r="C2" s="1" t="s">
        <v>133</v>
      </c>
    </row>
    <row r="3" spans="1:3" x14ac:dyDescent="0.2">
      <c r="B3" s="1" t="s">
        <v>162</v>
      </c>
      <c r="C3" s="1" t="s">
        <v>163</v>
      </c>
    </row>
    <row r="4" spans="1:3" x14ac:dyDescent="0.2">
      <c r="B4" s="24" t="s">
        <v>164</v>
      </c>
      <c r="C4" s="24" t="s">
        <v>165</v>
      </c>
    </row>
    <row r="5" spans="1:3" x14ac:dyDescent="0.2">
      <c r="B5" s="1" t="s">
        <v>166</v>
      </c>
    </row>
    <row r="6" spans="1:3" x14ac:dyDescent="0.2">
      <c r="C6" s="4" t="s">
        <v>167</v>
      </c>
    </row>
    <row r="8" spans="1:3" x14ac:dyDescent="0.2">
      <c r="C8" s="4" t="s">
        <v>168</v>
      </c>
    </row>
    <row r="10" spans="1:3" x14ac:dyDescent="0.2">
      <c r="C10" s="4" t="s">
        <v>169</v>
      </c>
    </row>
    <row r="12" spans="1:3" x14ac:dyDescent="0.2">
      <c r="C12" s="4" t="s">
        <v>170</v>
      </c>
    </row>
    <row r="14" spans="1:3" x14ac:dyDescent="0.2">
      <c r="C14" s="4" t="s">
        <v>171</v>
      </c>
    </row>
    <row r="15" spans="1:3" x14ac:dyDescent="0.2">
      <c r="C15" s="1" t="s">
        <v>172</v>
      </c>
    </row>
    <row r="16" spans="1:3" x14ac:dyDescent="0.2">
      <c r="C16" s="1" t="s">
        <v>173</v>
      </c>
    </row>
    <row r="17" spans="3:3" x14ac:dyDescent="0.2">
      <c r="C17" s="1" t="s">
        <v>174</v>
      </c>
    </row>
  </sheetData>
  <phoneticPr fontId="14" type="noConversion"/>
  <hyperlinks>
    <hyperlink ref="A1" location="Main!A1" display="Main" xr:uid="{00000000-0004-0000-0200-000000000000}"/>
  </hyperlinks>
  <pageMargins left="0.75" right="0.75" top="1" bottom="1" header="0.5" footer="0.5"/>
  <pageSetup orientation="portrait" horizontalDpi="4294967292" verticalDpi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sqref="A1:XFD1048576"/>
    </sheetView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2" t="s">
        <v>60</v>
      </c>
    </row>
    <row r="2" spans="1:3" x14ac:dyDescent="0.2">
      <c r="B2" s="1" t="s">
        <v>161</v>
      </c>
      <c r="C2" s="24" t="s">
        <v>175</v>
      </c>
    </row>
    <row r="3" spans="1:3" x14ac:dyDescent="0.2">
      <c r="B3" s="1" t="s">
        <v>162</v>
      </c>
      <c r="C3" s="24" t="s">
        <v>176</v>
      </c>
    </row>
    <row r="4" spans="1:3" x14ac:dyDescent="0.2">
      <c r="B4" s="24" t="s">
        <v>177</v>
      </c>
      <c r="C4" s="24" t="s">
        <v>178</v>
      </c>
    </row>
    <row r="5" spans="1:3" x14ac:dyDescent="0.2">
      <c r="B5" s="1" t="s">
        <v>166</v>
      </c>
    </row>
  </sheetData>
  <hyperlinks>
    <hyperlink ref="A1" location="Main!A1" display="Main" xr:uid="{00000000-0004-0000-0300-000000000000}"/>
  </hyperlink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2" t="s">
        <v>60</v>
      </c>
    </row>
    <row r="2" spans="1:3" x14ac:dyDescent="0.2">
      <c r="B2" s="1" t="s">
        <v>161</v>
      </c>
      <c r="C2" s="24" t="s">
        <v>179</v>
      </c>
    </row>
    <row r="3" spans="1:3" x14ac:dyDescent="0.2">
      <c r="B3" s="1" t="s">
        <v>162</v>
      </c>
      <c r="C3" s="24" t="s">
        <v>180</v>
      </c>
    </row>
    <row r="4" spans="1:3" x14ac:dyDescent="0.2">
      <c r="B4" s="24" t="s">
        <v>177</v>
      </c>
      <c r="C4" s="24"/>
    </row>
    <row r="5" spans="1:3" x14ac:dyDescent="0.2">
      <c r="B5" s="1" t="s">
        <v>166</v>
      </c>
    </row>
  </sheetData>
  <hyperlinks>
    <hyperlink ref="A1" location="Main!A1" display="Main" xr:uid="{00000000-0004-0000-0400-000000000000}"/>
  </hyperlink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Main</vt:lpstr>
      <vt:lpstr>Model</vt:lpstr>
      <vt:lpstr>Ozempic</vt:lpstr>
      <vt:lpstr>Wegovy</vt:lpstr>
      <vt:lpstr>Type 2 Diabetes</vt:lpstr>
      <vt:lpstr>Victoza</vt:lpstr>
      <vt:lpstr>NovoLog</vt:lpstr>
      <vt:lpstr>Levemir</vt:lpstr>
      <vt:lpstr>Model!Print_Area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Martin Shkreli</cp:lastModifiedBy>
  <cp:revision/>
  <dcterms:created xsi:type="dcterms:W3CDTF">2001-08-02T07:54:36Z</dcterms:created>
  <dcterms:modified xsi:type="dcterms:W3CDTF">2024-05-28T12:59:30Z</dcterms:modified>
  <cp:category/>
  <cp:contentStatus/>
</cp:coreProperties>
</file>