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24BA56CB-E5DF-5243-BD4D-6A66103A5389}" xr6:coauthVersionLast="47" xr6:coauthVersionMax="47" xr10:uidLastSave="{00000000-0000-0000-0000-000000000000}"/>
  <bookViews>
    <workbookView xWindow="-25280" yWindow="1920" windowWidth="24320" windowHeight="17660" activeTab="1" xr2:uid="{00000000-000D-0000-FFFF-FFFF00000000}"/>
  </bookViews>
  <sheets>
    <sheet name="Master" sheetId="27" r:id="rId1"/>
    <sheet name="Main" sheetId="1" r:id="rId2"/>
    <sheet name="Model" sheetId="2" r:id="rId3"/>
    <sheet name="Trulicity" sheetId="29" r:id="rId4"/>
    <sheet name="Mounjaro" sheetId="30" r:id="rId5"/>
    <sheet name="Jayprica" sheetId="28" r:id="rId6"/>
    <sheet name="Cymbalta" sheetId="4" r:id="rId7"/>
    <sheet name="Strattera" sheetId="5" r:id="rId8"/>
    <sheet name="Forteo" sheetId="6" r:id="rId9"/>
    <sheet name="Evista" sheetId="7" r:id="rId10"/>
    <sheet name="Cialis" sheetId="9" r:id="rId11"/>
    <sheet name="Gemzar" sheetId="23" r:id="rId12"/>
    <sheet name="Zyprexa" sheetId="3" r:id="rId13"/>
    <sheet name="Alimta" sheetId="10" r:id="rId14"/>
    <sheet name="Exenatide" sheetId="11" r:id="rId15"/>
    <sheet name="Effient" sheetId="14" r:id="rId16"/>
    <sheet name="Enzastaurin" sheetId="15" r:id="rId17"/>
    <sheet name="Arzoxifene" sheetId="16" r:id="rId18"/>
    <sheet name="LY2062430" sheetId="26" r:id="rId19"/>
    <sheet name="LY2140023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61" i="2" l="1"/>
  <c r="CD60" i="2"/>
  <c r="CH60" i="2"/>
  <c r="CL68" i="2"/>
  <c r="CK68" i="2"/>
  <c r="CJ68" i="2"/>
  <c r="CI68" i="2"/>
  <c r="CL63" i="2"/>
  <c r="CK63" i="2"/>
  <c r="CJ63" i="2"/>
  <c r="CL62" i="2"/>
  <c r="CK62" i="2"/>
  <c r="CJ62" i="2"/>
  <c r="CI62" i="2"/>
  <c r="CI63" i="2"/>
  <c r="CL61" i="2"/>
  <c r="CK61" i="2"/>
  <c r="CJ61" i="2"/>
  <c r="CL60" i="2"/>
  <c r="CK60" i="2"/>
  <c r="CJ60" i="2"/>
  <c r="CI60" i="2"/>
  <c r="CI61" i="2"/>
  <c r="CH61" i="2"/>
  <c r="CH59" i="2"/>
  <c r="CL64" i="2"/>
  <c r="CL65" i="2" s="1"/>
  <c r="CL67" i="2" s="1"/>
  <c r="CK64" i="2"/>
  <c r="CK65" i="2" s="1"/>
  <c r="CK67" i="2" s="1"/>
  <c r="CJ64" i="2"/>
  <c r="CJ65" i="2" s="1"/>
  <c r="CJ67" i="2" s="1"/>
  <c r="CI64" i="2"/>
  <c r="CI65" i="2" s="1"/>
  <c r="CI67" i="2" s="1"/>
  <c r="DM16" i="2"/>
  <c r="DM15" i="2"/>
  <c r="DM12" i="2"/>
  <c r="DM6" i="2"/>
  <c r="CJ77" i="2"/>
  <c r="CI77" i="2"/>
  <c r="CI74" i="2"/>
  <c r="CJ28" i="2"/>
  <c r="CK28" i="2" s="1"/>
  <c r="CL28" i="2" s="1"/>
  <c r="CI28" i="2"/>
  <c r="CI24" i="2"/>
  <c r="CJ24" i="2" s="1"/>
  <c r="CK24" i="2" s="1"/>
  <c r="CL24" i="2" s="1"/>
  <c r="CL17" i="2"/>
  <c r="CK17" i="2"/>
  <c r="CJ17" i="2"/>
  <c r="CI17" i="2"/>
  <c r="DM17" i="2" s="1"/>
  <c r="CL14" i="2"/>
  <c r="CK14" i="2"/>
  <c r="CJ14" i="2"/>
  <c r="DM14" i="2" s="1"/>
  <c r="CI14" i="2"/>
  <c r="CI13" i="2"/>
  <c r="CJ13" i="2" s="1"/>
  <c r="CK13" i="2" s="1"/>
  <c r="CL13" i="2" s="1"/>
  <c r="CI11" i="2"/>
  <c r="CJ11" i="2" s="1"/>
  <c r="CI10" i="2"/>
  <c r="CJ10" i="2" s="1"/>
  <c r="CJ9" i="2"/>
  <c r="CK9" i="2" s="1"/>
  <c r="CI9" i="2"/>
  <c r="CI8" i="2"/>
  <c r="CJ8" i="2" s="1"/>
  <c r="CI7" i="2"/>
  <c r="CI75" i="2" s="1"/>
  <c r="CJ3" i="2"/>
  <c r="CJ74" i="2" s="1"/>
  <c r="CI3" i="2"/>
  <c r="CI4" i="2"/>
  <c r="CJ4" i="2" s="1"/>
  <c r="CG30" i="2"/>
  <c r="CH30" i="2"/>
  <c r="CF30" i="2"/>
  <c r="CF60" i="2"/>
  <c r="CE100" i="2"/>
  <c r="CE111" i="2" s="1"/>
  <c r="CE93" i="2"/>
  <c r="CE87" i="2"/>
  <c r="CE98" i="2" s="1"/>
  <c r="F21" i="2"/>
  <c r="F52" i="2"/>
  <c r="F15" i="2"/>
  <c r="F49" i="2"/>
  <c r="F41" i="2"/>
  <c r="F51" i="2"/>
  <c r="F10" i="2"/>
  <c r="F12" i="2"/>
  <c r="C59" i="2"/>
  <c r="D59" i="2"/>
  <c r="E59" i="2"/>
  <c r="G59" i="2"/>
  <c r="H59" i="2"/>
  <c r="I59" i="2"/>
  <c r="AP56" i="2"/>
  <c r="AQ66" i="2"/>
  <c r="AQ56" i="2"/>
  <c r="AR56" i="2"/>
  <c r="AS56" i="2"/>
  <c r="AT56" i="2"/>
  <c r="AU64" i="2"/>
  <c r="AU56" i="2"/>
  <c r="AY56" i="2"/>
  <c r="AY59" i="2" s="1"/>
  <c r="AV64" i="2"/>
  <c r="AV56" i="2"/>
  <c r="AZ56" i="2"/>
  <c r="AZ59" i="2" s="1"/>
  <c r="AW64" i="2"/>
  <c r="AW56" i="2"/>
  <c r="BA56" i="2"/>
  <c r="BA59" i="2" s="1"/>
  <c r="BB74" i="2"/>
  <c r="BG77" i="2"/>
  <c r="BF77" i="2"/>
  <c r="BE77" i="2"/>
  <c r="BD77" i="2"/>
  <c r="BC77" i="2"/>
  <c r="BG74" i="2"/>
  <c r="BF74" i="2"/>
  <c r="BE74" i="2"/>
  <c r="BD74" i="2"/>
  <c r="BC74" i="2"/>
  <c r="AX56" i="2"/>
  <c r="AX59" i="2" s="1"/>
  <c r="AX64" i="2"/>
  <c r="BB56" i="2"/>
  <c r="BB59" i="2" s="1"/>
  <c r="AY64" i="2"/>
  <c r="BC64" i="2"/>
  <c r="BC56" i="2"/>
  <c r="BC59" i="2" s="1"/>
  <c r="BH77" i="2"/>
  <c r="BH75" i="2"/>
  <c r="BH74" i="2"/>
  <c r="AZ64" i="2"/>
  <c r="BD64" i="2"/>
  <c r="BD56" i="2"/>
  <c r="BD59" i="2" s="1"/>
  <c r="BA64" i="2"/>
  <c r="BI77" i="2"/>
  <c r="BI75" i="2"/>
  <c r="BI74" i="2"/>
  <c r="BE64" i="2"/>
  <c r="BE56" i="2"/>
  <c r="BE59" i="2" s="1"/>
  <c r="BB64" i="2"/>
  <c r="BJ77" i="2"/>
  <c r="BJ75" i="2"/>
  <c r="BJ74" i="2"/>
  <c r="BF64" i="2"/>
  <c r="BF56" i="2"/>
  <c r="BF59" i="2"/>
  <c r="BF61" i="2" s="1"/>
  <c r="BF80" i="2" s="1"/>
  <c r="BO77" i="2"/>
  <c r="BN77" i="2"/>
  <c r="BM77" i="2"/>
  <c r="BL77" i="2"/>
  <c r="BK77" i="2"/>
  <c r="BO76" i="2"/>
  <c r="BN76" i="2"/>
  <c r="BO75" i="2"/>
  <c r="BN75" i="2"/>
  <c r="BM75" i="2"/>
  <c r="BL75" i="2"/>
  <c r="BK75" i="2"/>
  <c r="BO74" i="2"/>
  <c r="BN74" i="2"/>
  <c r="BM74" i="2"/>
  <c r="BL74" i="2"/>
  <c r="BK74" i="2"/>
  <c r="BG64" i="2"/>
  <c r="BK64" i="2"/>
  <c r="BG56" i="2"/>
  <c r="BG59" i="2" s="1"/>
  <c r="BG81" i="2" s="1"/>
  <c r="BK56" i="2"/>
  <c r="BK59" i="2" s="1"/>
  <c r="BK82" i="2" s="1"/>
  <c r="BH64" i="2"/>
  <c r="BL64" i="2"/>
  <c r="BP77" i="2"/>
  <c r="BP76" i="2"/>
  <c r="BP75" i="2"/>
  <c r="BP74" i="2"/>
  <c r="BL56" i="2"/>
  <c r="BL59" i="2" s="1"/>
  <c r="BL61" i="2" s="1"/>
  <c r="BL80" i="2" s="1"/>
  <c r="BM56" i="2"/>
  <c r="BM59" i="2" s="1"/>
  <c r="BM82" i="2" s="1"/>
  <c r="BH56" i="2"/>
  <c r="BH59" i="2" s="1"/>
  <c r="BQ77" i="2"/>
  <c r="BQ76" i="2"/>
  <c r="BQ75" i="2"/>
  <c r="BQ74" i="2"/>
  <c r="BI66" i="2"/>
  <c r="BI64" i="2"/>
  <c r="BM66" i="2"/>
  <c r="BM64" i="2"/>
  <c r="BI56" i="2"/>
  <c r="BI59" i="2" s="1"/>
  <c r="BI82" i="2" s="1"/>
  <c r="BJ56" i="2"/>
  <c r="BJ59" i="2" s="1"/>
  <c r="BJ82" i="2" s="1"/>
  <c r="BJ66" i="2"/>
  <c r="BJ64" i="2"/>
  <c r="BN66" i="2"/>
  <c r="BN64" i="2"/>
  <c r="BR77" i="2"/>
  <c r="BR76" i="2"/>
  <c r="BR75" i="2"/>
  <c r="BR74" i="2"/>
  <c r="BS59" i="2"/>
  <c r="BR59" i="2"/>
  <c r="BQ59" i="2"/>
  <c r="BP59" i="2"/>
  <c r="BO59" i="2"/>
  <c r="BN56" i="2"/>
  <c r="BN59" i="2" s="1"/>
  <c r="CE60" i="2"/>
  <c r="CE66" i="2"/>
  <c r="DB22" i="2"/>
  <c r="DC59" i="2"/>
  <c r="DD22" i="2"/>
  <c r="DD59" i="2" s="1"/>
  <c r="DE59" i="2"/>
  <c r="CB66" i="2"/>
  <c r="CB20" i="2"/>
  <c r="CB18" i="2"/>
  <c r="CD18" i="2" s="1"/>
  <c r="CC26" i="2"/>
  <c r="CB108" i="2"/>
  <c r="CB100" i="2"/>
  <c r="CB93" i="2"/>
  <c r="CB87" i="2"/>
  <c r="DF33" i="2"/>
  <c r="DH22" i="2"/>
  <c r="DG22" i="2"/>
  <c r="DF22" i="2"/>
  <c r="DH27" i="2"/>
  <c r="DG27" i="2"/>
  <c r="DF27" i="2"/>
  <c r="DH20" i="2"/>
  <c r="DG20" i="2"/>
  <c r="DF20" i="2"/>
  <c r="DF18" i="2"/>
  <c r="DG18" i="2"/>
  <c r="DH18" i="2"/>
  <c r="DK4" i="2"/>
  <c r="DJ71" i="2"/>
  <c r="DQ4" i="2"/>
  <c r="DR4" i="2" s="1"/>
  <c r="DS4" i="2" s="1"/>
  <c r="DJ63" i="2"/>
  <c r="DI63" i="2"/>
  <c r="DJ62" i="2"/>
  <c r="DI62" i="2"/>
  <c r="DJ60" i="2"/>
  <c r="DI60" i="2"/>
  <c r="DL47" i="2"/>
  <c r="DK47" i="2"/>
  <c r="DJ47" i="2"/>
  <c r="DI47" i="2"/>
  <c r="DL33" i="2"/>
  <c r="DK33" i="2"/>
  <c r="DJ33" i="2"/>
  <c r="DI33" i="2"/>
  <c r="DL32" i="2"/>
  <c r="DK32" i="2"/>
  <c r="DJ32" i="2"/>
  <c r="DI32" i="2"/>
  <c r="DL31" i="2"/>
  <c r="DK31" i="2"/>
  <c r="DJ31" i="2"/>
  <c r="DI31" i="2"/>
  <c r="DI30" i="2"/>
  <c r="DJ29" i="2"/>
  <c r="DI29" i="2"/>
  <c r="DJ28" i="2"/>
  <c r="DI28" i="2"/>
  <c r="DJ27" i="2"/>
  <c r="DI27" i="2"/>
  <c r="DJ26" i="2"/>
  <c r="DI26" i="2"/>
  <c r="DJ24" i="2"/>
  <c r="DI24" i="2"/>
  <c r="DJ22" i="2"/>
  <c r="DI22" i="2"/>
  <c r="DJ21" i="2"/>
  <c r="DI21" i="2"/>
  <c r="DJ20" i="2"/>
  <c r="DI20" i="2"/>
  <c r="DJ18" i="2"/>
  <c r="DI18" i="2"/>
  <c r="DJ17" i="2"/>
  <c r="DI17" i="2"/>
  <c r="DJ16" i="2"/>
  <c r="DI16" i="2"/>
  <c r="DJ14" i="2"/>
  <c r="DI14" i="2"/>
  <c r="DJ13" i="2"/>
  <c r="DI13" i="2"/>
  <c r="DI12" i="2"/>
  <c r="DJ11" i="2"/>
  <c r="DI11" i="2"/>
  <c r="DJ9" i="2"/>
  <c r="DI9" i="2"/>
  <c r="DJ8" i="2"/>
  <c r="DI8" i="2"/>
  <c r="DJ7" i="2"/>
  <c r="DI7" i="2"/>
  <c r="DI10" i="2"/>
  <c r="DL6" i="2"/>
  <c r="DK6" i="2"/>
  <c r="DJ6" i="2"/>
  <c r="DI6" i="2"/>
  <c r="DI3" i="2"/>
  <c r="CC71" i="2"/>
  <c r="CG71" i="2" s="1"/>
  <c r="CI71" i="2" s="1"/>
  <c r="CJ71" i="2" s="1"/>
  <c r="CK71" i="2" s="1"/>
  <c r="CD63" i="2"/>
  <c r="CC63" i="2"/>
  <c r="CG63" i="2" s="1"/>
  <c r="CD62" i="2"/>
  <c r="CC62" i="2"/>
  <c r="CG62" i="2" s="1"/>
  <c r="CB64" i="2"/>
  <c r="CB29" i="2"/>
  <c r="CD29" i="2" s="1"/>
  <c r="CD22" i="2"/>
  <c r="CD19" i="2"/>
  <c r="BU59" i="2"/>
  <c r="BT59" i="2"/>
  <c r="CL83" i="2" l="1"/>
  <c r="CK77" i="2"/>
  <c r="CL9" i="2"/>
  <c r="CL77" i="2" s="1"/>
  <c r="CK10" i="2"/>
  <c r="CL10" i="2" s="1"/>
  <c r="CK4" i="2"/>
  <c r="CL4" i="2" s="1"/>
  <c r="DM4" i="2"/>
  <c r="CK83" i="2"/>
  <c r="CK69" i="2"/>
  <c r="CK70" i="2" s="1"/>
  <c r="CJ83" i="2"/>
  <c r="CJ69" i="2"/>
  <c r="CJ70" i="2" s="1"/>
  <c r="CK8" i="2"/>
  <c r="CJ76" i="2"/>
  <c r="DM9" i="2"/>
  <c r="CI76" i="2"/>
  <c r="CJ7" i="2"/>
  <c r="CK3" i="2"/>
  <c r="CI30" i="2"/>
  <c r="CJ30" i="2" s="1"/>
  <c r="CK30" i="2" s="1"/>
  <c r="CL30" i="2" s="1"/>
  <c r="CL69" i="2"/>
  <c r="DM13" i="2"/>
  <c r="CK11" i="2"/>
  <c r="CL11" i="2" s="1"/>
  <c r="CI59" i="2"/>
  <c r="CI83" i="2"/>
  <c r="CI69" i="2"/>
  <c r="CI70" i="2" s="1"/>
  <c r="CL71" i="2"/>
  <c r="CB85" i="2"/>
  <c r="DL4" i="2"/>
  <c r="CE85" i="2"/>
  <c r="F59" i="2"/>
  <c r="BS73" i="2"/>
  <c r="BF73" i="2"/>
  <c r="BF81" i="2"/>
  <c r="BF82" i="2"/>
  <c r="BG82" i="2"/>
  <c r="CG64" i="2"/>
  <c r="BD81" i="2"/>
  <c r="BD61" i="2"/>
  <c r="BD65" i="2" s="1"/>
  <c r="BD67" i="2" s="1"/>
  <c r="BD69" i="2" s="1"/>
  <c r="BD70" i="2" s="1"/>
  <c r="BD82" i="2"/>
  <c r="BH73" i="2"/>
  <c r="BG73" i="2"/>
  <c r="BC82" i="2"/>
  <c r="BC61" i="2"/>
  <c r="BC80" i="2" s="1"/>
  <c r="BC81" i="2"/>
  <c r="BD73" i="2"/>
  <c r="BP73" i="2"/>
  <c r="BN73" i="2"/>
  <c r="BJ73" i="2"/>
  <c r="BJ81" i="2"/>
  <c r="BE73" i="2"/>
  <c r="CB111" i="2"/>
  <c r="BC73" i="2"/>
  <c r="AY81" i="2"/>
  <c r="AY61" i="2"/>
  <c r="AY80" i="2" s="1"/>
  <c r="AY82" i="2"/>
  <c r="AZ82" i="2"/>
  <c r="BO73" i="2"/>
  <c r="BB73" i="2"/>
  <c r="AX81" i="2"/>
  <c r="AX82" i="2"/>
  <c r="BA82" i="2"/>
  <c r="BA61" i="2"/>
  <c r="BA80" i="2" s="1"/>
  <c r="AZ61" i="2"/>
  <c r="AZ80" i="2" s="1"/>
  <c r="AZ81" i="2"/>
  <c r="BI73" i="2"/>
  <c r="BE82" i="2"/>
  <c r="BE81" i="2"/>
  <c r="BE61" i="2"/>
  <c r="BE80" i="2" s="1"/>
  <c r="BA81" i="2"/>
  <c r="BB61" i="2"/>
  <c r="BB80" i="2" s="1"/>
  <c r="BB82" i="2"/>
  <c r="BB81" i="2"/>
  <c r="BF65" i="2"/>
  <c r="BF67" i="2" s="1"/>
  <c r="BK61" i="2"/>
  <c r="BG61" i="2"/>
  <c r="BG80" i="2" s="1"/>
  <c r="BM81" i="2"/>
  <c r="BK73" i="2"/>
  <c r="BL82" i="2"/>
  <c r="BK81" i="2"/>
  <c r="CH64" i="2"/>
  <c r="BL73" i="2"/>
  <c r="BL81" i="2"/>
  <c r="BQ73" i="2"/>
  <c r="BM73" i="2"/>
  <c r="BH81" i="2"/>
  <c r="BH61" i="2"/>
  <c r="BH80" i="2" s="1"/>
  <c r="BH82" i="2"/>
  <c r="BH65" i="2"/>
  <c r="BH67" i="2" s="1"/>
  <c r="BL65" i="2"/>
  <c r="BL67" i="2" s="1"/>
  <c r="BN81" i="2"/>
  <c r="BN61" i="2"/>
  <c r="BR73" i="2"/>
  <c r="BN82" i="2"/>
  <c r="BM61" i="2"/>
  <c r="BI61" i="2"/>
  <c r="BI80" i="2" s="1"/>
  <c r="BI81" i="2"/>
  <c r="BJ61" i="2"/>
  <c r="BJ80" i="2" s="1"/>
  <c r="BJ65" i="2"/>
  <c r="BJ67" i="2" s="1"/>
  <c r="BJ83" i="2" s="1"/>
  <c r="CD26" i="2"/>
  <c r="CB98" i="2"/>
  <c r="DG59" i="2"/>
  <c r="DG61" i="2" s="1"/>
  <c r="DH59" i="2"/>
  <c r="DH61" i="2" s="1"/>
  <c r="DK21" i="2"/>
  <c r="DL21" i="2"/>
  <c r="DM21" i="2" s="1"/>
  <c r="DN21" i="2" s="1"/>
  <c r="DO21" i="2" s="1"/>
  <c r="DP21" i="2" s="1"/>
  <c r="DQ21" i="2" s="1"/>
  <c r="DR21" i="2" s="1"/>
  <c r="DS21" i="2" s="1"/>
  <c r="CF64" i="2"/>
  <c r="DK71" i="2"/>
  <c r="DL71" i="2"/>
  <c r="DM71" i="2" s="1"/>
  <c r="DN71" i="2" s="1"/>
  <c r="DO71" i="2" s="1"/>
  <c r="DP71" i="2" s="1"/>
  <c r="DQ71" i="2" s="1"/>
  <c r="DR71" i="2" s="1"/>
  <c r="DS71" i="2" s="1"/>
  <c r="DK18" i="2"/>
  <c r="DK19" i="2"/>
  <c r="DJ64" i="2"/>
  <c r="DI64" i="2"/>
  <c r="DL19" i="2"/>
  <c r="DM19" i="2" s="1"/>
  <c r="DN19" i="2" s="1"/>
  <c r="DO19" i="2" s="1"/>
  <c r="DP19" i="2" s="1"/>
  <c r="DQ19" i="2" s="1"/>
  <c r="DR19" i="2" s="1"/>
  <c r="DS19" i="2" s="1"/>
  <c r="DL63" i="2"/>
  <c r="CE64" i="2"/>
  <c r="DL29" i="2"/>
  <c r="DL22" i="2"/>
  <c r="DM22" i="2" s="1"/>
  <c r="DN22" i="2" s="1"/>
  <c r="DO22" i="2" s="1"/>
  <c r="DP22" i="2" s="1"/>
  <c r="DQ22" i="2" s="1"/>
  <c r="DR22" i="2" s="1"/>
  <c r="DS22" i="2" s="1"/>
  <c r="CD27" i="2"/>
  <c r="DK22" i="2"/>
  <c r="DK62" i="2"/>
  <c r="CD23" i="2"/>
  <c r="DK29" i="2"/>
  <c r="DK63" i="2"/>
  <c r="DK28" i="2"/>
  <c r="CD25" i="2"/>
  <c r="DK30" i="2"/>
  <c r="CC64" i="2"/>
  <c r="DL18" i="2"/>
  <c r="DM18" i="2" s="1"/>
  <c r="DN18" i="2" s="1"/>
  <c r="DO18" i="2" s="1"/>
  <c r="DP18" i="2" s="1"/>
  <c r="DQ18" i="2" s="1"/>
  <c r="DR18" i="2" s="1"/>
  <c r="DS18" i="2" s="1"/>
  <c r="CD64" i="2"/>
  <c r="DK16" i="2"/>
  <c r="BY59" i="2"/>
  <c r="BX59" i="2"/>
  <c r="BV25" i="2"/>
  <c r="DI25" i="2" s="1"/>
  <c r="BV23" i="2"/>
  <c r="DI23" i="2" s="1"/>
  <c r="BV19" i="2"/>
  <c r="DI19" i="2" s="1"/>
  <c r="BV15" i="2"/>
  <c r="BW134" i="2"/>
  <c r="BW126" i="2"/>
  <c r="BW125" i="2"/>
  <c r="BW128" i="2" s="1"/>
  <c r="BW122" i="2"/>
  <c r="BW108" i="2"/>
  <c r="BW100" i="2"/>
  <c r="BW93" i="2"/>
  <c r="BW87" i="2"/>
  <c r="BX108" i="2"/>
  <c r="BX100" i="2"/>
  <c r="BX93" i="2"/>
  <c r="BX87" i="2"/>
  <c r="BY108" i="2"/>
  <c r="BY100" i="2"/>
  <c r="BY93" i="2"/>
  <c r="BY87" i="2"/>
  <c r="CA20" i="2"/>
  <c r="BZ30" i="2"/>
  <c r="DJ30" i="2" s="1"/>
  <c r="BZ108" i="2"/>
  <c r="BZ100" i="2"/>
  <c r="BZ93" i="2"/>
  <c r="BZ87" i="2"/>
  <c r="BZ25" i="2"/>
  <c r="DJ25" i="2" s="1"/>
  <c r="BZ23" i="2"/>
  <c r="DJ23" i="2" s="1"/>
  <c r="BZ19" i="2"/>
  <c r="DJ19" i="2" s="1"/>
  <c r="BZ15" i="2"/>
  <c r="DJ15" i="2" s="1"/>
  <c r="DJ3" i="2"/>
  <c r="CH77" i="2"/>
  <c r="CC77" i="2"/>
  <c r="CE77" i="2"/>
  <c r="CH76" i="2"/>
  <c r="CG76" i="2"/>
  <c r="CA77" i="2"/>
  <c r="BZ77" i="2"/>
  <c r="BY77" i="2"/>
  <c r="BX77" i="2"/>
  <c r="BW77" i="2"/>
  <c r="BV77" i="2"/>
  <c r="BU77" i="2"/>
  <c r="BT77" i="2"/>
  <c r="BS77" i="2"/>
  <c r="CA76" i="2"/>
  <c r="BZ76" i="2"/>
  <c r="BY76" i="2"/>
  <c r="BX76" i="2"/>
  <c r="BW76" i="2"/>
  <c r="BV76" i="2"/>
  <c r="BU76" i="2"/>
  <c r="BT76" i="2"/>
  <c r="BS76" i="2"/>
  <c r="CH75" i="2"/>
  <c r="CG75" i="2"/>
  <c r="BZ75" i="2"/>
  <c r="BY75" i="2"/>
  <c r="BX75" i="2"/>
  <c r="BW75" i="2"/>
  <c r="BV75" i="2"/>
  <c r="BU75" i="2"/>
  <c r="BT75" i="2"/>
  <c r="BS75" i="2"/>
  <c r="CA75" i="2"/>
  <c r="CI80" i="2" l="1"/>
  <c r="CI82" i="2"/>
  <c r="CI81" i="2"/>
  <c r="DM11" i="2"/>
  <c r="CK74" i="2"/>
  <c r="CL3" i="2"/>
  <c r="CL8" i="2"/>
  <c r="CL76" i="2" s="1"/>
  <c r="CK76" i="2"/>
  <c r="DM8" i="2"/>
  <c r="CK7" i="2"/>
  <c r="CJ75" i="2"/>
  <c r="CJ59" i="2"/>
  <c r="DM10" i="2"/>
  <c r="CL70" i="2"/>
  <c r="CK59" i="2"/>
  <c r="BD83" i="2"/>
  <c r="BD80" i="2"/>
  <c r="BG65" i="2"/>
  <c r="BG67" i="2" s="1"/>
  <c r="BC65" i="2"/>
  <c r="BC67" i="2" s="1"/>
  <c r="BC83" i="2" s="1"/>
  <c r="AY65" i="2"/>
  <c r="AY67" i="2" s="1"/>
  <c r="AY69" i="2" s="1"/>
  <c r="AY70" i="2" s="1"/>
  <c r="BX111" i="2"/>
  <c r="BF69" i="2"/>
  <c r="BF70" i="2" s="1"/>
  <c r="BF83" i="2"/>
  <c r="BE65" i="2"/>
  <c r="BE67" i="2" s="1"/>
  <c r="BE69" i="2" s="1"/>
  <c r="BE70" i="2" s="1"/>
  <c r="BA65" i="2"/>
  <c r="BA67" i="2" s="1"/>
  <c r="BA69" i="2" s="1"/>
  <c r="BA70" i="2" s="1"/>
  <c r="AZ65" i="2"/>
  <c r="AZ67" i="2" s="1"/>
  <c r="AZ69" i="2" s="1"/>
  <c r="AZ70" i="2" s="1"/>
  <c r="BD78" i="2" s="1"/>
  <c r="BB65" i="2"/>
  <c r="BB67" i="2" s="1"/>
  <c r="BB83" i="2" s="1"/>
  <c r="BB69" i="2"/>
  <c r="BB70" i="2" s="1"/>
  <c r="BM65" i="2"/>
  <c r="BM67" i="2" s="1"/>
  <c r="BM80" i="2"/>
  <c r="BL69" i="2"/>
  <c r="BL70" i="2" s="1"/>
  <c r="BL83" i="2"/>
  <c r="BG69" i="2"/>
  <c r="BG70" i="2" s="1"/>
  <c r="BG83" i="2"/>
  <c r="BK65" i="2"/>
  <c r="BK67" i="2" s="1"/>
  <c r="BK80" i="2"/>
  <c r="BH69" i="2"/>
  <c r="BH70" i="2" s="1"/>
  <c r="BH78" i="2" s="1"/>
  <c r="BH83" i="2"/>
  <c r="BI65" i="2"/>
  <c r="BI67" i="2" s="1"/>
  <c r="BI69" i="2" s="1"/>
  <c r="BI70" i="2" s="1"/>
  <c r="BN65" i="2"/>
  <c r="BN67" i="2" s="1"/>
  <c r="BN80" i="2"/>
  <c r="BJ69" i="2"/>
  <c r="BJ70" i="2" s="1"/>
  <c r="DL28" i="2"/>
  <c r="DM28" i="2" s="1"/>
  <c r="DN28" i="2" s="1"/>
  <c r="DO28" i="2" s="1"/>
  <c r="DP28" i="2" s="1"/>
  <c r="DQ28" i="2" s="1"/>
  <c r="DR28" i="2" s="1"/>
  <c r="DS28" i="2" s="1"/>
  <c r="DL30" i="2"/>
  <c r="DM30" i="2" s="1"/>
  <c r="DN30" i="2" s="1"/>
  <c r="DO30" i="2" s="1"/>
  <c r="DP30" i="2" s="1"/>
  <c r="DQ30" i="2" s="1"/>
  <c r="DR30" i="2" s="1"/>
  <c r="DS30" i="2" s="1"/>
  <c r="DL26" i="2"/>
  <c r="DM26" i="2" s="1"/>
  <c r="DN26" i="2" s="1"/>
  <c r="DO26" i="2" s="1"/>
  <c r="DP26" i="2" s="1"/>
  <c r="DQ26" i="2" s="1"/>
  <c r="DR26" i="2" s="1"/>
  <c r="DS26" i="2" s="1"/>
  <c r="DK26" i="2"/>
  <c r="DK27" i="2"/>
  <c r="DK25" i="2"/>
  <c r="DL62" i="2"/>
  <c r="DK17" i="2"/>
  <c r="DL23" i="2"/>
  <c r="DM23" i="2" s="1"/>
  <c r="DN23" i="2" s="1"/>
  <c r="DO23" i="2" s="1"/>
  <c r="DP23" i="2" s="1"/>
  <c r="DQ23" i="2" s="1"/>
  <c r="DR23" i="2" s="1"/>
  <c r="DS23" i="2" s="1"/>
  <c r="DK24" i="2"/>
  <c r="DL17" i="2"/>
  <c r="DN17" i="2" s="1"/>
  <c r="DO17" i="2" s="1"/>
  <c r="DP17" i="2" s="1"/>
  <c r="DQ17" i="2" s="1"/>
  <c r="DR17" i="2" s="1"/>
  <c r="DS17" i="2" s="1"/>
  <c r="BZ59" i="2"/>
  <c r="DK23" i="2"/>
  <c r="CF75" i="2"/>
  <c r="DK7" i="2"/>
  <c r="CE75" i="2"/>
  <c r="DK64" i="2"/>
  <c r="CB76" i="2"/>
  <c r="DK8" i="2"/>
  <c r="CD20" i="2"/>
  <c r="CF77" i="2"/>
  <c r="DK9" i="2"/>
  <c r="BY85" i="2"/>
  <c r="BV59" i="2"/>
  <c r="DI15" i="2"/>
  <c r="CE76" i="2"/>
  <c r="DL13" i="2"/>
  <c r="DN13" i="2" s="1"/>
  <c r="DO13" i="2" s="1"/>
  <c r="DP13" i="2" s="1"/>
  <c r="DQ13" i="2" s="1"/>
  <c r="DR13" i="2" s="1"/>
  <c r="DS13" i="2" s="1"/>
  <c r="DK13" i="2"/>
  <c r="BX85" i="2"/>
  <c r="DL14" i="2"/>
  <c r="DN14" i="2" s="1"/>
  <c r="DO14" i="2" s="1"/>
  <c r="DP14" i="2" s="1"/>
  <c r="DQ14" i="2" s="1"/>
  <c r="DR14" i="2" s="1"/>
  <c r="DS14" i="2" s="1"/>
  <c r="DK14" i="2"/>
  <c r="DL16" i="2"/>
  <c r="DN16" i="2" s="1"/>
  <c r="DO16" i="2" s="1"/>
  <c r="DP16" i="2" s="1"/>
  <c r="DQ16" i="2" s="1"/>
  <c r="DR16" i="2" s="1"/>
  <c r="DS16" i="2" s="1"/>
  <c r="BZ85" i="2"/>
  <c r="CD77" i="2"/>
  <c r="BZ98" i="2"/>
  <c r="BW137" i="2"/>
  <c r="BZ111" i="2"/>
  <c r="BY98" i="2"/>
  <c r="CD76" i="2"/>
  <c r="BX98" i="2"/>
  <c r="CB77" i="2"/>
  <c r="CG77" i="2"/>
  <c r="BY111" i="2"/>
  <c r="CC75" i="2"/>
  <c r="CC76" i="2"/>
  <c r="BW111" i="2"/>
  <c r="BW85" i="2"/>
  <c r="BW98" i="2"/>
  <c r="CF76" i="2"/>
  <c r="CB75" i="2"/>
  <c r="CD75" i="2"/>
  <c r="CK82" i="2" l="1"/>
  <c r="CK80" i="2"/>
  <c r="CK81" i="2"/>
  <c r="AY83" i="2"/>
  <c r="CJ80" i="2"/>
  <c r="CJ82" i="2"/>
  <c r="CJ81" i="2"/>
  <c r="CL74" i="2"/>
  <c r="DM3" i="2"/>
  <c r="BC69" i="2"/>
  <c r="BC70" i="2" s="1"/>
  <c r="BG78" i="2" s="1"/>
  <c r="CL7" i="2"/>
  <c r="CK75" i="2"/>
  <c r="BJ78" i="2"/>
  <c r="BI83" i="2"/>
  <c r="BA83" i="2"/>
  <c r="BE83" i="2"/>
  <c r="AZ83" i="2"/>
  <c r="BE78" i="2"/>
  <c r="BI78" i="2"/>
  <c r="DL24" i="2"/>
  <c r="DM24" i="2" s="1"/>
  <c r="DN24" i="2" s="1"/>
  <c r="DO24" i="2" s="1"/>
  <c r="DP24" i="2" s="1"/>
  <c r="DQ24" i="2" s="1"/>
  <c r="DR24" i="2" s="1"/>
  <c r="DS24" i="2" s="1"/>
  <c r="BF78" i="2"/>
  <c r="BK69" i="2"/>
  <c r="BK70" i="2" s="1"/>
  <c r="BK78" i="2" s="1"/>
  <c r="BK83" i="2"/>
  <c r="BL78" i="2"/>
  <c r="BM69" i="2"/>
  <c r="BM70" i="2" s="1"/>
  <c r="BM78" i="2" s="1"/>
  <c r="BM83" i="2"/>
  <c r="BN69" i="2"/>
  <c r="BN70" i="2" s="1"/>
  <c r="BN78" i="2" s="1"/>
  <c r="BN83" i="2"/>
  <c r="DL27" i="2"/>
  <c r="DM27" i="2" s="1"/>
  <c r="DN27" i="2" s="1"/>
  <c r="DO27" i="2" s="1"/>
  <c r="DP27" i="2" s="1"/>
  <c r="DQ27" i="2" s="1"/>
  <c r="DR27" i="2" s="1"/>
  <c r="DS27" i="2" s="1"/>
  <c r="DI59" i="2"/>
  <c r="DI61" i="2" s="1"/>
  <c r="DK20" i="2"/>
  <c r="DL7" i="2"/>
  <c r="DL64" i="2"/>
  <c r="DK15" i="2"/>
  <c r="DL8" i="2"/>
  <c r="DN8" i="2" s="1"/>
  <c r="DO8" i="2" s="1"/>
  <c r="DP8" i="2" s="1"/>
  <c r="DQ8" i="2" s="1"/>
  <c r="DR8" i="2" s="1"/>
  <c r="DS8" i="2" s="1"/>
  <c r="DL9" i="2"/>
  <c r="DN9" i="2" s="1"/>
  <c r="DO9" i="2" s="1"/>
  <c r="DP9" i="2" s="1"/>
  <c r="DQ9" i="2" s="1"/>
  <c r="DR9" i="2" s="1"/>
  <c r="DS9" i="2" s="1"/>
  <c r="DK11" i="2"/>
  <c r="DL20" i="2"/>
  <c r="DM20" i="2" s="1"/>
  <c r="DN20" i="2" s="1"/>
  <c r="DO20" i="2" s="1"/>
  <c r="DP20" i="2" s="1"/>
  <c r="DQ20" i="2" s="1"/>
  <c r="DR20" i="2" s="1"/>
  <c r="DS20" i="2" s="1"/>
  <c r="DL25" i="2"/>
  <c r="DM25" i="2" s="1"/>
  <c r="DN25" i="2" s="1"/>
  <c r="DO25" i="2" s="1"/>
  <c r="DP25" i="2" s="1"/>
  <c r="DQ25" i="2" s="1"/>
  <c r="DR25" i="2" s="1"/>
  <c r="DS25" i="2" s="1"/>
  <c r="DK3" i="2"/>
  <c r="CA131" i="2"/>
  <c r="CA134" i="2" s="1"/>
  <c r="CA125" i="2"/>
  <c r="CA128" i="2" s="1"/>
  <c r="CA122" i="2"/>
  <c r="CA108" i="2"/>
  <c r="CA100" i="2"/>
  <c r="CA93" i="2"/>
  <c r="CA87" i="2"/>
  <c r="BZ74" i="2"/>
  <c r="BY74" i="2"/>
  <c r="BX74" i="2"/>
  <c r="BW74" i="2"/>
  <c r="BV74" i="2"/>
  <c r="BU74" i="2"/>
  <c r="BT74" i="2"/>
  <c r="BS74" i="2"/>
  <c r="CA74" i="2"/>
  <c r="BO64" i="2"/>
  <c r="BP64" i="2"/>
  <c r="BQ64" i="2"/>
  <c r="BR64" i="2"/>
  <c r="BS64" i="2"/>
  <c r="BC78" i="2" l="1"/>
  <c r="CL75" i="2"/>
  <c r="DM7" i="2"/>
  <c r="CL59" i="2"/>
  <c r="DN7" i="2"/>
  <c r="DO7" i="2" s="1"/>
  <c r="DP7" i="2" s="1"/>
  <c r="DQ7" i="2" s="1"/>
  <c r="DR7" i="2" s="1"/>
  <c r="DS7" i="2" s="1"/>
  <c r="DM59" i="2"/>
  <c r="CA85" i="2"/>
  <c r="DI65" i="2"/>
  <c r="DI80" i="2"/>
  <c r="DL11" i="2"/>
  <c r="DN11" i="2" s="1"/>
  <c r="DO11" i="2" s="1"/>
  <c r="DP11" i="2" s="1"/>
  <c r="DQ11" i="2" s="1"/>
  <c r="DR11" i="2" s="1"/>
  <c r="DS11" i="2" s="1"/>
  <c r="CB59" i="2"/>
  <c r="CB61" i="2" s="1"/>
  <c r="CA98" i="2"/>
  <c r="CD59" i="2"/>
  <c r="CC59" i="2"/>
  <c r="CE74" i="2"/>
  <c r="CC74" i="2"/>
  <c r="CB74" i="2"/>
  <c r="CD74" i="2"/>
  <c r="CA137" i="2"/>
  <c r="CA111" i="2"/>
  <c r="BT64" i="2"/>
  <c r="BX64" i="2"/>
  <c r="BY81" i="2"/>
  <c r="BX81" i="2"/>
  <c r="AX61" i="2"/>
  <c r="AW59" i="2"/>
  <c r="AV59" i="2"/>
  <c r="AU59" i="2"/>
  <c r="AI58" i="2"/>
  <c r="AI59" i="2" s="1"/>
  <c r="AD58" i="2"/>
  <c r="AD59" i="2" s="1"/>
  <c r="AE58" i="2"/>
  <c r="AE59" i="2" s="1"/>
  <c r="Z58" i="2"/>
  <c r="Z59" i="2" s="1"/>
  <c r="BU64" i="2"/>
  <c r="BY64" i="2"/>
  <c r="BV64" i="2"/>
  <c r="BZ64" i="2"/>
  <c r="BW64" i="2"/>
  <c r="CA64" i="2"/>
  <c r="BZ81" i="2"/>
  <c r="BW10" i="2"/>
  <c r="CA10" i="2"/>
  <c r="DK10" i="2" s="1"/>
  <c r="BW12" i="2"/>
  <c r="DJ12" i="2" s="1"/>
  <c r="CA12" i="2"/>
  <c r="CL82" i="2" l="1"/>
  <c r="CL73" i="2"/>
  <c r="CL81" i="2"/>
  <c r="CL80" i="2"/>
  <c r="AV82" i="2"/>
  <c r="AV61" i="2"/>
  <c r="AV81" i="2"/>
  <c r="AZ73" i="2"/>
  <c r="AW82" i="2"/>
  <c r="AW81" i="2"/>
  <c r="AW61" i="2"/>
  <c r="BA73" i="2"/>
  <c r="AU81" i="2"/>
  <c r="AU61" i="2"/>
  <c r="AU82" i="2"/>
  <c r="AY73" i="2"/>
  <c r="AX65" i="2"/>
  <c r="AX67" i="2" s="1"/>
  <c r="AX80" i="2"/>
  <c r="DL3" i="2"/>
  <c r="DN3" i="2" s="1"/>
  <c r="DL15" i="2"/>
  <c r="DN15" i="2" s="1"/>
  <c r="DO15" i="2" s="1"/>
  <c r="DP15" i="2" s="1"/>
  <c r="DQ15" i="2" s="1"/>
  <c r="DR15" i="2" s="1"/>
  <c r="DS15" i="2" s="1"/>
  <c r="DL12" i="2"/>
  <c r="DN12" i="2" s="1"/>
  <c r="DO12" i="2" s="1"/>
  <c r="DP12" i="2" s="1"/>
  <c r="DQ12" i="2" s="1"/>
  <c r="DR12" i="2" s="1"/>
  <c r="DS12" i="2" s="1"/>
  <c r="DK12" i="2"/>
  <c r="DK59" i="2" s="1"/>
  <c r="CC61" i="2"/>
  <c r="CC60" i="2" s="1"/>
  <c r="CC82" i="2"/>
  <c r="CC81" i="2"/>
  <c r="CB82" i="2"/>
  <c r="CB81" i="2"/>
  <c r="DJ10" i="2"/>
  <c r="BW59" i="2"/>
  <c r="CD82" i="2"/>
  <c r="CD81" i="2"/>
  <c r="CH74" i="2"/>
  <c r="CF59" i="2"/>
  <c r="CF74" i="2"/>
  <c r="CD73" i="2"/>
  <c r="CB73" i="2"/>
  <c r="CC73" i="2"/>
  <c r="CG59" i="2"/>
  <c r="CK73" i="2" s="1"/>
  <c r="CG74" i="2"/>
  <c r="CA59" i="2"/>
  <c r="BQ82" i="2"/>
  <c r="BQ81" i="2"/>
  <c r="BQ61" i="2"/>
  <c r="BZ82" i="2"/>
  <c r="BT61" i="2"/>
  <c r="BT80" i="2" s="1"/>
  <c r="BT73" i="2"/>
  <c r="BO82" i="2"/>
  <c r="BO61" i="2"/>
  <c r="BO81" i="2"/>
  <c r="BP82" i="2"/>
  <c r="BP81" i="2"/>
  <c r="BP61" i="2"/>
  <c r="BU61" i="2"/>
  <c r="BU65" i="2" s="1"/>
  <c r="BU67" i="2" s="1"/>
  <c r="BU69" i="2" s="1"/>
  <c r="BU70" i="2" s="1"/>
  <c r="BU73" i="2"/>
  <c r="BT82" i="2"/>
  <c r="BS81" i="2"/>
  <c r="BS61" i="2"/>
  <c r="BS82" i="2"/>
  <c r="BX73" i="2"/>
  <c r="BT81" i="2"/>
  <c r="BV73" i="2"/>
  <c r="BY73" i="2"/>
  <c r="BY82" i="2"/>
  <c r="BZ73" i="2"/>
  <c r="BV61" i="2"/>
  <c r="BV80" i="2" s="1"/>
  <c r="BU81" i="2"/>
  <c r="BR61" i="2"/>
  <c r="BR82" i="2"/>
  <c r="BR81" i="2"/>
  <c r="BU82" i="2"/>
  <c r="BV82" i="2"/>
  <c r="BX82" i="2"/>
  <c r="BV81" i="2"/>
  <c r="BZ61" i="2"/>
  <c r="BZ80" i="2" s="1"/>
  <c r="BY61" i="2"/>
  <c r="BY80" i="2" s="1"/>
  <c r="BX61" i="2"/>
  <c r="BX80" i="2" s="1"/>
  <c r="DG2" i="2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CY71" i="2"/>
  <c r="CY68" i="2"/>
  <c r="CY63" i="2"/>
  <c r="CY62" i="2"/>
  <c r="CY60" i="2"/>
  <c r="CZ60" i="2"/>
  <c r="CZ68" i="2"/>
  <c r="CX68" i="2"/>
  <c r="CW68" i="2"/>
  <c r="CZ63" i="2"/>
  <c r="CZ62" i="2"/>
  <c r="DA63" i="2"/>
  <c r="AL59" i="2"/>
  <c r="AL82" i="2" s="1"/>
  <c r="DA71" i="2"/>
  <c r="CZ19" i="2"/>
  <c r="CY19" i="2"/>
  <c r="DA40" i="2"/>
  <c r="CZ38" i="2"/>
  <c r="CZ40" i="2"/>
  <c r="CZ37" i="2"/>
  <c r="CZ36" i="2"/>
  <c r="CZ21" i="2"/>
  <c r="CZ33" i="2"/>
  <c r="CZ11" i="2"/>
  <c r="CZ12" i="2"/>
  <c r="CZ53" i="2"/>
  <c r="CZ15" i="2"/>
  <c r="CZ10" i="2"/>
  <c r="CZ23" i="2"/>
  <c r="CZ25" i="2"/>
  <c r="DA15" i="2"/>
  <c r="AJ122" i="2"/>
  <c r="AK122" i="2" s="1"/>
  <c r="AL122" i="2" s="1"/>
  <c r="AJ100" i="2"/>
  <c r="AJ111" i="2" s="1"/>
  <c r="AJ87" i="2"/>
  <c r="AJ64" i="2"/>
  <c r="AJ59" i="2"/>
  <c r="AJ61" i="2" s="1"/>
  <c r="AK100" i="2"/>
  <c r="AK111" i="2" s="1"/>
  <c r="AK87" i="2"/>
  <c r="AK98" i="2" s="1"/>
  <c r="AL100" i="2"/>
  <c r="AL111" i="2" s="1"/>
  <c r="AL87" i="2"/>
  <c r="AL98" i="2" s="1"/>
  <c r="AL64" i="2"/>
  <c r="AN59" i="2"/>
  <c r="AN61" i="2" s="1"/>
  <c r="AN80" i="2" s="1"/>
  <c r="AM59" i="2"/>
  <c r="AM81" i="2" s="1"/>
  <c r="AM100" i="2"/>
  <c r="AM111" i="2" s="1"/>
  <c r="AM87" i="2"/>
  <c r="AM98" i="2" s="1"/>
  <c r="AN122" i="2"/>
  <c r="AO122" i="2" s="1"/>
  <c r="AN100" i="2"/>
  <c r="AN111" i="2" s="1"/>
  <c r="AN87" i="2"/>
  <c r="AN98" i="2" s="1"/>
  <c r="AO100" i="2"/>
  <c r="AO111" i="2" s="1"/>
  <c r="AO87" i="2"/>
  <c r="AM66" i="2"/>
  <c r="AM64" i="2"/>
  <c r="AN66" i="2"/>
  <c r="AN64" i="2"/>
  <c r="AK66" i="2"/>
  <c r="CZ66" i="2" s="1"/>
  <c r="AK64" i="2"/>
  <c r="T59" i="2"/>
  <c r="AH59" i="2"/>
  <c r="AO66" i="2"/>
  <c r="AO64" i="2"/>
  <c r="AO22" i="2"/>
  <c r="AO59" i="2" s="1"/>
  <c r="CF61" i="2" l="1"/>
  <c r="CJ73" i="2"/>
  <c r="AV65" i="2"/>
  <c r="AV67" i="2" s="1"/>
  <c r="AV80" i="2"/>
  <c r="AU80" i="2"/>
  <c r="AU65" i="2"/>
  <c r="AU67" i="2" s="1"/>
  <c r="AW65" i="2"/>
  <c r="AW67" i="2" s="1"/>
  <c r="AW80" i="2"/>
  <c r="AX69" i="2"/>
  <c r="AX70" i="2" s="1"/>
  <c r="BB78" i="2" s="1"/>
  <c r="AX83" i="2"/>
  <c r="DA10" i="2"/>
  <c r="DJ59" i="2"/>
  <c r="DJ81" i="2" s="1"/>
  <c r="DK81" i="2"/>
  <c r="DO3" i="2"/>
  <c r="CH73" i="2"/>
  <c r="CH82" i="2"/>
  <c r="CH81" i="2"/>
  <c r="CF73" i="2"/>
  <c r="CF82" i="2"/>
  <c r="CF81" i="2"/>
  <c r="CD80" i="2"/>
  <c r="CD65" i="2"/>
  <c r="CD67" i="2" s="1"/>
  <c r="DK60" i="2"/>
  <c r="DK61" i="2" s="1"/>
  <c r="CE59" i="2"/>
  <c r="DL10" i="2"/>
  <c r="CC80" i="2"/>
  <c r="CC65" i="2"/>
  <c r="CC67" i="2" s="1"/>
  <c r="CG73" i="2"/>
  <c r="CG82" i="2"/>
  <c r="CG61" i="2"/>
  <c r="CG60" i="2" s="1"/>
  <c r="CG81" i="2"/>
  <c r="CB80" i="2"/>
  <c r="CB65" i="2"/>
  <c r="CB67" i="2" s="1"/>
  <c r="BY65" i="2"/>
  <c r="BY67" i="2" s="1"/>
  <c r="BY69" i="2" s="1"/>
  <c r="BY70" i="2" s="1"/>
  <c r="BX65" i="2"/>
  <c r="BX67" i="2" s="1"/>
  <c r="BX69" i="2" s="1"/>
  <c r="BX70" i="2" s="1"/>
  <c r="BT65" i="2"/>
  <c r="BT67" i="2" s="1"/>
  <c r="BT83" i="2" s="1"/>
  <c r="BU83" i="2"/>
  <c r="BP80" i="2"/>
  <c r="BP65" i="2"/>
  <c r="BP67" i="2" s="1"/>
  <c r="BO80" i="2"/>
  <c r="BO65" i="2"/>
  <c r="BO67" i="2" s="1"/>
  <c r="BQ80" i="2"/>
  <c r="BQ65" i="2"/>
  <c r="BQ67" i="2" s="1"/>
  <c r="BU80" i="2"/>
  <c r="BZ65" i="2"/>
  <c r="BZ67" i="2" s="1"/>
  <c r="BZ69" i="2" s="1"/>
  <c r="BZ70" i="2" s="1"/>
  <c r="BR80" i="2"/>
  <c r="BR65" i="2"/>
  <c r="BR67" i="2" s="1"/>
  <c r="BV65" i="2"/>
  <c r="BV67" i="2" s="1"/>
  <c r="CA82" i="2"/>
  <c r="CA81" i="2"/>
  <c r="BS80" i="2"/>
  <c r="BS65" i="2"/>
  <c r="BS67" i="2" s="1"/>
  <c r="BW61" i="2"/>
  <c r="BW73" i="2"/>
  <c r="BW81" i="2"/>
  <c r="BW82" i="2"/>
  <c r="CA61" i="2"/>
  <c r="CA73" i="2"/>
  <c r="CY64" i="2"/>
  <c r="AR64" i="2"/>
  <c r="CZ64" i="2"/>
  <c r="DA62" i="2"/>
  <c r="DA64" i="2" s="1"/>
  <c r="DA66" i="2"/>
  <c r="DA23" i="2"/>
  <c r="DA19" i="2"/>
  <c r="AN85" i="2"/>
  <c r="AL61" i="2"/>
  <c r="AL65" i="2" s="1"/>
  <c r="AT59" i="2"/>
  <c r="AX73" i="2" s="1"/>
  <c r="DA53" i="2"/>
  <c r="DA36" i="2"/>
  <c r="AO85" i="2"/>
  <c r="DA25" i="2"/>
  <c r="DA11" i="2"/>
  <c r="DA37" i="2"/>
  <c r="AP64" i="2"/>
  <c r="AQ64" i="2"/>
  <c r="DA33" i="2"/>
  <c r="DA22" i="2"/>
  <c r="DA12" i="2"/>
  <c r="AJ85" i="2"/>
  <c r="DA21" i="2"/>
  <c r="AP59" i="2"/>
  <c r="DA60" i="2"/>
  <c r="AS64" i="2"/>
  <c r="DA38" i="2"/>
  <c r="AL81" i="2"/>
  <c r="AL73" i="2"/>
  <c r="AJ81" i="2"/>
  <c r="AN81" i="2"/>
  <c r="AJ80" i="2"/>
  <c r="AJ65" i="2"/>
  <c r="AJ67" i="2" s="1"/>
  <c r="AO81" i="2"/>
  <c r="AO82" i="2"/>
  <c r="AM82" i="2"/>
  <c r="AL85" i="2"/>
  <c r="AJ82" i="2"/>
  <c r="AN82" i="2"/>
  <c r="AO98" i="2"/>
  <c r="AJ98" i="2"/>
  <c r="AK85" i="2"/>
  <c r="AM85" i="2"/>
  <c r="AM61" i="2"/>
  <c r="AM80" i="2" s="1"/>
  <c r="AN65" i="2"/>
  <c r="AN67" i="2" s="1"/>
  <c r="AN83" i="2" s="1"/>
  <c r="AI100" i="2"/>
  <c r="AI111" i="2" s="1"/>
  <c r="AI87" i="2"/>
  <c r="AI98" i="2" s="1"/>
  <c r="AI64" i="2"/>
  <c r="CE61" i="2" l="1"/>
  <c r="CI73" i="2"/>
  <c r="DJ61" i="2"/>
  <c r="DJ65" i="2" s="1"/>
  <c r="AW69" i="2"/>
  <c r="AW70" i="2" s="1"/>
  <c r="AW83" i="2"/>
  <c r="AU69" i="2"/>
  <c r="AU70" i="2" s="1"/>
  <c r="AY78" i="2" s="1"/>
  <c r="AU83" i="2"/>
  <c r="DJ73" i="2"/>
  <c r="AV69" i="2"/>
  <c r="AV70" i="2" s="1"/>
  <c r="AZ78" i="2" s="1"/>
  <c r="AV83" i="2"/>
  <c r="AP61" i="2"/>
  <c r="AP80" i="2" s="1"/>
  <c r="DK73" i="2"/>
  <c r="DK65" i="2"/>
  <c r="DK67" i="2" s="1"/>
  <c r="DK80" i="2"/>
  <c r="DL59" i="2"/>
  <c r="DP3" i="2"/>
  <c r="CC68" i="2"/>
  <c r="CE81" i="2"/>
  <c r="DL60" i="2"/>
  <c r="CE82" i="2"/>
  <c r="CD68" i="2"/>
  <c r="CD83" i="2" s="1"/>
  <c r="BY83" i="2"/>
  <c r="CH80" i="2"/>
  <c r="CH65" i="2"/>
  <c r="CH67" i="2" s="1"/>
  <c r="CG80" i="2"/>
  <c r="CG65" i="2"/>
  <c r="CG67" i="2" s="1"/>
  <c r="CF80" i="2"/>
  <c r="CF65" i="2"/>
  <c r="CF67" i="2" s="1"/>
  <c r="CE73" i="2"/>
  <c r="CB83" i="2"/>
  <c r="BY78" i="2"/>
  <c r="BZ83" i="2"/>
  <c r="BT69" i="2"/>
  <c r="BT70" i="2" s="1"/>
  <c r="BX78" i="2" s="1"/>
  <c r="BX83" i="2"/>
  <c r="BP69" i="2"/>
  <c r="BP70" i="2" s="1"/>
  <c r="BP78" i="2" s="1"/>
  <c r="BP83" i="2"/>
  <c r="BQ83" i="2"/>
  <c r="BQ69" i="2"/>
  <c r="BQ70" i="2" s="1"/>
  <c r="BO69" i="2"/>
  <c r="BO70" i="2" s="1"/>
  <c r="BO78" i="2" s="1"/>
  <c r="BO83" i="2"/>
  <c r="BW80" i="2"/>
  <c r="BW65" i="2"/>
  <c r="BW67" i="2" s="1"/>
  <c r="BS83" i="2"/>
  <c r="BS69" i="2"/>
  <c r="BS70" i="2" s="1"/>
  <c r="BV69" i="2"/>
  <c r="BV70" i="2" s="1"/>
  <c r="BZ78" i="2" s="1"/>
  <c r="BV83" i="2"/>
  <c r="BR83" i="2"/>
  <c r="BR69" i="2"/>
  <c r="BR70" i="2" s="1"/>
  <c r="BR78" i="2" s="1"/>
  <c r="CA65" i="2"/>
  <c r="CA67" i="2" s="1"/>
  <c r="CA80" i="2"/>
  <c r="AQ59" i="2"/>
  <c r="AS59" i="2"/>
  <c r="AL80" i="2"/>
  <c r="AT81" i="2"/>
  <c r="AT61" i="2"/>
  <c r="AT80" i="2" s="1"/>
  <c r="AR59" i="2"/>
  <c r="AT73" i="2"/>
  <c r="AP81" i="2"/>
  <c r="AP82" i="2"/>
  <c r="AP73" i="2"/>
  <c r="AT64" i="2"/>
  <c r="AT82" i="2"/>
  <c r="AJ69" i="2"/>
  <c r="AJ70" i="2" s="1"/>
  <c r="AJ83" i="2"/>
  <c r="AM65" i="2"/>
  <c r="AM67" i="2" s="1"/>
  <c r="AM83" i="2" s="1"/>
  <c r="AN69" i="2"/>
  <c r="AN70" i="2" s="1"/>
  <c r="AI85" i="2"/>
  <c r="CY37" i="2"/>
  <c r="CX37" i="2"/>
  <c r="DJ80" i="2" l="1"/>
  <c r="AP65" i="2"/>
  <c r="AP67" i="2" s="1"/>
  <c r="AR61" i="2"/>
  <c r="AV73" i="2"/>
  <c r="AS61" i="2"/>
  <c r="AS80" i="2" s="1"/>
  <c r="AW73" i="2"/>
  <c r="BA78" i="2"/>
  <c r="AQ73" i="2"/>
  <c r="AU73" i="2"/>
  <c r="BU78" i="2"/>
  <c r="BQ78" i="2"/>
  <c r="DL61" i="2"/>
  <c r="DL65" i="2" s="1"/>
  <c r="DL67" i="2" s="1"/>
  <c r="CC83" i="2"/>
  <c r="DK68" i="2"/>
  <c r="DK83" i="2" s="1"/>
  <c r="BS78" i="2"/>
  <c r="CB69" i="2"/>
  <c r="CB70" i="2" s="1"/>
  <c r="CB78" i="2" s="1"/>
  <c r="DQ3" i="2"/>
  <c r="DN10" i="2"/>
  <c r="DL73" i="2"/>
  <c r="DL81" i="2"/>
  <c r="CG68" i="2"/>
  <c r="CH83" i="2"/>
  <c r="CE80" i="2"/>
  <c r="CE65" i="2"/>
  <c r="CE67" i="2" s="1"/>
  <c r="CF83" i="2"/>
  <c r="CD69" i="2"/>
  <c r="CD70" i="2" s="1"/>
  <c r="CD78" i="2" s="1"/>
  <c r="CC69" i="2"/>
  <c r="CC70" i="2" s="1"/>
  <c r="CC78" i="2" s="1"/>
  <c r="BV78" i="2"/>
  <c r="BT78" i="2"/>
  <c r="CA69" i="2"/>
  <c r="CA83" i="2"/>
  <c r="BW69" i="2"/>
  <c r="BW83" i="2"/>
  <c r="AQ82" i="2"/>
  <c r="AQ81" i="2"/>
  <c r="AQ61" i="2"/>
  <c r="AQ65" i="2" s="1"/>
  <c r="AQ67" i="2" s="1"/>
  <c r="AT65" i="2"/>
  <c r="AS81" i="2"/>
  <c r="AS82" i="2"/>
  <c r="AS73" i="2"/>
  <c r="AR73" i="2"/>
  <c r="AS65" i="2"/>
  <c r="AS67" i="2" s="1"/>
  <c r="AS83" i="2" s="1"/>
  <c r="AR81" i="2"/>
  <c r="AR82" i="2"/>
  <c r="AR80" i="2"/>
  <c r="AR65" i="2"/>
  <c r="AR67" i="2" s="1"/>
  <c r="AP69" i="2"/>
  <c r="AM69" i="2"/>
  <c r="AM70" i="2" s="1"/>
  <c r="CP81" i="2"/>
  <c r="AT67" i="2" l="1"/>
  <c r="AT69" i="2" s="1"/>
  <c r="CH69" i="2"/>
  <c r="CH70" i="2" s="1"/>
  <c r="CL78" i="2" s="1"/>
  <c r="CG83" i="2"/>
  <c r="DM61" i="2"/>
  <c r="DM80" i="2" s="1"/>
  <c r="DL80" i="2"/>
  <c r="DK69" i="2"/>
  <c r="DK70" i="2" s="1"/>
  <c r="DM62" i="2"/>
  <c r="DM73" i="2"/>
  <c r="DO10" i="2"/>
  <c r="DN59" i="2"/>
  <c r="DR3" i="2"/>
  <c r="AQ80" i="2"/>
  <c r="CE83" i="2"/>
  <c r="DK85" i="2"/>
  <c r="CF69" i="2"/>
  <c r="CF70" i="2" s="1"/>
  <c r="CG69" i="2"/>
  <c r="CG70" i="2" s="1"/>
  <c r="BW70" i="2"/>
  <c r="BW78" i="2" s="1"/>
  <c r="BW113" i="2"/>
  <c r="CA70" i="2"/>
  <c r="CA113" i="2"/>
  <c r="AT70" i="2"/>
  <c r="AX78" i="2" s="1"/>
  <c r="AS69" i="2"/>
  <c r="AS70" i="2" s="1"/>
  <c r="AW78" i="2" s="1"/>
  <c r="AQ83" i="2"/>
  <c r="AP70" i="2"/>
  <c r="AR83" i="2"/>
  <c r="AP83" i="2"/>
  <c r="DA68" i="2"/>
  <c r="CW71" i="2"/>
  <c r="CW66" i="2"/>
  <c r="CW63" i="2"/>
  <c r="CW62" i="2"/>
  <c r="CX71" i="2"/>
  <c r="AH100" i="2"/>
  <c r="AH111" i="2" s="1"/>
  <c r="AH87" i="2"/>
  <c r="AH98" i="2" s="1"/>
  <c r="CY25" i="2"/>
  <c r="AH61" i="2"/>
  <c r="AH64" i="2"/>
  <c r="CY40" i="2"/>
  <c r="DB62" i="2"/>
  <c r="DB64" i="2" s="1"/>
  <c r="CY36" i="2"/>
  <c r="CY21" i="2"/>
  <c r="CY33" i="2"/>
  <c r="CY11" i="2"/>
  <c r="CY12" i="2"/>
  <c r="CY53" i="2"/>
  <c r="CY15" i="2"/>
  <c r="CY10" i="2"/>
  <c r="CY38" i="2"/>
  <c r="CY23" i="2"/>
  <c r="AG66" i="2"/>
  <c r="AG64" i="2"/>
  <c r="AF66" i="2"/>
  <c r="AF64" i="2"/>
  <c r="AD85" i="2"/>
  <c r="CV22" i="2"/>
  <c r="CU22" i="2"/>
  <c r="CT22" i="2"/>
  <c r="CT59" i="2" s="1"/>
  <c r="CS22" i="2"/>
  <c r="CR22" i="2"/>
  <c r="CR59" i="2" s="1"/>
  <c r="CQ22" i="2"/>
  <c r="AD64" i="2"/>
  <c r="CU64" i="2"/>
  <c r="CT64" i="2"/>
  <c r="CS64" i="2"/>
  <c r="CR64" i="2"/>
  <c r="CQ64" i="2"/>
  <c r="CP64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X40" i="2"/>
  <c r="CW40" i="2"/>
  <c r="CX63" i="2"/>
  <c r="CX62" i="2"/>
  <c r="CX19" i="2"/>
  <c r="CX36" i="2"/>
  <c r="CX21" i="2"/>
  <c r="CX33" i="2"/>
  <c r="CX11" i="2"/>
  <c r="CX12" i="2"/>
  <c r="CX53" i="2"/>
  <c r="CX15" i="2"/>
  <c r="CX10" i="2"/>
  <c r="CX38" i="2"/>
  <c r="CX25" i="2"/>
  <c r="AC66" i="2"/>
  <c r="CX66" i="2" s="1"/>
  <c r="AC64" i="2"/>
  <c r="AB64" i="2"/>
  <c r="CX23" i="2"/>
  <c r="CW11" i="2"/>
  <c r="CV11" i="2"/>
  <c r="CW36" i="2"/>
  <c r="CW21" i="2"/>
  <c r="CW51" i="2"/>
  <c r="CW33" i="2"/>
  <c r="CW12" i="2"/>
  <c r="CW53" i="2"/>
  <c r="CW15" i="2"/>
  <c r="CW10" i="2"/>
  <c r="CV51" i="2"/>
  <c r="CV33" i="2"/>
  <c r="CV12" i="2"/>
  <c r="CV53" i="2"/>
  <c r="CV15" i="2"/>
  <c r="CU53" i="2"/>
  <c r="CU10" i="2"/>
  <c r="CU38" i="2"/>
  <c r="CV10" i="2"/>
  <c r="CW38" i="2"/>
  <c r="CW25" i="2"/>
  <c r="CV38" i="2"/>
  <c r="CU23" i="2"/>
  <c r="CV23" i="2"/>
  <c r="CW23" i="2"/>
  <c r="Z64" i="2"/>
  <c r="AA64" i="2"/>
  <c r="CV25" i="2"/>
  <c r="CV21" i="2"/>
  <c r="CV36" i="2"/>
  <c r="CV41" i="2"/>
  <c r="CV42" i="2"/>
  <c r="CW42" i="2" s="1"/>
  <c r="CV47" i="2"/>
  <c r="CW47" i="2" s="1"/>
  <c r="CX47" i="2" s="1"/>
  <c r="CV40" i="2"/>
  <c r="CV49" i="2"/>
  <c r="CW49" i="2" s="1"/>
  <c r="CX49" i="2" s="1"/>
  <c r="CV62" i="2"/>
  <c r="CV63" i="2"/>
  <c r="CV44" i="2"/>
  <c r="CW44" i="2" s="1"/>
  <c r="CV46" i="2"/>
  <c r="CW46" i="2" s="1"/>
  <c r="CX46" i="2" s="1"/>
  <c r="CV52" i="2"/>
  <c r="CW52" i="2" s="1"/>
  <c r="CX52" i="2" s="1"/>
  <c r="S41" i="2"/>
  <c r="T61" i="2"/>
  <c r="T65" i="2" s="1"/>
  <c r="T67" i="2" s="1"/>
  <c r="T83" i="2" s="1"/>
  <c r="R51" i="2"/>
  <c r="R40" i="2"/>
  <c r="T82" i="2"/>
  <c r="T81" i="2"/>
  <c r="CU25" i="2"/>
  <c r="J4" i="1"/>
  <c r="J7" i="1" s="1"/>
  <c r="C23" i="3"/>
  <c r="C22" i="3"/>
  <c r="C26" i="5"/>
  <c r="T71" i="2"/>
  <c r="CV71" i="2" s="1"/>
  <c r="CP61" i="2"/>
  <c r="CP65" i="2" s="1"/>
  <c r="CP67" i="2" s="1"/>
  <c r="CP69" i="2" s="1"/>
  <c r="CP70" i="2" s="1"/>
  <c r="K36" i="2"/>
  <c r="M10" i="2"/>
  <c r="M51" i="2"/>
  <c r="AE64" i="2"/>
  <c r="CG78" i="2" l="1"/>
  <c r="CK78" i="2"/>
  <c r="CF78" i="2"/>
  <c r="CJ78" i="2"/>
  <c r="CH78" i="2"/>
  <c r="AT78" i="2"/>
  <c r="AT83" i="2"/>
  <c r="DL68" i="2"/>
  <c r="DL83" i="2" s="1"/>
  <c r="DN61" i="2"/>
  <c r="DN60" i="2" s="1"/>
  <c r="DM60" i="2"/>
  <c r="DS3" i="2"/>
  <c r="DP10" i="2"/>
  <c r="DO59" i="2"/>
  <c r="DM81" i="2"/>
  <c r="DM64" i="2"/>
  <c r="DM65" i="2" s="1"/>
  <c r="DN62" i="2"/>
  <c r="DN73" i="2"/>
  <c r="CE69" i="2"/>
  <c r="CE70" i="2" s="1"/>
  <c r="CA78" i="2"/>
  <c r="AQ69" i="2"/>
  <c r="AQ70" i="2" s="1"/>
  <c r="CV64" i="2"/>
  <c r="CY66" i="2"/>
  <c r="AR69" i="2"/>
  <c r="AR70" i="2" s="1"/>
  <c r="CX59" i="2"/>
  <c r="CX81" i="2" s="1"/>
  <c r="CV59" i="2"/>
  <c r="CV81" i="2" s="1"/>
  <c r="CS59" i="2"/>
  <c r="CS81" i="2" s="1"/>
  <c r="CQ59" i="2"/>
  <c r="CQ81" i="2" s="1"/>
  <c r="CU59" i="2"/>
  <c r="CW59" i="2"/>
  <c r="AK59" i="2"/>
  <c r="S59" i="2"/>
  <c r="S82" i="2" s="1"/>
  <c r="CX64" i="2"/>
  <c r="AH80" i="2"/>
  <c r="AH65" i="2"/>
  <c r="AH67" i="2" s="1"/>
  <c r="T80" i="2"/>
  <c r="CR81" i="2"/>
  <c r="CR61" i="2"/>
  <c r="CR65" i="2" s="1"/>
  <c r="CR67" i="2" s="1"/>
  <c r="CR69" i="2" s="1"/>
  <c r="CR70" i="2" s="1"/>
  <c r="T69" i="2"/>
  <c r="T70" i="2" s="1"/>
  <c r="CT81" i="2"/>
  <c r="CT61" i="2"/>
  <c r="AH82" i="2"/>
  <c r="AH81" i="2"/>
  <c r="DC62" i="2"/>
  <c r="CW64" i="2"/>
  <c r="CZ71" i="2"/>
  <c r="CE78" i="2" l="1"/>
  <c r="CI78" i="2"/>
  <c r="AQ78" i="2"/>
  <c r="AU78" i="2"/>
  <c r="AR78" i="2"/>
  <c r="AV78" i="2"/>
  <c r="DL69" i="2"/>
  <c r="DL85" i="2" s="1"/>
  <c r="DO61" i="2"/>
  <c r="DO60" i="2" s="1"/>
  <c r="DN80" i="2"/>
  <c r="DQ10" i="2"/>
  <c r="DP59" i="2"/>
  <c r="DN64" i="2"/>
  <c r="DN65" i="2" s="1"/>
  <c r="DN81" i="2"/>
  <c r="DO62" i="2"/>
  <c r="DO73" i="2"/>
  <c r="CQ61" i="2"/>
  <c r="CQ65" i="2" s="1"/>
  <c r="CQ67" i="2" s="1"/>
  <c r="CQ69" i="2" s="1"/>
  <c r="CQ70" i="2" s="1"/>
  <c r="CQ78" i="2" s="1"/>
  <c r="CT73" i="2"/>
  <c r="CS61" i="2"/>
  <c r="CS65" i="2" s="1"/>
  <c r="CS67" i="2" s="1"/>
  <c r="CS69" i="2" s="1"/>
  <c r="CS70" i="2" s="1"/>
  <c r="CS78" i="2" s="1"/>
  <c r="DB71" i="2"/>
  <c r="DC71" i="2" s="1"/>
  <c r="DD71" i="2" s="1"/>
  <c r="DE71" i="2" s="1"/>
  <c r="DB59" i="2"/>
  <c r="DB81" i="2" s="1"/>
  <c r="DA59" i="2"/>
  <c r="DA61" i="2" s="1"/>
  <c r="CX73" i="2"/>
  <c r="AK82" i="2"/>
  <c r="AK61" i="2"/>
  <c r="AK80" i="2" s="1"/>
  <c r="AK81" i="2"/>
  <c r="S61" i="2"/>
  <c r="S65" i="2" s="1"/>
  <c r="S67" i="2" s="1"/>
  <c r="AL67" i="2"/>
  <c r="AL83" i="2" s="1"/>
  <c r="S81" i="2"/>
  <c r="AN73" i="2"/>
  <c r="CU81" i="2"/>
  <c r="CU73" i="2"/>
  <c r="CU61" i="2"/>
  <c r="AH83" i="2"/>
  <c r="AH69" i="2"/>
  <c r="AH70" i="2" s="1"/>
  <c r="CV73" i="2"/>
  <c r="DC64" i="2"/>
  <c r="CT80" i="2"/>
  <c r="CT65" i="2"/>
  <c r="CT67" i="2" s="1"/>
  <c r="CT69" i="2" s="1"/>
  <c r="CT70" i="2" s="1"/>
  <c r="CW81" i="2"/>
  <c r="CV61" i="2"/>
  <c r="CW73" i="2"/>
  <c r="DL70" i="2" l="1"/>
  <c r="DP61" i="2"/>
  <c r="DP60" i="2" s="1"/>
  <c r="DO81" i="2"/>
  <c r="DO64" i="2"/>
  <c r="DO65" i="2" s="1"/>
  <c r="DR10" i="2"/>
  <c r="DQ59" i="2"/>
  <c r="DO80" i="2"/>
  <c r="DP62" i="2"/>
  <c r="DP73" i="2"/>
  <c r="DM66" i="2"/>
  <c r="DM67" i="2" s="1"/>
  <c r="DM68" i="2" s="1"/>
  <c r="CT78" i="2"/>
  <c r="CR78" i="2"/>
  <c r="DA80" i="2"/>
  <c r="DA65" i="2"/>
  <c r="DA67" i="2" s="1"/>
  <c r="AK65" i="2"/>
  <c r="AK67" i="2" s="1"/>
  <c r="S80" i="2"/>
  <c r="S69" i="2"/>
  <c r="S70" i="2" s="1"/>
  <c r="S83" i="2"/>
  <c r="DD64" i="2"/>
  <c r="CU65" i="2"/>
  <c r="CU67" i="2" s="1"/>
  <c r="CU69" i="2" s="1"/>
  <c r="CU70" i="2" s="1"/>
  <c r="CU78" i="2" s="1"/>
  <c r="CU80" i="2"/>
  <c r="DA81" i="2"/>
  <c r="CV65" i="2"/>
  <c r="CV67" i="2" s="1"/>
  <c r="CV68" i="2" s="1"/>
  <c r="CV69" i="2" s="1"/>
  <c r="CV70" i="2" s="1"/>
  <c r="CV60" i="2"/>
  <c r="AL69" i="2"/>
  <c r="AL70" i="2" s="1"/>
  <c r="DB73" i="2"/>
  <c r="DQ61" i="2" l="1"/>
  <c r="DQ60" i="2" s="1"/>
  <c r="DM83" i="2"/>
  <c r="DP80" i="2"/>
  <c r="DP64" i="2"/>
  <c r="DP65" i="2" s="1"/>
  <c r="DP81" i="2"/>
  <c r="DQ62" i="2"/>
  <c r="DQ73" i="2"/>
  <c r="DS10" i="2"/>
  <c r="DS59" i="2" s="1"/>
  <c r="DR59" i="2"/>
  <c r="AL78" i="2"/>
  <c r="AP78" i="2"/>
  <c r="DC81" i="2"/>
  <c r="AK83" i="2"/>
  <c r="AK69" i="2"/>
  <c r="AK70" i="2" s="1"/>
  <c r="DA69" i="2"/>
  <c r="CV78" i="2"/>
  <c r="DS61" i="2" l="1"/>
  <c r="DS60" i="2" s="1"/>
  <c r="DR61" i="2"/>
  <c r="DR60" i="2" s="1"/>
  <c r="DM69" i="2"/>
  <c r="DM70" i="2" s="1"/>
  <c r="DR62" i="2"/>
  <c r="DR73" i="2"/>
  <c r="DS62" i="2"/>
  <c r="DS73" i="2"/>
  <c r="DQ80" i="2"/>
  <c r="DQ64" i="2"/>
  <c r="DQ65" i="2" s="1"/>
  <c r="DQ81" i="2"/>
  <c r="DF64" i="2"/>
  <c r="DC61" i="2"/>
  <c r="DC65" i="2" s="1"/>
  <c r="DC67" i="2" s="1"/>
  <c r="DC73" i="2"/>
  <c r="DD81" i="2"/>
  <c r="AN78" i="2"/>
  <c r="DA70" i="2"/>
  <c r="DM85" i="2" l="1"/>
  <c r="DN66" i="2" s="1"/>
  <c r="DN67" i="2" s="1"/>
  <c r="DN68" i="2" s="1"/>
  <c r="DS80" i="2"/>
  <c r="DS81" i="2"/>
  <c r="DS64" i="2"/>
  <c r="DS65" i="2" s="1"/>
  <c r="DR80" i="2"/>
  <c r="DR64" i="2"/>
  <c r="DR65" i="2" s="1"/>
  <c r="DR81" i="2"/>
  <c r="DG64" i="2"/>
  <c r="DG65" i="2" s="1"/>
  <c r="DC60" i="2"/>
  <c r="DD65" i="2"/>
  <c r="DD67" i="2" s="1"/>
  <c r="DF59" i="2"/>
  <c r="DF61" i="2" s="1"/>
  <c r="DF65" i="2" s="1"/>
  <c r="DE81" i="2"/>
  <c r="DD73" i="2"/>
  <c r="DN83" i="2" l="1"/>
  <c r="DN69" i="2"/>
  <c r="DF81" i="2"/>
  <c r="DH64" i="2"/>
  <c r="DH65" i="2" s="1"/>
  <c r="DE67" i="2"/>
  <c r="DE73" i="2"/>
  <c r="DC68" i="2"/>
  <c r="DC69" i="2" s="1"/>
  <c r="DN70" i="2" l="1"/>
  <c r="DN85" i="2"/>
  <c r="DF73" i="2"/>
  <c r="DC70" i="2"/>
  <c r="DO66" i="2" l="1"/>
  <c r="DO67" i="2" s="1"/>
  <c r="DO68" i="2" s="1"/>
  <c r="DF67" i="2"/>
  <c r="DG67" i="2"/>
  <c r="DG73" i="2"/>
  <c r="DG81" i="2"/>
  <c r="DD68" i="2"/>
  <c r="DD69" i="2" s="1"/>
  <c r="DO83" i="2" l="1"/>
  <c r="DO69" i="2"/>
  <c r="DG69" i="2"/>
  <c r="DG70" i="2" s="1"/>
  <c r="DH67" i="2"/>
  <c r="DH69" i="2" s="1"/>
  <c r="DH70" i="2" s="1"/>
  <c r="DH73" i="2"/>
  <c r="DH81" i="2"/>
  <c r="DD70" i="2"/>
  <c r="DD78" i="2" s="1"/>
  <c r="DO70" i="2" l="1"/>
  <c r="DO85" i="2"/>
  <c r="DH78" i="2"/>
  <c r="DJ67" i="2"/>
  <c r="DJ69" i="2" s="1"/>
  <c r="DJ70" i="2" s="1"/>
  <c r="DI67" i="2"/>
  <c r="DI69" i="2" s="1"/>
  <c r="DI70" i="2" s="1"/>
  <c r="DI78" i="2" s="1"/>
  <c r="DI73" i="2"/>
  <c r="DI81" i="2"/>
  <c r="DE69" i="2"/>
  <c r="DP66" i="2" l="1"/>
  <c r="DP67" i="2" s="1"/>
  <c r="DP68" i="2" s="1"/>
  <c r="DJ78" i="2"/>
  <c r="DE70" i="2"/>
  <c r="DE78" i="2" s="1"/>
  <c r="DP83" i="2" l="1"/>
  <c r="DP69" i="2"/>
  <c r="DF69" i="2"/>
  <c r="DP70" i="2" l="1"/>
  <c r="DP85" i="2"/>
  <c r="DF70" i="2"/>
  <c r="DQ66" i="2" l="1"/>
  <c r="DQ67" i="2" s="1"/>
  <c r="DQ68" i="2" s="1"/>
  <c r="DF78" i="2"/>
  <c r="DG78" i="2"/>
  <c r="DQ83" i="2" l="1"/>
  <c r="DQ69" i="2"/>
  <c r="P59" i="2"/>
  <c r="P82" i="2" s="1"/>
  <c r="DQ70" i="2" l="1"/>
  <c r="DQ85" i="2"/>
  <c r="P81" i="2"/>
  <c r="AO73" i="2"/>
  <c r="AO61" i="2"/>
  <c r="P61" i="2"/>
  <c r="DR66" i="2" l="1"/>
  <c r="DR67" i="2" s="1"/>
  <c r="DR68" i="2" s="1"/>
  <c r="AO80" i="2"/>
  <c r="AO65" i="2"/>
  <c r="AO67" i="2" s="1"/>
  <c r="AO83" i="2" s="1"/>
  <c r="P65" i="2"/>
  <c r="P67" i="2" s="1"/>
  <c r="P80" i="2"/>
  <c r="L59" i="2"/>
  <c r="L82" i="2" s="1"/>
  <c r="DR83" i="2" l="1"/>
  <c r="P69" i="2"/>
  <c r="P70" i="2" s="1"/>
  <c r="T78" i="2" s="1"/>
  <c r="P83" i="2"/>
  <c r="AO69" i="2"/>
  <c r="AO70" i="2" s="1"/>
  <c r="L81" i="2"/>
  <c r="L61" i="2"/>
  <c r="DR69" i="2" l="1"/>
  <c r="AO78" i="2"/>
  <c r="AS78" i="2"/>
  <c r="L65" i="2"/>
  <c r="L67" i="2" s="1"/>
  <c r="L80" i="2"/>
  <c r="DR70" i="2" l="1"/>
  <c r="DR85" i="2"/>
  <c r="L69" i="2"/>
  <c r="L70" i="2" s="1"/>
  <c r="P78" i="2" s="1"/>
  <c r="L83" i="2"/>
  <c r="M59" i="2"/>
  <c r="M81" i="2" s="1"/>
  <c r="DS66" i="2" l="1"/>
  <c r="DS67" i="2" s="1"/>
  <c r="DS68" i="2" s="1"/>
  <c r="M82" i="2"/>
  <c r="M61" i="2"/>
  <c r="DS83" i="2" l="1"/>
  <c r="M80" i="2"/>
  <c r="M65" i="2"/>
  <c r="M67" i="2" s="1"/>
  <c r="DS69" i="2" l="1"/>
  <c r="M83" i="2"/>
  <c r="M69" i="2"/>
  <c r="M70" i="2" s="1"/>
  <c r="K59" i="2"/>
  <c r="K82" i="2" s="1"/>
  <c r="DT69" i="2" l="1"/>
  <c r="DU69" i="2" s="1"/>
  <c r="DV69" i="2" s="1"/>
  <c r="DW69" i="2" s="1"/>
  <c r="DX69" i="2" s="1"/>
  <c r="DY69" i="2" s="1"/>
  <c r="DZ69" i="2" s="1"/>
  <c r="EA69" i="2" s="1"/>
  <c r="EB69" i="2" s="1"/>
  <c r="EC69" i="2" s="1"/>
  <c r="ED69" i="2" s="1"/>
  <c r="EE69" i="2" s="1"/>
  <c r="EF69" i="2" s="1"/>
  <c r="EG69" i="2" s="1"/>
  <c r="EH69" i="2" s="1"/>
  <c r="EI69" i="2" s="1"/>
  <c r="EJ69" i="2" s="1"/>
  <c r="EK69" i="2" s="1"/>
  <c r="EL69" i="2" s="1"/>
  <c r="EM69" i="2" s="1"/>
  <c r="EN69" i="2" s="1"/>
  <c r="EO69" i="2" s="1"/>
  <c r="EP69" i="2" s="1"/>
  <c r="EQ69" i="2" s="1"/>
  <c r="ER69" i="2" s="1"/>
  <c r="ES69" i="2" s="1"/>
  <c r="ET69" i="2" s="1"/>
  <c r="EU69" i="2" s="1"/>
  <c r="EV69" i="2" s="1"/>
  <c r="EW69" i="2" s="1"/>
  <c r="EX69" i="2" s="1"/>
  <c r="EY69" i="2" s="1"/>
  <c r="EZ69" i="2" s="1"/>
  <c r="FA69" i="2" s="1"/>
  <c r="FB69" i="2" s="1"/>
  <c r="FC69" i="2" s="1"/>
  <c r="FD69" i="2" s="1"/>
  <c r="FE69" i="2" s="1"/>
  <c r="FF69" i="2" s="1"/>
  <c r="FG69" i="2" s="1"/>
  <c r="FH69" i="2" s="1"/>
  <c r="FI69" i="2" s="1"/>
  <c r="FJ69" i="2" s="1"/>
  <c r="FK69" i="2" s="1"/>
  <c r="FL69" i="2" s="1"/>
  <c r="FM69" i="2" s="1"/>
  <c r="FN69" i="2" s="1"/>
  <c r="FO69" i="2" s="1"/>
  <c r="FP69" i="2" s="1"/>
  <c r="FQ69" i="2" s="1"/>
  <c r="FR69" i="2" s="1"/>
  <c r="FS69" i="2" s="1"/>
  <c r="FT69" i="2" s="1"/>
  <c r="FU69" i="2" s="1"/>
  <c r="FV69" i="2" s="1"/>
  <c r="FW69" i="2" s="1"/>
  <c r="FX69" i="2" s="1"/>
  <c r="FY69" i="2" s="1"/>
  <c r="FZ69" i="2" s="1"/>
  <c r="GA69" i="2" s="1"/>
  <c r="GB69" i="2" s="1"/>
  <c r="GC69" i="2" s="1"/>
  <c r="GD69" i="2" s="1"/>
  <c r="GE69" i="2" s="1"/>
  <c r="GF69" i="2" s="1"/>
  <c r="GG69" i="2" s="1"/>
  <c r="GH69" i="2" s="1"/>
  <c r="GI69" i="2" s="1"/>
  <c r="GJ69" i="2" s="1"/>
  <c r="GK69" i="2" s="1"/>
  <c r="GL69" i="2" s="1"/>
  <c r="GM69" i="2" s="1"/>
  <c r="GN69" i="2" s="1"/>
  <c r="GO69" i="2" s="1"/>
  <c r="GP69" i="2" s="1"/>
  <c r="GQ69" i="2" s="1"/>
  <c r="GR69" i="2" s="1"/>
  <c r="GS69" i="2" s="1"/>
  <c r="DS70" i="2"/>
  <c r="DS85" i="2"/>
  <c r="K61" i="2"/>
  <c r="K81" i="2"/>
  <c r="DU86" i="2" l="1"/>
  <c r="DU87" i="2" s="1"/>
  <c r="K65" i="2"/>
  <c r="K67" i="2" s="1"/>
  <c r="K80" i="2"/>
  <c r="K83" i="2" l="1"/>
  <c r="K69" i="2"/>
  <c r="K70" i="2" s="1"/>
  <c r="O59" i="2"/>
  <c r="O82" i="2" s="1"/>
  <c r="O81" i="2" l="1"/>
  <c r="O61" i="2"/>
  <c r="O80" i="2" l="1"/>
  <c r="O65" i="2"/>
  <c r="O67" i="2" s="1"/>
  <c r="Q59" i="2"/>
  <c r="Q81" i="2" s="1"/>
  <c r="Q61" i="2" l="1"/>
  <c r="Q80" i="2" s="1"/>
  <c r="O69" i="2"/>
  <c r="O70" i="2" s="1"/>
  <c r="O83" i="2"/>
  <c r="Q82" i="2"/>
  <c r="Q65" i="2" l="1"/>
  <c r="Q67" i="2" s="1"/>
  <c r="O78" i="2"/>
  <c r="S78" i="2"/>
  <c r="J59" i="2"/>
  <c r="J82" i="2" s="1"/>
  <c r="Q83" i="2" l="1"/>
  <c r="Q69" i="2"/>
  <c r="Q70" i="2" s="1"/>
  <c r="J81" i="2"/>
  <c r="J61" i="2"/>
  <c r="Q78" i="2" l="1"/>
  <c r="J65" i="2"/>
  <c r="J67" i="2" s="1"/>
  <c r="J80" i="2"/>
  <c r="J83" i="2" l="1"/>
  <c r="J69" i="2"/>
  <c r="J70" i="2" s="1"/>
  <c r="N59" i="2"/>
  <c r="N81" i="2" s="1"/>
  <c r="N82" i="2" l="1"/>
  <c r="N61" i="2"/>
  <c r="N80" i="2" l="1"/>
  <c r="N65" i="2"/>
  <c r="N67" i="2" s="1"/>
  <c r="N83" i="2" l="1"/>
  <c r="N69" i="2"/>
  <c r="N70" i="2" s="1"/>
  <c r="DB61" i="2"/>
  <c r="DB65" i="2" s="1"/>
  <c r="DB67" i="2" s="1"/>
  <c r="DB68" i="2" l="1"/>
  <c r="DB69" i="2" s="1"/>
  <c r="DB60" i="2"/>
  <c r="DB70" i="2" l="1"/>
  <c r="DC78" i="2" l="1"/>
  <c r="DB78" i="2"/>
  <c r="W22" i="2" l="1"/>
  <c r="W59" i="2" s="1"/>
  <c r="W61" i="2" s="1"/>
  <c r="Y22" i="2"/>
  <c r="Y59" i="2" s="1"/>
  <c r="X22" i="2"/>
  <c r="X59" i="2" s="1"/>
  <c r="X82" i="2" s="1"/>
  <c r="R22" i="2"/>
  <c r="R59" i="2" s="1"/>
  <c r="V22" i="2"/>
  <c r="V59" i="2" s="1"/>
  <c r="V82" i="2" s="1"/>
  <c r="U22" i="2"/>
  <c r="U59" i="2" s="1"/>
  <c r="U61" i="2" s="1"/>
  <c r="U82" i="2" l="1"/>
  <c r="U81" i="2"/>
  <c r="V61" i="2"/>
  <c r="V80" i="2" s="1"/>
  <c r="R81" i="2"/>
  <c r="R82" i="2"/>
  <c r="R61" i="2"/>
  <c r="Y61" i="2"/>
  <c r="Y65" i="2" s="1"/>
  <c r="Y67" i="2" s="1"/>
  <c r="Y69" i="2" s="1"/>
  <c r="Y70" i="2" s="1"/>
  <c r="Y73" i="2"/>
  <c r="Y81" i="2"/>
  <c r="Y82" i="2"/>
  <c r="W65" i="2"/>
  <c r="W67" i="2" s="1"/>
  <c r="W69" i="2" s="1"/>
  <c r="W70" i="2" s="1"/>
  <c r="W78" i="2" s="1"/>
  <c r="U65" i="2"/>
  <c r="U67" i="2" s="1"/>
  <c r="U80" i="2"/>
  <c r="X73" i="2"/>
  <c r="W81" i="2"/>
  <c r="V81" i="2"/>
  <c r="X81" i="2"/>
  <c r="W82" i="2"/>
  <c r="X61" i="2"/>
  <c r="X65" i="2" s="1"/>
  <c r="X67" i="2" s="1"/>
  <c r="X69" i="2" s="1"/>
  <c r="X70" i="2" s="1"/>
  <c r="X78" i="2" s="1"/>
  <c r="V65" i="2" l="1"/>
  <c r="V67" i="2" s="1"/>
  <c r="V83" i="2" s="1"/>
  <c r="U69" i="2"/>
  <c r="U70" i="2" s="1"/>
  <c r="U78" i="2" s="1"/>
  <c r="U83" i="2"/>
  <c r="R80" i="2"/>
  <c r="R65" i="2"/>
  <c r="R67" i="2" s="1"/>
  <c r="Y78" i="2" l="1"/>
  <c r="V69" i="2"/>
  <c r="V70" i="2" s="1"/>
  <c r="R83" i="2"/>
  <c r="R69" i="2"/>
  <c r="R70" i="2" s="1"/>
  <c r="R78" i="2" s="1"/>
  <c r="V78" i="2" l="1"/>
  <c r="Z73" i="2" l="1"/>
  <c r="Z82" i="2"/>
  <c r="Z81" i="2"/>
  <c r="Z61" i="2"/>
  <c r="Z65" i="2" s="1"/>
  <c r="Z67" i="2" s="1"/>
  <c r="Z69" i="2" s="1"/>
  <c r="Z70" i="2" s="1"/>
  <c r="Z78" i="2" s="1"/>
  <c r="CW61" i="2" l="1"/>
  <c r="CW80" i="2" s="1"/>
  <c r="CW60" i="2" l="1"/>
  <c r="CW65" i="2"/>
  <c r="CW67" i="2" s="1"/>
  <c r="CW69" i="2" s="1"/>
  <c r="CW70" i="2" s="1"/>
  <c r="CW78" i="2" s="1"/>
  <c r="AE82" i="2" l="1"/>
  <c r="AE81" i="2"/>
  <c r="AE61" i="2"/>
  <c r="AE80" i="2" l="1"/>
  <c r="AE65" i="2"/>
  <c r="AE67" i="2" s="1"/>
  <c r="AE69" i="2" l="1"/>
  <c r="AE83" i="2"/>
  <c r="AE85" i="2" l="1"/>
  <c r="AE70" i="2"/>
  <c r="AC58" i="2"/>
  <c r="AC59" i="2" s="1"/>
  <c r="AC82" i="2" s="1"/>
  <c r="AC61" i="2" l="1"/>
  <c r="AC81" i="2"/>
  <c r="AC73" i="2"/>
  <c r="AC65" i="2" l="1"/>
  <c r="AC67" i="2" s="1"/>
  <c r="AC80" i="2"/>
  <c r="AC69" i="2" l="1"/>
  <c r="AC70" i="2" s="1"/>
  <c r="AC78" i="2" s="1"/>
  <c r="AC83" i="2"/>
  <c r="AD61" i="2"/>
  <c r="AD65" i="2" s="1"/>
  <c r="AD67" i="2" s="1"/>
  <c r="AD73" i="2"/>
  <c r="AH73" i="2"/>
  <c r="AD81" i="2"/>
  <c r="AD82" i="2"/>
  <c r="AD69" i="2" l="1"/>
  <c r="AD70" i="2" s="1"/>
  <c r="AD83" i="2"/>
  <c r="AD80" i="2"/>
  <c r="AD78" i="2" l="1"/>
  <c r="AH78" i="2"/>
  <c r="CZ22" i="2"/>
  <c r="CZ59" i="2" s="1"/>
  <c r="DA73" i="2" l="1"/>
  <c r="CZ61" i="2"/>
  <c r="CZ81" i="2"/>
  <c r="AI82" i="2"/>
  <c r="AI81" i="2"/>
  <c r="AI73" i="2"/>
  <c r="AM73" i="2"/>
  <c r="AI61" i="2"/>
  <c r="AI80" i="2" l="1"/>
  <c r="AI65" i="2"/>
  <c r="AI67" i="2" s="1"/>
  <c r="CZ80" i="2"/>
  <c r="CZ65" i="2"/>
  <c r="CZ67" i="2" s="1"/>
  <c r="CZ69" i="2" s="1"/>
  <c r="CZ70" i="2" l="1"/>
  <c r="AI83" i="2"/>
  <c r="AI69" i="2"/>
  <c r="AI70" i="2" s="1"/>
  <c r="DA78" i="2" l="1"/>
  <c r="AI78" i="2"/>
  <c r="AM78" i="2"/>
  <c r="AA58" i="2"/>
  <c r="AA59" i="2" s="1"/>
  <c r="AA82" i="2" s="1"/>
  <c r="AA61" i="2" l="1"/>
  <c r="AA80" i="2" s="1"/>
  <c r="AE73" i="2"/>
  <c r="AA81" i="2"/>
  <c r="AA73" i="2"/>
  <c r="AA65" i="2" l="1"/>
  <c r="AA67" i="2" s="1"/>
  <c r="AA83" i="2" s="1"/>
  <c r="AA69" i="2" l="1"/>
  <c r="AA70" i="2" s="1"/>
  <c r="AA78" i="2" s="1"/>
  <c r="AB58" i="2"/>
  <c r="AB59" i="2" s="1"/>
  <c r="AB82" i="2" s="1"/>
  <c r="AE78" i="2" l="1"/>
  <c r="AB61" i="2"/>
  <c r="AB80" i="2" s="1"/>
  <c r="AB81" i="2"/>
  <c r="AB73" i="2"/>
  <c r="CX61" i="2" l="1"/>
  <c r="CX80" i="2" s="1"/>
  <c r="AB65" i="2"/>
  <c r="AB67" i="2" s="1"/>
  <c r="CX60" i="2"/>
  <c r="CX65" i="2"/>
  <c r="CX67" i="2" s="1"/>
  <c r="CX69" i="2" s="1"/>
  <c r="CX70" i="2" s="1"/>
  <c r="CX78" i="2" s="1"/>
  <c r="AG58" i="2"/>
  <c r="AG59" i="2" s="1"/>
  <c r="AG73" i="2" s="1"/>
  <c r="AB69" i="2" l="1"/>
  <c r="AB70" i="2" s="1"/>
  <c r="AB78" i="2" s="1"/>
  <c r="AB83" i="2"/>
  <c r="AK73" i="2"/>
  <c r="AG61" i="2"/>
  <c r="AG81" i="2"/>
  <c r="AG82" i="2"/>
  <c r="AG65" i="2" l="1"/>
  <c r="AG67" i="2" s="1"/>
  <c r="AG80" i="2"/>
  <c r="AG69" i="2" l="1"/>
  <c r="AG70" i="2" s="1"/>
  <c r="AG83" i="2"/>
  <c r="AK78" i="2" l="1"/>
  <c r="AG78" i="2"/>
  <c r="CY22" i="2"/>
  <c r="CY59" i="2" s="1"/>
  <c r="CY61" i="2" s="1"/>
  <c r="AF58" i="2"/>
  <c r="AF59" i="2" s="1"/>
  <c r="AF61" i="2" s="1"/>
  <c r="AF80" i="2" l="1"/>
  <c r="AF65" i="2"/>
  <c r="AF67" i="2" s="1"/>
  <c r="AF69" i="2" s="1"/>
  <c r="AF70" i="2" s="1"/>
  <c r="AJ78" i="2" s="1"/>
  <c r="AF82" i="2"/>
  <c r="CY65" i="2"/>
  <c r="CY67" i="2" s="1"/>
  <c r="CY69" i="2" s="1"/>
  <c r="CY70" i="2" s="1"/>
  <c r="CY80" i="2"/>
  <c r="CY73" i="2"/>
  <c r="CY81" i="2"/>
  <c r="CZ73" i="2"/>
  <c r="AF83" i="2"/>
  <c r="AF73" i="2"/>
  <c r="AJ73" i="2"/>
  <c r="AF81" i="2"/>
  <c r="AF78" i="2" l="1"/>
  <c r="CY78" i="2"/>
  <c r="CZ7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11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Lane Nussbaum</author>
    <author>tc={DCF6DE87-1143-A848-8919-609B3D10ACF2}</author>
    <author>tc={00F4491F-C819-44C1-AC45-2ABA1B7BE593}</author>
    <author>tc={8874A794-CB8F-4280-B6A0-27B01371D863}</author>
    <author>Bloomberg</author>
    <author>tc={EA475891-7DAB-5B42-A37D-6815334EAFF1}</author>
  </authors>
  <commentList>
    <comment ref="U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AI10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I11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DE11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12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S15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I15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I21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R23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E23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I23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L23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V23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Z23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A23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2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Y25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DB25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6" authorId="4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Z26" authorId="5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X30" authorId="6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I33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DE33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W36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I38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Y38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I53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DA53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I59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S59" authorId="7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T59" authorId="8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U59" authorId="9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V59" authorId="10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W59" authorId="11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X59" authorId="12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Y59" authorId="13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Z59" authorId="14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F59" authorId="15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</t>
      </text>
    </comment>
    <comment ref="CU59" authorId="2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V59" authorId="2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W59" authorId="16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X59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Y59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DM59" authorId="17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</t>
      </text>
    </comment>
    <comment ref="T65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U65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R66" authorId="2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V66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V68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W68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X68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Y68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W69" authorId="18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CA69" authorId="19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Q70" authorId="20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T70" authorId="2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V70" authorId="20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I70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U70" authorId="2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V70" authorId="2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W70" authorId="16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Y70" authorId="3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Z7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DM70" authorId="21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</t>
      </text>
    </comment>
    <comment ref="CV80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sharedStrings.xml><?xml version="1.0" encoding="utf-8"?>
<sst xmlns="http://schemas.openxmlformats.org/spreadsheetml/2006/main" count="758" uniqueCount="552">
  <si>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</si>
  <si>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</si>
  <si>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</si>
  <si>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</si>
  <si>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</si>
  <si>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</si>
  <si>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</si>
  <si>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</si>
  <si>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</si>
  <si>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</si>
  <si>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</si>
  <si>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</si>
  <si>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</si>
  <si>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</si>
  <si>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</si>
  <si>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</si>
  <si>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</si>
  <si>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</si>
  <si>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</si>
  <si>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</si>
  <si>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</si>
  <si>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</si>
  <si>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</si>
  <si>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</si>
  <si>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</si>
  <si>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</si>
  <si>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</si>
  <si>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</si>
  <si>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</si>
  <si>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</si>
  <si>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</si>
  <si>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</si>
  <si>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</si>
  <si>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</si>
  <si>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</si>
  <si>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</si>
  <si>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</si>
  <si>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</si>
  <si>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</si>
  <si>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</si>
  <si>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</si>
  <si>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</si>
  <si>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</si>
  <si>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</si>
  <si>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</si>
  <si>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</si>
  <si>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</si>
  <si>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</si>
  <si>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</si>
  <si>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</si>
  <si>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</si>
  <si>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</si>
  <si>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</si>
  <si>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</si>
  <si>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</si>
  <si>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</si>
  <si>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</si>
  <si>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</si>
  <si>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</si>
  <si>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</si>
  <si>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</si>
  <si>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</si>
  <si>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</si>
  <si>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</si>
  <si>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</si>
  <si>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</si>
  <si>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</si>
  <si>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</si>
  <si>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</si>
  <si>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</si>
  <si>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</si>
  <si>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</si>
  <si>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</si>
  <si>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</si>
  <si>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</si>
  <si>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</si>
  <si>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</si>
  <si>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</si>
  <si>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</si>
  <si>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</si>
  <si>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</si>
  <si>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</si>
  <si>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</si>
  <si>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</si>
  <si>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</si>
  <si>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</si>
  <si>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</si>
  <si>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</si>
  <si>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</si>
  <si>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</si>
  <si>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</si>
  <si>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</si>
  <si>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</si>
  <si>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</si>
  <si>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</si>
  <si>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</si>
  <si>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</si>
  <si>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</si>
  <si>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</si>
  <si>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</si>
  <si>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</si>
  <si>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</si>
  <si>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</si>
  <si>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</si>
  <si>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</si>
  <si>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</si>
  <si>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</si>
  <si>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</si>
  <si>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</si>
  <si>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</si>
  <si>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</si>
  <si>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</si>
  <si>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</si>
  <si>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</si>
  <si>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</si>
  <si>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</si>
  <si>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</si>
  <si>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</si>
  <si>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</si>
  <si>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</si>
  <si>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</si>
  <si>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</si>
  <si>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</si>
  <si>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</si>
  <si>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</si>
  <si>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</si>
  <si>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</si>
  <si>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</si>
  <si>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</si>
  <si>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</si>
  <si>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</si>
  <si>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</si>
  <si>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</si>
  <si>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</si>
  <si>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</si>
  <si>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</si>
  <si>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</si>
  <si>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</si>
  <si>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</si>
  <si>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</si>
  <si>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</si>
  <si>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</si>
  <si>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</si>
  <si>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</si>
  <si>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</si>
  <si>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</si>
  <si>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</si>
  <si>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</si>
  <si>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</si>
  <si>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</si>
  <si>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</si>
  <si>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</si>
  <si>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</si>
  <si>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</si>
  <si>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</si>
  <si>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</si>
  <si>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</si>
  <si>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</si>
  <si>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</si>
  <si>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</si>
  <si>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</si>
  <si>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</si>
  <si>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</si>
  <si>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</si>
  <si>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</si>
  <si>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</si>
  <si>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</si>
  <si>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</si>
  <si>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</si>
  <si>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</si>
  <si>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</si>
  <si>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</si>
  <si>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</si>
  <si>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</si>
  <si>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</si>
  <si>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</si>
  <si>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</si>
  <si>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</si>
  <si>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</si>
  <si>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</si>
  <si>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</si>
  <si>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</si>
  <si>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</si>
  <si>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</si>
  <si>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</si>
  <si>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</si>
  <si>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</si>
  <si>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</si>
  <si>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</si>
  <si>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</si>
  <si>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</si>
  <si>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</si>
  <si>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</si>
  <si>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</si>
  <si>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</si>
  <si>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</si>
  <si>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</si>
  <si>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</si>
  <si>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</si>
  <si>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</si>
  <si>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</si>
  <si>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</si>
  <si>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</si>
  <si>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</si>
  <si>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</si>
  <si>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</si>
  <si>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</si>
  <si>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</si>
  <si>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</si>
  <si>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</si>
  <si>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</si>
  <si>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</si>
  <si>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</si>
  <si>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</si>
  <si>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</si>
  <si>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</si>
  <si>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</si>
  <si>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</si>
  <si>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</si>
  <si>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</si>
  <si>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</si>
  <si>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</si>
  <si>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</si>
  <si>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</si>
  <si>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</si>
  <si>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</si>
  <si>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</si>
  <si>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</si>
  <si>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</si>
  <si>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</si>
  <si>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</si>
  <si>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</si>
  <si>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</si>
  <si>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</si>
  <si>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</si>
  <si>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</si>
  <si>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</si>
  <si>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</si>
  <si>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</si>
  <si>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</si>
  <si>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</si>
  <si>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</si>
  <si>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</si>
  <si>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</si>
  <si>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</si>
  <si>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</si>
  <si>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</si>
  <si>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</si>
  <si>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</si>
  <si>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</si>
  <si>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</si>
  <si>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</si>
  <si>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</si>
  <si>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</si>
  <si>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</si>
  <si>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</si>
  <si>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</si>
  <si>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</si>
  <si>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</si>
  <si>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</si>
  <si>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</si>
  <si>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</si>
  <si>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</si>
  <si>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</si>
  <si>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</si>
  <si>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</si>
  <si>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</si>
  <si>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</si>
  <si>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</si>
  <si>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</si>
  <si>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</si>
  <si>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</si>
  <si>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</si>
  <si>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</si>
  <si>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</si>
  <si>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</si>
  <si>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</si>
  <si>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</si>
  <si>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</si>
  <si>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</si>
  <si>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</si>
  <si>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</si>
  <si>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</si>
  <si>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</si>
  <si>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</si>
  <si>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</si>
  <si>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</si>
  <si>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</si>
  <si>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</si>
  <si>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</si>
  <si>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</si>
  <si>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</si>
  <si>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</si>
  <si>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</si>
  <si>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</si>
  <si>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</si>
  <si>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</si>
  <si>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</si>
  <si>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</si>
  <si>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</si>
  <si>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</si>
  <si>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</si>
  <si>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</si>
  <si>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</si>
  <si>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</si>
  <si>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</si>
  <si>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</si>
  <si>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</si>
  <si>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</si>
  <si>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</si>
  <si>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</si>
  <si>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</si>
  <si>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</si>
  <si>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</si>
  <si>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</si>
  <si>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</si>
  <si>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</si>
  <si>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</si>
  <si>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</si>
  <si>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</si>
  <si>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</si>
  <si>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</si>
  <si>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</si>
  <si>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</si>
  <si>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</si>
  <si>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</si>
  <si>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</si>
  <si>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</si>
  <si>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</si>
  <si>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</si>
  <si>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</si>
  <si>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</si>
  <si>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</si>
  <si>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</si>
  <si>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</si>
  <si>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</si>
  <si>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</si>
  <si>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</si>
  <si>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</si>
  <si>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</si>
  <si>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</si>
  <si>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</si>
  <si>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</si>
  <si>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</si>
  <si>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</si>
  <si>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</si>
  <si>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</si>
  <si>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</si>
  <si>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</si>
  <si>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</si>
  <si>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</si>
  <si>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</si>
  <si>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</si>
  <si>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</si>
  <si>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</si>
  <si>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</si>
  <si>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</si>
  <si>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</si>
  <si>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</si>
  <si>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</si>
  <si>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</si>
  <si>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</si>
  <si>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</si>
  <si>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</si>
  <si>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</si>
  <si>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</si>
  <si>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</si>
  <si>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</si>
  <si>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</si>
  <si>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</si>
  <si>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</si>
  <si>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</si>
  <si>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</si>
  <si>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</si>
  <si>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</si>
  <si>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</si>
  <si>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</si>
  <si>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</si>
  <si>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</si>
  <si>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</si>
  <si>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</si>
  <si>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</si>
  <si>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</si>
  <si>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</si>
  <si>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</si>
  <si>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</si>
  <si>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</si>
  <si>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</si>
  <si>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</si>
  <si>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</si>
  <si>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</si>
  <si>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</si>
  <si>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</si>
  <si>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</si>
  <si>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</si>
  <si>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</si>
  <si>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</si>
  <si>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</si>
  <si>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</si>
  <si>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</si>
  <si>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</si>
  <si>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</si>
  <si>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</si>
  <si>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</si>
  <si>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</si>
  <si>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</si>
  <si>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</si>
  <si>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</si>
  <si>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</si>
  <si>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</si>
  <si>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</si>
  <si>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</si>
  <si>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</si>
  <si>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</si>
  <si>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</si>
  <si>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</si>
  <si>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</si>
  <si>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</si>
  <si>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</si>
  <si>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</si>
  <si>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</si>
  <si>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</si>
  <si>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</si>
  <si>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</si>
  <si>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</si>
  <si>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</si>
  <si>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</si>
  <si>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</si>
  <si>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</si>
  <si>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</si>
  <si>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</si>
  <si>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</si>
  <si>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</si>
  <si>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</si>
  <si>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</si>
  <si>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</si>
  <si>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</si>
  <si>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</si>
  <si>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</si>
  <si>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</si>
  <si>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</si>
  <si>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</si>
  <si>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</si>
  <si>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</si>
  <si>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</si>
  <si>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</si>
  <si>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</si>
  <si>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</si>
  <si>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</si>
  <si>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</si>
  <si>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</si>
  <si>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</si>
  <si>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</si>
  <si>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</si>
  <si>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</si>
  <si>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</si>
  <si>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</si>
  <si>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</si>
  <si>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</si>
  <si>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</si>
  <si>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</si>
  <si>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</si>
  <si>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</si>
  <si>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</si>
  <si>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</si>
  <si>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</si>
  <si>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</si>
  <si>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</si>
  <si>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</si>
  <si>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</si>
  <si>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</si>
  <si>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</si>
  <si>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</si>
  <si>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</si>
  <si>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</si>
  <si>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</si>
  <si>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</si>
  <si>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</si>
  <si>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</si>
  <si>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</si>
  <si>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</si>
  <si>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</si>
  <si>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</si>
  <si>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</si>
  <si>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</si>
  <si>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</si>
  <si>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</si>
  <si>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</si>
  <si>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</si>
  <si>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</si>
  <si>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</si>
  <si>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</si>
  <si>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</si>
  <si>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</si>
  <si>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</si>
  <si>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</si>
  <si>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</si>
  <si>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</si>
  <si>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</si>
  <si>
    <t>Glucagon</t>
  </si>
  <si>
    <t>Qbrexza</t>
  </si>
  <si>
    <t>Disposition</t>
  </si>
  <si>
    <t>Divested</t>
  </si>
  <si>
    <t>lasmiditan</t>
  </si>
  <si>
    <t>R552</t>
  </si>
  <si>
    <t>RIGL</t>
  </si>
  <si>
    <t>RIPK</t>
  </si>
  <si>
    <t>Autoimmune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</si>
  <si>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</si>
  <si>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</si>
  <si>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</si>
  <si>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</si>
  <si>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</si>
  <si>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</si>
  <si>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</si>
  <si>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</si>
  <si>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</si>
  <si>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</si>
  <si>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</si>
  <si>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</si>
  <si>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</si>
  <si>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</si>
  <si>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</si>
  <si>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</si>
  <si>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</si>
  <si>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</si>
  <si>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</si>
  <si>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</si>
  <si>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</si>
  <si>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</si>
  <si>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ALM in EU, CRL in US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</si>
  <si>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</si>
  <si>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</si>
  <si>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</si>
  <si>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</si>
  <si>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</si>
  <si>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</si>
  <si>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</si>
  <si>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</si>
  <si>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</si>
  <si>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</si>
  <si>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</si>
  <si>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</si>
  <si>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</si>
  <si>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</si>
  <si>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</si>
  <si>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</si>
  <si>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</si>
  <si>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</si>
  <si>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</si>
  <si>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</si>
  <si>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T2D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</si>
</sst>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3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13493</xdr:colOff>
      <xdr:row>0</xdr:row>
      <xdr:rowOff>0</xdr:rowOff>
    </xdr:from>
    <xdr:to>
      <xdr:col>86</xdr:col>
      <xdr:colOff>13493</xdr:colOff>
      <xdr:row>146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46789181" y="0"/>
          <a:ext cx="0" cy="241696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116</xdr:col>
      <xdr:colOff>50800</xdr:colOff>
      <xdr:row>0</xdr:row>
      <xdr:rowOff>0</xdr:rowOff>
    </xdr:from>
    <xdr:to>
      <xdr:col>116</xdr:col>
      <xdr:colOff>50800</xdr:colOff>
      <xdr:row>105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62328425" y="0"/>
          <a:ext cx="0" cy="174974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V26" dT="2022-08-02T13:03:18.23" personId="{13399233-BA81-4949-9BE8-57EDDD85014C}" id="{C53B26C9-8602-47A2-80EC-A28651A52E20}">
    <text>359m as per 2021 10-K</text>
  </threadedComment>
  <threadedComment ref="BZ26" dT="2022-08-01T18:27:07.85" personId="{13399233-BA81-4949-9BE8-57EDDD85014C}" id="{63959650-84D7-46CF-829F-FD9E350BCC20}">
    <text>372.5m</text>
  </threadedComment>
  <threadedComment ref="BX30" dT="2022-08-02T13:15:28.62" personId="{13399233-BA81-4949-9BE8-57EDDD85014C}" id="{A9214E8B-BB63-4C5A-81B6-161440AC7FDE}">
    <text>last quarter of Qbrexza</text>
  </threadedComment>
  <threadedComment ref="BS59" dT="2022-08-01T19:29:14.28" personId="{13399233-BA81-4949-9BE8-57EDDD85014C}" id="{E60352B4-4A0D-4646-997E-29633AD2D222}">
    <text>5859.8m reported revenue</text>
  </threadedComment>
  <threadedComment ref="BT59" dT="2022-08-01T19:13:29.91" personId="{13399233-BA81-4949-9BE8-57EDDD85014C}" id="{D23219C3-585B-4401-96E4-A54AA852CF63}">
    <text>5499.4m reported revenue</text>
  </threadedComment>
  <threadedComment ref="BU59" dT="2022-08-01T19:08:14.14" personId="{13399233-BA81-4949-9BE8-57EDDD85014C}" id="{A2E464E0-CBDF-4ECE-9C4E-FC1B4BA053F8}">
    <text>5740.6 reported revenue</text>
  </threadedComment>
  <threadedComment ref="BV59" dT="2022-08-01T18:51:30.86" personId="{13399233-BA81-4949-9BE8-57EDDD85014C}" id="{F1B0E7D4-F86C-4460-9BB2-30549C72BA4D}">
    <text>7440.0 actual reported</text>
  </threadedComment>
  <threadedComment ref="BW59" dT="2022-08-01T19:28:46.54" personId="{13399233-BA81-4949-9BE8-57EDDD85014C}" id="{27F9AA8E-4F00-4838-B3AE-5C359EA80361}">
    <text>6805.6 reported</text>
  </threadedComment>
  <threadedComment ref="BX59" dT="2022-08-01T19:13:16.67" personId="{13399233-BA81-4949-9BE8-57EDDD85014C}" id="{AFC9B85C-9AC1-4E0B-A0FD-4EC0747D6C85}">
    <text>6740 reported revenue</text>
  </threadedComment>
  <threadedComment ref="BY59" dT="2022-08-01T19:08:01.93" personId="{13399233-BA81-4949-9BE8-57EDDD85014C}" id="{3630D8DA-CEAE-49F9-B57E-A7443096F4CE}">
    <text>6772.8 reported revenue</text>
  </threadedComment>
  <threadedComment ref="BZ59" dT="2022-08-01T18:31:56.86" personId="{13399233-BA81-4949-9BE8-57EDDD85014C}" id="{D7A857CD-B43A-4E52-BA69-3F839DE07274}">
    <text>Actual reported 7999.9</text>
  </threadedComment>
  <threadedComment ref="CF59" dT="2023-10-23T04:05:00.50" personId="{13399233-BA81-4949-9BE8-57EDDD85014C}" id="{7F77C49B-1A2C-41FA-8A63-291465846371}">
    <text>Excluding Baqsimi sale of 579m</text>
  </threadedComment>
  <threadedComment ref="DM59" dT="2024-02-22T18:16:29.86" personId="{13399233-BA81-4949-9BE8-57EDDD85014C}" id="{DCF6DE87-1143-A848-8919-609B3D10ACF2}">
    <text>Q423 guidance: 40.4-41.6</text>
  </threadedComment>
  <threadedComment ref="BW69" dT="2022-08-01T18:07:16.89" personId="{13399233-BA81-4949-9BE8-57EDDD85014C}" id="{00F4491F-C819-44C1-AC45-2ABA1B7BE593}">
    <text>actual adjusted 1465.5</text>
  </threadedComment>
  <threadedComment ref="CA69" dT="2022-08-01T18:06:59.44" personId="{13399233-BA81-4949-9BE8-57EDDD85014C}" id="{8874A794-CB8F-4280-B6A0-27B01371D863}">
    <text>actual adjusted 2372.8</text>
  </threadedComment>
  <threadedComment ref="DM70" dT="2024-02-22T18:16:50.67" personId="{13399233-BA81-4949-9BE8-57EDDD85014C}" id="{EA475891-7DAB-5B42-A37D-6815334EAFF1}">
    <text>Q423 guidance: 12.20-12.70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baseColWidth="10" defaultColWidth="8.83203125" defaultRowHeight="13" x14ac:dyDescent="0.15"/>
  <cols>
    <col min="1" max="1" width="5" bestFit="1" customWidth="1"/>
    <col min="2" max="2" width="13.5" customWidth="1"/>
  </cols>
  <sheetData>
    <row r="1" spans="1:8" x14ac:dyDescent="0.15">
      <c r="A1" s="13" t="s">
        <v>6</v>
      </c>
    </row>
    <row r="2" spans="1:8" x14ac:dyDescent="0.15">
      <c r="B2" s="38" t="s">
        <v>404</v>
      </c>
      <c r="C2" s="38" t="s">
        <v>405</v>
      </c>
      <c r="D2" s="38" t="s">
        <v>1</v>
      </c>
      <c r="E2" s="38" t="s">
        <v>407</v>
      </c>
      <c r="F2" s="38" t="s">
        <v>2</v>
      </c>
      <c r="G2" s="38" t="s">
        <v>381</v>
      </c>
      <c r="H2" s="38" t="s">
        <v>501</v>
      </c>
    </row>
    <row r="3" spans="1:8" x14ac:dyDescent="0.15">
      <c r="B3" s="38" t="s">
        <v>19</v>
      </c>
      <c r="C3" s="38" t="s">
        <v>228</v>
      </c>
      <c r="D3" s="38"/>
      <c r="E3" s="38"/>
      <c r="F3" s="38"/>
      <c r="G3" s="38"/>
    </row>
    <row r="4" spans="1:8" x14ac:dyDescent="0.15">
      <c r="B4" s="38" t="s">
        <v>279</v>
      </c>
      <c r="C4" s="38"/>
      <c r="D4" s="38"/>
      <c r="E4" s="38"/>
    </row>
    <row r="5" spans="1:8" x14ac:dyDescent="0.15">
      <c r="B5" s="38" t="s">
        <v>456</v>
      </c>
      <c r="C5" s="38" t="s">
        <v>473</v>
      </c>
      <c r="D5" s="38"/>
      <c r="E5" s="38"/>
    </row>
    <row r="6" spans="1:8" x14ac:dyDescent="0.15">
      <c r="B6" s="38" t="s">
        <v>481</v>
      </c>
      <c r="C6" s="38" t="s">
        <v>482</v>
      </c>
      <c r="D6" s="38"/>
      <c r="E6" s="38"/>
      <c r="F6" t="s">
        <v>276</v>
      </c>
    </row>
    <row r="7" spans="1:8" x14ac:dyDescent="0.15">
      <c r="B7" s="38" t="s">
        <v>14</v>
      </c>
      <c r="C7" s="38" t="s">
        <v>406</v>
      </c>
      <c r="D7" s="38" t="s">
        <v>408</v>
      </c>
      <c r="E7" s="38" t="s">
        <v>107</v>
      </c>
    </row>
    <row r="8" spans="1:8" x14ac:dyDescent="0.15">
      <c r="B8" s="38" t="s">
        <v>372</v>
      </c>
      <c r="C8" s="38"/>
      <c r="D8" s="38"/>
      <c r="E8" s="38"/>
    </row>
    <row r="9" spans="1:8" x14ac:dyDescent="0.15">
      <c r="B9" s="38" t="s">
        <v>262</v>
      </c>
      <c r="C9" s="38" t="s">
        <v>437</v>
      </c>
      <c r="D9" s="38" t="s">
        <v>93</v>
      </c>
      <c r="E9" s="38" t="s">
        <v>90</v>
      </c>
      <c r="F9" s="38" t="s">
        <v>438</v>
      </c>
    </row>
    <row r="10" spans="1:8" x14ac:dyDescent="0.15">
      <c r="B10" s="38" t="s">
        <v>377</v>
      </c>
      <c r="C10" s="38"/>
      <c r="D10" s="38"/>
      <c r="E10" s="38"/>
      <c r="F10" s="38"/>
    </row>
    <row r="11" spans="1:8" x14ac:dyDescent="0.15">
      <c r="B11" s="38" t="s">
        <v>17</v>
      </c>
      <c r="C11" s="38"/>
      <c r="D11" s="38" t="s">
        <v>111</v>
      </c>
      <c r="E11" s="38" t="s">
        <v>110</v>
      </c>
    </row>
    <row r="12" spans="1:8" x14ac:dyDescent="0.15">
      <c r="B12" s="38" t="s">
        <v>55</v>
      </c>
      <c r="C12" s="38" t="s">
        <v>439</v>
      </c>
      <c r="D12" s="38"/>
      <c r="E12" s="38"/>
    </row>
    <row r="13" spans="1:8" x14ac:dyDescent="0.15">
      <c r="B13" s="38" t="s">
        <v>499</v>
      </c>
      <c r="C13" s="38"/>
      <c r="D13" s="38"/>
      <c r="E13" s="38"/>
    </row>
    <row r="14" spans="1:8" x14ac:dyDescent="0.15">
      <c r="B14" s="38" t="s">
        <v>54</v>
      </c>
      <c r="C14" s="38"/>
      <c r="D14" s="38"/>
      <c r="E14" s="38"/>
    </row>
    <row r="15" spans="1:8" x14ac:dyDescent="0.15">
      <c r="B15" s="38" t="s">
        <v>57</v>
      </c>
      <c r="C15" s="38"/>
      <c r="D15" s="38"/>
      <c r="E15" s="38"/>
    </row>
    <row r="16" spans="1:8" x14ac:dyDescent="0.15">
      <c r="B16" s="38" t="s">
        <v>370</v>
      </c>
      <c r="C16" s="38"/>
      <c r="D16" s="38"/>
      <c r="E16" s="38"/>
    </row>
    <row r="17" spans="2:10" x14ac:dyDescent="0.15">
      <c r="B17" s="38" t="s">
        <v>409</v>
      </c>
      <c r="C17" s="38" t="s">
        <v>410</v>
      </c>
      <c r="D17" s="38" t="s">
        <v>411</v>
      </c>
      <c r="E17" s="38" t="s">
        <v>266</v>
      </c>
      <c r="F17" s="38" t="s">
        <v>267</v>
      </c>
    </row>
    <row r="18" spans="2:10" x14ac:dyDescent="0.15">
      <c r="B18" s="38" t="s">
        <v>442</v>
      </c>
      <c r="C18" s="38" t="s">
        <v>443</v>
      </c>
      <c r="D18" s="38" t="s">
        <v>239</v>
      </c>
      <c r="E18" s="38" t="s">
        <v>268</v>
      </c>
      <c r="F18" s="38" t="s">
        <v>269</v>
      </c>
    </row>
    <row r="19" spans="2:10" x14ac:dyDescent="0.15">
      <c r="B19" s="38" t="s">
        <v>420</v>
      </c>
      <c r="C19" s="38"/>
      <c r="D19" s="38"/>
      <c r="E19" s="38"/>
      <c r="F19" s="38"/>
      <c r="G19" s="21" t="s">
        <v>421</v>
      </c>
    </row>
    <row r="20" spans="2:10" x14ac:dyDescent="0.15">
      <c r="B20" s="38" t="s">
        <v>500</v>
      </c>
      <c r="C20" s="38"/>
      <c r="D20" s="38"/>
      <c r="E20" s="38"/>
      <c r="F20" s="38"/>
      <c r="G20" s="21"/>
      <c r="H20" s="38" t="s">
        <v>502</v>
      </c>
    </row>
    <row r="21" spans="2:10" x14ac:dyDescent="0.15">
      <c r="B21" s="38" t="s">
        <v>379</v>
      </c>
      <c r="C21" s="38"/>
      <c r="D21" s="38"/>
      <c r="E21" s="38"/>
      <c r="F21" s="38"/>
      <c r="G21" s="21"/>
    </row>
    <row r="22" spans="2:10" x14ac:dyDescent="0.15">
      <c r="B22" s="38" t="s">
        <v>457</v>
      </c>
      <c r="C22" s="38" t="s">
        <v>503</v>
      </c>
      <c r="D22" s="38" t="s">
        <v>455</v>
      </c>
      <c r="E22" s="38"/>
      <c r="F22" s="38"/>
      <c r="G22" s="21"/>
    </row>
    <row r="23" spans="2:10" x14ac:dyDescent="0.15">
      <c r="B23" s="38" t="s">
        <v>15</v>
      </c>
      <c r="C23" s="38" t="s">
        <v>412</v>
      </c>
      <c r="D23" s="38" t="s">
        <v>38</v>
      </c>
      <c r="J23" s="16"/>
    </row>
    <row r="24" spans="2:10" x14ac:dyDescent="0.15">
      <c r="B24" s="38" t="s">
        <v>41</v>
      </c>
      <c r="C24" s="38"/>
      <c r="D24" s="38" t="s">
        <v>416</v>
      </c>
    </row>
    <row r="25" spans="2:10" x14ac:dyDescent="0.15">
      <c r="B25" s="38" t="s">
        <v>445</v>
      </c>
      <c r="C25" s="38" t="s">
        <v>446</v>
      </c>
      <c r="D25" s="38" t="s">
        <v>239</v>
      </c>
      <c r="E25" s="38" t="s">
        <v>444</v>
      </c>
      <c r="F25" s="77">
        <v>1</v>
      </c>
    </row>
    <row r="26" spans="2:10" x14ac:dyDescent="0.15">
      <c r="B26" s="38" t="s">
        <v>496</v>
      </c>
      <c r="C26" s="38"/>
      <c r="D26" s="38"/>
      <c r="E26" s="38"/>
      <c r="F26" s="77"/>
    </row>
    <row r="27" spans="2:10" x14ac:dyDescent="0.15">
      <c r="B27" s="38" t="s">
        <v>466</v>
      </c>
      <c r="C27" s="38" t="s">
        <v>465</v>
      </c>
      <c r="D27" s="38" t="s">
        <v>36</v>
      </c>
      <c r="E27" s="38" t="s">
        <v>118</v>
      </c>
      <c r="F27" s="77"/>
    </row>
    <row r="28" spans="2:10" x14ac:dyDescent="0.15">
      <c r="B28" s="38" t="s">
        <v>371</v>
      </c>
      <c r="C28" s="38"/>
      <c r="D28" s="38"/>
      <c r="E28" s="38"/>
      <c r="F28" s="77"/>
    </row>
    <row r="29" spans="2:10" x14ac:dyDescent="0.15">
      <c r="B29" s="38" t="s">
        <v>418</v>
      </c>
      <c r="C29" s="38"/>
      <c r="D29" s="38"/>
      <c r="G29" s="21" t="s">
        <v>419</v>
      </c>
    </row>
    <row r="30" spans="2:10" x14ac:dyDescent="0.15">
      <c r="B30" s="38" t="s">
        <v>7</v>
      </c>
      <c r="C30" s="38" t="s">
        <v>85</v>
      </c>
      <c r="D30" s="38" t="s">
        <v>413</v>
      </c>
      <c r="E30" s="38" t="s">
        <v>414</v>
      </c>
      <c r="G30" s="21" t="s">
        <v>417</v>
      </c>
    </row>
    <row r="32" spans="2:10" x14ac:dyDescent="0.15">
      <c r="J32" s="21"/>
    </row>
    <row r="39" spans="2:8" x14ac:dyDescent="0.15">
      <c r="B39" s="38" t="s">
        <v>404</v>
      </c>
      <c r="C39" s="38" t="s">
        <v>405</v>
      </c>
      <c r="D39" s="38" t="s">
        <v>1</v>
      </c>
      <c r="E39" s="38" t="s">
        <v>407</v>
      </c>
      <c r="F39" s="38" t="s">
        <v>2</v>
      </c>
      <c r="G39" s="38" t="s">
        <v>5</v>
      </c>
      <c r="H39" s="38" t="s">
        <v>477</v>
      </c>
    </row>
    <row r="40" spans="2:8" x14ac:dyDescent="0.15">
      <c r="B40" s="38"/>
      <c r="C40" s="38" t="s">
        <v>484</v>
      </c>
      <c r="D40" s="38" t="s">
        <v>120</v>
      </c>
      <c r="E40" s="38" t="s">
        <v>486</v>
      </c>
      <c r="F40" s="38"/>
      <c r="G40" s="38"/>
      <c r="H40" s="38"/>
    </row>
    <row r="41" spans="2:8" x14ac:dyDescent="0.15">
      <c r="C41" s="38" t="s">
        <v>406</v>
      </c>
      <c r="D41" s="38" t="s">
        <v>39</v>
      </c>
    </row>
    <row r="42" spans="2:8" x14ac:dyDescent="0.15">
      <c r="C42" s="38" t="s">
        <v>49</v>
      </c>
      <c r="D42" s="38" t="s">
        <v>121</v>
      </c>
      <c r="E42" s="38" t="s">
        <v>458</v>
      </c>
    </row>
    <row r="43" spans="2:8" x14ac:dyDescent="0.15">
      <c r="B43" t="s">
        <v>25</v>
      </c>
      <c r="D43" s="53" t="s">
        <v>116</v>
      </c>
      <c r="E43" s="53" t="s">
        <v>191</v>
      </c>
      <c r="F43" s="70" t="s">
        <v>192</v>
      </c>
      <c r="G43" s="53" t="s">
        <v>105</v>
      </c>
    </row>
    <row r="44" spans="2:8" x14ac:dyDescent="0.15">
      <c r="C44" s="38" t="s">
        <v>324</v>
      </c>
      <c r="D44" s="38" t="s">
        <v>37</v>
      </c>
      <c r="E44" s="38" t="s">
        <v>193</v>
      </c>
    </row>
    <row r="45" spans="2:8" x14ac:dyDescent="0.15">
      <c r="B45" s="38"/>
      <c r="C45" s="38" t="s">
        <v>325</v>
      </c>
      <c r="D45" s="71" t="s">
        <v>327</v>
      </c>
      <c r="E45" s="71" t="s">
        <v>326</v>
      </c>
      <c r="F45" s="70">
        <v>1</v>
      </c>
      <c r="G45" s="71" t="s">
        <v>47</v>
      </c>
    </row>
    <row r="46" spans="2:8" x14ac:dyDescent="0.15">
      <c r="B46" s="38" t="s">
        <v>425</v>
      </c>
    </row>
    <row r="47" spans="2:8" x14ac:dyDescent="0.15">
      <c r="B47" s="38" t="s">
        <v>434</v>
      </c>
      <c r="D47" t="s">
        <v>120</v>
      </c>
      <c r="E47" s="38" t="s">
        <v>433</v>
      </c>
    </row>
    <row r="48" spans="2:8" x14ac:dyDescent="0.15">
      <c r="B48" s="38" t="s">
        <v>426</v>
      </c>
    </row>
    <row r="49" spans="2:8" x14ac:dyDescent="0.15">
      <c r="B49" s="38" t="s">
        <v>427</v>
      </c>
    </row>
    <row r="50" spans="2:8" x14ac:dyDescent="0.15">
      <c r="C50" s="38" t="s">
        <v>476</v>
      </c>
      <c r="H50" t="s">
        <v>478</v>
      </c>
    </row>
    <row r="51" spans="2:8" x14ac:dyDescent="0.15">
      <c r="B51" s="38" t="s">
        <v>428</v>
      </c>
    </row>
    <row r="52" spans="2:8" x14ac:dyDescent="0.15">
      <c r="B52" s="38" t="s">
        <v>429</v>
      </c>
    </row>
    <row r="53" spans="2:8" x14ac:dyDescent="0.15">
      <c r="B53" s="38"/>
      <c r="C53" t="s">
        <v>479</v>
      </c>
      <c r="G53" t="s">
        <v>480</v>
      </c>
    </row>
    <row r="54" spans="2:8" x14ac:dyDescent="0.15">
      <c r="B54" s="38" t="s">
        <v>430</v>
      </c>
    </row>
    <row r="55" spans="2:8" x14ac:dyDescent="0.15">
      <c r="B55" s="38"/>
      <c r="C55" s="38" t="s">
        <v>432</v>
      </c>
    </row>
    <row r="56" spans="2:8" x14ac:dyDescent="0.15">
      <c r="B56" s="38"/>
      <c r="C56" t="s">
        <v>424</v>
      </c>
    </row>
    <row r="57" spans="2:8" x14ac:dyDescent="0.15">
      <c r="B57" s="38"/>
      <c r="C57" t="s">
        <v>485</v>
      </c>
      <c r="D57" t="s">
        <v>120</v>
      </c>
      <c r="E57" t="s">
        <v>486</v>
      </c>
    </row>
    <row r="58" spans="2:8" x14ac:dyDescent="0.15">
      <c r="B58" s="38" t="s">
        <v>238</v>
      </c>
      <c r="C58" t="s">
        <v>467</v>
      </c>
      <c r="D58" t="s">
        <v>468</v>
      </c>
      <c r="E58" t="s">
        <v>469</v>
      </c>
    </row>
    <row r="59" spans="2:8" x14ac:dyDescent="0.15">
      <c r="C59" s="38" t="s">
        <v>431</v>
      </c>
    </row>
    <row r="60" spans="2:8" x14ac:dyDescent="0.15">
      <c r="B60" s="5" t="s">
        <v>160</v>
      </c>
      <c r="C60" s="6" t="s">
        <v>159</v>
      </c>
      <c r="D60" s="6" t="s">
        <v>508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" style="1" bestFit="1" customWidth="1"/>
    <col min="3" max="3" width="23.33203125" style="1" customWidth="1"/>
    <col min="4" max="5" width="12.1640625" style="1" customWidth="1"/>
    <col min="6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55</v>
      </c>
    </row>
    <row r="3" spans="1:3" x14ac:dyDescent="0.15">
      <c r="B3" s="1" t="s">
        <v>48</v>
      </c>
      <c r="C3" s="1" t="s">
        <v>135</v>
      </c>
    </row>
    <row r="4" spans="1:3" x14ac:dyDescent="0.15">
      <c r="B4" s="1" t="s">
        <v>1</v>
      </c>
    </row>
    <row r="5" spans="1:3" x14ac:dyDescent="0.15">
      <c r="B5" s="1" t="s">
        <v>51</v>
      </c>
    </row>
    <row r="6" spans="1:3" x14ac:dyDescent="0.15">
      <c r="B6" s="1" t="s">
        <v>137</v>
      </c>
    </row>
    <row r="7" spans="1:3" x14ac:dyDescent="0.15">
      <c r="B7" s="1" t="s">
        <v>4</v>
      </c>
      <c r="C7" s="1" t="s">
        <v>220</v>
      </c>
    </row>
    <row r="8" spans="1:3" x14ac:dyDescent="0.15">
      <c r="B8" s="1" t="s">
        <v>2</v>
      </c>
    </row>
    <row r="9" spans="1:3" x14ac:dyDescent="0.15">
      <c r="B9" s="1" t="s">
        <v>136</v>
      </c>
    </row>
    <row r="10" spans="1:3" x14ac:dyDescent="0.15">
      <c r="C10" s="16" t="s">
        <v>216</v>
      </c>
    </row>
    <row r="11" spans="1:3" x14ac:dyDescent="0.15">
      <c r="C11" s="1" t="s">
        <v>217</v>
      </c>
    </row>
    <row r="12" spans="1:3" x14ac:dyDescent="0.15">
      <c r="C12" s="1" t="s">
        <v>218</v>
      </c>
    </row>
    <row r="16" spans="1:3" x14ac:dyDescent="0.15">
      <c r="C16" s="16" t="s">
        <v>158</v>
      </c>
    </row>
    <row r="17" spans="3:6" ht="14" thickBot="1" x14ac:dyDescent="0.2"/>
    <row r="18" spans="3:6" x14ac:dyDescent="0.15">
      <c r="C18" s="26"/>
      <c r="D18" s="24" t="s">
        <v>55</v>
      </c>
      <c r="E18" s="24" t="s">
        <v>138</v>
      </c>
      <c r="F18" s="24" t="s">
        <v>148</v>
      </c>
    </row>
    <row r="19" spans="3:6" x14ac:dyDescent="0.15">
      <c r="C19" s="27" t="s">
        <v>157</v>
      </c>
      <c r="D19" s="22">
        <v>63</v>
      </c>
      <c r="E19" s="22">
        <v>63</v>
      </c>
      <c r="F19" s="22"/>
    </row>
    <row r="20" spans="3:6" x14ac:dyDescent="0.15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15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15">
      <c r="D22" s="6"/>
      <c r="E22" s="6"/>
      <c r="F22" s="6"/>
    </row>
    <row r="23" spans="3:6" x14ac:dyDescent="0.15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15">
      <c r="C24" s="1" t="s">
        <v>142</v>
      </c>
      <c r="D24" s="11">
        <v>0.46</v>
      </c>
      <c r="E24" s="11">
        <v>0.28999999999999998</v>
      </c>
      <c r="F24" s="6"/>
    </row>
    <row r="25" spans="3:6" x14ac:dyDescent="0.15">
      <c r="C25" s="1" t="s">
        <v>143</v>
      </c>
      <c r="D25" s="11">
        <v>0.24</v>
      </c>
      <c r="E25" s="11">
        <v>0.05</v>
      </c>
      <c r="F25" s="6"/>
    </row>
    <row r="26" spans="3:6" x14ac:dyDescent="0.15">
      <c r="C26" s="1" t="s">
        <v>144</v>
      </c>
      <c r="D26" s="11">
        <v>0.18</v>
      </c>
      <c r="E26" s="11">
        <v>0.02</v>
      </c>
      <c r="F26" s="6"/>
    </row>
    <row r="27" spans="3:6" x14ac:dyDescent="0.15">
      <c r="C27" s="1" t="s">
        <v>145</v>
      </c>
      <c r="D27" s="6" t="s">
        <v>150</v>
      </c>
      <c r="E27" s="6" t="s">
        <v>152</v>
      </c>
      <c r="F27" s="6"/>
    </row>
    <row r="28" spans="3:6" x14ac:dyDescent="0.15">
      <c r="D28" s="6"/>
      <c r="E28" s="6"/>
      <c r="F28" s="6"/>
    </row>
    <row r="29" spans="3:6" x14ac:dyDescent="0.15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4" thickBot="1" x14ac:dyDescent="0.2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baseColWidth="10" defaultColWidth="9.1640625" defaultRowHeight="13" x14ac:dyDescent="0.15"/>
  <cols>
    <col min="1" max="1" width="5.6640625" style="1" customWidth="1"/>
    <col min="2" max="2" width="13.33203125" style="1" customWidth="1"/>
    <col min="3" max="3" width="10.1640625" style="1" bestFit="1" customWidth="1"/>
    <col min="4" max="16384" width="9.1640625" style="1"/>
  </cols>
  <sheetData>
    <row r="1" spans="1:5" x14ac:dyDescent="0.15">
      <c r="A1" s="15" t="s">
        <v>6</v>
      </c>
    </row>
    <row r="2" spans="1:5" x14ac:dyDescent="0.15">
      <c r="B2" s="1" t="s">
        <v>50</v>
      </c>
      <c r="C2" s="1" t="s">
        <v>7</v>
      </c>
    </row>
    <row r="3" spans="1:5" x14ac:dyDescent="0.15">
      <c r="B3" s="1" t="s">
        <v>48</v>
      </c>
      <c r="C3" s="1" t="s">
        <v>85</v>
      </c>
    </row>
    <row r="4" spans="1:5" x14ac:dyDescent="0.15">
      <c r="B4" s="1" t="s">
        <v>3</v>
      </c>
      <c r="C4" s="1" t="s">
        <v>86</v>
      </c>
    </row>
    <row r="5" spans="1:5" x14ac:dyDescent="0.15">
      <c r="B5" s="1" t="s">
        <v>1</v>
      </c>
      <c r="C5" s="1" t="s">
        <v>87</v>
      </c>
    </row>
    <row r="6" spans="1:5" x14ac:dyDescent="0.15">
      <c r="B6" s="1" t="s">
        <v>4</v>
      </c>
      <c r="C6" s="1" t="s">
        <v>88</v>
      </c>
    </row>
    <row r="7" spans="1:5" x14ac:dyDescent="0.15">
      <c r="C7" s="1" t="s">
        <v>8</v>
      </c>
    </row>
    <row r="8" spans="1:5" x14ac:dyDescent="0.15">
      <c r="C8" s="1" t="s">
        <v>29</v>
      </c>
    </row>
    <row r="9" spans="1:5" x14ac:dyDescent="0.15">
      <c r="C9" s="1" t="s">
        <v>30</v>
      </c>
    </row>
    <row r="12" spans="1:5" x14ac:dyDescent="0.15">
      <c r="B12" s="1" t="s">
        <v>164</v>
      </c>
      <c r="C12" s="6"/>
      <c r="D12" s="6" t="s">
        <v>165</v>
      </c>
      <c r="E12" s="6" t="s">
        <v>166</v>
      </c>
    </row>
    <row r="13" spans="1:5" x14ac:dyDescent="0.15">
      <c r="C13" s="43">
        <v>40165</v>
      </c>
      <c r="D13" s="35">
        <v>117723</v>
      </c>
      <c r="E13" s="35">
        <v>53829</v>
      </c>
    </row>
    <row r="14" spans="1:5" x14ac:dyDescent="0.15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15">
      <c r="C15" s="43">
        <f t="shared" si="0"/>
        <v>40151</v>
      </c>
      <c r="D15" s="35">
        <v>128647</v>
      </c>
      <c r="E15" s="35">
        <v>56775</v>
      </c>
    </row>
    <row r="16" spans="1:5" x14ac:dyDescent="0.15">
      <c r="C16" s="43">
        <f t="shared" si="0"/>
        <v>40144</v>
      </c>
      <c r="D16" s="35">
        <v>104242</v>
      </c>
      <c r="E16" s="35">
        <v>44896</v>
      </c>
    </row>
    <row r="17" spans="3:5" x14ac:dyDescent="0.15">
      <c r="C17" s="43">
        <f t="shared" si="0"/>
        <v>40137</v>
      </c>
      <c r="D17" s="35">
        <v>116685</v>
      </c>
      <c r="E17" s="35">
        <v>53770</v>
      </c>
    </row>
    <row r="18" spans="3:5" x14ac:dyDescent="0.15">
      <c r="C18" s="43">
        <f t="shared" si="0"/>
        <v>40130</v>
      </c>
      <c r="D18" s="35">
        <v>113476</v>
      </c>
      <c r="E18" s="35">
        <v>51112</v>
      </c>
    </row>
    <row r="19" spans="3:5" x14ac:dyDescent="0.15">
      <c r="C19" s="43">
        <f t="shared" si="0"/>
        <v>40123</v>
      </c>
      <c r="D19" s="35">
        <v>122441</v>
      </c>
      <c r="E19" s="35">
        <v>54445</v>
      </c>
    </row>
    <row r="20" spans="3:5" x14ac:dyDescent="0.15">
      <c r="C20" s="43">
        <f t="shared" si="0"/>
        <v>40116</v>
      </c>
      <c r="D20" s="35">
        <v>114922</v>
      </c>
      <c r="E20" s="35">
        <v>51865</v>
      </c>
    </row>
    <row r="21" spans="3:5" x14ac:dyDescent="0.15">
      <c r="C21" s="43">
        <v>39234</v>
      </c>
      <c r="D21" s="35">
        <v>118958</v>
      </c>
      <c r="E21" s="35">
        <v>50496</v>
      </c>
    </row>
    <row r="22" spans="3:5" x14ac:dyDescent="0.15">
      <c r="C22" s="43">
        <f>C21-7</f>
        <v>39227</v>
      </c>
      <c r="D22" s="35">
        <v>123390</v>
      </c>
      <c r="E22" s="35">
        <v>53736</v>
      </c>
    </row>
    <row r="23" spans="3:5" x14ac:dyDescent="0.15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3.6640625" customWidth="1"/>
  </cols>
  <sheetData>
    <row r="1" spans="1:3" x14ac:dyDescent="0.15">
      <c r="A1" s="13" t="s">
        <v>6</v>
      </c>
      <c r="B1" s="13"/>
    </row>
    <row r="2" spans="1:3" x14ac:dyDescent="0.15">
      <c r="A2" s="13"/>
      <c r="B2" t="s">
        <v>50</v>
      </c>
      <c r="C2" t="s">
        <v>19</v>
      </c>
    </row>
    <row r="3" spans="1:3" x14ac:dyDescent="0.15">
      <c r="A3" s="13"/>
      <c r="B3" t="s">
        <v>48</v>
      </c>
      <c r="C3" t="s">
        <v>228</v>
      </c>
    </row>
    <row r="4" spans="1:3" x14ac:dyDescent="0.15">
      <c r="A4" s="13"/>
      <c r="B4" t="s">
        <v>4</v>
      </c>
      <c r="C4" s="38" t="s">
        <v>255</v>
      </c>
    </row>
    <row r="5" spans="1:3" x14ac:dyDescent="0.15">
      <c r="B5" t="s">
        <v>92</v>
      </c>
    </row>
    <row r="6" spans="1:3" x14ac:dyDescent="0.15">
      <c r="C6" t="s">
        <v>12</v>
      </c>
    </row>
    <row r="7" spans="1:3" x14ac:dyDescent="0.15">
      <c r="C7" t="s">
        <v>33</v>
      </c>
    </row>
    <row r="8" spans="1:3" x14ac:dyDescent="0.15">
      <c r="C8" t="s">
        <v>34</v>
      </c>
    </row>
    <row r="12" spans="1:3" x14ac:dyDescent="0.15">
      <c r="C12" s="20" t="s">
        <v>252</v>
      </c>
    </row>
    <row r="13" spans="1:3" x14ac:dyDescent="0.15">
      <c r="C13" s="38" t="s">
        <v>253</v>
      </c>
    </row>
    <row r="14" spans="1:3" x14ac:dyDescent="0.15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70</v>
      </c>
    </row>
    <row r="3" spans="1:3" x14ac:dyDescent="0.15">
      <c r="B3" s="1" t="s">
        <v>48</v>
      </c>
      <c r="C3" s="1" t="s">
        <v>221</v>
      </c>
    </row>
    <row r="4" spans="1:3" x14ac:dyDescent="0.15">
      <c r="B4" s="1" t="s">
        <v>2</v>
      </c>
      <c r="C4" s="1" t="s">
        <v>222</v>
      </c>
    </row>
    <row r="5" spans="1:3" x14ac:dyDescent="0.15">
      <c r="B5" s="1" t="s">
        <v>3</v>
      </c>
      <c r="C5" s="1" t="s">
        <v>225</v>
      </c>
    </row>
    <row r="6" spans="1:3" x14ac:dyDescent="0.15">
      <c r="B6" s="1" t="s">
        <v>226</v>
      </c>
      <c r="C6" s="1" t="s">
        <v>35</v>
      </c>
    </row>
    <row r="7" spans="1:3" x14ac:dyDescent="0.15">
      <c r="B7" s="1" t="s">
        <v>137</v>
      </c>
      <c r="C7" s="1" t="s">
        <v>22</v>
      </c>
    </row>
    <row r="8" spans="1:3" x14ac:dyDescent="0.15">
      <c r="B8" s="1" t="s">
        <v>92</v>
      </c>
    </row>
    <row r="9" spans="1:3" x14ac:dyDescent="0.15">
      <c r="C9" s="1" t="s">
        <v>20</v>
      </c>
    </row>
    <row r="10" spans="1:3" x14ac:dyDescent="0.15">
      <c r="C10" s="1" t="s">
        <v>21</v>
      </c>
    </row>
    <row r="14" spans="1:3" x14ac:dyDescent="0.15">
      <c r="C14" s="16" t="s">
        <v>223</v>
      </c>
    </row>
    <row r="15" spans="1:3" x14ac:dyDescent="0.15">
      <c r="C15" s="1" t="s">
        <v>224</v>
      </c>
    </row>
    <row r="16" spans="1:3" x14ac:dyDescent="0.15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0.5" style="1" bestFit="1" customWidth="1"/>
    <col min="4" max="16384" width="9.1640625" style="1"/>
  </cols>
  <sheetData>
    <row r="1" spans="1:7" x14ac:dyDescent="0.15">
      <c r="A1" s="15" t="s">
        <v>6</v>
      </c>
    </row>
    <row r="2" spans="1:7" x14ac:dyDescent="0.15">
      <c r="B2" s="1" t="s">
        <v>50</v>
      </c>
      <c r="C2" s="1" t="s">
        <v>196</v>
      </c>
    </row>
    <row r="3" spans="1:7" x14ac:dyDescent="0.15">
      <c r="B3" s="1" t="s">
        <v>48</v>
      </c>
      <c r="C3" s="1" t="s">
        <v>75</v>
      </c>
    </row>
    <row r="4" spans="1:7" x14ac:dyDescent="0.15">
      <c r="B4" s="1" t="s">
        <v>91</v>
      </c>
      <c r="C4" s="21" t="s">
        <v>248</v>
      </c>
    </row>
    <row r="5" spans="1:7" x14ac:dyDescent="0.15">
      <c r="B5" s="1" t="s">
        <v>51</v>
      </c>
      <c r="C5" s="1" t="s">
        <v>168</v>
      </c>
    </row>
    <row r="6" spans="1:7" x14ac:dyDescent="0.15">
      <c r="C6" s="1" t="s">
        <v>167</v>
      </c>
    </row>
    <row r="7" spans="1:7" x14ac:dyDescent="0.15">
      <c r="C7" s="1" t="s">
        <v>169</v>
      </c>
    </row>
    <row r="8" spans="1:7" x14ac:dyDescent="0.15">
      <c r="C8" s="1" t="s">
        <v>171</v>
      </c>
    </row>
    <row r="9" spans="1:7" x14ac:dyDescent="0.15">
      <c r="C9" s="1" t="s">
        <v>180</v>
      </c>
    </row>
    <row r="10" spans="1:7" x14ac:dyDescent="0.15">
      <c r="B10" s="1" t="s">
        <v>2</v>
      </c>
      <c r="C10" s="1" t="s">
        <v>129</v>
      </c>
    </row>
    <row r="11" spans="1:7" x14ac:dyDescent="0.15">
      <c r="B11" s="1" t="s">
        <v>131</v>
      </c>
      <c r="C11" s="1" t="s">
        <v>132</v>
      </c>
    </row>
    <row r="12" spans="1:7" x14ac:dyDescent="0.15">
      <c r="B12" s="21" t="s">
        <v>164</v>
      </c>
      <c r="C12" s="21"/>
      <c r="D12" s="39" t="s">
        <v>262</v>
      </c>
      <c r="E12" s="39" t="s">
        <v>101</v>
      </c>
      <c r="F12" s="39" t="s">
        <v>264</v>
      </c>
      <c r="G12" s="39" t="s">
        <v>265</v>
      </c>
    </row>
    <row r="13" spans="1:7" x14ac:dyDescent="0.15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15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15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15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15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15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15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15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15">
      <c r="B21" s="21"/>
      <c r="C21" s="21"/>
    </row>
    <row r="22" spans="2:7" x14ac:dyDescent="0.15">
      <c r="B22" s="21" t="s">
        <v>172</v>
      </c>
      <c r="C22" s="21" t="s">
        <v>263</v>
      </c>
    </row>
    <row r="23" spans="2:7" x14ac:dyDescent="0.15">
      <c r="B23" s="1" t="s">
        <v>92</v>
      </c>
    </row>
    <row r="24" spans="2:7" x14ac:dyDescent="0.15">
      <c r="C24" s="1" t="s">
        <v>24</v>
      </c>
    </row>
    <row r="25" spans="2:7" x14ac:dyDescent="0.15">
      <c r="C25" s="1" t="s">
        <v>219</v>
      </c>
    </row>
    <row r="27" spans="2:7" x14ac:dyDescent="0.15">
      <c r="C27" s="16" t="s">
        <v>184</v>
      </c>
    </row>
    <row r="28" spans="2:7" x14ac:dyDescent="0.15">
      <c r="C28" s="1" t="s">
        <v>182</v>
      </c>
    </row>
    <row r="29" spans="2:7" x14ac:dyDescent="0.15">
      <c r="C29" s="1" t="s">
        <v>109</v>
      </c>
    </row>
    <row r="30" spans="2:7" x14ac:dyDescent="0.15">
      <c r="C30" s="19" t="s">
        <v>230</v>
      </c>
    </row>
    <row r="31" spans="2:7" x14ac:dyDescent="0.15">
      <c r="C31" s="1" t="s">
        <v>130</v>
      </c>
    </row>
    <row r="32" spans="2:7" x14ac:dyDescent="0.15">
      <c r="C32" s="1" t="s">
        <v>229</v>
      </c>
    </row>
    <row r="33" spans="3:3" x14ac:dyDescent="0.15">
      <c r="C33" s="1" t="s">
        <v>161</v>
      </c>
    </row>
    <row r="34" spans="3:3" x14ac:dyDescent="0.15">
      <c r="C34" s="1" t="s">
        <v>170</v>
      </c>
    </row>
    <row r="35" spans="3:3" x14ac:dyDescent="0.15">
      <c r="C35" s="1" t="s">
        <v>181</v>
      </c>
    </row>
    <row r="36" spans="3:3" x14ac:dyDescent="0.15">
      <c r="C36" s="1" t="s">
        <v>240</v>
      </c>
    </row>
    <row r="38" spans="3:3" x14ac:dyDescent="0.15">
      <c r="C38" s="16" t="s">
        <v>94</v>
      </c>
    </row>
    <row r="39" spans="3:3" x14ac:dyDescent="0.15">
      <c r="C39" s="1" t="s">
        <v>95</v>
      </c>
    </row>
    <row r="40" spans="3:3" x14ac:dyDescent="0.15">
      <c r="C40" s="1" t="s">
        <v>102</v>
      </c>
    </row>
    <row r="41" spans="3:3" x14ac:dyDescent="0.15">
      <c r="C41" s="19" t="s">
        <v>103</v>
      </c>
    </row>
    <row r="42" spans="3:3" x14ac:dyDescent="0.15">
      <c r="C42" s="1" t="s">
        <v>104</v>
      </c>
    </row>
    <row r="43" spans="3:3" x14ac:dyDescent="0.15">
      <c r="C43" s="1" t="s">
        <v>162</v>
      </c>
    </row>
    <row r="44" spans="3:3" x14ac:dyDescent="0.15">
      <c r="C44" s="1" t="s">
        <v>177</v>
      </c>
    </row>
    <row r="46" spans="3:3" x14ac:dyDescent="0.15">
      <c r="C46" s="16" t="s">
        <v>330</v>
      </c>
    </row>
    <row r="47" spans="3:3" x14ac:dyDescent="0.15">
      <c r="C47" s="21" t="s">
        <v>328</v>
      </c>
    </row>
    <row r="48" spans="3:3" x14ac:dyDescent="0.15">
      <c r="C48" s="21" t="s">
        <v>329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3.33203125" style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A2" s="15"/>
      <c r="B2" s="1" t="s">
        <v>50</v>
      </c>
    </row>
    <row r="3" spans="1:3" x14ac:dyDescent="0.15">
      <c r="A3" s="15"/>
      <c r="B3" s="1" t="s">
        <v>48</v>
      </c>
      <c r="C3" s="1" t="s">
        <v>49</v>
      </c>
    </row>
    <row r="4" spans="1:3" x14ac:dyDescent="0.15">
      <c r="A4" s="15"/>
      <c r="B4" s="1" t="s">
        <v>1</v>
      </c>
      <c r="C4" s="1" t="s">
        <v>121</v>
      </c>
    </row>
    <row r="5" spans="1:3" x14ac:dyDescent="0.15">
      <c r="A5" s="15"/>
      <c r="B5" s="1" t="s">
        <v>51</v>
      </c>
      <c r="C5" s="1" t="s">
        <v>52</v>
      </c>
    </row>
    <row r="6" spans="1:3" x14ac:dyDescent="0.15">
      <c r="A6" s="15"/>
      <c r="B6" s="1" t="s">
        <v>92</v>
      </c>
    </row>
    <row r="7" spans="1:3" x14ac:dyDescent="0.15">
      <c r="C7" s="16" t="s">
        <v>305</v>
      </c>
    </row>
    <row r="8" spans="1:3" x14ac:dyDescent="0.15">
      <c r="C8" s="1" t="s">
        <v>46</v>
      </c>
    </row>
    <row r="10" spans="1:3" x14ac:dyDescent="0.15">
      <c r="C10" s="16" t="s">
        <v>53</v>
      </c>
    </row>
    <row r="11" spans="1:3" x14ac:dyDescent="0.15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</row>
    <row r="3" spans="1:3" x14ac:dyDescent="0.15">
      <c r="B3" t="s">
        <v>48</v>
      </c>
      <c r="C3" t="s">
        <v>112</v>
      </c>
    </row>
    <row r="4" spans="1:3" x14ac:dyDescent="0.15">
      <c r="B4" t="s">
        <v>1</v>
      </c>
      <c r="C4" t="s">
        <v>115</v>
      </c>
    </row>
    <row r="5" spans="1:3" x14ac:dyDescent="0.15">
      <c r="B5" t="s">
        <v>91</v>
      </c>
      <c r="C5" t="s">
        <v>26</v>
      </c>
    </row>
    <row r="6" spans="1:3" x14ac:dyDescent="0.15">
      <c r="B6" t="s">
        <v>3</v>
      </c>
      <c r="C6" t="s">
        <v>28</v>
      </c>
    </row>
    <row r="7" spans="1:3" x14ac:dyDescent="0.15">
      <c r="B7" t="s">
        <v>92</v>
      </c>
      <c r="C7" t="s">
        <v>27</v>
      </c>
    </row>
    <row r="9" spans="1:3" x14ac:dyDescent="0.15">
      <c r="C9" s="20" t="s">
        <v>113</v>
      </c>
    </row>
    <row r="10" spans="1:3" x14ac:dyDescent="0.15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5" t="s">
        <v>6</v>
      </c>
    </row>
    <row r="2" spans="1:3" x14ac:dyDescent="0.15">
      <c r="B2" s="1" t="s">
        <v>50</v>
      </c>
      <c r="C2" s="1" t="s">
        <v>178</v>
      </c>
    </row>
    <row r="3" spans="1:3" x14ac:dyDescent="0.15">
      <c r="B3" s="1" t="s">
        <v>2</v>
      </c>
      <c r="C3" s="1" t="s">
        <v>234</v>
      </c>
    </row>
    <row r="4" spans="1:3" x14ac:dyDescent="0.15">
      <c r="B4" s="1" t="s">
        <v>1</v>
      </c>
      <c r="C4" s="1" t="s">
        <v>237</v>
      </c>
    </row>
    <row r="5" spans="1:3" x14ac:dyDescent="0.15">
      <c r="B5" s="1" t="s">
        <v>92</v>
      </c>
    </row>
    <row r="6" spans="1:3" x14ac:dyDescent="0.15">
      <c r="C6" s="16" t="s">
        <v>236</v>
      </c>
    </row>
    <row r="9" spans="1:3" x14ac:dyDescent="0.15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4"/>
  <sheetViews>
    <sheetView tabSelected="1" zoomScale="145" zoomScaleNormal="145" workbookViewId="0">
      <selection activeCell="J3" sqref="J3"/>
    </sheetView>
  </sheetViews>
  <sheetFormatPr baseColWidth="10" defaultColWidth="9.1640625" defaultRowHeight="13" x14ac:dyDescent="0.15"/>
  <cols>
    <col min="1" max="1" width="2.5" style="1" customWidth="1"/>
    <col min="2" max="2" width="22" style="1" customWidth="1"/>
    <col min="3" max="3" width="27.5" style="1" bestFit="1" customWidth="1"/>
    <col min="4" max="4" width="16.33203125" style="1" bestFit="1" customWidth="1"/>
    <col min="5" max="5" width="11.5" style="1" customWidth="1"/>
    <col min="6" max="6" width="12.1640625" style="1" customWidth="1"/>
    <col min="7" max="7" width="13.83203125" style="1" customWidth="1"/>
    <col min="8" max="8" width="4.6640625" style="1" customWidth="1"/>
    <col min="9" max="9" width="7.5" style="1" customWidth="1"/>
    <col min="10" max="10" width="8.1640625" style="1" customWidth="1"/>
    <col min="11" max="11" width="6.5" style="1" customWidth="1"/>
    <col min="12" max="16384" width="9.1640625" style="1"/>
  </cols>
  <sheetData>
    <row r="1" spans="1:11" x14ac:dyDescent="0.15">
      <c r="A1" s="21" t="s">
        <v>498</v>
      </c>
    </row>
    <row r="2" spans="1:11" x14ac:dyDescent="0.15">
      <c r="B2" s="2" t="s">
        <v>0</v>
      </c>
      <c r="C2" s="3" t="s">
        <v>1</v>
      </c>
      <c r="D2" s="3" t="s">
        <v>51</v>
      </c>
      <c r="E2" s="3" t="s">
        <v>2</v>
      </c>
      <c r="F2" s="78" t="s">
        <v>448</v>
      </c>
      <c r="G2" s="4" t="s">
        <v>4</v>
      </c>
      <c r="I2" s="1" t="s">
        <v>172</v>
      </c>
      <c r="J2" s="31">
        <v>464</v>
      </c>
    </row>
    <row r="3" spans="1:11" x14ac:dyDescent="0.15">
      <c r="B3" s="14" t="s">
        <v>512</v>
      </c>
      <c r="C3" s="37" t="s">
        <v>36</v>
      </c>
      <c r="D3" s="37" t="s">
        <v>118</v>
      </c>
      <c r="E3" s="11">
        <v>1</v>
      </c>
      <c r="F3" s="6"/>
      <c r="G3" s="7"/>
      <c r="I3" s="1" t="s">
        <v>84</v>
      </c>
      <c r="J3" s="18">
        <v>949.27293299999997</v>
      </c>
      <c r="K3" s="39" t="s">
        <v>383</v>
      </c>
    </row>
    <row r="4" spans="1:11" x14ac:dyDescent="0.15">
      <c r="B4" s="36" t="s">
        <v>524</v>
      </c>
      <c r="C4" s="37" t="s">
        <v>525</v>
      </c>
      <c r="D4" s="37" t="s">
        <v>459</v>
      </c>
      <c r="E4" s="11">
        <v>1</v>
      </c>
      <c r="F4" s="6"/>
      <c r="G4" s="7"/>
      <c r="I4" s="1" t="s">
        <v>173</v>
      </c>
      <c r="J4" s="18">
        <f>J2*J3</f>
        <v>440462.64091199997</v>
      </c>
      <c r="K4" s="32"/>
    </row>
    <row r="5" spans="1:11" x14ac:dyDescent="0.15">
      <c r="B5" s="14" t="s">
        <v>509</v>
      </c>
      <c r="C5" s="37" t="s">
        <v>527</v>
      </c>
      <c r="D5" s="37" t="s">
        <v>459</v>
      </c>
      <c r="E5" s="11">
        <v>1</v>
      </c>
      <c r="F5" s="37"/>
      <c r="G5" s="44"/>
      <c r="I5" s="1" t="s">
        <v>174</v>
      </c>
      <c r="J5" s="18">
        <v>6420</v>
      </c>
      <c r="K5" s="39" t="s">
        <v>383</v>
      </c>
    </row>
    <row r="6" spans="1:11" x14ac:dyDescent="0.15">
      <c r="B6" s="14" t="s">
        <v>14</v>
      </c>
      <c r="C6" s="6" t="s">
        <v>37</v>
      </c>
      <c r="D6" s="6" t="s">
        <v>107</v>
      </c>
      <c r="E6" s="11">
        <v>1</v>
      </c>
      <c r="F6" s="6"/>
      <c r="G6" s="7">
        <v>2013</v>
      </c>
      <c r="I6" s="1" t="s">
        <v>175</v>
      </c>
      <c r="J6" s="18">
        <v>18884</v>
      </c>
      <c r="K6" s="39" t="s">
        <v>383</v>
      </c>
    </row>
    <row r="7" spans="1:11" x14ac:dyDescent="0.15">
      <c r="B7" s="68" t="s">
        <v>472</v>
      </c>
      <c r="C7" s="37" t="s">
        <v>36</v>
      </c>
      <c r="D7" s="37" t="s">
        <v>415</v>
      </c>
      <c r="E7" s="40" t="s">
        <v>276</v>
      </c>
      <c r="F7" s="6"/>
      <c r="G7" s="7"/>
      <c r="I7" s="1" t="s">
        <v>176</v>
      </c>
      <c r="J7" s="18">
        <f>J4-J5+J6</f>
        <v>452926.64091199997</v>
      </c>
    </row>
    <row r="8" spans="1:11" x14ac:dyDescent="0.15">
      <c r="B8" s="14" t="s">
        <v>16</v>
      </c>
      <c r="C8" s="6" t="s">
        <v>111</v>
      </c>
      <c r="D8" s="6"/>
      <c r="E8" s="11"/>
      <c r="F8" s="6"/>
      <c r="G8" s="7"/>
    </row>
    <row r="9" spans="1:11" x14ac:dyDescent="0.15">
      <c r="B9" s="68" t="s">
        <v>422</v>
      </c>
      <c r="C9" s="37" t="s">
        <v>36</v>
      </c>
      <c r="D9" s="37" t="s">
        <v>281</v>
      </c>
      <c r="E9" s="40" t="s">
        <v>276</v>
      </c>
      <c r="F9" s="6"/>
      <c r="G9" s="7"/>
      <c r="I9" s="21" t="s">
        <v>460</v>
      </c>
    </row>
    <row r="10" spans="1:11" x14ac:dyDescent="0.15">
      <c r="B10" s="14" t="s">
        <v>18</v>
      </c>
      <c r="C10" s="6" t="s">
        <v>40</v>
      </c>
      <c r="D10" s="6" t="s">
        <v>108</v>
      </c>
      <c r="E10" s="11">
        <v>1</v>
      </c>
      <c r="F10" s="6"/>
      <c r="G10" s="7">
        <v>2016</v>
      </c>
      <c r="I10" s="21" t="s">
        <v>461</v>
      </c>
    </row>
    <row r="11" spans="1:11" x14ac:dyDescent="0.15">
      <c r="B11" s="14" t="s">
        <v>19</v>
      </c>
      <c r="C11" s="6" t="s">
        <v>116</v>
      </c>
      <c r="D11" s="6"/>
      <c r="E11" s="11"/>
      <c r="F11" s="6"/>
      <c r="G11" s="7">
        <v>2016</v>
      </c>
      <c r="I11" s="21" t="s">
        <v>462</v>
      </c>
    </row>
    <row r="12" spans="1:11" x14ac:dyDescent="0.15">
      <c r="B12" s="36" t="s">
        <v>314</v>
      </c>
      <c r="C12" s="6" t="s">
        <v>36</v>
      </c>
      <c r="D12" s="6" t="s">
        <v>275</v>
      </c>
      <c r="E12" s="11" t="s">
        <v>276</v>
      </c>
      <c r="F12" s="6"/>
      <c r="G12" s="7"/>
      <c r="I12" s="21" t="s">
        <v>536</v>
      </c>
    </row>
    <row r="13" spans="1:11" x14ac:dyDescent="0.15">
      <c r="B13" s="36" t="s">
        <v>423</v>
      </c>
      <c r="C13" s="37" t="s">
        <v>447</v>
      </c>
      <c r="D13" s="37" t="s">
        <v>444</v>
      </c>
      <c r="E13" s="40">
        <v>1</v>
      </c>
      <c r="F13" s="6"/>
      <c r="G13" s="7"/>
      <c r="I13" s="21" t="s">
        <v>541</v>
      </c>
    </row>
    <row r="14" spans="1:11" x14ac:dyDescent="0.15">
      <c r="B14" s="36" t="s">
        <v>377</v>
      </c>
      <c r="C14" s="37" t="s">
        <v>455</v>
      </c>
      <c r="D14" s="37" t="s">
        <v>464</v>
      </c>
      <c r="E14" s="40"/>
      <c r="F14" s="6"/>
      <c r="G14" s="7"/>
    </row>
    <row r="15" spans="1:11" x14ac:dyDescent="0.15">
      <c r="B15" s="14" t="s">
        <v>539</v>
      </c>
      <c r="C15" s="37" t="s">
        <v>526</v>
      </c>
      <c r="D15" s="6" t="s">
        <v>489</v>
      </c>
      <c r="E15" s="11">
        <v>1</v>
      </c>
      <c r="F15" s="37"/>
      <c r="G15" s="44"/>
    </row>
    <row r="16" spans="1:11" x14ac:dyDescent="0.15">
      <c r="B16" s="36" t="s">
        <v>492</v>
      </c>
      <c r="C16" s="37" t="s">
        <v>454</v>
      </c>
      <c r="D16" s="37" t="s">
        <v>463</v>
      </c>
      <c r="E16" s="40"/>
      <c r="F16" s="6"/>
      <c r="G16" s="7"/>
    </row>
    <row r="17" spans="2:7" x14ac:dyDescent="0.15">
      <c r="B17" s="36" t="s">
        <v>450</v>
      </c>
      <c r="C17" s="37" t="s">
        <v>452</v>
      </c>
      <c r="D17" s="6"/>
      <c r="E17" s="40"/>
      <c r="F17" s="6"/>
      <c r="G17" s="7"/>
    </row>
    <row r="18" spans="2:7" x14ac:dyDescent="0.15">
      <c r="B18" s="36" t="s">
        <v>451</v>
      </c>
      <c r="C18" s="37" t="s">
        <v>452</v>
      </c>
      <c r="D18" s="6"/>
      <c r="E18" s="40"/>
      <c r="F18" s="6"/>
      <c r="G18" s="7"/>
    </row>
    <row r="19" spans="2:7" x14ac:dyDescent="0.15">
      <c r="B19" s="36" t="s">
        <v>488</v>
      </c>
      <c r="C19" s="37" t="s">
        <v>453</v>
      </c>
      <c r="D19" s="37" t="s">
        <v>449</v>
      </c>
      <c r="E19" s="40" t="s">
        <v>440</v>
      </c>
      <c r="F19" s="6"/>
      <c r="G19" s="7"/>
    </row>
    <row r="20" spans="2:7" x14ac:dyDescent="0.15">
      <c r="B20" s="36" t="s">
        <v>487</v>
      </c>
      <c r="C20" s="37"/>
      <c r="D20" s="37"/>
      <c r="E20" s="40"/>
      <c r="F20" s="6"/>
      <c r="G20" s="7"/>
    </row>
    <row r="21" spans="2:7" x14ac:dyDescent="0.15">
      <c r="B21" s="36" t="s">
        <v>441</v>
      </c>
      <c r="C21" s="37" t="s">
        <v>511</v>
      </c>
      <c r="D21" s="37" t="s">
        <v>268</v>
      </c>
      <c r="E21" s="40" t="s">
        <v>269</v>
      </c>
      <c r="F21" s="6"/>
      <c r="G21" s="7"/>
    </row>
    <row r="22" spans="2:7" x14ac:dyDescent="0.15">
      <c r="B22" s="36" t="s">
        <v>528</v>
      </c>
      <c r="C22" s="37" t="s">
        <v>470</v>
      </c>
      <c r="D22" s="37" t="s">
        <v>529</v>
      </c>
      <c r="E22" s="80" t="s">
        <v>530</v>
      </c>
      <c r="F22" s="37"/>
      <c r="G22" s="44"/>
    </row>
    <row r="23" spans="2:7" x14ac:dyDescent="0.15">
      <c r="B23" s="36" t="s">
        <v>474</v>
      </c>
      <c r="C23" s="37" t="s">
        <v>475</v>
      </c>
      <c r="D23" s="37" t="s">
        <v>473</v>
      </c>
      <c r="E23" s="40"/>
      <c r="F23" s="6"/>
      <c r="G23" s="7"/>
    </row>
    <row r="24" spans="2:7" x14ac:dyDescent="0.15">
      <c r="B24" s="5" t="s">
        <v>471</v>
      </c>
      <c r="C24" s="6" t="s">
        <v>36</v>
      </c>
      <c r="D24" s="6" t="s">
        <v>117</v>
      </c>
      <c r="E24" s="40" t="s">
        <v>284</v>
      </c>
      <c r="F24" s="6"/>
      <c r="G24" s="7">
        <v>2013</v>
      </c>
    </row>
    <row r="25" spans="2:7" x14ac:dyDescent="0.15">
      <c r="B25" s="36" t="s">
        <v>57</v>
      </c>
      <c r="C25" s="6" t="s">
        <v>36</v>
      </c>
      <c r="D25" s="6" t="s">
        <v>117</v>
      </c>
      <c r="E25" s="40" t="s">
        <v>284</v>
      </c>
      <c r="F25" s="6"/>
      <c r="G25" s="7"/>
    </row>
    <row r="26" spans="2:7" s="19" customFormat="1" x14ac:dyDescent="0.15">
      <c r="B26" s="69" t="s">
        <v>435</v>
      </c>
      <c r="C26" s="72" t="s">
        <v>306</v>
      </c>
      <c r="D26" s="72" t="s">
        <v>436</v>
      </c>
      <c r="E26" s="73" t="s">
        <v>284</v>
      </c>
      <c r="F26" s="9"/>
      <c r="G26" s="10"/>
    </row>
    <row r="27" spans="2:7" x14ac:dyDescent="0.15">
      <c r="B27" s="2"/>
      <c r="C27" s="3"/>
      <c r="D27" s="3"/>
      <c r="E27" s="3"/>
      <c r="F27" s="3" t="s">
        <v>5</v>
      </c>
      <c r="G27" s="4"/>
    </row>
    <row r="28" spans="2:7" x14ac:dyDescent="0.15">
      <c r="B28" s="36" t="s">
        <v>531</v>
      </c>
      <c r="C28" s="37" t="s">
        <v>483</v>
      </c>
      <c r="D28" s="37" t="s">
        <v>532</v>
      </c>
      <c r="E28" s="11" t="s">
        <v>284</v>
      </c>
      <c r="F28" s="37"/>
      <c r="G28" s="44"/>
    </row>
    <row r="29" spans="2:7" x14ac:dyDescent="0.15">
      <c r="B29" s="36" t="s">
        <v>484</v>
      </c>
      <c r="C29" s="37" t="s">
        <v>120</v>
      </c>
      <c r="D29" s="37" t="s">
        <v>179</v>
      </c>
      <c r="E29" s="11">
        <v>1</v>
      </c>
      <c r="F29" s="37" t="s">
        <v>47</v>
      </c>
      <c r="G29" s="44"/>
    </row>
    <row r="30" spans="2:7" x14ac:dyDescent="0.15">
      <c r="B30" s="36" t="s">
        <v>257</v>
      </c>
      <c r="C30" s="6" t="s">
        <v>120</v>
      </c>
      <c r="D30" s="6" t="s">
        <v>179</v>
      </c>
      <c r="E30" s="11">
        <v>1</v>
      </c>
      <c r="F30" s="37" t="s">
        <v>47</v>
      </c>
      <c r="G30" s="44" t="s">
        <v>307</v>
      </c>
    </row>
    <row r="31" spans="2:7" x14ac:dyDescent="0.15">
      <c r="B31" s="36" t="s">
        <v>490</v>
      </c>
      <c r="C31" s="6" t="s">
        <v>491</v>
      </c>
      <c r="D31" s="6"/>
      <c r="E31" s="11"/>
      <c r="F31" s="37" t="s">
        <v>47</v>
      </c>
      <c r="G31" s="44"/>
    </row>
    <row r="32" spans="2:7" x14ac:dyDescent="0.15">
      <c r="B32" s="36" t="s">
        <v>278</v>
      </c>
      <c r="C32" s="6" t="s">
        <v>282</v>
      </c>
      <c r="D32" s="6" t="s">
        <v>283</v>
      </c>
      <c r="E32" s="11" t="s">
        <v>284</v>
      </c>
      <c r="F32" s="37" t="s">
        <v>285</v>
      </c>
      <c r="G32" s="7"/>
    </row>
    <row r="33" spans="2:7" x14ac:dyDescent="0.15">
      <c r="B33" s="5" t="s">
        <v>504</v>
      </c>
      <c r="C33" s="6" t="s">
        <v>507</v>
      </c>
      <c r="D33" s="6" t="s">
        <v>506</v>
      </c>
      <c r="E33" s="11" t="s">
        <v>505</v>
      </c>
      <c r="F33" s="6" t="s">
        <v>119</v>
      </c>
      <c r="G33" s="7"/>
    </row>
    <row r="34" spans="2:7" x14ac:dyDescent="0.15">
      <c r="B34" s="5" t="s">
        <v>204</v>
      </c>
      <c r="C34" s="6" t="s">
        <v>194</v>
      </c>
      <c r="D34" s="6" t="s">
        <v>195</v>
      </c>
      <c r="E34" s="11" t="s">
        <v>205</v>
      </c>
      <c r="F34" s="6" t="s">
        <v>105</v>
      </c>
      <c r="G34" s="7"/>
    </row>
    <row r="35" spans="2:7" x14ac:dyDescent="0.15">
      <c r="B35" s="36" t="s">
        <v>311</v>
      </c>
      <c r="C35" s="37" t="s">
        <v>313</v>
      </c>
      <c r="D35" s="37" t="s">
        <v>312</v>
      </c>
      <c r="E35" s="40" t="s">
        <v>284</v>
      </c>
      <c r="F35" s="37" t="s">
        <v>105</v>
      </c>
      <c r="G35" s="7"/>
    </row>
    <row r="36" spans="2:7" x14ac:dyDescent="0.15">
      <c r="B36" s="36" t="s">
        <v>308</v>
      </c>
      <c r="C36" s="37" t="s">
        <v>310</v>
      </c>
      <c r="D36" s="37" t="s">
        <v>309</v>
      </c>
      <c r="E36" s="40" t="s">
        <v>284</v>
      </c>
      <c r="F36" s="37" t="s">
        <v>105</v>
      </c>
      <c r="G36" s="7"/>
    </row>
    <row r="37" spans="2:7" x14ac:dyDescent="0.15">
      <c r="B37" s="36" t="s">
        <v>534</v>
      </c>
      <c r="C37" s="37" t="s">
        <v>535</v>
      </c>
      <c r="D37" s="37"/>
      <c r="E37" s="40"/>
      <c r="F37" s="37" t="s">
        <v>119</v>
      </c>
      <c r="G37" s="7"/>
    </row>
    <row r="38" spans="2:7" x14ac:dyDescent="0.15">
      <c r="B38" s="5" t="s">
        <v>134</v>
      </c>
      <c r="C38" s="6" t="s">
        <v>36</v>
      </c>
      <c r="D38" s="6" t="s">
        <v>133</v>
      </c>
      <c r="E38" s="11">
        <v>1</v>
      </c>
      <c r="F38" s="6" t="s">
        <v>105</v>
      </c>
      <c r="G38" s="7"/>
    </row>
    <row r="39" spans="2:7" x14ac:dyDescent="0.15">
      <c r="B39" s="5" t="s">
        <v>188</v>
      </c>
      <c r="C39" s="6" t="s">
        <v>36</v>
      </c>
      <c r="D39" s="6" t="s">
        <v>189</v>
      </c>
      <c r="E39" s="6" t="s">
        <v>190</v>
      </c>
      <c r="F39" s="6" t="s">
        <v>119</v>
      </c>
      <c r="G39" s="7"/>
    </row>
    <row r="40" spans="2:7" x14ac:dyDescent="0.15">
      <c r="B40" s="45" t="s">
        <v>23</v>
      </c>
      <c r="C40" s="8" t="s">
        <v>13</v>
      </c>
      <c r="D40" s="9" t="s">
        <v>106</v>
      </c>
      <c r="E40" s="12">
        <v>1</v>
      </c>
      <c r="F40" s="9" t="s">
        <v>207</v>
      </c>
      <c r="G40" s="10">
        <v>2018</v>
      </c>
    </row>
    <row r="42" spans="2:7" x14ac:dyDescent="0.15">
      <c r="B42" s="21" t="s">
        <v>510</v>
      </c>
      <c r="F42" s="33"/>
    </row>
    <row r="43" spans="2:7" x14ac:dyDescent="0.15">
      <c r="E43" s="21" t="s">
        <v>537</v>
      </c>
      <c r="F43" s="34"/>
    </row>
    <row r="44" spans="2:7" x14ac:dyDescent="0.15">
      <c r="B44" s="74"/>
      <c r="C44" s="74"/>
      <c r="F44" s="33"/>
    </row>
    <row r="45" spans="2:7" x14ac:dyDescent="0.15">
      <c r="B45" s="75"/>
      <c r="F45" s="33"/>
    </row>
    <row r="46" spans="2:7" x14ac:dyDescent="0.15">
      <c r="B46" s="75"/>
      <c r="C46" s="75"/>
    </row>
    <row r="47" spans="2:7" x14ac:dyDescent="0.15">
      <c r="B47" s="75"/>
      <c r="C47" s="75"/>
    </row>
    <row r="48" spans="2:7" x14ac:dyDescent="0.15">
      <c r="B48" s="75"/>
      <c r="C48" s="75"/>
    </row>
    <row r="49" spans="2:3" x14ac:dyDescent="0.15">
      <c r="B49" s="75"/>
      <c r="C49" s="75"/>
    </row>
    <row r="50" spans="2:3" x14ac:dyDescent="0.15">
      <c r="B50" s="76"/>
      <c r="C50" s="75"/>
    </row>
    <row r="51" spans="2:3" x14ac:dyDescent="0.15">
      <c r="B51" s="76"/>
      <c r="C51" s="75"/>
    </row>
    <row r="52" spans="2:3" x14ac:dyDescent="0.15">
      <c r="B52" s="76"/>
      <c r="C52" s="75"/>
    </row>
    <row r="53" spans="2:3" x14ac:dyDescent="0.15">
      <c r="B53" s="75"/>
      <c r="C53" s="75"/>
    </row>
    <row r="54" spans="2:3" x14ac:dyDescent="0.15">
      <c r="B54" s="75"/>
      <c r="C54" s="75"/>
    </row>
    <row r="55" spans="2:3" x14ac:dyDescent="0.15">
      <c r="B55" s="76"/>
      <c r="C55" s="75"/>
    </row>
    <row r="56" spans="2:3" x14ac:dyDescent="0.15">
      <c r="B56" s="75"/>
    </row>
    <row r="57" spans="2:3" x14ac:dyDescent="0.15">
      <c r="B57" s="75"/>
    </row>
    <row r="59" spans="2:3" x14ac:dyDescent="0.15">
      <c r="B59" s="75"/>
    </row>
    <row r="60" spans="2:3" x14ac:dyDescent="0.15">
      <c r="C60" s="75"/>
    </row>
    <row r="62" spans="2:3" x14ac:dyDescent="0.15">
      <c r="B62" s="75"/>
    </row>
    <row r="64" spans="2:3" x14ac:dyDescent="0.15">
      <c r="C64" s="75"/>
    </row>
  </sheetData>
  <phoneticPr fontId="2" type="noConversion"/>
  <hyperlinks>
    <hyperlink ref="B6" location="Cymbalta!A1" display="Cymbalta" xr:uid="{00000000-0004-0000-0000-000002000000}"/>
    <hyperlink ref="B8" location="Forteo!A1" display="Forteo" xr:uid="{00000000-0004-0000-0000-000004000000}"/>
    <hyperlink ref="B10" location="Cialis!A1" display="Cialis" xr:uid="{00000000-0004-0000-0000-000007000000}"/>
    <hyperlink ref="B11" location="Alimta!A1" display="Alimta" xr:uid="{00000000-0004-0000-0000-000008000000}"/>
    <hyperlink ref="B40" location="Zyprexa!A1" display="Zyprexa Depot" xr:uid="{00000000-0004-0000-0000-00000A000000}"/>
    <hyperlink ref="B15" location="Jayprica!A1" display="Jaypirca (fka LOXO-305) (pirtobrutinib)" xr:uid="{34495B2A-0C75-D74E-8FFE-80BE4E5ADE9F}"/>
    <hyperlink ref="B3" location="Trulicity!A1" display="Trulicity (dulaglutide)" xr:uid="{A16C2AC2-171A-D24A-9E28-AD7C79172432}"/>
    <hyperlink ref="B5" location="Mounjaro!A1" display="Mounjaro (tirzepatide)" xr:uid="{D8F7C7AC-8C9E-5248-BDA1-972E012B334B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.1640625" style="1" customWidth="1"/>
    <col min="3" max="16384" width="9.1640625" style="1"/>
  </cols>
  <sheetData>
    <row r="1" spans="1:4" x14ac:dyDescent="0.15">
      <c r="A1" s="15" t="s">
        <v>6</v>
      </c>
    </row>
    <row r="2" spans="1:4" x14ac:dyDescent="0.15">
      <c r="B2" s="1" t="s">
        <v>50</v>
      </c>
      <c r="C2" s="1" t="s">
        <v>183</v>
      </c>
    </row>
    <row r="3" spans="1:4" x14ac:dyDescent="0.15">
      <c r="B3" s="21" t="s">
        <v>48</v>
      </c>
      <c r="C3" s="21" t="s">
        <v>323</v>
      </c>
    </row>
    <row r="4" spans="1:4" x14ac:dyDescent="0.15">
      <c r="B4" s="1" t="s">
        <v>1</v>
      </c>
      <c r="C4" s="1" t="s">
        <v>208</v>
      </c>
    </row>
    <row r="5" spans="1:4" x14ac:dyDescent="0.15">
      <c r="B5" s="1" t="s">
        <v>51</v>
      </c>
      <c r="C5" s="1" t="s">
        <v>209</v>
      </c>
    </row>
    <row r="6" spans="1:4" x14ac:dyDescent="0.15">
      <c r="B6" s="1" t="s">
        <v>92</v>
      </c>
    </row>
    <row r="7" spans="1:4" x14ac:dyDescent="0.15">
      <c r="C7" s="16" t="s">
        <v>211</v>
      </c>
    </row>
    <row r="8" spans="1:4" x14ac:dyDescent="0.15">
      <c r="C8" s="1" t="s">
        <v>210</v>
      </c>
    </row>
    <row r="9" spans="1:4" x14ac:dyDescent="0.15">
      <c r="C9" s="1" t="s">
        <v>212</v>
      </c>
    </row>
    <row r="11" spans="1:4" x14ac:dyDescent="0.15">
      <c r="C11" s="1" t="s">
        <v>213</v>
      </c>
    </row>
    <row r="12" spans="1:4" x14ac:dyDescent="0.15">
      <c r="C12" s="1" t="s">
        <v>214</v>
      </c>
    </row>
    <row r="13" spans="1:4" x14ac:dyDescent="0.15">
      <c r="D13" s="1" t="s">
        <v>215</v>
      </c>
    </row>
    <row r="15" spans="1:4" x14ac:dyDescent="0.15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S139"/>
  <sheetViews>
    <sheetView zoomScale="160" zoomScaleNormal="160" workbookViewId="0">
      <pane xSplit="2" ySplit="2" topLeftCell="CB3" activePane="bottomRight" state="frozen"/>
      <selection pane="topRight" activeCell="C1" sqref="C1"/>
      <selection pane="bottomLeft" activeCell="A3" sqref="A3"/>
      <selection pane="bottomRight" activeCell="CH6" sqref="CH6"/>
    </sheetView>
  </sheetViews>
  <sheetFormatPr baseColWidth="10" defaultColWidth="8.83203125" defaultRowHeight="13" x14ac:dyDescent="0.15"/>
  <cols>
    <col min="1" max="1" width="5.33203125" customWidth="1"/>
    <col min="2" max="2" width="18.83203125" customWidth="1"/>
    <col min="3" max="21" width="7" style="47" customWidth="1"/>
    <col min="22" max="22" width="6.6640625" style="47" customWidth="1"/>
    <col min="23" max="78" width="7" style="47" customWidth="1"/>
    <col min="79" max="79" width="7.83203125" style="47" customWidth="1"/>
    <col min="80" max="90" width="7.1640625" style="47" customWidth="1"/>
    <col min="91" max="91" width="4.33203125" customWidth="1"/>
    <col min="92" max="93" width="6.6640625" customWidth="1"/>
    <col min="94" max="94" width="6.6640625" style="47" customWidth="1"/>
    <col min="95" max="102" width="6.5" style="47" bestFit="1" customWidth="1"/>
    <col min="103" max="103" width="7" style="47" bestFit="1" customWidth="1"/>
    <col min="104" max="104" width="6.5" style="47" bestFit="1" customWidth="1"/>
    <col min="105" max="108" width="7" style="47" customWidth="1"/>
    <col min="109" max="110" width="7.5" style="47" customWidth="1"/>
    <col min="111" max="112" width="7.1640625" customWidth="1"/>
    <col min="113" max="113" width="7.83203125" customWidth="1"/>
    <col min="114" max="121" width="7.1640625" customWidth="1"/>
    <col min="122" max="122" width="7.5" customWidth="1"/>
    <col min="123" max="123" width="7.6640625" customWidth="1"/>
  </cols>
  <sheetData>
    <row r="1" spans="1:123" x14ac:dyDescent="0.15">
      <c r="A1" s="46" t="s">
        <v>6</v>
      </c>
    </row>
    <row r="2" spans="1:123" x14ac:dyDescent="0.15">
      <c r="C2" s="48" t="s">
        <v>519</v>
      </c>
      <c r="D2" s="48" t="s">
        <v>518</v>
      </c>
      <c r="E2" s="48" t="s">
        <v>517</v>
      </c>
      <c r="F2" s="48" t="s">
        <v>516</v>
      </c>
      <c r="G2" s="47" t="s">
        <v>203</v>
      </c>
      <c r="H2" s="47" t="s">
        <v>202</v>
      </c>
      <c r="I2" s="47" t="s">
        <v>201</v>
      </c>
      <c r="J2" s="47" t="s">
        <v>127</v>
      </c>
      <c r="K2" s="47" t="s">
        <v>126</v>
      </c>
      <c r="L2" s="47" t="s">
        <v>125</v>
      </c>
      <c r="M2" s="47" t="s">
        <v>124</v>
      </c>
      <c r="N2" s="47" t="s">
        <v>99</v>
      </c>
      <c r="O2" s="47" t="s">
        <v>100</v>
      </c>
      <c r="P2" s="47" t="s">
        <v>97</v>
      </c>
      <c r="Q2" s="47" t="s">
        <v>96</v>
      </c>
      <c r="R2" s="47" t="s">
        <v>98</v>
      </c>
      <c r="S2" s="47" t="s">
        <v>128</v>
      </c>
      <c r="T2" s="47" t="s">
        <v>163</v>
      </c>
      <c r="U2" s="47" t="s">
        <v>185</v>
      </c>
      <c r="V2" s="47" t="s">
        <v>186</v>
      </c>
      <c r="W2" s="47" t="s">
        <v>197</v>
      </c>
      <c r="X2" s="47" t="s">
        <v>198</v>
      </c>
      <c r="Y2" s="47" t="s">
        <v>199</v>
      </c>
      <c r="Z2" s="47" t="s">
        <v>200</v>
      </c>
      <c r="AA2" s="48" t="s">
        <v>244</v>
      </c>
      <c r="AB2" s="48" t="s">
        <v>245</v>
      </c>
      <c r="AC2" s="48" t="s">
        <v>246</v>
      </c>
      <c r="AD2" s="48" t="s">
        <v>247</v>
      </c>
      <c r="AE2" s="48" t="s">
        <v>258</v>
      </c>
      <c r="AF2" s="48" t="s">
        <v>259</v>
      </c>
      <c r="AG2" s="48" t="s">
        <v>260</v>
      </c>
      <c r="AH2" s="48" t="s">
        <v>261</v>
      </c>
      <c r="AI2" s="48" t="s">
        <v>271</v>
      </c>
      <c r="AJ2" s="48" t="s">
        <v>272</v>
      </c>
      <c r="AK2" s="48" t="s">
        <v>273</v>
      </c>
      <c r="AL2" s="48" t="s">
        <v>274</v>
      </c>
      <c r="AM2" s="48" t="s">
        <v>315</v>
      </c>
      <c r="AN2" s="48" t="s">
        <v>316</v>
      </c>
      <c r="AO2" s="48" t="s">
        <v>317</v>
      </c>
      <c r="AP2" s="48" t="s">
        <v>318</v>
      </c>
      <c r="AQ2" s="48" t="s">
        <v>319</v>
      </c>
      <c r="AR2" s="48" t="s">
        <v>320</v>
      </c>
      <c r="AS2" s="48" t="s">
        <v>321</v>
      </c>
      <c r="AT2" s="48" t="s">
        <v>322</v>
      </c>
      <c r="AU2" s="48" t="s">
        <v>333</v>
      </c>
      <c r="AV2" s="48" t="s">
        <v>331</v>
      </c>
      <c r="AW2" s="48" t="s">
        <v>334</v>
      </c>
      <c r="AX2" s="48" t="s">
        <v>335</v>
      </c>
      <c r="AY2" s="48" t="s">
        <v>336</v>
      </c>
      <c r="AZ2" s="48" t="s">
        <v>337</v>
      </c>
      <c r="BA2" s="48" t="s">
        <v>338</v>
      </c>
      <c r="BB2" s="48" t="s">
        <v>339</v>
      </c>
      <c r="BC2" s="48" t="s">
        <v>340</v>
      </c>
      <c r="BD2" s="48" t="s">
        <v>341</v>
      </c>
      <c r="BE2" s="48" t="s">
        <v>342</v>
      </c>
      <c r="BF2" s="48" t="s">
        <v>343</v>
      </c>
      <c r="BG2" s="48" t="s">
        <v>344</v>
      </c>
      <c r="BH2" s="48" t="s">
        <v>345</v>
      </c>
      <c r="BI2" s="48" t="s">
        <v>346</v>
      </c>
      <c r="BJ2" s="48" t="s">
        <v>347</v>
      </c>
      <c r="BK2" s="48" t="s">
        <v>348</v>
      </c>
      <c r="BL2" s="48" t="s">
        <v>349</v>
      </c>
      <c r="BM2" s="48" t="s">
        <v>350</v>
      </c>
      <c r="BN2" s="48" t="s">
        <v>351</v>
      </c>
      <c r="BO2" s="48" t="s">
        <v>352</v>
      </c>
      <c r="BP2" s="48" t="s">
        <v>353</v>
      </c>
      <c r="BQ2" s="48" t="s">
        <v>354</v>
      </c>
      <c r="BR2" s="48" t="s">
        <v>355</v>
      </c>
      <c r="BS2" s="48" t="s">
        <v>356</v>
      </c>
      <c r="BT2" s="48" t="s">
        <v>357</v>
      </c>
      <c r="BU2" s="48" t="s">
        <v>358</v>
      </c>
      <c r="BV2" s="48" t="s">
        <v>359</v>
      </c>
      <c r="BW2" s="48" t="s">
        <v>360</v>
      </c>
      <c r="BX2" s="48" t="s">
        <v>361</v>
      </c>
      <c r="BY2" s="48" t="s">
        <v>362</v>
      </c>
      <c r="BZ2" s="48" t="s">
        <v>363</v>
      </c>
      <c r="CA2" s="48" t="s">
        <v>332</v>
      </c>
      <c r="CB2" s="48" t="s">
        <v>364</v>
      </c>
      <c r="CC2" s="48" t="s">
        <v>365</v>
      </c>
      <c r="CD2" s="48" t="s">
        <v>366</v>
      </c>
      <c r="CE2" s="48" t="s">
        <v>383</v>
      </c>
      <c r="CF2" s="48" t="s">
        <v>384</v>
      </c>
      <c r="CG2" s="48" t="s">
        <v>385</v>
      </c>
      <c r="CH2" s="48" t="s">
        <v>386</v>
      </c>
      <c r="CI2" s="48" t="s">
        <v>520</v>
      </c>
      <c r="CJ2" s="48" t="s">
        <v>521</v>
      </c>
      <c r="CK2" s="48" t="s">
        <v>522</v>
      </c>
      <c r="CL2" s="48" t="s">
        <v>523</v>
      </c>
      <c r="CN2">
        <v>1999</v>
      </c>
      <c r="CO2">
        <v>2000</v>
      </c>
      <c r="CP2" s="47">
        <v>2001</v>
      </c>
      <c r="CQ2" s="47">
        <v>2002</v>
      </c>
      <c r="CR2" s="47">
        <v>2003</v>
      </c>
      <c r="CS2" s="47">
        <v>2004</v>
      </c>
      <c r="CT2" s="47">
        <v>2005</v>
      </c>
      <c r="CU2" s="47">
        <v>2006</v>
      </c>
      <c r="CV2" s="47">
        <v>2007</v>
      </c>
      <c r="CW2" s="47">
        <v>2008</v>
      </c>
      <c r="CX2" s="47">
        <v>2009</v>
      </c>
      <c r="CY2" s="47">
        <v>2010</v>
      </c>
      <c r="CZ2" s="47">
        <v>2011</v>
      </c>
      <c r="DA2" s="47">
        <v>2012</v>
      </c>
      <c r="DB2" s="47">
        <v>2013</v>
      </c>
      <c r="DC2" s="47">
        <v>2014</v>
      </c>
      <c r="DD2" s="47">
        <v>2015</v>
      </c>
      <c r="DE2" s="47">
        <v>2016</v>
      </c>
      <c r="DF2" s="47">
        <v>2017</v>
      </c>
      <c r="DG2">
        <f>+DF2+1</f>
        <v>2018</v>
      </c>
      <c r="DH2">
        <f t="shared" ref="DH2:DK2" si="0">+DG2+1</f>
        <v>2019</v>
      </c>
      <c r="DI2">
        <f t="shared" si="0"/>
        <v>2020</v>
      </c>
      <c r="DJ2">
        <f t="shared" si="0"/>
        <v>2021</v>
      </c>
      <c r="DK2">
        <f t="shared" si="0"/>
        <v>2022</v>
      </c>
      <c r="DL2">
        <f>+DK2+1</f>
        <v>2023</v>
      </c>
      <c r="DM2">
        <f t="shared" ref="DM2:DS2" si="1">+DL2+1</f>
        <v>2024</v>
      </c>
      <c r="DN2">
        <f t="shared" si="1"/>
        <v>2025</v>
      </c>
      <c r="DO2">
        <f t="shared" si="1"/>
        <v>2026</v>
      </c>
      <c r="DP2">
        <f t="shared" si="1"/>
        <v>2027</v>
      </c>
      <c r="DQ2">
        <f t="shared" si="1"/>
        <v>2028</v>
      </c>
      <c r="DR2">
        <f t="shared" si="1"/>
        <v>2029</v>
      </c>
      <c r="DS2">
        <f t="shared" si="1"/>
        <v>2030</v>
      </c>
    </row>
    <row r="3" spans="1:123" s="49" customFormat="1" x14ac:dyDescent="0.15">
      <c r="B3" s="50" t="s">
        <v>367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>
        <v>10.199999999999999</v>
      </c>
      <c r="AY3" s="52">
        <v>18.3</v>
      </c>
      <c r="AZ3" s="52">
        <v>44.3</v>
      </c>
      <c r="BA3" s="52">
        <v>73.7</v>
      </c>
      <c r="BB3" s="52">
        <v>112.5</v>
      </c>
      <c r="BC3" s="52">
        <v>143.6</v>
      </c>
      <c r="BD3" s="52">
        <v>201.3</v>
      </c>
      <c r="BE3" s="52">
        <v>243.6</v>
      </c>
      <c r="BF3" s="52">
        <v>337</v>
      </c>
      <c r="BG3" s="52">
        <v>372.9</v>
      </c>
      <c r="BH3" s="52">
        <v>480.2</v>
      </c>
      <c r="BI3" s="52">
        <v>527.70000000000005</v>
      </c>
      <c r="BJ3" s="52">
        <v>649</v>
      </c>
      <c r="BK3" s="52">
        <v>678.3</v>
      </c>
      <c r="BL3" s="52">
        <v>779.8</v>
      </c>
      <c r="BM3" s="52">
        <v>816.2</v>
      </c>
      <c r="BN3" s="52">
        <v>924.7</v>
      </c>
      <c r="BO3" s="52">
        <v>879.7</v>
      </c>
      <c r="BP3" s="52">
        <v>1028.5</v>
      </c>
      <c r="BQ3" s="52">
        <v>1011.5</v>
      </c>
      <c r="BR3" s="52">
        <v>1208.0999999999999</v>
      </c>
      <c r="BS3" s="52">
        <v>1229.4000000000001</v>
      </c>
      <c r="BT3" s="52">
        <v>1229.8</v>
      </c>
      <c r="BU3" s="52">
        <v>1106.5999999999999</v>
      </c>
      <c r="BV3" s="52">
        <v>1502.4</v>
      </c>
      <c r="BW3" s="52">
        <v>1452.4</v>
      </c>
      <c r="BX3" s="52">
        <v>1535.6</v>
      </c>
      <c r="BY3" s="52">
        <v>1600.1</v>
      </c>
      <c r="BZ3" s="52">
        <v>1883.7</v>
      </c>
      <c r="CA3" s="52">
        <v>1741.3</v>
      </c>
      <c r="CB3" s="52">
        <v>1911.9</v>
      </c>
      <c r="CC3" s="52">
        <v>1850.4</v>
      </c>
      <c r="CD3" s="52">
        <v>1936.2</v>
      </c>
      <c r="CE3" s="52">
        <v>1977.1</v>
      </c>
      <c r="CF3" s="52">
        <v>1812.5</v>
      </c>
      <c r="CG3" s="52">
        <v>1673.6</v>
      </c>
      <c r="CH3" s="52">
        <v>1669.3</v>
      </c>
      <c r="CI3" s="52">
        <f>+CH3-50</f>
        <v>1619.3</v>
      </c>
      <c r="CJ3" s="52">
        <f>+CI3-50</f>
        <v>1569.3</v>
      </c>
      <c r="CK3" s="52">
        <f>+CJ3-50</f>
        <v>1519.3</v>
      </c>
      <c r="CL3" s="52">
        <f>+CK3-50</f>
        <v>1469.3</v>
      </c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>
        <v>0</v>
      </c>
      <c r="DC3" s="51">
        <v>10.199999999999999</v>
      </c>
      <c r="DD3" s="51">
        <v>248.7</v>
      </c>
      <c r="DE3" s="51">
        <v>925.5</v>
      </c>
      <c r="DF3" s="51">
        <v>2029.8</v>
      </c>
      <c r="DG3" s="49">
        <v>3199.1</v>
      </c>
      <c r="DH3" s="49">
        <v>4127.8</v>
      </c>
      <c r="DI3" s="49">
        <f>SUM(BS3:BV3)</f>
        <v>5068.2</v>
      </c>
      <c r="DJ3" s="49">
        <f>SUM(BW3:BZ3)</f>
        <v>6471.8</v>
      </c>
      <c r="DK3" s="49">
        <f>SUM(CA3:CD3)</f>
        <v>7439.8</v>
      </c>
      <c r="DL3" s="49">
        <f>SUM(CE3:CH3)</f>
        <v>7132.5</v>
      </c>
      <c r="DM3" s="49">
        <f>SUM(Model!CI3:CL3)</f>
        <v>6177.2</v>
      </c>
      <c r="DN3" s="49">
        <f>+DM3*1.01</f>
        <v>6238.9719999999998</v>
      </c>
      <c r="DO3" s="49">
        <f>+DN3*1.01</f>
        <v>6301.3617199999999</v>
      </c>
      <c r="DP3" s="49">
        <f>+DO3*0.95</f>
        <v>5986.2936339999997</v>
      </c>
      <c r="DQ3" s="49">
        <f>+DP3*0.95</f>
        <v>5686.978952299999</v>
      </c>
      <c r="DR3" s="49">
        <f>+DQ3*0.95</f>
        <v>5402.6300046849992</v>
      </c>
      <c r="DS3" s="49">
        <f>+DR3*0.9</f>
        <v>4862.3670042164995</v>
      </c>
    </row>
    <row r="4" spans="1:123" s="49" customFormat="1" x14ac:dyDescent="0.15">
      <c r="B4" s="50" t="s">
        <v>513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>
        <v>16</v>
      </c>
      <c r="CC4" s="52">
        <v>187.3</v>
      </c>
      <c r="CD4" s="52">
        <v>279.2</v>
      </c>
      <c r="CE4" s="52">
        <v>568.5</v>
      </c>
      <c r="CF4" s="52">
        <v>979.7</v>
      </c>
      <c r="CG4" s="52">
        <v>1409.3</v>
      </c>
      <c r="CH4" s="52">
        <v>2205.6</v>
      </c>
      <c r="CI4" s="52">
        <f>+CH4+300</f>
        <v>2505.6</v>
      </c>
      <c r="CJ4" s="52">
        <f>+CI4+300</f>
        <v>2805.6</v>
      </c>
      <c r="CK4" s="52">
        <f>+CJ4+300</f>
        <v>3105.6</v>
      </c>
      <c r="CL4" s="52">
        <f>+CK4+300</f>
        <v>3405.6</v>
      </c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>
        <v>0</v>
      </c>
      <c r="DC4" s="51">
        <v>0</v>
      </c>
      <c r="DD4" s="51">
        <v>0</v>
      </c>
      <c r="DE4" s="51">
        <v>0</v>
      </c>
      <c r="DF4" s="51">
        <v>0</v>
      </c>
      <c r="DG4" s="49">
        <v>0</v>
      </c>
      <c r="DH4" s="49">
        <v>0</v>
      </c>
      <c r="DI4" s="49">
        <v>0</v>
      </c>
      <c r="DJ4" s="49">
        <v>0</v>
      </c>
      <c r="DK4" s="49">
        <f>SUM(CA4:CD4)</f>
        <v>482.5</v>
      </c>
      <c r="DL4" s="49">
        <f>SUM(CE4:CH4)</f>
        <v>5163.1000000000004</v>
      </c>
      <c r="DM4" s="49">
        <f>SUM(Model!CI4:CL4)</f>
        <v>11822.4</v>
      </c>
      <c r="DN4" s="49">
        <v>4000</v>
      </c>
      <c r="DO4" s="49">
        <v>5000</v>
      </c>
      <c r="DP4" s="49">
        <v>6000</v>
      </c>
      <c r="DQ4" s="49">
        <f>+DP4*1.5</f>
        <v>9000</v>
      </c>
      <c r="DR4" s="49">
        <f>+DQ4*1.2</f>
        <v>10800</v>
      </c>
      <c r="DS4" s="49">
        <f t="shared" ref="DS4" si="2">+DR4*1.2</f>
        <v>12960</v>
      </c>
    </row>
    <row r="5" spans="1:123" s="49" customFormat="1" x14ac:dyDescent="0.15">
      <c r="B5" s="50" t="s">
        <v>533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>
        <v>175.8</v>
      </c>
      <c r="CI5" s="52"/>
      <c r="CJ5" s="52"/>
      <c r="CK5" s="52"/>
      <c r="CL5" s="52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</row>
    <row r="6" spans="1:123" s="49" customFormat="1" x14ac:dyDescent="0.15">
      <c r="B6" s="50" t="s">
        <v>378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>
        <v>871.2</v>
      </c>
      <c r="BW6" s="52">
        <v>810.1</v>
      </c>
      <c r="BX6" s="52">
        <v>148.9</v>
      </c>
      <c r="BY6" s="52">
        <v>217.1</v>
      </c>
      <c r="BZ6" s="52">
        <v>1063.0999999999999</v>
      </c>
      <c r="CA6" s="52">
        <v>1469.8</v>
      </c>
      <c r="CB6" s="52">
        <v>129.1</v>
      </c>
      <c r="CC6" s="52">
        <v>386.6</v>
      </c>
      <c r="CD6" s="52">
        <v>38</v>
      </c>
      <c r="CE6" s="52"/>
      <c r="CF6" s="52"/>
      <c r="CG6" s="52"/>
      <c r="CH6" s="52"/>
      <c r="CI6" s="52"/>
      <c r="CJ6" s="52"/>
      <c r="CK6" s="52"/>
      <c r="CL6" s="52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>
        <v>0</v>
      </c>
      <c r="DC6" s="51">
        <v>0</v>
      </c>
      <c r="DD6" s="51">
        <v>0</v>
      </c>
      <c r="DE6" s="51">
        <v>0</v>
      </c>
      <c r="DF6" s="51">
        <v>0</v>
      </c>
      <c r="DG6" s="49">
        <v>0</v>
      </c>
      <c r="DH6" s="49">
        <v>0</v>
      </c>
      <c r="DI6" s="49">
        <f t="shared" ref="DI6:DI33" si="3">SUM(BS6:BV6)</f>
        <v>871.2</v>
      </c>
      <c r="DJ6" s="49">
        <f t="shared" ref="DJ6:DJ33" si="4">SUM(BW6:BZ6)</f>
        <v>2239.1999999999998</v>
      </c>
      <c r="DK6" s="49">
        <f t="shared" ref="DK6:DK33" si="5">SUM(CA6:CD6)</f>
        <v>2023.5</v>
      </c>
      <c r="DL6" s="49">
        <f t="shared" ref="DL6:DL33" si="6">SUM(CE6:CH6)</f>
        <v>0</v>
      </c>
      <c r="DM6" s="49">
        <f>SUM(Model!CI6:CL6)</f>
        <v>0</v>
      </c>
    </row>
    <row r="7" spans="1:123" x14ac:dyDescent="0.15">
      <c r="B7" s="38" t="s">
        <v>374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>
        <v>19.3</v>
      </c>
      <c r="BE7" s="52">
        <v>32.5</v>
      </c>
      <c r="BF7" s="52">
        <v>61.3</v>
      </c>
      <c r="BG7" s="52">
        <v>96.6</v>
      </c>
      <c r="BH7" s="52">
        <v>138.69999999999999</v>
      </c>
      <c r="BI7" s="52">
        <v>151.30000000000001</v>
      </c>
      <c r="BJ7" s="52">
        <v>172.5</v>
      </c>
      <c r="BK7" s="52">
        <v>146.5</v>
      </c>
      <c r="BL7" s="52">
        <v>220.1</v>
      </c>
      <c r="BM7" s="52">
        <v>263.89999999999998</v>
      </c>
      <c r="BN7" s="52">
        <v>307</v>
      </c>
      <c r="BO7" s="52">
        <v>252.5</v>
      </c>
      <c r="BP7" s="52">
        <v>353.8</v>
      </c>
      <c r="BQ7" s="52">
        <v>340</v>
      </c>
      <c r="BR7" s="52">
        <v>420.1</v>
      </c>
      <c r="BS7" s="52">
        <v>443.5</v>
      </c>
      <c r="BT7" s="52">
        <v>395.2</v>
      </c>
      <c r="BU7" s="52">
        <v>454.5</v>
      </c>
      <c r="BV7" s="52">
        <v>495.3</v>
      </c>
      <c r="BW7" s="52">
        <v>403.2</v>
      </c>
      <c r="BX7" s="52">
        <v>569.1</v>
      </c>
      <c r="BY7" s="52">
        <v>593.1</v>
      </c>
      <c r="BZ7" s="52">
        <v>647.4</v>
      </c>
      <c r="CA7" s="52">
        <v>488.1</v>
      </c>
      <c r="CB7" s="52">
        <v>606.20000000000005</v>
      </c>
      <c r="CC7" s="52">
        <v>679.9</v>
      </c>
      <c r="CD7" s="52">
        <v>707.8</v>
      </c>
      <c r="CE7" s="52">
        <v>527</v>
      </c>
      <c r="CF7" s="52">
        <v>703.9</v>
      </c>
      <c r="CG7" s="52">
        <v>744.2</v>
      </c>
      <c r="CH7" s="52">
        <v>784.6</v>
      </c>
      <c r="CI7" s="52">
        <f>+CH7+20</f>
        <v>804.6</v>
      </c>
      <c r="CJ7" s="52">
        <f>+CI7+20</f>
        <v>824.6</v>
      </c>
      <c r="CK7" s="52">
        <f>+CJ7+20</f>
        <v>844.6</v>
      </c>
      <c r="CL7" s="52">
        <f>+CK7+20</f>
        <v>864.6</v>
      </c>
      <c r="CM7" s="49"/>
      <c r="CN7" s="49"/>
      <c r="CO7" s="49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>
        <v>0</v>
      </c>
      <c r="DC7" s="51">
        <v>0</v>
      </c>
      <c r="DD7" s="51">
        <v>0</v>
      </c>
      <c r="DE7" s="51">
        <v>0</v>
      </c>
      <c r="DF7" s="51">
        <v>559.20000000000005</v>
      </c>
      <c r="DG7" s="49">
        <v>937.5</v>
      </c>
      <c r="DH7" s="49">
        <v>1366.4</v>
      </c>
      <c r="DI7" s="49">
        <f t="shared" si="3"/>
        <v>1788.5</v>
      </c>
      <c r="DJ7" s="49">
        <f t="shared" si="4"/>
        <v>2212.8000000000002</v>
      </c>
      <c r="DK7" s="49">
        <f t="shared" si="5"/>
        <v>2482</v>
      </c>
      <c r="DL7" s="49">
        <f t="shared" si="6"/>
        <v>2759.7000000000003</v>
      </c>
      <c r="DM7" s="49">
        <f>SUM(Model!CI7:CL7)</f>
        <v>3338.4</v>
      </c>
      <c r="DN7" s="49">
        <f>+DM7*1.2</f>
        <v>4006.08</v>
      </c>
      <c r="DO7" s="49">
        <f>+DN7*1.2</f>
        <v>4807.2959999999994</v>
      </c>
      <c r="DP7" s="49">
        <f>+DO7*1.1</f>
        <v>5288.0255999999999</v>
      </c>
      <c r="DQ7" s="49">
        <f>+DP7*1.1</f>
        <v>5816.82816</v>
      </c>
      <c r="DR7" s="49">
        <f>+DQ7*1.1</f>
        <v>6398.5109760000005</v>
      </c>
      <c r="DS7" s="49">
        <f>+DR7*1.05</f>
        <v>6718.4365248000004</v>
      </c>
    </row>
    <row r="8" spans="1:123" x14ac:dyDescent="0.15">
      <c r="B8" s="38" t="s">
        <v>371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>
        <v>21</v>
      </c>
      <c r="BK8" s="51">
        <v>29.7</v>
      </c>
      <c r="BL8" s="51">
        <v>57.7</v>
      </c>
      <c r="BM8" s="51">
        <v>84.5</v>
      </c>
      <c r="BN8" s="51">
        <v>83.1</v>
      </c>
      <c r="BO8" s="51">
        <v>109.4</v>
      </c>
      <c r="BP8" s="51">
        <v>133.9</v>
      </c>
      <c r="BQ8" s="51">
        <v>157.19999999999999</v>
      </c>
      <c r="BR8" s="51">
        <v>179.1</v>
      </c>
      <c r="BS8" s="51">
        <v>188</v>
      </c>
      <c r="BT8" s="51">
        <v>208.6</v>
      </c>
      <c r="BU8" s="51">
        <v>234.4</v>
      </c>
      <c r="BV8" s="51">
        <v>281.60000000000002</v>
      </c>
      <c r="BW8" s="51">
        <v>269</v>
      </c>
      <c r="BX8" s="51">
        <v>341.3</v>
      </c>
      <c r="BY8" s="51">
        <v>335.5</v>
      </c>
      <c r="BZ8" s="51">
        <v>404.1</v>
      </c>
      <c r="CA8" s="51">
        <v>469.4</v>
      </c>
      <c r="CB8" s="51">
        <v>588.5</v>
      </c>
      <c r="CC8" s="51">
        <v>617.70000000000005</v>
      </c>
      <c r="CD8" s="51">
        <v>808</v>
      </c>
      <c r="CE8" s="51">
        <v>750.9</v>
      </c>
      <c r="CF8" s="51">
        <v>926.8</v>
      </c>
      <c r="CG8" s="51">
        <v>1040.2</v>
      </c>
      <c r="CH8" s="51">
        <v>1145.4000000000001</v>
      </c>
      <c r="CI8" s="51">
        <f>+CH8+20</f>
        <v>1165.4000000000001</v>
      </c>
      <c r="CJ8" s="51">
        <f>+CI8+20</f>
        <v>1185.4000000000001</v>
      </c>
      <c r="CK8" s="51">
        <f>+CJ8+20</f>
        <v>1205.4000000000001</v>
      </c>
      <c r="CL8" s="51">
        <f>+CK8+20</f>
        <v>1225.4000000000001</v>
      </c>
      <c r="CM8" s="49"/>
      <c r="CN8" s="49"/>
      <c r="CO8" s="49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>
        <v>0</v>
      </c>
      <c r="DC8" s="51">
        <v>0</v>
      </c>
      <c r="DD8" s="51">
        <v>0</v>
      </c>
      <c r="DE8" s="51">
        <v>0</v>
      </c>
      <c r="DF8" s="51">
        <v>21</v>
      </c>
      <c r="DG8" s="49">
        <v>255</v>
      </c>
      <c r="DH8" s="49">
        <v>579.70000000000005</v>
      </c>
      <c r="DI8" s="49">
        <f t="shared" si="3"/>
        <v>912.6</v>
      </c>
      <c r="DJ8" s="49">
        <f t="shared" si="4"/>
        <v>1349.9</v>
      </c>
      <c r="DK8" s="49">
        <f t="shared" si="5"/>
        <v>2483.6000000000004</v>
      </c>
      <c r="DL8" s="49">
        <f t="shared" si="6"/>
        <v>3863.2999999999997</v>
      </c>
      <c r="DM8" s="49">
        <f>SUM(Model!CI8:CL8)</f>
        <v>4781.6000000000004</v>
      </c>
      <c r="DN8" s="49">
        <f>+DM8*1.01</f>
        <v>4829.4160000000002</v>
      </c>
      <c r="DO8" s="49">
        <f>+DN8*1.01</f>
        <v>4877.7101600000005</v>
      </c>
      <c r="DP8" s="49">
        <f>+DO8*1.01</f>
        <v>4926.4872616000002</v>
      </c>
      <c r="DQ8" s="49">
        <f>+DP8*1.01</f>
        <v>4975.7521342159998</v>
      </c>
      <c r="DR8" s="49">
        <f>+DQ8*1.01</f>
        <v>5025.5096555581595</v>
      </c>
      <c r="DS8" s="49">
        <f>+DR8*0.1</f>
        <v>502.55096555581599</v>
      </c>
    </row>
    <row r="9" spans="1:123" x14ac:dyDescent="0.15">
      <c r="B9" s="38" t="s">
        <v>370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>
        <v>19.3</v>
      </c>
      <c r="AZ9" s="51">
        <v>11.1</v>
      </c>
      <c r="BA9" s="51">
        <v>15.4</v>
      </c>
      <c r="BB9" s="51">
        <v>14.6</v>
      </c>
      <c r="BC9" s="51">
        <v>38.200000000000003</v>
      </c>
      <c r="BD9" s="51">
        <v>40.1</v>
      </c>
      <c r="BE9" s="51">
        <v>47.5</v>
      </c>
      <c r="BF9" s="51">
        <v>76.099999999999994</v>
      </c>
      <c r="BG9" s="51">
        <v>74</v>
      </c>
      <c r="BH9" s="51">
        <v>103.2</v>
      </c>
      <c r="BI9" s="51">
        <v>127.2</v>
      </c>
      <c r="BJ9" s="51">
        <v>143.19999999999999</v>
      </c>
      <c r="BK9" s="51">
        <v>151</v>
      </c>
      <c r="BL9" s="51">
        <v>147.19999999999999</v>
      </c>
      <c r="BM9" s="51">
        <v>166.9</v>
      </c>
      <c r="BN9" s="51">
        <v>193.2</v>
      </c>
      <c r="BO9" s="51">
        <v>203.6</v>
      </c>
      <c r="BP9" s="51">
        <v>231.9</v>
      </c>
      <c r="BQ9" s="51">
        <v>240.7</v>
      </c>
      <c r="BR9" s="51">
        <v>268</v>
      </c>
      <c r="BS9" s="51">
        <v>267.5</v>
      </c>
      <c r="BT9" s="51">
        <v>262</v>
      </c>
      <c r="BU9" s="51">
        <v>310.8</v>
      </c>
      <c r="BV9" s="51">
        <v>313.60000000000002</v>
      </c>
      <c r="BW9" s="51">
        <v>312</v>
      </c>
      <c r="BX9" s="51">
        <v>356.5</v>
      </c>
      <c r="BY9" s="51">
        <v>390.4</v>
      </c>
      <c r="BZ9" s="51">
        <v>431.9</v>
      </c>
      <c r="CA9" s="51">
        <v>419.4</v>
      </c>
      <c r="CB9" s="51">
        <v>461</v>
      </c>
      <c r="CC9" s="51">
        <v>573.29999999999995</v>
      </c>
      <c r="CD9" s="51">
        <v>612.29999999999995</v>
      </c>
      <c r="CE9" s="51">
        <v>577.5</v>
      </c>
      <c r="CF9" s="51">
        <v>668.3</v>
      </c>
      <c r="CG9" s="51">
        <v>700.8</v>
      </c>
      <c r="CH9" s="51">
        <v>798.1</v>
      </c>
      <c r="CI9" s="51">
        <f>+CH9+20</f>
        <v>818.1</v>
      </c>
      <c r="CJ9" s="51">
        <f>+CI9+20</f>
        <v>838.1</v>
      </c>
      <c r="CK9" s="51">
        <f>+CJ9+20</f>
        <v>858.1</v>
      </c>
      <c r="CL9" s="51">
        <f>+CK9+20</f>
        <v>878.1</v>
      </c>
      <c r="CM9" s="49"/>
      <c r="CN9" s="49"/>
      <c r="CO9" s="49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>
        <v>0</v>
      </c>
      <c r="DC9" s="51">
        <v>0</v>
      </c>
      <c r="DD9" s="51">
        <v>0</v>
      </c>
      <c r="DE9" s="51">
        <v>0</v>
      </c>
      <c r="DF9" s="51">
        <v>447.5</v>
      </c>
      <c r="DG9" s="49">
        <v>658.3</v>
      </c>
      <c r="DH9" s="49">
        <v>944.2</v>
      </c>
      <c r="DI9" s="49">
        <f t="shared" si="3"/>
        <v>1153.9000000000001</v>
      </c>
      <c r="DJ9" s="49">
        <f t="shared" si="4"/>
        <v>1490.8000000000002</v>
      </c>
      <c r="DK9" s="49">
        <f t="shared" si="5"/>
        <v>2066</v>
      </c>
      <c r="DL9" s="49">
        <f t="shared" si="6"/>
        <v>2744.7</v>
      </c>
      <c r="DM9" s="49">
        <f>SUM(Model!CI9:CL9)</f>
        <v>3392.4</v>
      </c>
      <c r="DN9" s="49">
        <f>+DM9*1.2</f>
        <v>4070.88</v>
      </c>
      <c r="DO9" s="49">
        <f>+DN9*1.2</f>
        <v>4885.0559999999996</v>
      </c>
      <c r="DP9" s="49">
        <f>+DO9*1.1</f>
        <v>5373.5616</v>
      </c>
      <c r="DQ9" s="49">
        <f>+DP9*1.1</f>
        <v>5910.9177600000003</v>
      </c>
      <c r="DR9" s="49">
        <f>+DQ9*1.1</f>
        <v>6502.0095360000005</v>
      </c>
      <c r="DS9" s="49">
        <f>+DR9*0.1</f>
        <v>650.20095360000005</v>
      </c>
    </row>
    <row r="10" spans="1:123" x14ac:dyDescent="0.15">
      <c r="B10" t="s">
        <v>54</v>
      </c>
      <c r="C10" s="51">
        <v>248.8</v>
      </c>
      <c r="D10" s="51">
        <v>254.1</v>
      </c>
      <c r="E10" s="51">
        <v>240.2</v>
      </c>
      <c r="F10" s="51">
        <f>1020-E10-D10-C10</f>
        <v>276.89999999999992</v>
      </c>
      <c r="G10" s="51">
        <v>267.2</v>
      </c>
      <c r="H10" s="51">
        <v>285.3</v>
      </c>
      <c r="I10" s="51">
        <v>264.60000000000002</v>
      </c>
      <c r="J10" s="51">
        <v>284.60000000000002</v>
      </c>
      <c r="K10" s="51">
        <v>286.2</v>
      </c>
      <c r="L10" s="51">
        <v>296.2</v>
      </c>
      <c r="M10" s="51">
        <f>Q10/1.05</f>
        <v>306.66666666666663</v>
      </c>
      <c r="N10" s="51">
        <v>309.10000000000002</v>
      </c>
      <c r="O10" s="51">
        <v>305</v>
      </c>
      <c r="P10" s="51">
        <v>321</v>
      </c>
      <c r="Q10" s="51">
        <v>322</v>
      </c>
      <c r="R10" s="51">
        <v>352.2</v>
      </c>
      <c r="S10" s="51">
        <v>339.5</v>
      </c>
      <c r="T10" s="51">
        <v>358.4</v>
      </c>
      <c r="U10" s="51">
        <v>362.5</v>
      </c>
      <c r="V10" s="51">
        <v>414.2</v>
      </c>
      <c r="W10" s="51">
        <v>407.4</v>
      </c>
      <c r="X10" s="51">
        <v>437.9</v>
      </c>
      <c r="Y10" s="51">
        <v>432.6</v>
      </c>
      <c r="Z10" s="51">
        <v>457.9</v>
      </c>
      <c r="AA10" s="51">
        <v>450.6</v>
      </c>
      <c r="AB10" s="51">
        <v>477.5</v>
      </c>
      <c r="AC10" s="51">
        <v>500.2</v>
      </c>
      <c r="AD10" s="51">
        <v>530.79999999999995</v>
      </c>
      <c r="AE10" s="51">
        <v>506.4</v>
      </c>
      <c r="AF10" s="51">
        <v>504.6</v>
      </c>
      <c r="AG10" s="51">
        <v>494</v>
      </c>
      <c r="AH10" s="51">
        <v>549.1</v>
      </c>
      <c r="AI10" s="51">
        <v>525.4</v>
      </c>
      <c r="AJ10" s="51">
        <v>586.9</v>
      </c>
      <c r="AK10" s="51">
        <v>593.20000000000005</v>
      </c>
      <c r="AL10" s="51">
        <v>662</v>
      </c>
      <c r="AM10" s="51">
        <v>590.29999999999995</v>
      </c>
      <c r="AN10" s="51">
        <v>613.4</v>
      </c>
      <c r="AO10" s="51">
        <v>575.79999999999995</v>
      </c>
      <c r="AP10" s="51">
        <v>616</v>
      </c>
      <c r="AQ10" s="51">
        <v>632.70000000000005</v>
      </c>
      <c r="AR10" s="51">
        <v>628.6</v>
      </c>
      <c r="AS10" s="51">
        <v>616</v>
      </c>
      <c r="AT10" s="51">
        <v>733.9</v>
      </c>
      <c r="AU10" s="51">
        <v>650</v>
      </c>
      <c r="AV10" s="51">
        <v>700.1</v>
      </c>
      <c r="AW10" s="51">
        <v>706.1</v>
      </c>
      <c r="AX10" s="51">
        <v>729.1</v>
      </c>
      <c r="AY10" s="51">
        <v>684</v>
      </c>
      <c r="AZ10" s="51">
        <v>654.29999999999995</v>
      </c>
      <c r="BA10" s="51">
        <v>705</v>
      </c>
      <c r="BB10" s="51">
        <v>798.7</v>
      </c>
      <c r="BC10" s="51">
        <v>606.29999999999995</v>
      </c>
      <c r="BD10" s="51">
        <v>701.9</v>
      </c>
      <c r="BE10" s="51">
        <v>640.79999999999995</v>
      </c>
      <c r="BF10" s="51">
        <v>819.8</v>
      </c>
      <c r="BG10" s="51">
        <v>708.4</v>
      </c>
      <c r="BH10" s="51">
        <v>678.4</v>
      </c>
      <c r="BI10" s="51">
        <v>696.2</v>
      </c>
      <c r="BJ10" s="51">
        <v>782.2</v>
      </c>
      <c r="BK10" s="51">
        <v>791.7</v>
      </c>
      <c r="BL10" s="51">
        <v>769.8</v>
      </c>
      <c r="BM10" s="51">
        <v>664.6</v>
      </c>
      <c r="BN10" s="51">
        <v>770.4</v>
      </c>
      <c r="BO10" s="51">
        <v>730.8</v>
      </c>
      <c r="BP10" s="51">
        <v>677.6</v>
      </c>
      <c r="BQ10" s="51">
        <v>648.9</v>
      </c>
      <c r="BR10" s="51">
        <v>763.4</v>
      </c>
      <c r="BS10" s="51">
        <v>695.8</v>
      </c>
      <c r="BT10" s="51">
        <v>555.1</v>
      </c>
      <c r="BU10" s="51">
        <v>656.9</v>
      </c>
      <c r="BV10" s="51">
        <v>718.1</v>
      </c>
      <c r="BW10" s="51">
        <f>332.7+284.4</f>
        <v>617.09999999999991</v>
      </c>
      <c r="BX10" s="51">
        <v>607.6</v>
      </c>
      <c r="BY10" s="51">
        <v>626.70000000000005</v>
      </c>
      <c r="BZ10" s="51">
        <v>601.70000000000005</v>
      </c>
      <c r="CA10" s="51">
        <f>368.9+249.3</f>
        <v>618.20000000000005</v>
      </c>
      <c r="CB10" s="51">
        <v>447.1</v>
      </c>
      <c r="CC10" s="51">
        <v>447</v>
      </c>
      <c r="CD10" s="51">
        <v>548.29999999999995</v>
      </c>
      <c r="CE10" s="51">
        <v>460.9</v>
      </c>
      <c r="CF10" s="51">
        <v>440.4</v>
      </c>
      <c r="CG10" s="51">
        <v>395.4</v>
      </c>
      <c r="CH10" s="51">
        <v>366.6</v>
      </c>
      <c r="CI10" s="51">
        <f>+CH10-5</f>
        <v>361.6</v>
      </c>
      <c r="CJ10" s="51">
        <f>+CI10-5</f>
        <v>356.6</v>
      </c>
      <c r="CK10" s="51">
        <f>+CJ10-5</f>
        <v>351.6</v>
      </c>
      <c r="CL10" s="51">
        <f>+CK10-5</f>
        <v>346.6</v>
      </c>
      <c r="CM10" s="49"/>
      <c r="CN10" s="49"/>
      <c r="CO10" s="49"/>
      <c r="CP10" s="51"/>
      <c r="CQ10" s="51">
        <v>834</v>
      </c>
      <c r="CR10" s="51">
        <v>1021</v>
      </c>
      <c r="CS10" s="51">
        <v>1101</v>
      </c>
      <c r="CT10" s="51">
        <v>1198</v>
      </c>
      <c r="CU10" s="51">
        <f>SUM(O10:R10)</f>
        <v>1300.2</v>
      </c>
      <c r="CV10" s="51">
        <f>SUM(S10:V10)</f>
        <v>1474.6000000000001</v>
      </c>
      <c r="CW10" s="51">
        <f>SUM(W10:Z10)</f>
        <v>1735.8000000000002</v>
      </c>
      <c r="CX10" s="51">
        <f>SUM(AA10:AD10)</f>
        <v>1959.1</v>
      </c>
      <c r="CY10" s="51">
        <f>SUM(AE10:AH10)</f>
        <v>2054.1</v>
      </c>
      <c r="CZ10" s="51">
        <f>SUM(AI10:AL10)</f>
        <v>2367.5</v>
      </c>
      <c r="DA10" s="51">
        <f>SUM(AM10:AP10)</f>
        <v>2395.5</v>
      </c>
      <c r="DB10" s="51">
        <v>2611.1999999999998</v>
      </c>
      <c r="DC10" s="51">
        <v>2785.2</v>
      </c>
      <c r="DD10" s="51">
        <v>2841.9</v>
      </c>
      <c r="DE10" s="51">
        <v>2768.8</v>
      </c>
      <c r="DF10" s="51">
        <v>2865.2</v>
      </c>
      <c r="DG10" s="49">
        <v>2996.5</v>
      </c>
      <c r="DH10" s="49">
        <v>2820.7</v>
      </c>
      <c r="DI10" s="49">
        <f>SUM(BS10:BV10)</f>
        <v>2625.9</v>
      </c>
      <c r="DJ10" s="49">
        <f>SUM(BW10:BZ10)</f>
        <v>2453.1</v>
      </c>
      <c r="DK10" s="49">
        <f>SUM(CA10:CD10)</f>
        <v>2060.6000000000004</v>
      </c>
      <c r="DL10" s="49">
        <f>SUM(CE10:CH10)</f>
        <v>1663.2999999999997</v>
      </c>
      <c r="DM10" s="49">
        <f>SUM(Model!CI10:CL10)</f>
        <v>1416.4</v>
      </c>
      <c r="DN10" s="49">
        <f t="shared" ref="DN10:DS10" si="7">+DM10*0.95</f>
        <v>1345.58</v>
      </c>
      <c r="DO10" s="49">
        <f t="shared" si="7"/>
        <v>1278.3009999999999</v>
      </c>
      <c r="DP10" s="49">
        <f t="shared" si="7"/>
        <v>1214.3859499999999</v>
      </c>
      <c r="DQ10" s="49">
        <f t="shared" si="7"/>
        <v>1153.6666524999998</v>
      </c>
      <c r="DR10" s="49">
        <f t="shared" si="7"/>
        <v>1095.9833198749998</v>
      </c>
      <c r="DS10" s="49">
        <f t="shared" si="7"/>
        <v>1041.1841538812498</v>
      </c>
    </row>
    <row r="11" spans="1:123" x14ac:dyDescent="0.15">
      <c r="B11" t="s">
        <v>19</v>
      </c>
      <c r="C11" s="51"/>
      <c r="D11" s="51"/>
      <c r="E11" s="51"/>
      <c r="F11" s="51"/>
      <c r="G11" s="51">
        <v>11.6</v>
      </c>
      <c r="H11" s="51">
        <v>17.8</v>
      </c>
      <c r="I11" s="51">
        <v>40</v>
      </c>
      <c r="J11" s="51">
        <v>73.099999999999994</v>
      </c>
      <c r="K11" s="51">
        <v>93.9</v>
      </c>
      <c r="L11" s="51">
        <v>111.2</v>
      </c>
      <c r="M11" s="51">
        <v>122.3</v>
      </c>
      <c r="N11" s="51">
        <v>135.80000000000001</v>
      </c>
      <c r="O11" s="51">
        <v>130</v>
      </c>
      <c r="P11" s="51">
        <v>153</v>
      </c>
      <c r="Q11" s="51">
        <v>157</v>
      </c>
      <c r="R11" s="51">
        <v>171.4</v>
      </c>
      <c r="S11" s="51">
        <v>187.8</v>
      </c>
      <c r="T11" s="51">
        <v>207.1</v>
      </c>
      <c r="U11" s="51">
        <v>215</v>
      </c>
      <c r="V11" s="51">
        <v>244.1</v>
      </c>
      <c r="W11" s="51">
        <v>247.2</v>
      </c>
      <c r="X11" s="51">
        <v>275</v>
      </c>
      <c r="Y11" s="51">
        <v>313.89999999999998</v>
      </c>
      <c r="Z11" s="51">
        <v>318.7</v>
      </c>
      <c r="AA11" s="51">
        <v>335.3</v>
      </c>
      <c r="AB11" s="51">
        <v>385.3</v>
      </c>
      <c r="AC11" s="51">
        <v>461.9</v>
      </c>
      <c r="AD11" s="51">
        <v>523.6</v>
      </c>
      <c r="AE11" s="51">
        <v>527.4</v>
      </c>
      <c r="AF11" s="51">
        <v>551.79999999999995</v>
      </c>
      <c r="AG11" s="51">
        <v>560.29999999999995</v>
      </c>
      <c r="AH11" s="51">
        <v>569</v>
      </c>
      <c r="AI11" s="51">
        <v>579.9</v>
      </c>
      <c r="AJ11" s="51">
        <v>613.4</v>
      </c>
      <c r="AK11" s="51">
        <v>629.70000000000005</v>
      </c>
      <c r="AL11" s="51">
        <v>638.1</v>
      </c>
      <c r="AM11" s="51">
        <v>606.79999999999995</v>
      </c>
      <c r="AN11" s="51">
        <v>659.5</v>
      </c>
      <c r="AO11" s="51">
        <v>643.6</v>
      </c>
      <c r="AP11" s="51">
        <v>684.3</v>
      </c>
      <c r="AQ11" s="51">
        <v>616.79999999999995</v>
      </c>
      <c r="AR11" s="51">
        <v>669.4</v>
      </c>
      <c r="AS11" s="51">
        <v>690.5</v>
      </c>
      <c r="AT11" s="51">
        <v>726.2</v>
      </c>
      <c r="AU11" s="51">
        <v>632</v>
      </c>
      <c r="AV11" s="51">
        <v>711.6</v>
      </c>
      <c r="AW11" s="51">
        <v>723.4</v>
      </c>
      <c r="AX11" s="51">
        <v>725</v>
      </c>
      <c r="AY11" s="51">
        <v>573</v>
      </c>
      <c r="AZ11" s="51">
        <v>664.3</v>
      </c>
      <c r="BA11" s="51">
        <v>628.5</v>
      </c>
      <c r="BB11" s="51">
        <v>627.20000000000005</v>
      </c>
      <c r="BC11" s="51">
        <v>564.20000000000005</v>
      </c>
      <c r="BD11" s="51">
        <v>607.1</v>
      </c>
      <c r="BE11" s="51">
        <v>570.4</v>
      </c>
      <c r="BF11" s="51">
        <v>541.6</v>
      </c>
      <c r="BG11" s="51">
        <v>489.9</v>
      </c>
      <c r="BH11" s="51">
        <v>532.9</v>
      </c>
      <c r="BI11" s="51">
        <v>514.5</v>
      </c>
      <c r="BJ11" s="51">
        <v>525.20000000000005</v>
      </c>
      <c r="BK11" s="51">
        <v>499.6</v>
      </c>
      <c r="BL11" s="51">
        <v>555.9</v>
      </c>
      <c r="BM11" s="51">
        <v>520.5</v>
      </c>
      <c r="BN11" s="51">
        <v>556.9</v>
      </c>
      <c r="BO11" s="51">
        <v>499.2</v>
      </c>
      <c r="BP11" s="51">
        <v>577.79999999999995</v>
      </c>
      <c r="BQ11" s="51">
        <v>508.2</v>
      </c>
      <c r="BR11" s="51">
        <v>530.70000000000005</v>
      </c>
      <c r="BS11" s="51">
        <v>560.1</v>
      </c>
      <c r="BT11" s="51">
        <v>539.1</v>
      </c>
      <c r="BU11" s="51">
        <v>578</v>
      </c>
      <c r="BV11" s="51">
        <v>652.70000000000005</v>
      </c>
      <c r="BW11" s="51">
        <v>559</v>
      </c>
      <c r="BX11" s="51">
        <v>610.6</v>
      </c>
      <c r="BY11" s="51">
        <v>457</v>
      </c>
      <c r="BZ11" s="51">
        <v>434.9</v>
      </c>
      <c r="CA11" s="51">
        <v>343.9</v>
      </c>
      <c r="CB11" s="51">
        <v>227.7</v>
      </c>
      <c r="CC11" s="51">
        <v>119.4</v>
      </c>
      <c r="CD11" s="51">
        <v>236.6</v>
      </c>
      <c r="CE11" s="51">
        <v>58.2</v>
      </c>
      <c r="CF11" s="51">
        <v>60.9</v>
      </c>
      <c r="CG11" s="51">
        <v>53.5</v>
      </c>
      <c r="CH11" s="51">
        <v>44.9</v>
      </c>
      <c r="CI11" s="51">
        <f>+CH11-1</f>
        <v>43.9</v>
      </c>
      <c r="CJ11" s="51">
        <f>+CI11-1</f>
        <v>42.9</v>
      </c>
      <c r="CK11" s="51">
        <f>+CJ11-1</f>
        <v>41.9</v>
      </c>
      <c r="CL11" s="51">
        <f>+CK11-1</f>
        <v>40.9</v>
      </c>
      <c r="CM11" s="49"/>
      <c r="CN11" s="49"/>
      <c r="CO11" s="49"/>
      <c r="CP11" s="51"/>
      <c r="CQ11" s="51"/>
      <c r="CR11" s="51"/>
      <c r="CS11" s="51">
        <v>143</v>
      </c>
      <c r="CT11" s="51">
        <v>463</v>
      </c>
      <c r="CU11" s="51">
        <v>619</v>
      </c>
      <c r="CV11" s="51">
        <f>SUM(S11:V11)</f>
        <v>854</v>
      </c>
      <c r="CW11" s="51">
        <f>SUM(W11:Z11)</f>
        <v>1154.8</v>
      </c>
      <c r="CX11" s="51">
        <f>SUM(AA11:AD11)</f>
        <v>1706.1</v>
      </c>
      <c r="CY11" s="51">
        <f>SUM(AE11:AH11)</f>
        <v>2208.5</v>
      </c>
      <c r="CZ11" s="51">
        <f>SUM(AI11:AL11)</f>
        <v>2461.1</v>
      </c>
      <c r="DA11" s="51">
        <f>SUM(AM11:AP11)</f>
        <v>2594.1999999999998</v>
      </c>
      <c r="DB11" s="51">
        <v>2703</v>
      </c>
      <c r="DC11" s="51">
        <v>2792</v>
      </c>
      <c r="DD11" s="51">
        <v>2493.1</v>
      </c>
      <c r="DE11" s="51">
        <v>2283.3000000000002</v>
      </c>
      <c r="DF11" s="51">
        <v>2062.5</v>
      </c>
      <c r="DG11" s="49">
        <v>2132.9</v>
      </c>
      <c r="DH11" s="49">
        <v>2115.8000000000002</v>
      </c>
      <c r="DI11" s="49">
        <f t="shared" si="3"/>
        <v>2329.9</v>
      </c>
      <c r="DJ11" s="49">
        <f t="shared" si="4"/>
        <v>2061.5</v>
      </c>
      <c r="DK11" s="49">
        <f t="shared" si="5"/>
        <v>927.59999999999991</v>
      </c>
      <c r="DL11" s="49">
        <f t="shared" si="6"/>
        <v>217.5</v>
      </c>
      <c r="DM11" s="49">
        <f>SUM(Model!CI11:CL11)</f>
        <v>169.6</v>
      </c>
      <c r="DN11" s="49">
        <f t="shared" ref="DN11:DS11" si="8">+DM11*0.5</f>
        <v>84.8</v>
      </c>
      <c r="DO11" s="49">
        <f t="shared" si="8"/>
        <v>42.4</v>
      </c>
      <c r="DP11" s="49">
        <f t="shared" si="8"/>
        <v>21.2</v>
      </c>
      <c r="DQ11" s="49">
        <f t="shared" si="8"/>
        <v>10.6</v>
      </c>
      <c r="DR11" s="49">
        <f t="shared" si="8"/>
        <v>5.3</v>
      </c>
      <c r="DS11" s="49">
        <f t="shared" si="8"/>
        <v>2.65</v>
      </c>
    </row>
    <row r="12" spans="1:123" x14ac:dyDescent="0.15">
      <c r="B12" t="s">
        <v>57</v>
      </c>
      <c r="C12" s="51">
        <v>241</v>
      </c>
      <c r="D12" s="51">
        <v>255.5</v>
      </c>
      <c r="E12" s="51">
        <v>264.5</v>
      </c>
      <c r="F12" s="51">
        <f>1060-E12-D12-C12</f>
        <v>299</v>
      </c>
      <c r="G12" s="51">
        <v>249.4</v>
      </c>
      <c r="H12" s="51">
        <v>259.3</v>
      </c>
      <c r="I12" s="51">
        <v>243.7</v>
      </c>
      <c r="J12" s="51">
        <v>245.2</v>
      </c>
      <c r="K12" s="51">
        <v>256.89999999999998</v>
      </c>
      <c r="L12" s="51">
        <v>249.8</v>
      </c>
      <c r="M12" s="51">
        <v>250.9</v>
      </c>
      <c r="N12" s="51">
        <v>247.2</v>
      </c>
      <c r="O12" s="51">
        <v>219</v>
      </c>
      <c r="P12" s="51">
        <v>220</v>
      </c>
      <c r="Q12" s="51">
        <v>230</v>
      </c>
      <c r="R12" s="51">
        <v>257</v>
      </c>
      <c r="S12" s="51">
        <v>225.8</v>
      </c>
      <c r="T12" s="51">
        <v>242.8</v>
      </c>
      <c r="U12" s="51">
        <v>243.3</v>
      </c>
      <c r="V12" s="51">
        <v>273.39999999999998</v>
      </c>
      <c r="W12" s="51">
        <v>257.7</v>
      </c>
      <c r="X12" s="51">
        <v>271.39999999999998</v>
      </c>
      <c r="Y12" s="51">
        <v>271.60000000000002</v>
      </c>
      <c r="Z12" s="51">
        <v>262.39999999999998</v>
      </c>
      <c r="AA12" s="51">
        <v>240.6</v>
      </c>
      <c r="AB12" s="51">
        <v>248.1</v>
      </c>
      <c r="AC12" s="51">
        <v>260.39999999999998</v>
      </c>
      <c r="AD12" s="51">
        <v>273</v>
      </c>
      <c r="AE12" s="51">
        <v>257.8</v>
      </c>
      <c r="AF12" s="51">
        <v>265.2</v>
      </c>
      <c r="AG12" s="51">
        <v>278</v>
      </c>
      <c r="AH12" s="51">
        <v>287.89999999999998</v>
      </c>
      <c r="AI12" s="51">
        <v>289.8</v>
      </c>
      <c r="AJ12" s="51">
        <v>311.8</v>
      </c>
      <c r="AK12" s="51">
        <v>301.5</v>
      </c>
      <c r="AL12" s="51">
        <v>345.6</v>
      </c>
      <c r="AM12" s="51">
        <v>307.7</v>
      </c>
      <c r="AN12" s="51">
        <v>303</v>
      </c>
      <c r="AO12" s="51">
        <v>285.39999999999998</v>
      </c>
      <c r="AP12" s="51">
        <v>343</v>
      </c>
      <c r="AQ12" s="51">
        <v>311.89999999999998</v>
      </c>
      <c r="AR12" s="51">
        <v>327.5</v>
      </c>
      <c r="AS12" s="51">
        <v>307</v>
      </c>
      <c r="AT12" s="51">
        <v>369.5</v>
      </c>
      <c r="AU12" s="51">
        <v>316.2</v>
      </c>
      <c r="AV12" s="51">
        <v>352.4</v>
      </c>
      <c r="AW12" s="51">
        <v>335.9</v>
      </c>
      <c r="AX12" s="51">
        <v>395.6</v>
      </c>
      <c r="AY12" s="51">
        <v>315.7</v>
      </c>
      <c r="AZ12" s="51">
        <v>316.39999999999998</v>
      </c>
      <c r="BA12" s="51">
        <v>316.7</v>
      </c>
      <c r="BB12" s="51">
        <v>358.6</v>
      </c>
      <c r="BC12" s="51">
        <v>356.4</v>
      </c>
      <c r="BD12" s="51">
        <v>332.3</v>
      </c>
      <c r="BE12" s="51">
        <v>322</v>
      </c>
      <c r="BF12" s="51">
        <v>355.3</v>
      </c>
      <c r="BG12" s="51">
        <v>314.5</v>
      </c>
      <c r="BH12" s="51">
        <v>357.8</v>
      </c>
      <c r="BI12" s="51">
        <v>300.5</v>
      </c>
      <c r="BJ12" s="51">
        <v>362.6</v>
      </c>
      <c r="BK12" s="51">
        <v>325.89999999999998</v>
      </c>
      <c r="BL12" s="51">
        <v>346</v>
      </c>
      <c r="BM12" s="51">
        <v>322.10000000000002</v>
      </c>
      <c r="BN12" s="51">
        <v>337.4</v>
      </c>
      <c r="BO12" s="51">
        <v>297.7</v>
      </c>
      <c r="BP12" s="51">
        <v>322.60000000000002</v>
      </c>
      <c r="BQ12" s="51">
        <v>321.8</v>
      </c>
      <c r="BR12" s="51">
        <v>348</v>
      </c>
      <c r="BS12" s="51">
        <v>315.7</v>
      </c>
      <c r="BT12" s="51">
        <v>313.60000000000002</v>
      </c>
      <c r="BU12" s="51">
        <v>305.89999999999998</v>
      </c>
      <c r="BV12" s="51">
        <v>324.39999999999998</v>
      </c>
      <c r="BW12" s="51">
        <f>219+102.7</f>
        <v>321.7</v>
      </c>
      <c r="BX12" s="51">
        <v>315.3</v>
      </c>
      <c r="BY12" s="51">
        <v>286.7</v>
      </c>
      <c r="BZ12" s="51">
        <v>298.8</v>
      </c>
      <c r="CA12" s="51">
        <f>190.4+82.8</f>
        <v>273.2</v>
      </c>
      <c r="CB12" s="51">
        <v>274</v>
      </c>
      <c r="CC12" s="51">
        <v>238.2</v>
      </c>
      <c r="CD12" s="51">
        <v>234</v>
      </c>
      <c r="CE12" s="51"/>
      <c r="CF12" s="51"/>
      <c r="CG12" s="51"/>
      <c r="CH12" s="51"/>
      <c r="CI12" s="51"/>
      <c r="CJ12" s="51"/>
      <c r="CK12" s="51"/>
      <c r="CL12" s="51"/>
      <c r="CM12" s="49"/>
      <c r="CN12" s="49"/>
      <c r="CO12" s="49"/>
      <c r="CP12" s="51"/>
      <c r="CQ12" s="51">
        <v>1004</v>
      </c>
      <c r="CR12" s="51">
        <v>1060</v>
      </c>
      <c r="CS12" s="51">
        <v>997</v>
      </c>
      <c r="CT12" s="51">
        <v>1005</v>
      </c>
      <c r="CU12" s="51">
        <v>905</v>
      </c>
      <c r="CV12" s="51">
        <f t="shared" ref="CV12" si="9">SUM(S12:V12)</f>
        <v>985.30000000000007</v>
      </c>
      <c r="CW12" s="51">
        <f t="shared" ref="CW12:CW36" si="10">SUM(W12:Z12)</f>
        <v>1063.0999999999999</v>
      </c>
      <c r="CX12" s="51">
        <f t="shared" ref="CX12:CX36" si="11">SUM(AA12:AD12)</f>
        <v>1022.0999999999999</v>
      </c>
      <c r="CY12" s="51">
        <f t="shared" ref="CY12:CY36" si="12">SUM(AE12:AH12)</f>
        <v>1088.9000000000001</v>
      </c>
      <c r="CZ12" s="51">
        <f t="shared" ref="CZ12:CZ37" si="13">SUM(AI12:AL12)</f>
        <v>1248.7</v>
      </c>
      <c r="DA12" s="51">
        <f>SUM(AM12:AP12)</f>
        <v>1239.0999999999999</v>
      </c>
      <c r="DB12" s="51">
        <v>1315.8</v>
      </c>
      <c r="DC12" s="51">
        <v>1400.1</v>
      </c>
      <c r="DD12" s="51">
        <v>1307.4000000000001</v>
      </c>
      <c r="DE12" s="51">
        <v>1365.9</v>
      </c>
      <c r="DF12" s="51">
        <v>1335.4</v>
      </c>
      <c r="DG12" s="49">
        <v>1331.4</v>
      </c>
      <c r="DH12" s="49">
        <v>1290.0999999999999</v>
      </c>
      <c r="DI12" s="49">
        <f t="shared" si="3"/>
        <v>1259.5999999999999</v>
      </c>
      <c r="DJ12" s="49">
        <f t="shared" si="4"/>
        <v>1222.5</v>
      </c>
      <c r="DK12" s="49">
        <f t="shared" si="5"/>
        <v>1019.4000000000001</v>
      </c>
      <c r="DL12" s="49">
        <f t="shared" si="6"/>
        <v>0</v>
      </c>
      <c r="DM12" s="49">
        <f>SUM(Model!CI12:CL12)</f>
        <v>0</v>
      </c>
      <c r="DN12" s="49">
        <f t="shared" ref="DN12:DS12" si="14">+DM12*0.95</f>
        <v>0</v>
      </c>
      <c r="DO12" s="49">
        <f t="shared" si="14"/>
        <v>0</v>
      </c>
      <c r="DP12" s="49">
        <f t="shared" si="14"/>
        <v>0</v>
      </c>
      <c r="DQ12" s="49">
        <f t="shared" si="14"/>
        <v>0</v>
      </c>
      <c r="DR12" s="49">
        <f t="shared" si="14"/>
        <v>0</v>
      </c>
      <c r="DS12" s="49">
        <f t="shared" si="14"/>
        <v>0</v>
      </c>
    </row>
    <row r="13" spans="1:123" x14ac:dyDescent="0.15">
      <c r="B13" s="38" t="s">
        <v>375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>
        <v>1.9</v>
      </c>
      <c r="BH13" s="52">
        <v>4.8</v>
      </c>
      <c r="BI13" s="52">
        <v>16.2</v>
      </c>
      <c r="BJ13" s="52">
        <v>23</v>
      </c>
      <c r="BK13" s="52">
        <v>32.200000000000003</v>
      </c>
      <c r="BL13" s="52">
        <v>44.7</v>
      </c>
      <c r="BM13" s="52">
        <v>55.6</v>
      </c>
      <c r="BN13" s="52">
        <v>70.099999999999994</v>
      </c>
      <c r="BO13" s="52">
        <v>82.1</v>
      </c>
      <c r="BP13" s="52">
        <v>102.4</v>
      </c>
      <c r="BQ13" s="52">
        <v>114.6</v>
      </c>
      <c r="BR13" s="52">
        <v>127.8</v>
      </c>
      <c r="BS13" s="52">
        <v>139.69999999999999</v>
      </c>
      <c r="BT13" s="52">
        <v>145</v>
      </c>
      <c r="BU13" s="52">
        <v>162</v>
      </c>
      <c r="BV13" s="52">
        <v>192.2</v>
      </c>
      <c r="BW13" s="52">
        <v>193.8</v>
      </c>
      <c r="BX13" s="52">
        <v>208.4</v>
      </c>
      <c r="BY13" s="52">
        <v>406.9</v>
      </c>
      <c r="BZ13" s="52">
        <v>306</v>
      </c>
      <c r="CA13" s="52">
        <v>255.6</v>
      </c>
      <c r="CB13" s="52">
        <v>186.2</v>
      </c>
      <c r="CC13" s="52">
        <v>182.9</v>
      </c>
      <c r="CD13" s="52">
        <v>205.8</v>
      </c>
      <c r="CE13" s="52">
        <v>228.9</v>
      </c>
      <c r="CF13" s="52">
        <v>218.9</v>
      </c>
      <c r="CG13" s="52">
        <v>231.4</v>
      </c>
      <c r="CH13" s="52">
        <v>243.5</v>
      </c>
      <c r="CI13" s="52">
        <f>+CH13+5</f>
        <v>248.5</v>
      </c>
      <c r="CJ13" s="52">
        <f>+CI13+5</f>
        <v>253.5</v>
      </c>
      <c r="CK13" s="52">
        <f>+CJ13+5</f>
        <v>258.5</v>
      </c>
      <c r="CL13" s="52">
        <f>+CK13+5</f>
        <v>263.5</v>
      </c>
      <c r="CM13" s="49"/>
      <c r="CN13" s="49"/>
      <c r="CO13" s="49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>
        <v>0</v>
      </c>
      <c r="DC13" s="51">
        <v>0</v>
      </c>
      <c r="DD13" s="51">
        <v>0</v>
      </c>
      <c r="DE13" s="51">
        <v>0</v>
      </c>
      <c r="DF13" s="51">
        <v>45.8</v>
      </c>
      <c r="DG13" s="49">
        <v>202.5</v>
      </c>
      <c r="DH13" s="49">
        <v>426.9</v>
      </c>
      <c r="DI13" s="49">
        <f t="shared" si="3"/>
        <v>638.9</v>
      </c>
      <c r="DJ13" s="49">
        <f t="shared" si="4"/>
        <v>1115.0999999999999</v>
      </c>
      <c r="DK13" s="49">
        <f t="shared" si="5"/>
        <v>830.5</v>
      </c>
      <c r="DL13" s="49">
        <f t="shared" si="6"/>
        <v>922.7</v>
      </c>
      <c r="DM13" s="49">
        <f>SUM(Model!CI13:CL13)</f>
        <v>1024</v>
      </c>
      <c r="DN13" s="49">
        <f t="shared" ref="DN13:DR13" si="15">+DM13*1.01</f>
        <v>1034.24</v>
      </c>
      <c r="DO13" s="49">
        <f t="shared" si="15"/>
        <v>1044.5824</v>
      </c>
      <c r="DP13" s="49">
        <f t="shared" si="15"/>
        <v>1055.0282239999999</v>
      </c>
      <c r="DQ13" s="49">
        <f t="shared" si="15"/>
        <v>1065.57850624</v>
      </c>
      <c r="DR13" s="49">
        <f t="shared" si="15"/>
        <v>1076.2342913023999</v>
      </c>
      <c r="DS13" s="49">
        <f>+DR13*0.1</f>
        <v>107.62342913024</v>
      </c>
    </row>
    <row r="14" spans="1:123" x14ac:dyDescent="0.15">
      <c r="B14" s="38" t="s">
        <v>372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>
        <v>13.7</v>
      </c>
      <c r="AW14" s="51">
        <v>28.4</v>
      </c>
      <c r="AX14" s="51">
        <v>33.6</v>
      </c>
      <c r="AY14" s="51">
        <v>67.5</v>
      </c>
      <c r="AZ14" s="51">
        <v>87.7</v>
      </c>
      <c r="BA14" s="51">
        <v>111.2</v>
      </c>
      <c r="BB14" s="51">
        <v>117.5</v>
      </c>
      <c r="BC14" s="51">
        <v>131</v>
      </c>
      <c r="BD14" s="51">
        <v>147</v>
      </c>
      <c r="BE14" s="51">
        <v>159</v>
      </c>
      <c r="BF14" s="51">
        <v>177.1</v>
      </c>
      <c r="BG14" s="51">
        <v>171.2</v>
      </c>
      <c r="BH14" s="51">
        <v>186.3</v>
      </c>
      <c r="BI14" s="51">
        <v>196</v>
      </c>
      <c r="BJ14" s="51">
        <v>204.8</v>
      </c>
      <c r="BK14" s="51">
        <v>183.6</v>
      </c>
      <c r="BL14" s="51">
        <v>218.8</v>
      </c>
      <c r="BM14" s="51">
        <v>198.4</v>
      </c>
      <c r="BN14" s="51">
        <v>220.6</v>
      </c>
      <c r="BO14" s="51">
        <v>198.3</v>
      </c>
      <c r="BP14" s="51">
        <v>241.8</v>
      </c>
      <c r="BQ14" s="51">
        <v>240</v>
      </c>
      <c r="BR14" s="51">
        <v>245.1</v>
      </c>
      <c r="BS14" s="51">
        <v>239</v>
      </c>
      <c r="BT14" s="51">
        <v>256.7</v>
      </c>
      <c r="BU14" s="51">
        <v>252.7</v>
      </c>
      <c r="BV14" s="51">
        <v>284.2</v>
      </c>
      <c r="BW14" s="51">
        <v>240.5</v>
      </c>
      <c r="BX14" s="51">
        <v>268.7</v>
      </c>
      <c r="BY14" s="51">
        <v>253.4</v>
      </c>
      <c r="BZ14" s="51">
        <v>270.39999999999998</v>
      </c>
      <c r="CA14" s="51">
        <v>230.3</v>
      </c>
      <c r="CB14" s="51">
        <v>231.3</v>
      </c>
      <c r="CC14" s="51">
        <v>232.1</v>
      </c>
      <c r="CD14" s="51">
        <v>277.8</v>
      </c>
      <c r="CE14" s="51">
        <v>236.8</v>
      </c>
      <c r="CF14" s="51">
        <v>260.3</v>
      </c>
      <c r="CG14" s="51">
        <v>224.1</v>
      </c>
      <c r="CH14" s="51">
        <v>253.6</v>
      </c>
      <c r="CI14" s="51">
        <f>+CE14</f>
        <v>236.8</v>
      </c>
      <c r="CJ14" s="51">
        <f>+CF14</f>
        <v>260.3</v>
      </c>
      <c r="CK14" s="51">
        <f>+CG14</f>
        <v>224.1</v>
      </c>
      <c r="CL14" s="51">
        <f>+CH14</f>
        <v>253.6</v>
      </c>
      <c r="CM14" s="49"/>
      <c r="CN14" s="49"/>
      <c r="CO14" s="49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>
        <v>0</v>
      </c>
      <c r="DC14" s="51">
        <v>75.599999999999994</v>
      </c>
      <c r="DD14" s="51">
        <v>383.8</v>
      </c>
      <c r="DE14" s="51">
        <v>614.1</v>
      </c>
      <c r="DF14" s="51">
        <v>758.3</v>
      </c>
      <c r="DG14" s="49">
        <v>821.4</v>
      </c>
      <c r="DH14" s="49">
        <v>925.1</v>
      </c>
      <c r="DI14" s="49">
        <f t="shared" si="3"/>
        <v>1032.5999999999999</v>
      </c>
      <c r="DJ14" s="49">
        <f t="shared" si="4"/>
        <v>1033</v>
      </c>
      <c r="DK14" s="49">
        <f t="shared" si="5"/>
        <v>971.5</v>
      </c>
      <c r="DL14" s="49">
        <f t="shared" si="6"/>
        <v>974.80000000000007</v>
      </c>
      <c r="DM14" s="49">
        <f>SUM(Model!CI14:CL14)</f>
        <v>974.80000000000007</v>
      </c>
      <c r="DN14" s="49">
        <f t="shared" ref="DN14:DS14" si="16">+DM14*0.95</f>
        <v>926.06000000000006</v>
      </c>
      <c r="DO14" s="49">
        <f t="shared" si="16"/>
        <v>879.75700000000006</v>
      </c>
      <c r="DP14" s="49">
        <f t="shared" si="16"/>
        <v>835.76914999999997</v>
      </c>
      <c r="DQ14" s="49">
        <f t="shared" si="16"/>
        <v>793.98069249999992</v>
      </c>
      <c r="DR14" s="49">
        <f t="shared" si="16"/>
        <v>754.28165787499984</v>
      </c>
      <c r="DS14" s="49">
        <f t="shared" si="16"/>
        <v>716.56757498124978</v>
      </c>
    </row>
    <row r="15" spans="1:123" x14ac:dyDescent="0.15">
      <c r="B15" t="s">
        <v>18</v>
      </c>
      <c r="C15" s="51">
        <v>21.5</v>
      </c>
      <c r="D15" s="51">
        <v>37.5</v>
      </c>
      <c r="E15" s="51">
        <v>50.2</v>
      </c>
      <c r="F15" s="51">
        <f>203.3-E15-D15-C15</f>
        <v>94.100000000000023</v>
      </c>
      <c r="G15" s="51">
        <v>108.3</v>
      </c>
      <c r="H15" s="51"/>
      <c r="I15" s="51">
        <v>154.1</v>
      </c>
      <c r="J15" s="51">
        <v>152.69999999999999</v>
      </c>
      <c r="K15" s="51">
        <v>150.1</v>
      </c>
      <c r="L15" s="51"/>
      <c r="M15" s="51"/>
      <c r="N15" s="51"/>
      <c r="O15" s="51"/>
      <c r="P15" s="51"/>
      <c r="Q15" s="51"/>
      <c r="R15" s="51">
        <v>268</v>
      </c>
      <c r="S15" s="51">
        <v>193.1</v>
      </c>
      <c r="T15" s="51">
        <v>293.10000000000002</v>
      </c>
      <c r="U15" s="51">
        <v>311</v>
      </c>
      <c r="V15" s="51">
        <v>346.2</v>
      </c>
      <c r="W15" s="51">
        <v>336.9</v>
      </c>
      <c r="X15" s="51">
        <v>362.2</v>
      </c>
      <c r="Y15" s="51">
        <v>376.6</v>
      </c>
      <c r="Z15" s="51">
        <v>368.8</v>
      </c>
      <c r="AA15" s="51">
        <v>358.8</v>
      </c>
      <c r="AB15" s="51">
        <v>363.6</v>
      </c>
      <c r="AC15" s="51">
        <v>397.2</v>
      </c>
      <c r="AD15" s="51">
        <v>439.5</v>
      </c>
      <c r="AE15" s="51">
        <v>408.3</v>
      </c>
      <c r="AF15" s="51">
        <v>418.7</v>
      </c>
      <c r="AG15" s="51">
        <v>406.5</v>
      </c>
      <c r="AH15" s="51">
        <v>465.9</v>
      </c>
      <c r="AI15" s="51">
        <v>434.4</v>
      </c>
      <c r="AJ15" s="51">
        <v>477.2</v>
      </c>
      <c r="AK15" s="51">
        <v>469.8</v>
      </c>
      <c r="AL15" s="51">
        <v>494.2</v>
      </c>
      <c r="AM15" s="51">
        <v>461.8</v>
      </c>
      <c r="AN15" s="51">
        <v>469.5</v>
      </c>
      <c r="AO15" s="51">
        <v>482.1</v>
      </c>
      <c r="AP15" s="51">
        <v>513.4</v>
      </c>
      <c r="AQ15" s="51">
        <v>515</v>
      </c>
      <c r="AR15" s="51">
        <v>529.4</v>
      </c>
      <c r="AS15" s="51">
        <v>526.70000000000005</v>
      </c>
      <c r="AT15" s="51">
        <v>588.29999999999995</v>
      </c>
      <c r="AU15" s="51">
        <v>532.4</v>
      </c>
      <c r="AV15" s="51">
        <v>567.79999999999995</v>
      </c>
      <c r="AW15" s="51">
        <v>568.4</v>
      </c>
      <c r="AX15" s="51">
        <v>622.4</v>
      </c>
      <c r="AY15" s="51">
        <v>538.29999999999995</v>
      </c>
      <c r="AZ15" s="51">
        <v>567.9</v>
      </c>
      <c r="BA15" s="51">
        <v>566.1</v>
      </c>
      <c r="BB15" s="51">
        <v>638.4</v>
      </c>
      <c r="BC15" s="51">
        <v>576.70000000000005</v>
      </c>
      <c r="BD15" s="51">
        <v>630.5</v>
      </c>
      <c r="BE15" s="51">
        <v>588.20000000000005</v>
      </c>
      <c r="BF15" s="51">
        <v>676.3</v>
      </c>
      <c r="BG15" s="51">
        <v>533.6</v>
      </c>
      <c r="BH15" s="51">
        <v>627.29999999999995</v>
      </c>
      <c r="BI15" s="51">
        <v>564.9</v>
      </c>
      <c r="BJ15" s="51">
        <v>597.4</v>
      </c>
      <c r="BK15" s="51">
        <v>495.4</v>
      </c>
      <c r="BL15" s="51">
        <v>538.70000000000005</v>
      </c>
      <c r="BM15" s="51">
        <v>467.1</v>
      </c>
      <c r="BN15" s="51">
        <v>350.7</v>
      </c>
      <c r="BO15" s="51">
        <v>0</v>
      </c>
      <c r="BP15" s="51">
        <v>0</v>
      </c>
      <c r="BQ15" s="51">
        <v>0</v>
      </c>
      <c r="BR15" s="51">
        <v>0</v>
      </c>
      <c r="BS15" s="51">
        <v>193</v>
      </c>
      <c r="BT15" s="51">
        <v>130.69999999999999</v>
      </c>
      <c r="BU15" s="52">
        <v>162.5</v>
      </c>
      <c r="BV15" s="51">
        <f>607.1-BU15-BT15-BS15</f>
        <v>120.90000000000003</v>
      </c>
      <c r="BW15" s="51">
        <v>126.8</v>
      </c>
      <c r="BX15" s="51">
        <v>281</v>
      </c>
      <c r="BY15" s="51">
        <v>130.9</v>
      </c>
      <c r="BZ15" s="51">
        <f>718.4-BY15-BX15-BW15</f>
        <v>179.7</v>
      </c>
      <c r="CA15" s="51">
        <v>217.7</v>
      </c>
      <c r="CB15" s="51">
        <v>147</v>
      </c>
      <c r="CC15" s="51">
        <v>0</v>
      </c>
      <c r="CD15" s="51">
        <v>0</v>
      </c>
      <c r="CE15" s="51"/>
      <c r="CF15" s="51"/>
      <c r="CG15" s="51"/>
      <c r="CH15" s="51"/>
      <c r="CI15" s="51"/>
      <c r="CJ15" s="51"/>
      <c r="CK15" s="51"/>
      <c r="CL15" s="51"/>
      <c r="CM15" s="49"/>
      <c r="CN15" s="49"/>
      <c r="CO15" s="49"/>
      <c r="CP15" s="51"/>
      <c r="CQ15" s="51"/>
      <c r="CR15" s="51">
        <v>74</v>
      </c>
      <c r="CS15" s="51">
        <v>130</v>
      </c>
      <c r="CT15" s="51">
        <v>170</v>
      </c>
      <c r="CU15" s="51">
        <v>212</v>
      </c>
      <c r="CV15" s="51">
        <f>SUM(S15:V15)</f>
        <v>1143.4000000000001</v>
      </c>
      <c r="CW15" s="51">
        <f>SUM(W15:Z15)</f>
        <v>1444.4999999999998</v>
      </c>
      <c r="CX15" s="51">
        <f>SUM(AA15:AD15)</f>
        <v>1559.1000000000001</v>
      </c>
      <c r="CY15" s="51">
        <f>SUM(AE15:AH15)</f>
        <v>1699.4</v>
      </c>
      <c r="CZ15" s="51">
        <f>SUM(AI15:AL15)</f>
        <v>1875.6</v>
      </c>
      <c r="DA15" s="51">
        <f>SUM(AM15:AP15)</f>
        <v>1926.8000000000002</v>
      </c>
      <c r="DB15" s="51">
        <v>2159.4</v>
      </c>
      <c r="DC15" s="51">
        <v>2291</v>
      </c>
      <c r="DD15" s="51">
        <v>2310.6999999999998</v>
      </c>
      <c r="DE15" s="51">
        <v>2471.6</v>
      </c>
      <c r="DF15" s="51">
        <v>2323.1</v>
      </c>
      <c r="DG15" s="49">
        <v>1851.8</v>
      </c>
      <c r="DH15" s="49">
        <v>890.5</v>
      </c>
      <c r="DI15" s="49">
        <f t="shared" si="3"/>
        <v>607.1</v>
      </c>
      <c r="DJ15" s="49">
        <f t="shared" si="4"/>
        <v>718.40000000000009</v>
      </c>
      <c r="DK15" s="49">
        <f t="shared" si="5"/>
        <v>364.7</v>
      </c>
      <c r="DL15" s="49">
        <f t="shared" si="6"/>
        <v>0</v>
      </c>
      <c r="DM15" s="49">
        <f>SUM(Model!CI15:CL15)</f>
        <v>0</v>
      </c>
      <c r="DN15" s="49">
        <f t="shared" ref="DN15:DS16" si="17">+DM15*0.9</f>
        <v>0</v>
      </c>
      <c r="DO15" s="49">
        <f t="shared" si="17"/>
        <v>0</v>
      </c>
      <c r="DP15" s="49">
        <f t="shared" si="17"/>
        <v>0</v>
      </c>
      <c r="DQ15" s="49">
        <f t="shared" si="17"/>
        <v>0</v>
      </c>
      <c r="DR15" s="49">
        <f t="shared" si="17"/>
        <v>0</v>
      </c>
      <c r="DS15" s="49">
        <f t="shared" si="17"/>
        <v>0</v>
      </c>
    </row>
    <row r="16" spans="1:123" x14ac:dyDescent="0.15">
      <c r="B16" s="38" t="s">
        <v>368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>
        <v>3.8</v>
      </c>
      <c r="BB16" s="51">
        <v>7.3</v>
      </c>
      <c r="BC16" s="51">
        <v>10.9</v>
      </c>
      <c r="BD16" s="51">
        <v>16.3</v>
      </c>
      <c r="BE16" s="51">
        <v>19.399999999999999</v>
      </c>
      <c r="BF16" s="51">
        <v>39.5</v>
      </c>
      <c r="BG16" s="51">
        <v>46</v>
      </c>
      <c r="BH16" s="51">
        <v>86.6</v>
      </c>
      <c r="BI16" s="51">
        <v>145.69999999999999</v>
      </c>
      <c r="BJ16" s="51">
        <v>153.80000000000001</v>
      </c>
      <c r="BK16" s="51">
        <v>166</v>
      </c>
      <c r="BL16" s="51">
        <v>201.8</v>
      </c>
      <c r="BM16" s="51">
        <v>201.2</v>
      </c>
      <c r="BN16" s="51">
        <v>232.2</v>
      </c>
      <c r="BO16" s="51">
        <v>251.4</v>
      </c>
      <c r="BP16" s="51">
        <v>290.7</v>
      </c>
      <c r="BQ16" s="51">
        <v>263.2</v>
      </c>
      <c r="BR16" s="51">
        <v>307.2</v>
      </c>
      <c r="BS16" s="51">
        <v>303.7</v>
      </c>
      <c r="BT16" s="51">
        <v>290.39999999999998</v>
      </c>
      <c r="BU16" s="51">
        <v>248.2</v>
      </c>
      <c r="BV16" s="51">
        <v>282.10000000000002</v>
      </c>
      <c r="BW16" s="51">
        <v>246.6</v>
      </c>
      <c r="BX16" s="51">
        <v>210.7</v>
      </c>
      <c r="BY16" s="51">
        <v>192.8</v>
      </c>
      <c r="BZ16" s="51">
        <v>242.4</v>
      </c>
      <c r="CA16" s="51">
        <v>191.5</v>
      </c>
      <c r="CB16" s="51">
        <v>174.2</v>
      </c>
      <c r="CC16" s="51">
        <v>193</v>
      </c>
      <c r="CD16" s="51">
        <v>201.7</v>
      </c>
      <c r="CE16" s="51"/>
      <c r="CF16" s="51"/>
      <c r="CG16" s="51"/>
      <c r="CH16" s="51"/>
      <c r="CI16" s="51"/>
      <c r="CJ16" s="51"/>
      <c r="CK16" s="51"/>
      <c r="CL16" s="51"/>
      <c r="CM16" s="49"/>
      <c r="CN16" s="49"/>
      <c r="CO16" s="49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>
        <v>0</v>
      </c>
      <c r="DC16" s="51">
        <v>0</v>
      </c>
      <c r="DD16" s="51">
        <v>0</v>
      </c>
      <c r="DE16" s="51">
        <v>0</v>
      </c>
      <c r="DF16" s="51">
        <v>432.1</v>
      </c>
      <c r="DG16" s="49">
        <v>801.2</v>
      </c>
      <c r="DH16" s="49">
        <v>1112.5999999999999</v>
      </c>
      <c r="DI16" s="49">
        <f t="shared" si="3"/>
        <v>1124.4000000000001</v>
      </c>
      <c r="DJ16" s="49">
        <f t="shared" si="4"/>
        <v>892.49999999999989</v>
      </c>
      <c r="DK16" s="49">
        <f t="shared" si="5"/>
        <v>760.40000000000009</v>
      </c>
      <c r="DL16" s="49">
        <f t="shared" si="6"/>
        <v>0</v>
      </c>
      <c r="DM16" s="49">
        <f>SUM(Model!CI16:CL16)</f>
        <v>0</v>
      </c>
      <c r="DN16" s="49">
        <f t="shared" si="17"/>
        <v>0</v>
      </c>
      <c r="DO16" s="49">
        <f t="shared" si="17"/>
        <v>0</v>
      </c>
      <c r="DP16" s="49">
        <f t="shared" si="17"/>
        <v>0</v>
      </c>
      <c r="DQ16" s="49">
        <f t="shared" si="17"/>
        <v>0</v>
      </c>
      <c r="DR16" s="49">
        <f t="shared" si="17"/>
        <v>0</v>
      </c>
      <c r="DS16" s="49">
        <f t="shared" si="17"/>
        <v>0</v>
      </c>
    </row>
    <row r="17" spans="2:123" x14ac:dyDescent="0.15">
      <c r="B17" s="38" t="s">
        <v>377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>
        <v>4.9000000000000004</v>
      </c>
      <c r="BO17" s="52">
        <v>14.2</v>
      </c>
      <c r="BP17" s="52">
        <v>34.299999999999997</v>
      </c>
      <c r="BQ17" s="52">
        <v>47.7</v>
      </c>
      <c r="BR17" s="52">
        <v>66.3</v>
      </c>
      <c r="BS17" s="52">
        <v>74</v>
      </c>
      <c r="BT17" s="52">
        <v>87.4</v>
      </c>
      <c r="BU17" s="52">
        <v>91.5</v>
      </c>
      <c r="BV17" s="52">
        <v>109.9</v>
      </c>
      <c r="BW17" s="52">
        <v>119.5</v>
      </c>
      <c r="BX17" s="52">
        <v>156.30000000000001</v>
      </c>
      <c r="BY17" s="52">
        <v>140</v>
      </c>
      <c r="BZ17" s="52">
        <v>161.5</v>
      </c>
      <c r="CA17" s="52">
        <v>149.30000000000001</v>
      </c>
      <c r="CB17" s="52">
        <v>157.5</v>
      </c>
      <c r="CC17" s="52">
        <v>168.5</v>
      </c>
      <c r="CD17" s="52">
        <v>175.6</v>
      </c>
      <c r="CE17" s="52">
        <v>154.30000000000001</v>
      </c>
      <c r="CF17" s="52">
        <v>169.3</v>
      </c>
      <c r="CG17" s="52">
        <v>168.5</v>
      </c>
      <c r="CH17" s="52">
        <v>186.1</v>
      </c>
      <c r="CI17" s="52">
        <f>+CE17</f>
        <v>154.30000000000001</v>
      </c>
      <c r="CJ17" s="52">
        <f>+CF17</f>
        <v>169.3</v>
      </c>
      <c r="CK17" s="52">
        <f>+CG17</f>
        <v>168.5</v>
      </c>
      <c r="CL17" s="52">
        <f>+CH17</f>
        <v>186.1</v>
      </c>
      <c r="CM17" s="49"/>
      <c r="CN17" s="49"/>
      <c r="CO17" s="49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>
        <v>0</v>
      </c>
      <c r="DC17" s="51">
        <v>0</v>
      </c>
      <c r="DD17" s="51">
        <v>0</v>
      </c>
      <c r="DE17" s="51">
        <v>0</v>
      </c>
      <c r="DF17" s="51">
        <v>0</v>
      </c>
      <c r="DG17" s="49">
        <v>4.9000000000000004</v>
      </c>
      <c r="DH17" s="49">
        <v>162.5</v>
      </c>
      <c r="DI17" s="49">
        <f t="shared" si="3"/>
        <v>362.8</v>
      </c>
      <c r="DJ17" s="49">
        <f t="shared" si="4"/>
        <v>577.29999999999995</v>
      </c>
      <c r="DK17" s="49">
        <f t="shared" si="5"/>
        <v>650.9</v>
      </c>
      <c r="DL17" s="49">
        <f t="shared" si="6"/>
        <v>678.2</v>
      </c>
      <c r="DM17" s="49">
        <f>SUM(Model!CI17:CL17)</f>
        <v>678.2</v>
      </c>
      <c r="DN17" s="49">
        <f t="shared" ref="DN17:DS17" si="18">+DM17*1.01</f>
        <v>684.98200000000008</v>
      </c>
      <c r="DO17" s="49">
        <f t="shared" si="18"/>
        <v>691.83182000000011</v>
      </c>
      <c r="DP17" s="49">
        <f t="shared" si="18"/>
        <v>698.75013820000015</v>
      </c>
      <c r="DQ17" s="49">
        <f t="shared" si="18"/>
        <v>705.73763958200016</v>
      </c>
      <c r="DR17" s="49">
        <f t="shared" si="18"/>
        <v>712.79501597782019</v>
      </c>
      <c r="DS17" s="49">
        <f t="shared" si="18"/>
        <v>719.92296613759834</v>
      </c>
    </row>
    <row r="18" spans="2:123" x14ac:dyDescent="0.15">
      <c r="B18" s="38" t="s">
        <v>369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>
        <v>17.8</v>
      </c>
      <c r="BT18" s="51">
        <v>15</v>
      </c>
      <c r="BU18" s="51">
        <v>17.2</v>
      </c>
      <c r="BV18" s="51">
        <v>20</v>
      </c>
      <c r="BW18" s="51">
        <v>20.6</v>
      </c>
      <c r="BX18" s="51">
        <v>25.4</v>
      </c>
      <c r="BY18" s="51">
        <v>39</v>
      </c>
      <c r="BZ18" s="51">
        <v>36.6</v>
      </c>
      <c r="CA18" s="51">
        <v>144.6</v>
      </c>
      <c r="CB18" s="51">
        <f>170-CB4</f>
        <v>154</v>
      </c>
      <c r="CC18" s="51">
        <v>0</v>
      </c>
      <c r="CD18" s="51">
        <f t="shared" ref="CD18" si="19">+CC18</f>
        <v>0</v>
      </c>
      <c r="CE18" s="51"/>
      <c r="CF18" s="51"/>
      <c r="CG18" s="51"/>
      <c r="CH18" s="51"/>
      <c r="CI18" s="51"/>
      <c r="CJ18" s="51"/>
      <c r="CK18" s="51"/>
      <c r="CL18" s="51"/>
      <c r="CM18" s="49"/>
      <c r="CN18" s="49"/>
      <c r="CO18" s="49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>
        <v>0</v>
      </c>
      <c r="DC18" s="51">
        <v>0</v>
      </c>
      <c r="DD18" s="51">
        <v>0</v>
      </c>
      <c r="DE18" s="51">
        <v>0</v>
      </c>
      <c r="DF18" s="51">
        <f>380.9+307.7</f>
        <v>688.59999999999991</v>
      </c>
      <c r="DG18" s="49">
        <f>292.7+272.5</f>
        <v>565.20000000000005</v>
      </c>
      <c r="DH18" s="49">
        <f>293.7+230.1</f>
        <v>523.79999999999995</v>
      </c>
      <c r="DI18" s="49">
        <f t="shared" si="3"/>
        <v>70</v>
      </c>
      <c r="DJ18" s="49">
        <f t="shared" si="4"/>
        <v>121.6</v>
      </c>
      <c r="DK18" s="49">
        <f t="shared" si="5"/>
        <v>298.60000000000002</v>
      </c>
      <c r="DL18" s="49">
        <f t="shared" si="6"/>
        <v>0</v>
      </c>
      <c r="DM18" s="49">
        <f t="shared" ref="DM18:DS18" si="20">+DL18*0.9</f>
        <v>0</v>
      </c>
      <c r="DN18" s="49">
        <f t="shared" si="20"/>
        <v>0</v>
      </c>
      <c r="DO18" s="49">
        <f t="shared" si="20"/>
        <v>0</v>
      </c>
      <c r="DP18" s="49">
        <f t="shared" si="20"/>
        <v>0</v>
      </c>
      <c r="DQ18" s="49">
        <f t="shared" si="20"/>
        <v>0</v>
      </c>
      <c r="DR18" s="49">
        <f t="shared" si="20"/>
        <v>0</v>
      </c>
      <c r="DS18" s="49">
        <f t="shared" si="20"/>
        <v>0</v>
      </c>
    </row>
    <row r="19" spans="2:123" x14ac:dyDescent="0.15">
      <c r="B19" s="38" t="s">
        <v>256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>
        <v>99.7</v>
      </c>
      <c r="AC19" s="51">
        <v>101.9</v>
      </c>
      <c r="AD19" s="51">
        <v>95</v>
      </c>
      <c r="AE19" s="51">
        <v>92.4</v>
      </c>
      <c r="AF19" s="51">
        <v>103.8</v>
      </c>
      <c r="AG19" s="51">
        <v>95.4</v>
      </c>
      <c r="AH19" s="51">
        <v>94.5</v>
      </c>
      <c r="AI19" s="51">
        <v>104</v>
      </c>
      <c r="AJ19" s="51">
        <v>100.1</v>
      </c>
      <c r="AK19" s="51">
        <v>97.2</v>
      </c>
      <c r="AL19" s="51">
        <v>107.9</v>
      </c>
      <c r="AM19" s="51">
        <v>113.3</v>
      </c>
      <c r="AN19" s="51">
        <v>110</v>
      </c>
      <c r="AO19" s="51">
        <v>86.6</v>
      </c>
      <c r="AP19" s="52"/>
      <c r="AQ19" s="52"/>
      <c r="AR19" s="52"/>
      <c r="AS19" s="52"/>
      <c r="AT19" s="52"/>
      <c r="AU19" s="52"/>
      <c r="AV19" s="52"/>
      <c r="AW19" s="52"/>
      <c r="AX19" s="52">
        <v>96</v>
      </c>
      <c r="AY19" s="52">
        <v>88.2</v>
      </c>
      <c r="AZ19" s="52">
        <v>134.6</v>
      </c>
      <c r="BA19" s="52">
        <v>85.9</v>
      </c>
      <c r="BB19" s="52">
        <v>176.2</v>
      </c>
      <c r="BC19" s="52">
        <v>168.1</v>
      </c>
      <c r="BD19" s="52">
        <v>180.6</v>
      </c>
      <c r="BE19" s="52">
        <v>184.6</v>
      </c>
      <c r="BF19" s="52">
        <v>153.69999999999999</v>
      </c>
      <c r="BG19" s="52">
        <v>154.4</v>
      </c>
      <c r="BH19" s="52">
        <v>159.1</v>
      </c>
      <c r="BI19" s="52">
        <v>163.5</v>
      </c>
      <c r="BJ19" s="52">
        <v>168.9</v>
      </c>
      <c r="BK19" s="52">
        <v>149.6</v>
      </c>
      <c r="BL19" s="52">
        <v>166.4</v>
      </c>
      <c r="BM19" s="52">
        <v>159.5</v>
      </c>
      <c r="BN19" s="52">
        <v>159.80000000000001</v>
      </c>
      <c r="BO19" s="52"/>
      <c r="BP19" s="52"/>
      <c r="BQ19" s="52"/>
      <c r="BR19" s="52"/>
      <c r="BS19" s="52">
        <v>130.80000000000001</v>
      </c>
      <c r="BT19" s="52">
        <v>129.5</v>
      </c>
      <c r="BU19" s="52">
        <v>136.4</v>
      </c>
      <c r="BV19" s="52">
        <f>480.1+56.3-BU19-BT19-BS19</f>
        <v>139.69999999999999</v>
      </c>
      <c r="BW19" s="52">
        <v>122.4</v>
      </c>
      <c r="BX19" s="52">
        <v>147</v>
      </c>
      <c r="BY19" s="52">
        <v>134.30000000000001</v>
      </c>
      <c r="BZ19" s="52">
        <f>548.3-BY19-BX19-BW19</f>
        <v>144.59999999999994</v>
      </c>
      <c r="CA19" s="52">
        <v>122.7</v>
      </c>
      <c r="CB19" s="52">
        <v>140.80000000000001</v>
      </c>
      <c r="CC19" s="52">
        <v>0</v>
      </c>
      <c r="CD19" s="52">
        <f t="shared" ref="CD19" si="21">+CC19</f>
        <v>0</v>
      </c>
      <c r="CE19" s="52"/>
      <c r="CF19" s="52"/>
      <c r="CG19" s="52"/>
      <c r="CH19" s="52"/>
      <c r="CI19" s="52"/>
      <c r="CJ19" s="52"/>
      <c r="CK19" s="52"/>
      <c r="CL19" s="52"/>
      <c r="CM19" s="49"/>
      <c r="CN19" s="49"/>
      <c r="CO19" s="49"/>
      <c r="CP19" s="51"/>
      <c r="CQ19" s="51"/>
      <c r="CR19" s="51"/>
      <c r="CS19" s="51"/>
      <c r="CT19" s="51"/>
      <c r="CU19" s="51"/>
      <c r="CV19" s="51"/>
      <c r="CW19" s="51"/>
      <c r="CX19" s="51">
        <f>SUM(AA19:AD19)</f>
        <v>296.60000000000002</v>
      </c>
      <c r="CY19" s="51">
        <f>SUM(AE19:AH19)</f>
        <v>386.1</v>
      </c>
      <c r="CZ19" s="51">
        <f>SUM(AI19:AL19)</f>
        <v>409.20000000000005</v>
      </c>
      <c r="DA19" s="51">
        <f>SUM(AM19:AP19)</f>
        <v>309.89999999999998</v>
      </c>
      <c r="DB19" s="51">
        <v>373.7</v>
      </c>
      <c r="DC19" s="51">
        <v>373.3</v>
      </c>
      <c r="DD19" s="51">
        <v>485</v>
      </c>
      <c r="DE19" s="51">
        <v>687</v>
      </c>
      <c r="DF19" s="51">
        <v>645.9</v>
      </c>
      <c r="DG19" s="49">
        <v>635.29999999999995</v>
      </c>
      <c r="DH19" s="49">
        <v>543.4</v>
      </c>
      <c r="DI19" s="49">
        <f t="shared" si="3"/>
        <v>536.40000000000009</v>
      </c>
      <c r="DJ19" s="49">
        <f t="shared" si="4"/>
        <v>548.29999999999995</v>
      </c>
      <c r="DK19" s="49">
        <f t="shared" si="5"/>
        <v>263.5</v>
      </c>
      <c r="DL19" s="49">
        <f t="shared" si="6"/>
        <v>0</v>
      </c>
      <c r="DM19" s="49">
        <f t="shared" ref="DM19:DS19" si="22">+DL19*0.9</f>
        <v>0</v>
      </c>
      <c r="DN19" s="49">
        <f t="shared" si="22"/>
        <v>0</v>
      </c>
      <c r="DO19" s="49">
        <f t="shared" si="22"/>
        <v>0</v>
      </c>
      <c r="DP19" s="49">
        <f t="shared" si="22"/>
        <v>0</v>
      </c>
      <c r="DQ19" s="49">
        <f t="shared" si="22"/>
        <v>0</v>
      </c>
      <c r="DR19" s="49">
        <f t="shared" si="22"/>
        <v>0</v>
      </c>
      <c r="DS19" s="49">
        <f t="shared" si="22"/>
        <v>0</v>
      </c>
    </row>
    <row r="20" spans="2:123" x14ac:dyDescent="0.15">
      <c r="B20" t="s">
        <v>77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>
        <v>26.2</v>
      </c>
      <c r="BT20" s="51">
        <v>64.3</v>
      </c>
      <c r="BU20" s="51">
        <v>35.9</v>
      </c>
      <c r="BV20" s="51">
        <v>36.200000000000003</v>
      </c>
      <c r="BW20" s="51">
        <v>54.8</v>
      </c>
      <c r="BX20" s="51">
        <v>55.7</v>
      </c>
      <c r="BY20" s="51">
        <v>66.7</v>
      </c>
      <c r="BZ20" s="51">
        <v>38.5</v>
      </c>
      <c r="CA20" s="51">
        <f>101.2-CA28</f>
        <v>59.400000000000006</v>
      </c>
      <c r="CB20" s="51">
        <f>106.8-CB28</f>
        <v>61.8</v>
      </c>
      <c r="CC20" s="51">
        <v>0</v>
      </c>
      <c r="CD20" s="51">
        <f t="shared" ref="CD20" si="23">+CC20</f>
        <v>0</v>
      </c>
      <c r="CE20" s="51"/>
      <c r="CF20" s="51"/>
      <c r="CG20" s="51"/>
      <c r="CH20" s="51"/>
      <c r="CI20" s="51"/>
      <c r="CJ20" s="51"/>
      <c r="CK20" s="51"/>
      <c r="CL20" s="51"/>
      <c r="CM20" s="49"/>
      <c r="CN20" s="49"/>
      <c r="CO20" s="49"/>
      <c r="CP20" s="51"/>
      <c r="CQ20" s="51">
        <v>19</v>
      </c>
      <c r="CR20" s="51">
        <v>19</v>
      </c>
      <c r="CS20" s="51">
        <v>9</v>
      </c>
      <c r="CT20" s="51">
        <v>3</v>
      </c>
      <c r="CU20" s="51"/>
      <c r="CV20" s="51"/>
      <c r="CW20" s="51"/>
      <c r="CX20" s="51"/>
      <c r="CY20" s="51"/>
      <c r="CZ20" s="51"/>
      <c r="DF20" s="51">
        <f>174.6+149.6</f>
        <v>324.2</v>
      </c>
      <c r="DG20" s="49">
        <f>215.1+200.6</f>
        <v>415.7</v>
      </c>
      <c r="DH20" s="49">
        <f>111+339.3</f>
        <v>450.3</v>
      </c>
      <c r="DI20" s="49">
        <f t="shared" si="3"/>
        <v>162.60000000000002</v>
      </c>
      <c r="DJ20" s="49">
        <f t="shared" si="4"/>
        <v>215.7</v>
      </c>
      <c r="DK20" s="49">
        <f t="shared" si="5"/>
        <v>121.2</v>
      </c>
      <c r="DL20" s="49">
        <f t="shared" si="6"/>
        <v>0</v>
      </c>
      <c r="DM20" s="49">
        <f t="shared" ref="DM20:DS20" si="24">+DL20*0.9</f>
        <v>0</v>
      </c>
      <c r="DN20" s="49">
        <f t="shared" si="24"/>
        <v>0</v>
      </c>
      <c r="DO20" s="49">
        <f t="shared" si="24"/>
        <v>0</v>
      </c>
      <c r="DP20" s="49">
        <f t="shared" si="24"/>
        <v>0</v>
      </c>
      <c r="DQ20" s="49">
        <f t="shared" si="24"/>
        <v>0</v>
      </c>
      <c r="DR20" s="49">
        <f t="shared" si="24"/>
        <v>0</v>
      </c>
      <c r="DS20" s="49">
        <f t="shared" si="24"/>
        <v>0</v>
      </c>
    </row>
    <row r="21" spans="2:123" x14ac:dyDescent="0.15">
      <c r="B21" t="s">
        <v>16</v>
      </c>
      <c r="C21" s="51">
        <v>4.0999999999999996</v>
      </c>
      <c r="D21" s="51">
        <v>13.7</v>
      </c>
      <c r="E21" s="51">
        <v>21.6</v>
      </c>
      <c r="F21" s="51">
        <f>65.3-E21-D21-C21</f>
        <v>25.9</v>
      </c>
      <c r="G21" s="51">
        <v>40.799999999999997</v>
      </c>
      <c r="H21" s="51">
        <v>65.3</v>
      </c>
      <c r="I21" s="51">
        <v>58.1</v>
      </c>
      <c r="J21" s="51">
        <v>74.3</v>
      </c>
      <c r="K21" s="51">
        <v>67</v>
      </c>
      <c r="L21" s="51">
        <v>101.9</v>
      </c>
      <c r="M21" s="51">
        <v>102.6</v>
      </c>
      <c r="N21" s="51">
        <v>118</v>
      </c>
      <c r="O21" s="51">
        <v>127</v>
      </c>
      <c r="P21" s="51">
        <v>146</v>
      </c>
      <c r="Q21" s="51">
        <v>149</v>
      </c>
      <c r="R21" s="51">
        <v>172.1</v>
      </c>
      <c r="S21" s="51">
        <v>153.4</v>
      </c>
      <c r="T21" s="51">
        <v>177.2</v>
      </c>
      <c r="U21" s="51">
        <v>180.5</v>
      </c>
      <c r="V21" s="51">
        <v>198.2</v>
      </c>
      <c r="W21" s="51">
        <v>185</v>
      </c>
      <c r="X21" s="51">
        <v>206.6</v>
      </c>
      <c r="Y21" s="51">
        <v>192.7</v>
      </c>
      <c r="Z21" s="51">
        <v>194.5</v>
      </c>
      <c r="AA21" s="51">
        <v>187.5</v>
      </c>
      <c r="AB21" s="51">
        <v>203.3</v>
      </c>
      <c r="AC21" s="51">
        <v>213.1</v>
      </c>
      <c r="AD21" s="51">
        <v>212.8</v>
      </c>
      <c r="AE21" s="51">
        <v>194.5</v>
      </c>
      <c r="AF21" s="51">
        <v>209.6</v>
      </c>
      <c r="AG21" s="51">
        <v>199.7</v>
      </c>
      <c r="AH21" s="51">
        <v>226.3</v>
      </c>
      <c r="AI21" s="51">
        <v>216.1</v>
      </c>
      <c r="AJ21" s="51">
        <v>231</v>
      </c>
      <c r="AK21" s="51">
        <v>240.3</v>
      </c>
      <c r="AL21" s="51">
        <v>262.5</v>
      </c>
      <c r="AM21" s="51">
        <v>271.3</v>
      </c>
      <c r="AN21" s="51">
        <v>276.39999999999998</v>
      </c>
      <c r="AO21" s="51">
        <v>288.7</v>
      </c>
      <c r="AP21" s="51">
        <v>314.60000000000002</v>
      </c>
      <c r="AQ21" s="51">
        <v>281.5</v>
      </c>
      <c r="AR21" s="51">
        <v>296.89999999999998</v>
      </c>
      <c r="AS21" s="51">
        <v>306.7</v>
      </c>
      <c r="AT21" s="51">
        <v>359.8</v>
      </c>
      <c r="AU21" s="51">
        <v>300.39999999999998</v>
      </c>
      <c r="AV21" s="51">
        <v>308.60000000000002</v>
      </c>
      <c r="AW21" s="51">
        <v>332.2</v>
      </c>
      <c r="AX21" s="51">
        <v>380.8</v>
      </c>
      <c r="AY21" s="51">
        <v>293</v>
      </c>
      <c r="AZ21" s="51">
        <v>328.4</v>
      </c>
      <c r="BA21" s="51">
        <v>348.9</v>
      </c>
      <c r="BB21" s="51">
        <v>377.9</v>
      </c>
      <c r="BC21" s="51">
        <v>318.60000000000002</v>
      </c>
      <c r="BD21" s="51">
        <v>367.6</v>
      </c>
      <c r="BE21" s="51">
        <v>391.2</v>
      </c>
      <c r="BF21" s="51">
        <v>422.5</v>
      </c>
      <c r="BG21" s="51">
        <v>347.5</v>
      </c>
      <c r="BH21" s="51">
        <v>446.7</v>
      </c>
      <c r="BI21" s="51">
        <v>441.7</v>
      </c>
      <c r="BJ21" s="51">
        <v>513.20000000000005</v>
      </c>
      <c r="BK21" s="51">
        <v>313.2</v>
      </c>
      <c r="BL21" s="51">
        <v>434.5</v>
      </c>
      <c r="BM21" s="51">
        <v>390.8</v>
      </c>
      <c r="BN21" s="51">
        <v>437.1</v>
      </c>
      <c r="BO21" s="51">
        <v>312.89999999999998</v>
      </c>
      <c r="BP21" s="51">
        <v>360.8</v>
      </c>
      <c r="BQ21" s="51">
        <v>370.7</v>
      </c>
      <c r="BR21" s="51">
        <v>360.2</v>
      </c>
      <c r="BS21" s="51">
        <v>272.39999999999998</v>
      </c>
      <c r="BT21" s="51">
        <v>252.7</v>
      </c>
      <c r="BU21" s="51">
        <v>266.89999999999998</v>
      </c>
      <c r="BV21" s="51">
        <v>254.4</v>
      </c>
      <c r="BW21" s="51">
        <v>198.5</v>
      </c>
      <c r="BX21" s="51">
        <v>218.4</v>
      </c>
      <c r="BY21" s="51">
        <v>200.9</v>
      </c>
      <c r="BZ21" s="51">
        <v>184</v>
      </c>
      <c r="CA21" s="51">
        <v>137.4</v>
      </c>
      <c r="CB21" s="51">
        <v>138.5</v>
      </c>
      <c r="CC21" s="51">
        <v>177.1</v>
      </c>
      <c r="CD21" s="51">
        <v>160</v>
      </c>
      <c r="CE21" s="51"/>
      <c r="CF21" s="51"/>
      <c r="CG21" s="51"/>
      <c r="CH21" s="51"/>
      <c r="CI21" s="51"/>
      <c r="CJ21" s="51"/>
      <c r="CK21" s="51"/>
      <c r="CL21" s="51"/>
      <c r="CM21" s="49"/>
      <c r="CN21" s="49"/>
      <c r="CO21" s="49"/>
      <c r="CP21" s="51"/>
      <c r="CQ21" s="51">
        <v>6</v>
      </c>
      <c r="CR21" s="51">
        <v>65</v>
      </c>
      <c r="CS21" s="51">
        <v>237</v>
      </c>
      <c r="CT21" s="51">
        <v>389</v>
      </c>
      <c r="CU21" s="51">
        <v>581</v>
      </c>
      <c r="CV21" s="51">
        <f>CU21*1.05</f>
        <v>610.05000000000007</v>
      </c>
      <c r="CW21" s="51">
        <f>SUM(W21:Z21)</f>
        <v>778.8</v>
      </c>
      <c r="CX21" s="51">
        <f>SUM(AA21:AD21)</f>
        <v>816.7</v>
      </c>
      <c r="CY21" s="51">
        <f>SUM(AE21:AH21)</f>
        <v>830.09999999999991</v>
      </c>
      <c r="CZ21" s="51">
        <f>SUM(AI21:AL21)</f>
        <v>949.90000000000009</v>
      </c>
      <c r="DA21" s="51">
        <f>SUM(AM21:AP21)</f>
        <v>1151</v>
      </c>
      <c r="DB21" s="51">
        <v>1244.9000000000001</v>
      </c>
      <c r="DC21" s="51">
        <v>1322</v>
      </c>
      <c r="DD21" s="51">
        <v>1348.3</v>
      </c>
      <c r="DE21" s="51">
        <v>1500</v>
      </c>
      <c r="DF21" s="51">
        <v>1749</v>
      </c>
      <c r="DG21" s="49">
        <v>1575.6</v>
      </c>
      <c r="DH21" s="49">
        <v>1404.7</v>
      </c>
      <c r="DI21" s="49">
        <f t="shared" si="3"/>
        <v>1046.3999999999999</v>
      </c>
      <c r="DJ21" s="49">
        <f t="shared" si="4"/>
        <v>801.8</v>
      </c>
      <c r="DK21" s="49">
        <f t="shared" si="5"/>
        <v>613</v>
      </c>
      <c r="DL21" s="49">
        <f t="shared" si="6"/>
        <v>0</v>
      </c>
      <c r="DM21" s="49">
        <f t="shared" ref="DM21:DS21" si="25">+DL21*0.9</f>
        <v>0</v>
      </c>
      <c r="DN21" s="49">
        <f t="shared" si="25"/>
        <v>0</v>
      </c>
      <c r="DO21" s="49">
        <f t="shared" si="25"/>
        <v>0</v>
      </c>
      <c r="DP21" s="49">
        <f t="shared" si="25"/>
        <v>0</v>
      </c>
      <c r="DQ21" s="49">
        <f t="shared" si="25"/>
        <v>0</v>
      </c>
      <c r="DR21" s="49">
        <f t="shared" si="25"/>
        <v>0</v>
      </c>
      <c r="DS21" s="49">
        <f t="shared" si="25"/>
        <v>0</v>
      </c>
    </row>
    <row r="22" spans="2:123" x14ac:dyDescent="0.15">
      <c r="B22" t="s">
        <v>78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>
        <f>4459.9-SUM(R23:R57)</f>
        <v>1686.4532721010328</v>
      </c>
      <c r="S22" s="51">
        <v>406</v>
      </c>
      <c r="T22" s="51"/>
      <c r="U22" s="51">
        <f>4587-(SUM(U23:U57))</f>
        <v>1697.9</v>
      </c>
      <c r="V22" s="51">
        <f>5189.6-(SUM(V23:V57))</f>
        <v>1904.6000000000004</v>
      </c>
      <c r="W22" s="51">
        <f>4807.6-(SUM(W23:W57))</f>
        <v>2080.2000000000007</v>
      </c>
      <c r="X22" s="51">
        <f>5150.4-(SUM(X23:X57))</f>
        <v>2045.4999999999995</v>
      </c>
      <c r="Y22" s="51">
        <f>5209.5-(SUM(Y23:Y57))</f>
        <v>2061.9000000000005</v>
      </c>
      <c r="AH22" s="51">
        <v>432</v>
      </c>
      <c r="AJ22" s="51">
        <v>422</v>
      </c>
      <c r="AK22" s="51">
        <v>410</v>
      </c>
      <c r="AL22" s="51">
        <v>407</v>
      </c>
      <c r="AM22" s="51">
        <v>552</v>
      </c>
      <c r="AN22" s="51">
        <v>524</v>
      </c>
      <c r="AO22" s="51">
        <f>5443.3-4955</f>
        <v>488.30000000000018</v>
      </c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>
        <v>1966</v>
      </c>
      <c r="BP22" s="51">
        <v>2269</v>
      </c>
      <c r="BQ22" s="51">
        <v>2171</v>
      </c>
      <c r="BR22" s="51">
        <v>2461</v>
      </c>
      <c r="BS22" s="51">
        <v>86</v>
      </c>
      <c r="BT22" s="51">
        <v>51.4</v>
      </c>
      <c r="BU22" s="51">
        <v>46.3</v>
      </c>
      <c r="BV22" s="51">
        <v>88</v>
      </c>
      <c r="BW22" s="51">
        <v>42.6</v>
      </c>
      <c r="BX22" s="51">
        <v>42.2</v>
      </c>
      <c r="BY22" s="51">
        <v>38.6</v>
      </c>
      <c r="BZ22" s="51">
        <v>58.1</v>
      </c>
      <c r="CA22" s="51">
        <v>98.1</v>
      </c>
      <c r="CB22" s="51">
        <v>80.099999999999994</v>
      </c>
      <c r="CC22" s="51">
        <v>0</v>
      </c>
      <c r="CD22" s="51">
        <f t="shared" ref="CD22" si="26">+CC22</f>
        <v>0</v>
      </c>
      <c r="CE22" s="51"/>
      <c r="CF22" s="51"/>
      <c r="CG22" s="51"/>
      <c r="CH22" s="51"/>
      <c r="CI22" s="51"/>
      <c r="CJ22" s="51"/>
      <c r="CK22" s="51"/>
      <c r="CL22" s="51"/>
      <c r="CM22" s="49"/>
      <c r="CN22" s="49"/>
      <c r="CO22" s="49"/>
      <c r="CP22" s="51"/>
      <c r="CQ22" s="52">
        <f>176+152</f>
        <v>328</v>
      </c>
      <c r="CR22" s="51">
        <f>165+100</f>
        <v>265</v>
      </c>
      <c r="CS22" s="51">
        <f>83+70+4+154</f>
        <v>311</v>
      </c>
      <c r="CT22" s="51">
        <f>41+54+18+117</f>
        <v>230</v>
      </c>
      <c r="CU22" s="51">
        <f>56+54+25+91</f>
        <v>226</v>
      </c>
      <c r="CV22" s="51">
        <f>50+54+50+87</f>
        <v>241</v>
      </c>
      <c r="CW22" s="51">
        <v>54</v>
      </c>
      <c r="CX22" s="51">
        <v>54</v>
      </c>
      <c r="CY22" s="51">
        <f>SUM(AE22:AH22)</f>
        <v>432</v>
      </c>
      <c r="CZ22" s="51">
        <f>SUM(AI22:AL22)</f>
        <v>1239</v>
      </c>
      <c r="DA22" s="51">
        <f>SUM(AM22:AP22)</f>
        <v>1564.3000000000002</v>
      </c>
      <c r="DB22" s="51">
        <f>1672.3-DB19</f>
        <v>1298.5999999999999</v>
      </c>
      <c r="DC22" s="51">
        <v>1887.1</v>
      </c>
      <c r="DD22" s="51">
        <f>1727.1-DD53</f>
        <v>1489.8</v>
      </c>
      <c r="DE22" s="51">
        <v>1965.4</v>
      </c>
      <c r="DF22" s="51">
        <f>555.4+422</f>
        <v>977.4</v>
      </c>
      <c r="DG22" s="49">
        <f>393+325.1</f>
        <v>718.1</v>
      </c>
      <c r="DH22" s="49">
        <f>327.7+156.2</f>
        <v>483.9</v>
      </c>
      <c r="DI22" s="49">
        <f t="shared" si="3"/>
        <v>271.7</v>
      </c>
      <c r="DJ22" s="49">
        <f t="shared" si="4"/>
        <v>181.5</v>
      </c>
      <c r="DK22" s="49">
        <f t="shared" si="5"/>
        <v>178.2</v>
      </c>
      <c r="DL22" s="49">
        <f t="shared" si="6"/>
        <v>0</v>
      </c>
      <c r="DM22" s="49">
        <f t="shared" ref="DM22:DS22" si="27">+DL22*0.9</f>
        <v>0</v>
      </c>
      <c r="DN22" s="49">
        <f t="shared" si="27"/>
        <v>0</v>
      </c>
      <c r="DO22" s="49">
        <f t="shared" si="27"/>
        <v>0</v>
      </c>
      <c r="DP22" s="49">
        <f t="shared" si="27"/>
        <v>0</v>
      </c>
      <c r="DQ22" s="49">
        <f t="shared" si="27"/>
        <v>0</v>
      </c>
      <c r="DR22" s="49">
        <f t="shared" si="27"/>
        <v>0</v>
      </c>
      <c r="DS22" s="49">
        <f t="shared" si="27"/>
        <v>0</v>
      </c>
    </row>
    <row r="23" spans="2:123" x14ac:dyDescent="0.15">
      <c r="B23" t="s">
        <v>7</v>
      </c>
      <c r="C23" s="51">
        <v>958.3</v>
      </c>
      <c r="D23" s="51">
        <v>1050</v>
      </c>
      <c r="E23" s="51">
        <v>1130</v>
      </c>
      <c r="F23" s="51">
        <v>1145.5</v>
      </c>
      <c r="G23" s="51">
        <v>1098.3</v>
      </c>
      <c r="H23" s="51">
        <v>1212.3</v>
      </c>
      <c r="I23" s="51">
        <v>1023.7</v>
      </c>
      <c r="J23" s="51">
        <v>1085.5</v>
      </c>
      <c r="K23" s="51">
        <v>1038.2</v>
      </c>
      <c r="L23" s="51">
        <v>1096.8</v>
      </c>
      <c r="M23" s="51">
        <v>1035.0999999999999</v>
      </c>
      <c r="N23" s="51">
        <v>1032.2</v>
      </c>
      <c r="O23" s="51">
        <v>1007.4</v>
      </c>
      <c r="P23" s="51">
        <v>1115</v>
      </c>
      <c r="Q23" s="51">
        <v>1084.7</v>
      </c>
      <c r="R23" s="51">
        <v>1156.5</v>
      </c>
      <c r="S23" s="51">
        <v>1108</v>
      </c>
      <c r="T23" s="51">
        <v>1213</v>
      </c>
      <c r="U23" s="51">
        <v>1166.0999999999999</v>
      </c>
      <c r="V23" s="51">
        <v>1273.9000000000001</v>
      </c>
      <c r="W23" s="51">
        <v>1120.2</v>
      </c>
      <c r="X23" s="51">
        <v>1239.7</v>
      </c>
      <c r="Y23" s="51">
        <v>1189.5</v>
      </c>
      <c r="Z23" s="51">
        <v>1146.7</v>
      </c>
      <c r="AA23" s="51">
        <v>1123</v>
      </c>
      <c r="AB23" s="51">
        <v>1203.2</v>
      </c>
      <c r="AC23" s="51">
        <v>1223</v>
      </c>
      <c r="AD23" s="51">
        <v>1366.5</v>
      </c>
      <c r="AE23" s="51">
        <v>1215</v>
      </c>
      <c r="AF23" s="51">
        <v>1262.9000000000001</v>
      </c>
      <c r="AG23" s="51">
        <v>1212.7</v>
      </c>
      <c r="AH23" s="51">
        <v>1335.8</v>
      </c>
      <c r="AI23" s="51">
        <v>1281.9000000000001</v>
      </c>
      <c r="AJ23" s="51">
        <v>1408.3</v>
      </c>
      <c r="AK23" s="51">
        <v>1182.3</v>
      </c>
      <c r="AL23" s="51">
        <v>749.6</v>
      </c>
      <c r="AM23" s="51">
        <v>562.70000000000005</v>
      </c>
      <c r="AN23" s="51">
        <v>379.5</v>
      </c>
      <c r="AO23" s="51">
        <v>374.5</v>
      </c>
      <c r="AP23" s="51">
        <v>384.8</v>
      </c>
      <c r="AQ23" s="51">
        <v>284.8</v>
      </c>
      <c r="AR23" s="51">
        <v>283.2</v>
      </c>
      <c r="AS23" s="51">
        <v>278.7</v>
      </c>
      <c r="AT23" s="51">
        <v>348.2</v>
      </c>
      <c r="AU23" s="51">
        <v>283.10000000000002</v>
      </c>
      <c r="AV23" s="51">
        <v>243.8</v>
      </c>
      <c r="AW23" s="51">
        <v>257.39999999999998</v>
      </c>
      <c r="AX23" s="51">
        <v>253.1</v>
      </c>
      <c r="AY23" s="51">
        <v>219.5</v>
      </c>
      <c r="AZ23" s="51">
        <v>253.7</v>
      </c>
      <c r="BA23" s="51">
        <v>237.9</v>
      </c>
      <c r="BB23" s="51">
        <v>229.1</v>
      </c>
      <c r="BC23" s="51">
        <v>212.8</v>
      </c>
      <c r="BD23" s="51">
        <v>210.7</v>
      </c>
      <c r="BE23" s="51">
        <v>148.9</v>
      </c>
      <c r="BF23" s="51">
        <v>153</v>
      </c>
      <c r="BG23" s="51">
        <v>147.5</v>
      </c>
      <c r="BH23" s="51">
        <v>140.80000000000001</v>
      </c>
      <c r="BI23" s="51">
        <v>140.6</v>
      </c>
      <c r="BJ23" s="51">
        <v>152.19999999999999</v>
      </c>
      <c r="BK23" s="51">
        <v>122.6</v>
      </c>
      <c r="BL23" s="51">
        <v>128</v>
      </c>
      <c r="BM23" s="51">
        <v>109.9</v>
      </c>
      <c r="BN23" s="51">
        <v>110.8</v>
      </c>
      <c r="BO23" s="51"/>
      <c r="BP23" s="51"/>
      <c r="BQ23" s="51"/>
      <c r="BR23" s="51"/>
      <c r="BS23" s="51">
        <v>98.4</v>
      </c>
      <c r="BT23" s="51">
        <v>96.6</v>
      </c>
      <c r="BU23" s="51">
        <v>112.7</v>
      </c>
      <c r="BV23" s="51">
        <f>46.1+360.5-BU23-BT23-BS23</f>
        <v>98.900000000000034</v>
      </c>
      <c r="BW23" s="51">
        <v>95.8</v>
      </c>
      <c r="BX23" s="51">
        <v>95.4</v>
      </c>
      <c r="BY23" s="51">
        <v>101.7</v>
      </c>
      <c r="BZ23" s="51">
        <f>430.3-BY23-BX23-BW23</f>
        <v>137.40000000000003</v>
      </c>
      <c r="CA23" s="51">
        <v>93.1</v>
      </c>
      <c r="CB23" s="51">
        <v>87.3</v>
      </c>
      <c r="CC23" s="51">
        <v>0</v>
      </c>
      <c r="CD23" s="51">
        <f t="shared" ref="CD23" si="28">+CC23</f>
        <v>0</v>
      </c>
      <c r="CE23" s="51"/>
      <c r="CF23" s="51"/>
      <c r="CG23" s="51"/>
      <c r="CH23" s="51"/>
      <c r="CI23" s="51"/>
      <c r="CJ23" s="51"/>
      <c r="CK23" s="51"/>
      <c r="CL23" s="51"/>
      <c r="CM23" s="49"/>
      <c r="CN23" s="49"/>
      <c r="CO23" s="49"/>
      <c r="CP23" s="51"/>
      <c r="CQ23" s="51">
        <v>3689</v>
      </c>
      <c r="CR23" s="51">
        <v>4277</v>
      </c>
      <c r="CS23" s="51">
        <v>4419</v>
      </c>
      <c r="CT23" s="51">
        <v>4200</v>
      </c>
      <c r="CU23" s="51">
        <f>SUM(O23:R23)</f>
        <v>4363.6000000000004</v>
      </c>
      <c r="CV23" s="51">
        <f>SUM(S23:V23)</f>
        <v>4761</v>
      </c>
      <c r="CW23" s="51">
        <f>SUM(W23:Z23)</f>
        <v>4696.1000000000004</v>
      </c>
      <c r="CX23" s="51">
        <f>SUM(AA23:AD23)</f>
        <v>4915.7</v>
      </c>
      <c r="CY23" s="51">
        <f>SUM(AE23:AH23)</f>
        <v>5026.4000000000005</v>
      </c>
      <c r="CZ23" s="51">
        <f>SUM(AI23:AL23)</f>
        <v>4622.1000000000004</v>
      </c>
      <c r="DA23" s="51">
        <f>SUM(AM23:AP23)</f>
        <v>1701.5</v>
      </c>
      <c r="DB23" s="51">
        <v>1194.8</v>
      </c>
      <c r="DC23" s="51">
        <v>1037.3</v>
      </c>
      <c r="DD23" s="51">
        <v>940.3</v>
      </c>
      <c r="DE23" s="51">
        <v>725.3</v>
      </c>
      <c r="DF23" s="51">
        <v>581.20000000000005</v>
      </c>
      <c r="DG23" s="49">
        <v>471.3</v>
      </c>
      <c r="DH23" s="49">
        <v>418.7</v>
      </c>
      <c r="DI23" s="49">
        <f t="shared" si="3"/>
        <v>406.6</v>
      </c>
      <c r="DJ23" s="49">
        <f t="shared" si="4"/>
        <v>430.3</v>
      </c>
      <c r="DK23" s="49">
        <f t="shared" si="5"/>
        <v>180.39999999999998</v>
      </c>
      <c r="DL23" s="49">
        <f t="shared" si="6"/>
        <v>0</v>
      </c>
      <c r="DM23" s="49">
        <f t="shared" ref="DM23:DS23" si="29">+DL23*0.9</f>
        <v>0</v>
      </c>
      <c r="DN23" s="49">
        <f t="shared" si="29"/>
        <v>0</v>
      </c>
      <c r="DO23" s="49">
        <f t="shared" si="29"/>
        <v>0</v>
      </c>
      <c r="DP23" s="49">
        <f t="shared" si="29"/>
        <v>0</v>
      </c>
      <c r="DQ23" s="49">
        <f t="shared" si="29"/>
        <v>0</v>
      </c>
      <c r="DR23" s="49">
        <f t="shared" si="29"/>
        <v>0</v>
      </c>
      <c r="DS23" s="49">
        <f t="shared" si="29"/>
        <v>0</v>
      </c>
    </row>
    <row r="24" spans="2:123" x14ac:dyDescent="0.15">
      <c r="B24" s="38" t="s">
        <v>373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>
        <v>9.9</v>
      </c>
      <c r="BP24" s="52">
        <v>40.1</v>
      </c>
      <c r="BQ24" s="52">
        <v>46.6</v>
      </c>
      <c r="BR24" s="52">
        <v>37.4</v>
      </c>
      <c r="BS24" s="52">
        <v>57.4</v>
      </c>
      <c r="BT24" s="52">
        <v>64.099999999999994</v>
      </c>
      <c r="BU24" s="52">
        <v>84.4</v>
      </c>
      <c r="BV24" s="52">
        <v>102.8</v>
      </c>
      <c r="BW24" s="52">
        <v>109.7</v>
      </c>
      <c r="BX24" s="52">
        <v>105</v>
      </c>
      <c r="BY24" s="52">
        <v>125.6</v>
      </c>
      <c r="BZ24" s="52">
        <v>77.8</v>
      </c>
      <c r="CA24" s="52">
        <v>85.5</v>
      </c>
      <c r="CB24" s="52">
        <v>73.599999999999994</v>
      </c>
      <c r="CC24" s="52">
        <v>76.8</v>
      </c>
      <c r="CD24" s="52">
        <v>57.5</v>
      </c>
      <c r="CE24" s="52">
        <v>61</v>
      </c>
      <c r="CF24" s="52">
        <v>103.6</v>
      </c>
      <c r="CG24" s="52">
        <v>115.1</v>
      </c>
      <c r="CH24" s="52">
        <v>113.6</v>
      </c>
      <c r="CI24" s="52">
        <f>+CH24</f>
        <v>113.6</v>
      </c>
      <c r="CJ24" s="52">
        <f>+CI24</f>
        <v>113.6</v>
      </c>
      <c r="CK24" s="52">
        <f>+CJ24</f>
        <v>113.6</v>
      </c>
      <c r="CL24" s="52">
        <f>+CK24</f>
        <v>113.6</v>
      </c>
      <c r="CM24" s="49"/>
      <c r="CN24" s="49"/>
      <c r="CO24" s="49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>
        <v>0</v>
      </c>
      <c r="DE24" s="51">
        <v>0</v>
      </c>
      <c r="DF24" s="51">
        <v>0</v>
      </c>
      <c r="DG24" s="49">
        <v>0</v>
      </c>
      <c r="DH24" s="49">
        <v>0</v>
      </c>
      <c r="DI24" s="49">
        <f t="shared" si="3"/>
        <v>308.7</v>
      </c>
      <c r="DJ24" s="49">
        <f t="shared" si="4"/>
        <v>418.09999999999997</v>
      </c>
      <c r="DK24" s="49">
        <f t="shared" si="5"/>
        <v>293.39999999999998</v>
      </c>
      <c r="DL24" s="49">
        <f t="shared" si="6"/>
        <v>393.29999999999995</v>
      </c>
      <c r="DM24" s="49">
        <f t="shared" ref="DM24:DS24" si="30">+DL24*0.9</f>
        <v>353.96999999999997</v>
      </c>
      <c r="DN24" s="49">
        <f t="shared" si="30"/>
        <v>318.57299999999998</v>
      </c>
      <c r="DO24" s="49">
        <f t="shared" si="30"/>
        <v>286.71569999999997</v>
      </c>
      <c r="DP24" s="49">
        <f t="shared" si="30"/>
        <v>258.04413</v>
      </c>
      <c r="DQ24" s="49">
        <f t="shared" si="30"/>
        <v>232.23971700000001</v>
      </c>
      <c r="DR24" s="49">
        <f t="shared" si="30"/>
        <v>209.01574530000002</v>
      </c>
      <c r="DS24" s="49">
        <f t="shared" si="30"/>
        <v>188.11417077000002</v>
      </c>
    </row>
    <row r="25" spans="2:123" x14ac:dyDescent="0.15">
      <c r="B25" t="s">
        <v>14</v>
      </c>
      <c r="C25" s="51"/>
      <c r="D25" s="51"/>
      <c r="E25" s="51"/>
      <c r="F25" s="51"/>
      <c r="G25" s="51"/>
      <c r="H25" s="51"/>
      <c r="I25" s="51">
        <v>32.5</v>
      </c>
      <c r="J25" s="51">
        <v>61.3</v>
      </c>
      <c r="K25" s="51">
        <v>106.8</v>
      </c>
      <c r="L25" s="51">
        <v>161.4</v>
      </c>
      <c r="M25" s="51">
        <v>182.8</v>
      </c>
      <c r="N25" s="51">
        <v>228.8</v>
      </c>
      <c r="O25" s="51">
        <v>233</v>
      </c>
      <c r="P25" s="51">
        <v>310</v>
      </c>
      <c r="Q25" s="51">
        <v>349</v>
      </c>
      <c r="R25" s="51">
        <v>424.1</v>
      </c>
      <c r="S25" s="51">
        <v>441.8</v>
      </c>
      <c r="T25" s="51">
        <v>519.5</v>
      </c>
      <c r="U25" s="51">
        <v>513.20000000000005</v>
      </c>
      <c r="V25" s="51">
        <v>628.29999999999995</v>
      </c>
      <c r="W25" s="51">
        <v>605.1</v>
      </c>
      <c r="X25" s="51">
        <v>654.4</v>
      </c>
      <c r="Y25" s="51">
        <v>716.4</v>
      </c>
      <c r="Z25" s="51">
        <v>721.2</v>
      </c>
      <c r="AA25" s="51">
        <v>709.3</v>
      </c>
      <c r="AB25" s="51">
        <v>744.4</v>
      </c>
      <c r="AC25" s="51">
        <v>790.2</v>
      </c>
      <c r="AD25" s="51">
        <v>830.8</v>
      </c>
      <c r="AE25" s="51">
        <v>803.2</v>
      </c>
      <c r="AF25" s="51">
        <v>867.7</v>
      </c>
      <c r="AG25" s="51">
        <v>825.3</v>
      </c>
      <c r="AH25" s="51">
        <v>984.6</v>
      </c>
      <c r="AI25" s="51">
        <v>908.8</v>
      </c>
      <c r="AJ25" s="51">
        <v>1003.4</v>
      </c>
      <c r="AK25" s="51">
        <v>1068.5999999999999</v>
      </c>
      <c r="AL25" s="51">
        <v>1180.7</v>
      </c>
      <c r="AM25" s="51">
        <v>1114.9000000000001</v>
      </c>
      <c r="AN25" s="51">
        <v>1223.0999999999999</v>
      </c>
      <c r="AO25" s="51">
        <v>1235.8</v>
      </c>
      <c r="AP25" s="51">
        <v>1420.4</v>
      </c>
      <c r="AQ25" s="51">
        <v>1328.2</v>
      </c>
      <c r="AR25" s="51">
        <v>1497.2</v>
      </c>
      <c r="AS25" s="51">
        <v>1375.8</v>
      </c>
      <c r="AT25" s="51">
        <v>883.2</v>
      </c>
      <c r="AU25" s="51">
        <v>478.2</v>
      </c>
      <c r="AV25" s="51">
        <v>401.3</v>
      </c>
      <c r="AW25" s="51">
        <v>368</v>
      </c>
      <c r="AX25" s="51">
        <v>367.3</v>
      </c>
      <c r="AY25" s="51">
        <v>287</v>
      </c>
      <c r="AZ25" s="51">
        <v>274.10000000000002</v>
      </c>
      <c r="BA25" s="51">
        <v>242.9</v>
      </c>
      <c r="BB25" s="51">
        <v>223.6</v>
      </c>
      <c r="BC25" s="51">
        <v>198.7</v>
      </c>
      <c r="BD25" s="51">
        <v>236.5</v>
      </c>
      <c r="BE25" s="51">
        <v>313.5</v>
      </c>
      <c r="BF25" s="51">
        <v>181.8</v>
      </c>
      <c r="BG25" s="51">
        <v>174.6</v>
      </c>
      <c r="BH25" s="51">
        <v>206.6</v>
      </c>
      <c r="BI25" s="51">
        <v>183.2</v>
      </c>
      <c r="BJ25" s="51">
        <v>192.8</v>
      </c>
      <c r="BK25" s="51">
        <v>169.6</v>
      </c>
      <c r="BL25" s="51">
        <v>181.9</v>
      </c>
      <c r="BM25" s="51">
        <v>172</v>
      </c>
      <c r="BN25" s="51">
        <v>184.5</v>
      </c>
      <c r="BO25" s="51">
        <v>164.1</v>
      </c>
      <c r="BP25" s="51"/>
      <c r="BQ25" s="51"/>
      <c r="BR25" s="51"/>
      <c r="BS25" s="51">
        <v>210.4</v>
      </c>
      <c r="BT25" s="51">
        <v>179.9</v>
      </c>
      <c r="BU25" s="51">
        <v>186.6</v>
      </c>
      <c r="BV25" s="51">
        <f>42.1+725.6-BU25-BT25-BS25</f>
        <v>190.80000000000004</v>
      </c>
      <c r="BW25" s="51">
        <v>176.6</v>
      </c>
      <c r="BX25" s="51">
        <v>175.6</v>
      </c>
      <c r="BY25" s="51">
        <v>132</v>
      </c>
      <c r="BZ25" s="51">
        <f>581.5-BY25-BX25-BW25</f>
        <v>97.299999999999983</v>
      </c>
      <c r="CA25" s="51">
        <v>81.099999999999994</v>
      </c>
      <c r="CB25" s="51">
        <v>75.5</v>
      </c>
      <c r="CC25" s="51">
        <v>0</v>
      </c>
      <c r="CD25" s="51">
        <f t="shared" ref="CC25:CD26" si="31">+CC25</f>
        <v>0</v>
      </c>
      <c r="CE25" s="51"/>
      <c r="CF25" s="51"/>
      <c r="CG25" s="51"/>
      <c r="CH25" s="51"/>
      <c r="CI25" s="51"/>
      <c r="CJ25" s="51"/>
      <c r="CK25" s="51"/>
      <c r="CL25" s="51"/>
      <c r="CM25" s="49"/>
      <c r="CN25" s="49"/>
      <c r="CO25" s="49"/>
      <c r="CP25" s="51"/>
      <c r="CQ25" s="51"/>
      <c r="CR25" s="51"/>
      <c r="CS25" s="51">
        <v>92</v>
      </c>
      <c r="CT25" s="51">
        <v>680</v>
      </c>
      <c r="CU25" s="51">
        <f>SUM(O25:R25)</f>
        <v>1316.1</v>
      </c>
      <c r="CV25" s="51">
        <f>SUM(S25:V25)</f>
        <v>2102.8000000000002</v>
      </c>
      <c r="CW25" s="51">
        <f>SUM(W25:Z25)</f>
        <v>2697.1000000000004</v>
      </c>
      <c r="CX25" s="51">
        <f>SUM(AA25:AD25)</f>
        <v>3074.7</v>
      </c>
      <c r="CY25" s="51">
        <f>SUM(AE25:AH25)</f>
        <v>3480.7999999999997</v>
      </c>
      <c r="CZ25" s="51">
        <f>SUM(AI25:AL25)</f>
        <v>4161.5</v>
      </c>
      <c r="DA25" s="51">
        <f>SUM(AM25:AP25)</f>
        <v>4994.2000000000007</v>
      </c>
      <c r="DB25" s="51">
        <v>5084.3999999999996</v>
      </c>
      <c r="DC25" s="51">
        <v>1614.7</v>
      </c>
      <c r="DD25" s="51">
        <v>1027.5999999999999</v>
      </c>
      <c r="DE25" s="51">
        <v>930.5</v>
      </c>
      <c r="DF25" s="51">
        <v>757.2</v>
      </c>
      <c r="DG25" s="51">
        <v>708</v>
      </c>
      <c r="DH25" s="51">
        <v>725.4</v>
      </c>
      <c r="DI25" s="49">
        <f t="shared" si="3"/>
        <v>767.7</v>
      </c>
      <c r="DJ25" s="49">
        <f t="shared" si="4"/>
        <v>581.5</v>
      </c>
      <c r="DK25" s="49">
        <f t="shared" si="5"/>
        <v>156.6</v>
      </c>
      <c r="DL25" s="49">
        <f t="shared" si="6"/>
        <v>0</v>
      </c>
      <c r="DM25" s="49">
        <f t="shared" ref="DM25:DS25" si="32">+DL25*0.9</f>
        <v>0</v>
      </c>
      <c r="DN25" s="49">
        <f t="shared" si="32"/>
        <v>0</v>
      </c>
      <c r="DO25" s="49">
        <f t="shared" si="32"/>
        <v>0</v>
      </c>
      <c r="DP25" s="49">
        <f t="shared" si="32"/>
        <v>0</v>
      </c>
      <c r="DQ25" s="49">
        <f t="shared" si="32"/>
        <v>0</v>
      </c>
      <c r="DR25" s="49">
        <f t="shared" si="32"/>
        <v>0</v>
      </c>
      <c r="DS25" s="49">
        <f t="shared" si="32"/>
        <v>0</v>
      </c>
    </row>
    <row r="26" spans="2:123" x14ac:dyDescent="0.15">
      <c r="B26" t="s">
        <v>496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>
        <v>76.900000000000006</v>
      </c>
      <c r="AV26" s="51">
        <v>90.3</v>
      </c>
      <c r="AW26" s="51">
        <v>78.900000000000006</v>
      </c>
      <c r="AX26" s="51">
        <v>82.7</v>
      </c>
      <c r="AY26" s="51">
        <v>82.3</v>
      </c>
      <c r="AZ26" s="51">
        <v>80</v>
      </c>
      <c r="BA26" s="51">
        <v>92.7</v>
      </c>
      <c r="BB26" s="51">
        <v>101.7</v>
      </c>
      <c r="BC26" s="51"/>
      <c r="BD26" s="51"/>
      <c r="BE26" s="51"/>
      <c r="BF26" s="51"/>
      <c r="BG26" s="51">
        <v>113</v>
      </c>
      <c r="BH26" s="51">
        <v>141.9</v>
      </c>
      <c r="BI26" s="51">
        <v>153.30000000000001</v>
      </c>
      <c r="BJ26" s="51">
        <v>129.69999999999999</v>
      </c>
      <c r="BK26" s="51">
        <v>141.1</v>
      </c>
      <c r="BL26" s="51">
        <v>141.69999999999999</v>
      </c>
      <c r="BM26" s="51">
        <v>135.69999999999999</v>
      </c>
      <c r="BN26" s="51">
        <v>156.19999999999999</v>
      </c>
      <c r="BO26" s="51"/>
      <c r="BP26" s="51"/>
      <c r="BQ26" s="51"/>
      <c r="BR26" s="51"/>
      <c r="BS26" s="51">
        <v>93.2</v>
      </c>
      <c r="BT26" s="51">
        <v>76.8</v>
      </c>
      <c r="BU26" s="51">
        <v>91.7</v>
      </c>
      <c r="BV26" s="51">
        <v>96.8</v>
      </c>
      <c r="BW26" s="51">
        <v>94.6</v>
      </c>
      <c r="BX26" s="51">
        <v>89.2</v>
      </c>
      <c r="BY26" s="51">
        <v>96.1</v>
      </c>
      <c r="BZ26" s="51">
        <v>92.6</v>
      </c>
      <c r="CA26" s="51">
        <v>0</v>
      </c>
      <c r="CB26" s="51">
        <v>0</v>
      </c>
      <c r="CC26" s="51">
        <f t="shared" si="31"/>
        <v>0</v>
      </c>
      <c r="CD26" s="51">
        <f t="shared" si="31"/>
        <v>0</v>
      </c>
      <c r="CE26" s="51"/>
      <c r="CF26" s="51"/>
      <c r="CG26" s="51"/>
      <c r="CH26" s="51"/>
      <c r="CI26" s="51"/>
      <c r="CJ26" s="51"/>
      <c r="CK26" s="51"/>
      <c r="CL26" s="51"/>
      <c r="CM26" s="49"/>
      <c r="CN26" s="49"/>
      <c r="CO26" s="49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>
        <v>356.8</v>
      </c>
      <c r="DE26" s="51">
        <v>436.6</v>
      </c>
      <c r="DF26" s="51">
        <v>537.9</v>
      </c>
      <c r="DG26" s="51">
        <v>574.70000000000005</v>
      </c>
      <c r="DH26" s="51">
        <v>590.6</v>
      </c>
      <c r="DI26" s="49">
        <f t="shared" si="3"/>
        <v>358.5</v>
      </c>
      <c r="DJ26" s="49">
        <f t="shared" si="4"/>
        <v>372.5</v>
      </c>
      <c r="DK26" s="49">
        <f t="shared" si="5"/>
        <v>0</v>
      </c>
      <c r="DL26" s="49">
        <f t="shared" si="6"/>
        <v>0</v>
      </c>
      <c r="DM26" s="49">
        <f t="shared" ref="DM26:DS26" si="33">+DL26*0.9</f>
        <v>0</v>
      </c>
      <c r="DN26" s="49">
        <f t="shared" si="33"/>
        <v>0</v>
      </c>
      <c r="DO26" s="49">
        <f t="shared" si="33"/>
        <v>0</v>
      </c>
      <c r="DP26" s="49">
        <f t="shared" si="33"/>
        <v>0</v>
      </c>
      <c r="DQ26" s="49">
        <f t="shared" si="33"/>
        <v>0</v>
      </c>
      <c r="DR26" s="49">
        <f t="shared" si="33"/>
        <v>0</v>
      </c>
      <c r="DS26" s="49">
        <f t="shared" si="33"/>
        <v>0</v>
      </c>
    </row>
    <row r="27" spans="2:123" x14ac:dyDescent="0.15">
      <c r="B27" t="s">
        <v>62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>
        <v>41.1</v>
      </c>
      <c r="BT27" s="51">
        <v>33.200000000000003</v>
      </c>
      <c r="BU27" s="51">
        <v>43.2</v>
      </c>
      <c r="BV27" s="51">
        <v>35.6</v>
      </c>
      <c r="BW27" s="51">
        <v>32.4</v>
      </c>
      <c r="BX27" s="51">
        <v>35</v>
      </c>
      <c r="BY27" s="51">
        <v>36</v>
      </c>
      <c r="BZ27" s="51">
        <v>31.4</v>
      </c>
      <c r="CA27" s="51">
        <v>74.2</v>
      </c>
      <c r="CB27" s="51">
        <v>69.599999999999994</v>
      </c>
      <c r="CC27" s="51">
        <v>0</v>
      </c>
      <c r="CD27" s="51">
        <f t="shared" ref="CD27" si="34">+CC27</f>
        <v>0</v>
      </c>
      <c r="CE27" s="51"/>
      <c r="CF27" s="51"/>
      <c r="CG27" s="51"/>
      <c r="CH27" s="51"/>
      <c r="CI27" s="51"/>
      <c r="CJ27" s="51"/>
      <c r="CK27" s="51"/>
      <c r="CL27" s="51"/>
      <c r="CM27" s="49"/>
      <c r="CN27" s="49"/>
      <c r="CO27" s="49"/>
      <c r="CP27" s="51"/>
      <c r="CQ27" s="51">
        <v>168</v>
      </c>
      <c r="CR27" s="51">
        <v>98</v>
      </c>
      <c r="CS27" s="51">
        <v>89</v>
      </c>
      <c r="CT27" s="51">
        <v>4</v>
      </c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>
        <f>98.9+115.7</f>
        <v>214.60000000000002</v>
      </c>
      <c r="DG27" s="51">
        <f>93.4+92.3</f>
        <v>185.7</v>
      </c>
      <c r="DH27" s="51">
        <f>80.2+93.6</f>
        <v>173.8</v>
      </c>
      <c r="DI27" s="49">
        <f t="shared" si="3"/>
        <v>153.10000000000002</v>
      </c>
      <c r="DJ27" s="49">
        <f t="shared" si="4"/>
        <v>134.80000000000001</v>
      </c>
      <c r="DK27" s="49">
        <f t="shared" si="5"/>
        <v>143.80000000000001</v>
      </c>
      <c r="DL27" s="49">
        <f t="shared" si="6"/>
        <v>0</v>
      </c>
      <c r="DM27" s="49">
        <f t="shared" ref="DM27:DS27" si="35">+DL27*0.9</f>
        <v>0</v>
      </c>
      <c r="DN27" s="49">
        <f t="shared" si="35"/>
        <v>0</v>
      </c>
      <c r="DO27" s="49">
        <f t="shared" si="35"/>
        <v>0</v>
      </c>
      <c r="DP27" s="49">
        <f t="shared" si="35"/>
        <v>0</v>
      </c>
      <c r="DQ27" s="49">
        <f t="shared" si="35"/>
        <v>0</v>
      </c>
      <c r="DR27" s="49">
        <f t="shared" si="35"/>
        <v>0</v>
      </c>
      <c r="DS27" s="49">
        <f t="shared" si="35"/>
        <v>0</v>
      </c>
    </row>
    <row r="28" spans="2:123" x14ac:dyDescent="0.15">
      <c r="B28" s="38" t="s">
        <v>379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>
        <v>6.3</v>
      </c>
      <c r="BU28" s="51">
        <v>11.6</v>
      </c>
      <c r="BV28" s="51">
        <v>18.7</v>
      </c>
      <c r="BW28" s="51">
        <v>16.8</v>
      </c>
      <c r="BX28" s="51">
        <v>25.7</v>
      </c>
      <c r="BY28" s="51">
        <v>33.6</v>
      </c>
      <c r="BZ28" s="51">
        <v>38.6</v>
      </c>
      <c r="CA28" s="51">
        <v>41.8</v>
      </c>
      <c r="CB28" s="51">
        <v>45</v>
      </c>
      <c r="CC28" s="51">
        <v>40.5</v>
      </c>
      <c r="CD28" s="51">
        <v>64.599999999999994</v>
      </c>
      <c r="CE28" s="51">
        <v>51.4</v>
      </c>
      <c r="CF28" s="51">
        <v>65.400000000000006</v>
      </c>
      <c r="CG28" s="51">
        <v>63.4</v>
      </c>
      <c r="CH28" s="51">
        <v>73.400000000000006</v>
      </c>
      <c r="CI28" s="51">
        <f>+CH28</f>
        <v>73.400000000000006</v>
      </c>
      <c r="CJ28" s="51">
        <f>+CI28</f>
        <v>73.400000000000006</v>
      </c>
      <c r="CK28" s="51">
        <f>+CJ28</f>
        <v>73.400000000000006</v>
      </c>
      <c r="CL28" s="51">
        <f>+CK28</f>
        <v>73.400000000000006</v>
      </c>
      <c r="CM28" s="49"/>
      <c r="CN28" s="49"/>
      <c r="CO28" s="49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49">
        <f t="shared" si="3"/>
        <v>36.599999999999994</v>
      </c>
      <c r="DJ28" s="49">
        <f t="shared" si="4"/>
        <v>114.69999999999999</v>
      </c>
      <c r="DK28" s="49">
        <f t="shared" si="5"/>
        <v>191.89999999999998</v>
      </c>
      <c r="DL28" s="49">
        <f t="shared" si="6"/>
        <v>253.60000000000002</v>
      </c>
      <c r="DM28" s="49">
        <f t="shared" ref="DM28:DR28" si="36">+DL28*1.3</f>
        <v>329.68000000000006</v>
      </c>
      <c r="DN28" s="49">
        <f t="shared" si="36"/>
        <v>428.58400000000012</v>
      </c>
      <c r="DO28" s="49">
        <f t="shared" si="36"/>
        <v>557.15920000000017</v>
      </c>
      <c r="DP28" s="49">
        <f t="shared" si="36"/>
        <v>724.30696000000023</v>
      </c>
      <c r="DQ28" s="49">
        <f t="shared" si="36"/>
        <v>941.59904800000038</v>
      </c>
      <c r="DR28" s="49">
        <f t="shared" si="36"/>
        <v>1224.0787624000006</v>
      </c>
      <c r="DS28" s="49">
        <f>+DR28*0.1</f>
        <v>122.40787624000006</v>
      </c>
    </row>
    <row r="29" spans="2:123" x14ac:dyDescent="0.15">
      <c r="B29" s="38" t="s">
        <v>456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>
        <v>6.2</v>
      </c>
      <c r="BR29" s="51">
        <v>0</v>
      </c>
      <c r="BS29" s="51">
        <v>17.8</v>
      </c>
      <c r="BT29" s="51">
        <v>13.6</v>
      </c>
      <c r="BU29" s="51">
        <v>20.9</v>
      </c>
      <c r="BV29" s="51">
        <v>23.8</v>
      </c>
      <c r="BW29" s="51">
        <v>24.4</v>
      </c>
      <c r="BX29" s="51">
        <v>25.9</v>
      </c>
      <c r="BY29" s="51">
        <v>31.9</v>
      </c>
      <c r="BZ29" s="51">
        <v>31</v>
      </c>
      <c r="CA29" s="51">
        <v>0</v>
      </c>
      <c r="CB29" s="51">
        <f>+CA29</f>
        <v>0</v>
      </c>
      <c r="CC29" s="51">
        <v>0</v>
      </c>
      <c r="CD29" s="51">
        <f t="shared" ref="CD29" si="37">+CC29</f>
        <v>0</v>
      </c>
      <c r="CE29" s="51"/>
      <c r="CF29" s="51"/>
      <c r="CG29" s="51"/>
      <c r="CH29" s="51"/>
      <c r="CI29" s="51"/>
      <c r="CJ29" s="51"/>
      <c r="CK29" s="51"/>
      <c r="CL29" s="51"/>
      <c r="CM29" s="49"/>
      <c r="CN29" s="49"/>
      <c r="CO29" s="49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49">
        <f t="shared" si="3"/>
        <v>76.099999999999994</v>
      </c>
      <c r="DJ29" s="49">
        <f t="shared" si="4"/>
        <v>113.19999999999999</v>
      </c>
      <c r="DK29" s="49">
        <f t="shared" si="5"/>
        <v>0</v>
      </c>
      <c r="DL29" s="49">
        <f t="shared" si="6"/>
        <v>0</v>
      </c>
      <c r="DM29" s="49"/>
      <c r="DN29" s="49"/>
      <c r="DO29" s="49"/>
      <c r="DP29" s="49"/>
      <c r="DQ29" s="49"/>
      <c r="DR29" s="49"/>
      <c r="DS29" s="49"/>
    </row>
    <row r="30" spans="2:123" x14ac:dyDescent="0.15">
      <c r="B30" s="38" t="s">
        <v>376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>
        <v>2.6</v>
      </c>
      <c r="BT30" s="52">
        <v>8.1</v>
      </c>
      <c r="BU30" s="52">
        <v>10.6</v>
      </c>
      <c r="BV30" s="52">
        <v>13.2</v>
      </c>
      <c r="BW30" s="52">
        <v>16.899999999999999</v>
      </c>
      <c r="BX30" s="52">
        <v>7.9</v>
      </c>
      <c r="BY30" s="52">
        <v>4.9000000000000004</v>
      </c>
      <c r="BZ30" s="52">
        <f>15.3+17.6-BY30-BX30-BW30</f>
        <v>3.2000000000000099</v>
      </c>
      <c r="CA30" s="52">
        <v>4.5</v>
      </c>
      <c r="CB30" s="52">
        <v>4</v>
      </c>
      <c r="CC30" s="52">
        <v>771</v>
      </c>
      <c r="CD30" s="52">
        <v>759</v>
      </c>
      <c r="CE30" s="52">
        <v>1307.5</v>
      </c>
      <c r="CF30" s="52">
        <f>1902.1-579</f>
        <v>1323.1</v>
      </c>
      <c r="CG30" s="52">
        <f>9498.6-SUM(CG3:CG29)</f>
        <v>2679.1000000000013</v>
      </c>
      <c r="CH30" s="52">
        <f>9353.4-SUM(CH3:CH29)</f>
        <v>1292.8999999999978</v>
      </c>
      <c r="CI30" s="52">
        <f>+CH30</f>
        <v>1292.8999999999978</v>
      </c>
      <c r="CJ30" s="52">
        <f>+CI30</f>
        <v>1292.8999999999978</v>
      </c>
      <c r="CK30" s="52">
        <f>+CJ30</f>
        <v>1292.8999999999978</v>
      </c>
      <c r="CL30" s="52">
        <f>+CK30</f>
        <v>1292.8999999999978</v>
      </c>
      <c r="CM30" s="49"/>
      <c r="CN30" s="49"/>
      <c r="CO30" s="49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49">
        <f t="shared" si="3"/>
        <v>34.5</v>
      </c>
      <c r="DJ30" s="49">
        <f t="shared" si="4"/>
        <v>32.900000000000006</v>
      </c>
      <c r="DK30" s="49">
        <f t="shared" si="5"/>
        <v>1538.5</v>
      </c>
      <c r="DL30" s="49">
        <f t="shared" si="6"/>
        <v>6602.5999999999985</v>
      </c>
      <c r="DM30" s="49">
        <f>+DL30</f>
        <v>6602.5999999999985</v>
      </c>
      <c r="DN30" s="49">
        <f t="shared" ref="DN30:DS30" si="38">+DM30</f>
        <v>6602.5999999999985</v>
      </c>
      <c r="DO30" s="49">
        <f t="shared" si="38"/>
        <v>6602.5999999999985</v>
      </c>
      <c r="DP30" s="49">
        <f t="shared" si="38"/>
        <v>6602.5999999999985</v>
      </c>
      <c r="DQ30" s="49">
        <f t="shared" si="38"/>
        <v>6602.5999999999985</v>
      </c>
      <c r="DR30" s="49">
        <f t="shared" si="38"/>
        <v>6602.5999999999985</v>
      </c>
      <c r="DS30" s="49">
        <f t="shared" si="38"/>
        <v>6602.5999999999985</v>
      </c>
    </row>
    <row r="31" spans="2:123" x14ac:dyDescent="0.15">
      <c r="B31" s="38" t="s">
        <v>499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>
        <v>28</v>
      </c>
      <c r="BT31" s="52">
        <v>22.7</v>
      </c>
      <c r="BU31" s="52">
        <v>24.8</v>
      </c>
      <c r="BV31" s="52">
        <v>22.3</v>
      </c>
      <c r="BW31" s="52">
        <v>21.8</v>
      </c>
      <c r="BX31" s="52">
        <v>9.3000000000000007</v>
      </c>
      <c r="BY31" s="52">
        <v>10.4</v>
      </c>
      <c r="BZ31" s="52">
        <v>8.8000000000000007</v>
      </c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49"/>
      <c r="CN31" s="49"/>
      <c r="CO31" s="49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49">
        <f t="shared" si="3"/>
        <v>97.8</v>
      </c>
      <c r="DJ31" s="49">
        <f t="shared" si="4"/>
        <v>50.3</v>
      </c>
      <c r="DK31" s="49">
        <f t="shared" si="5"/>
        <v>0</v>
      </c>
      <c r="DL31" s="49">
        <f t="shared" si="6"/>
        <v>0</v>
      </c>
      <c r="DM31" s="49"/>
      <c r="DN31" s="49"/>
      <c r="DO31" s="49"/>
      <c r="DP31" s="49"/>
      <c r="DQ31" s="49"/>
      <c r="DR31" s="49"/>
      <c r="DS31" s="49"/>
    </row>
    <row r="32" spans="2:123" x14ac:dyDescent="0.15">
      <c r="B32" s="38" t="s">
        <v>457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>
        <v>1.4</v>
      </c>
      <c r="BT32" s="52">
        <v>2.9</v>
      </c>
      <c r="BU32" s="52">
        <v>4</v>
      </c>
      <c r="BV32" s="52">
        <v>4.4000000000000004</v>
      </c>
      <c r="BW32" s="52">
        <v>2.5</v>
      </c>
      <c r="BX32" s="52">
        <v>9.4</v>
      </c>
      <c r="BY32" s="52">
        <v>5.3</v>
      </c>
      <c r="BZ32" s="52">
        <v>6.9</v>
      </c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49"/>
      <c r="CN32" s="49"/>
      <c r="CO32" s="49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49">
        <f t="shared" si="3"/>
        <v>12.700000000000001</v>
      </c>
      <c r="DJ32" s="49">
        <f t="shared" si="4"/>
        <v>24.1</v>
      </c>
      <c r="DK32" s="49">
        <f t="shared" si="5"/>
        <v>0</v>
      </c>
      <c r="DL32" s="49">
        <f t="shared" si="6"/>
        <v>0</v>
      </c>
      <c r="DM32" s="49"/>
      <c r="DN32" s="49"/>
      <c r="DO32" s="49"/>
      <c r="DP32" s="49"/>
      <c r="DQ32" s="49"/>
      <c r="DR32" s="49"/>
      <c r="DS32" s="49"/>
    </row>
    <row r="33" spans="2:123" x14ac:dyDescent="0.15">
      <c r="B33" t="s">
        <v>15</v>
      </c>
      <c r="C33" s="51">
        <v>55</v>
      </c>
      <c r="D33" s="51">
        <v>74.8</v>
      </c>
      <c r="E33" s="51">
        <v>108</v>
      </c>
      <c r="F33" s="51">
        <v>132.6</v>
      </c>
      <c r="G33" s="51">
        <v>141.1</v>
      </c>
      <c r="H33" s="51">
        <v>178.6</v>
      </c>
      <c r="I33" s="51">
        <v>163.6</v>
      </c>
      <c r="J33" s="51">
        <v>183.4</v>
      </c>
      <c r="K33" s="51">
        <v>119.8</v>
      </c>
      <c r="L33" s="51">
        <v>123.5</v>
      </c>
      <c r="M33" s="51">
        <v>140.9</v>
      </c>
      <c r="N33" s="51">
        <v>168</v>
      </c>
      <c r="O33" s="51">
        <v>152</v>
      </c>
      <c r="P33" s="51">
        <v>144</v>
      </c>
      <c r="Q33" s="51">
        <v>126</v>
      </c>
      <c r="R33" s="51">
        <v>156.30000000000001</v>
      </c>
      <c r="S33" s="51">
        <v>139.9</v>
      </c>
      <c r="T33" s="51">
        <v>142.30000000000001</v>
      </c>
      <c r="U33" s="51">
        <v>130.5</v>
      </c>
      <c r="V33" s="51">
        <v>156.80000000000001</v>
      </c>
      <c r="W33" s="51">
        <v>148</v>
      </c>
      <c r="X33" s="51">
        <v>135.19999999999999</v>
      </c>
      <c r="Y33" s="51">
        <v>149.5</v>
      </c>
      <c r="Z33" s="51">
        <v>146.80000000000001</v>
      </c>
      <c r="AA33" s="51">
        <v>158.9</v>
      </c>
      <c r="AB33" s="51">
        <v>142.80000000000001</v>
      </c>
      <c r="AC33" s="51">
        <v>145.5</v>
      </c>
      <c r="AD33" s="51">
        <v>162.19999999999999</v>
      </c>
      <c r="AE33" s="51">
        <v>146.4</v>
      </c>
      <c r="AF33" s="51">
        <v>147.1</v>
      </c>
      <c r="AG33" s="51">
        <v>127.9</v>
      </c>
      <c r="AH33" s="51">
        <v>155.4</v>
      </c>
      <c r="AI33" s="51">
        <v>138.69999999999999</v>
      </c>
      <c r="AJ33" s="51">
        <v>157.69999999999999</v>
      </c>
      <c r="AK33" s="51">
        <v>153.19999999999999</v>
      </c>
      <c r="AL33" s="51">
        <v>170.6</v>
      </c>
      <c r="AM33" s="51">
        <v>158.9</v>
      </c>
      <c r="AN33" s="51">
        <v>153</v>
      </c>
      <c r="AO33" s="51">
        <v>145.6</v>
      </c>
      <c r="AP33" s="51">
        <v>163.9</v>
      </c>
      <c r="AQ33" s="51">
        <v>166.7</v>
      </c>
      <c r="AR33" s="51">
        <v>168.3</v>
      </c>
      <c r="AS33" s="51">
        <v>173.2</v>
      </c>
      <c r="AT33" s="51">
        <v>201.1</v>
      </c>
      <c r="AU33" s="51">
        <v>154.4</v>
      </c>
      <c r="AV33" s="51">
        <v>197.4</v>
      </c>
      <c r="AW33" s="51">
        <v>191.9</v>
      </c>
      <c r="AX33" s="51">
        <v>194.9</v>
      </c>
      <c r="AY33" s="51">
        <v>173.7</v>
      </c>
      <c r="AZ33" s="51">
        <v>191.8</v>
      </c>
      <c r="BA33" s="51">
        <v>196.9</v>
      </c>
      <c r="BB33" s="51">
        <v>221.6</v>
      </c>
      <c r="BC33" s="51">
        <v>188.1</v>
      </c>
      <c r="BD33" s="51">
        <v>224.6</v>
      </c>
      <c r="BE33" s="51">
        <v>198.8</v>
      </c>
      <c r="BF33" s="51">
        <v>243.2</v>
      </c>
      <c r="BG33" s="51">
        <v>196.2</v>
      </c>
      <c r="BH33" s="51">
        <v>186.6</v>
      </c>
      <c r="BI33" s="51">
        <v>137.1</v>
      </c>
      <c r="BJ33" s="51">
        <v>98.3</v>
      </c>
      <c r="BK33" s="51">
        <v>130.69999999999999</v>
      </c>
      <c r="BL33" s="51">
        <v>114.2</v>
      </c>
      <c r="BM33" s="51">
        <v>98.7</v>
      </c>
      <c r="BN33" s="51">
        <v>107.2</v>
      </c>
      <c r="BO33" s="51"/>
      <c r="BP33" s="51"/>
      <c r="BQ33" s="51"/>
      <c r="BR33" s="51"/>
      <c r="BS33" s="51">
        <v>38.200000000000003</v>
      </c>
      <c r="BT33" s="51">
        <v>22.5</v>
      </c>
      <c r="BU33" s="51">
        <v>32.700000000000003</v>
      </c>
      <c r="BV33" s="51">
        <v>35.1</v>
      </c>
      <c r="BW33" s="51">
        <v>38.6</v>
      </c>
      <c r="BX33" s="51">
        <v>40.5</v>
      </c>
      <c r="BY33" s="51">
        <v>35.200000000000003</v>
      </c>
      <c r="BZ33" s="51">
        <v>36.1</v>
      </c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49"/>
      <c r="CN33" s="49"/>
      <c r="CO33" s="49"/>
      <c r="CP33" s="51"/>
      <c r="CQ33" s="51">
        <v>3</v>
      </c>
      <c r="CR33" s="51">
        <v>370</v>
      </c>
      <c r="CS33" s="51">
        <v>666</v>
      </c>
      <c r="CT33" s="51">
        <v>552</v>
      </c>
      <c r="CU33" s="51">
        <v>594</v>
      </c>
      <c r="CV33" s="51">
        <f>SUM(S33:V33)</f>
        <v>569.5</v>
      </c>
      <c r="CW33" s="51">
        <f>SUM(W33:Z33)</f>
        <v>579.5</v>
      </c>
      <c r="CX33" s="51">
        <f>SUM(AA33:AD33)</f>
        <v>609.40000000000009</v>
      </c>
      <c r="CY33" s="51">
        <f>SUM(AE33:AH33)</f>
        <v>576.79999999999995</v>
      </c>
      <c r="CZ33" s="51">
        <f>SUM(AI33:AL33)</f>
        <v>620.19999999999993</v>
      </c>
      <c r="DA33" s="51">
        <f>SUM(AM33:AP33)</f>
        <v>621.4</v>
      </c>
      <c r="DB33" s="51">
        <v>709.2</v>
      </c>
      <c r="DC33" s="51">
        <v>738.5</v>
      </c>
      <c r="DD33" s="51">
        <v>784</v>
      </c>
      <c r="DE33" s="51">
        <v>854.7</v>
      </c>
      <c r="DF33" s="51">
        <f>284.9+333.3</f>
        <v>618.20000000000005</v>
      </c>
      <c r="DG33" s="51">
        <v>450.8</v>
      </c>
      <c r="DH33" s="51">
        <v>242.5</v>
      </c>
      <c r="DI33" s="49">
        <f t="shared" si="3"/>
        <v>128.5</v>
      </c>
      <c r="DJ33" s="49">
        <f t="shared" si="4"/>
        <v>150.4</v>
      </c>
      <c r="DK33" s="49">
        <f t="shared" si="5"/>
        <v>0</v>
      </c>
      <c r="DL33" s="49">
        <f t="shared" si="6"/>
        <v>0</v>
      </c>
      <c r="DM33" s="49"/>
      <c r="DN33" s="49"/>
      <c r="DO33" s="49"/>
      <c r="DP33" s="49"/>
      <c r="DQ33" s="49"/>
      <c r="DR33" s="49"/>
      <c r="DS33" s="49"/>
    </row>
    <row r="34" spans="2:123" x14ac:dyDescent="0.15">
      <c r="B34" s="38" t="s">
        <v>515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>
        <v>0.6</v>
      </c>
      <c r="BC34" s="51">
        <v>1.7</v>
      </c>
      <c r="BD34" s="51">
        <v>4</v>
      </c>
      <c r="BE34" s="51">
        <v>5.3</v>
      </c>
      <c r="BF34" s="51">
        <v>3.8</v>
      </c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49"/>
      <c r="CN34" s="49"/>
      <c r="CO34" s="49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</row>
    <row r="35" spans="2:123" x14ac:dyDescent="0.15">
      <c r="B35" s="38" t="s">
        <v>514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>
        <v>11.9</v>
      </c>
      <c r="BG35" s="51">
        <v>42.1</v>
      </c>
      <c r="BH35" s="51">
        <v>47.4</v>
      </c>
      <c r="BI35" s="51">
        <v>54.5</v>
      </c>
      <c r="BJ35" s="51">
        <v>59</v>
      </c>
      <c r="BK35" s="51">
        <v>64.400000000000006</v>
      </c>
      <c r="BL35" s="51">
        <v>79.900000000000006</v>
      </c>
      <c r="BM35" s="51">
        <v>76.900000000000006</v>
      </c>
      <c r="BN35" s="51">
        <v>83.5</v>
      </c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49"/>
      <c r="CN35" s="49"/>
      <c r="CO35" s="49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</row>
    <row r="36" spans="2:123" x14ac:dyDescent="0.15">
      <c r="B36" t="s">
        <v>79</v>
      </c>
      <c r="C36" s="51"/>
      <c r="D36" s="51"/>
      <c r="E36" s="51"/>
      <c r="F36" s="51"/>
      <c r="G36" s="51"/>
      <c r="H36" s="51"/>
      <c r="I36" s="51"/>
      <c r="J36" s="51">
        <v>251.4</v>
      </c>
      <c r="K36" s="51">
        <f>O36/1.01</f>
        <v>196.33663366336634</v>
      </c>
      <c r="L36" s="51">
        <v>201</v>
      </c>
      <c r="M36" s="51">
        <v>216</v>
      </c>
      <c r="N36" s="51">
        <v>251.4</v>
      </c>
      <c r="O36" s="51">
        <v>198.3</v>
      </c>
      <c r="P36" s="51">
        <v>201</v>
      </c>
      <c r="Q36" s="51">
        <v>216</v>
      </c>
      <c r="R36" s="51">
        <v>236.6</v>
      </c>
      <c r="S36" s="51">
        <v>210</v>
      </c>
      <c r="T36" s="51">
        <v>214.7</v>
      </c>
      <c r="U36" s="51">
        <v>236.8</v>
      </c>
      <c r="V36" s="51">
        <v>329.4</v>
      </c>
      <c r="W36" s="51"/>
      <c r="X36" s="51">
        <v>254.5</v>
      </c>
      <c r="Y36" s="51">
        <v>277.10000000000002</v>
      </c>
      <c r="Z36" s="51">
        <v>326.39999999999998</v>
      </c>
      <c r="AA36" s="51">
        <v>264.10000000000002</v>
      </c>
      <c r="AB36" s="51">
        <v>275.39999999999998</v>
      </c>
      <c r="AC36" s="51">
        <v>314.60000000000002</v>
      </c>
      <c r="AD36" s="51">
        <v>353.1</v>
      </c>
      <c r="AE36" s="51">
        <v>289.60000000000002</v>
      </c>
      <c r="AF36" s="51">
        <v>324.2</v>
      </c>
      <c r="AG36" s="51">
        <v>353.2</v>
      </c>
      <c r="AH36" s="51">
        <v>424.3</v>
      </c>
      <c r="AI36" s="51">
        <v>369.8</v>
      </c>
      <c r="AJ36" s="51">
        <v>389.5</v>
      </c>
      <c r="AK36" s="51">
        <v>451</v>
      </c>
      <c r="AL36" s="51">
        <v>468.2</v>
      </c>
      <c r="AM36" s="51">
        <v>490.7</v>
      </c>
      <c r="AN36" s="51">
        <v>512.20000000000005</v>
      </c>
      <c r="AO36" s="51">
        <v>479.4</v>
      </c>
      <c r="AP36" s="51">
        <v>554.1</v>
      </c>
      <c r="AQ36" s="51">
        <v>499.1</v>
      </c>
      <c r="AR36" s="51">
        <v>543.5</v>
      </c>
      <c r="AS36" s="51">
        <v>530.29999999999995</v>
      </c>
      <c r="AT36" s="51">
        <v>578.4</v>
      </c>
      <c r="AU36" s="51">
        <v>527.4</v>
      </c>
      <c r="AV36" s="51">
        <v>601.20000000000005</v>
      </c>
      <c r="AW36" s="51">
        <v>584.70000000000005</v>
      </c>
      <c r="AX36" s="51">
        <v>633.29999999999995</v>
      </c>
      <c r="AY36" s="51">
        <v>749.8</v>
      </c>
      <c r="AZ36" s="51">
        <v>840.8</v>
      </c>
      <c r="BA36" s="51">
        <v>778.8</v>
      </c>
      <c r="BB36" s="51">
        <v>811.7</v>
      </c>
      <c r="BC36" s="51">
        <v>754.6</v>
      </c>
      <c r="BD36" s="51">
        <v>859.8</v>
      </c>
      <c r="BE36" s="51">
        <v>706.2</v>
      </c>
      <c r="BF36" s="51">
        <v>837.6</v>
      </c>
      <c r="BG36" s="51">
        <v>769.4</v>
      </c>
      <c r="BH36" s="51">
        <v>784.8</v>
      </c>
      <c r="BI36" s="51">
        <v>740.6</v>
      </c>
      <c r="BJ36" s="51">
        <v>790.9</v>
      </c>
      <c r="BK36" s="51">
        <v>761.3</v>
      </c>
      <c r="BL36" s="51">
        <v>792.1</v>
      </c>
      <c r="BM36" s="51">
        <v>772.7</v>
      </c>
      <c r="BN36" s="51">
        <v>816.5</v>
      </c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49"/>
      <c r="CN36" s="49"/>
      <c r="CO36" s="49"/>
      <c r="CP36" s="51"/>
      <c r="CQ36" s="51">
        <v>693</v>
      </c>
      <c r="CR36" s="51">
        <v>727</v>
      </c>
      <c r="CS36" s="51">
        <v>798</v>
      </c>
      <c r="CT36" s="51">
        <v>864</v>
      </c>
      <c r="CU36" s="51">
        <v>882</v>
      </c>
      <c r="CV36" s="51">
        <f>CU36*1.05</f>
        <v>926.1</v>
      </c>
      <c r="CW36" s="51">
        <f t="shared" si="10"/>
        <v>858</v>
      </c>
      <c r="CX36" s="51">
        <f t="shared" si="11"/>
        <v>1207.2</v>
      </c>
      <c r="CY36" s="51">
        <f t="shared" si="12"/>
        <v>1391.3</v>
      </c>
      <c r="CZ36" s="51">
        <f t="shared" si="13"/>
        <v>1678.5</v>
      </c>
      <c r="DA36" s="51">
        <f t="shared" ref="DA36:DA40" si="39">SUM(AM36:AP36)</f>
        <v>2036.4</v>
      </c>
      <c r="DB36" s="51">
        <v>2151.5</v>
      </c>
      <c r="DC36" s="51">
        <v>2346.6</v>
      </c>
      <c r="DD36" s="51">
        <v>3181</v>
      </c>
      <c r="DE36" s="51">
        <v>3158.2</v>
      </c>
      <c r="DF36" s="51"/>
      <c r="DG36" s="51"/>
      <c r="DH36" s="51"/>
      <c r="DI36" s="49"/>
      <c r="DJ36" s="49"/>
      <c r="DK36" s="49"/>
      <c r="DL36" s="49"/>
    </row>
    <row r="37" spans="2:123" s="38" customFormat="1" x14ac:dyDescent="0.15">
      <c r="B37" s="38" t="s">
        <v>262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>
        <v>22.6</v>
      </c>
      <c r="AD37" s="52">
        <v>4</v>
      </c>
      <c r="AE37" s="52">
        <v>8.8000000000000007</v>
      </c>
      <c r="AF37" s="52">
        <v>22.9</v>
      </c>
      <c r="AG37" s="52">
        <v>36.299999999999997</v>
      </c>
      <c r="AH37" s="52">
        <v>47</v>
      </c>
      <c r="AI37" s="52">
        <v>56.3</v>
      </c>
      <c r="AJ37" s="52">
        <v>71.7</v>
      </c>
      <c r="AK37" s="52">
        <v>83.5</v>
      </c>
      <c r="AL37" s="52">
        <v>90.9</v>
      </c>
      <c r="AM37" s="52">
        <v>115.8</v>
      </c>
      <c r="AN37" s="52">
        <v>111</v>
      </c>
      <c r="AO37" s="52">
        <v>109.7</v>
      </c>
      <c r="AP37" s="52">
        <v>120.6</v>
      </c>
      <c r="AQ37" s="52">
        <v>115.9</v>
      </c>
      <c r="AR37" s="52">
        <v>137.4</v>
      </c>
      <c r="AS37" s="52">
        <v>124.9</v>
      </c>
      <c r="AT37" s="52">
        <v>130.6</v>
      </c>
      <c r="AU37" s="52">
        <v>119.3</v>
      </c>
      <c r="AV37" s="52">
        <v>133.6</v>
      </c>
      <c r="AW37" s="52">
        <v>131.5</v>
      </c>
      <c r="AX37" s="52">
        <v>137.80000000000001</v>
      </c>
      <c r="AY37" s="52">
        <v>121.8</v>
      </c>
      <c r="AZ37" s="52">
        <v>128.80000000000001</v>
      </c>
      <c r="BA37" s="52">
        <v>132.1</v>
      </c>
      <c r="BB37" s="52">
        <v>140.30000000000001</v>
      </c>
      <c r="BC37" s="52">
        <v>131.5</v>
      </c>
      <c r="BD37" s="52">
        <v>135.1</v>
      </c>
      <c r="BE37" s="52">
        <v>127.7</v>
      </c>
      <c r="BF37" s="52">
        <v>140.9</v>
      </c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0"/>
      <c r="CN37" s="50"/>
      <c r="CO37" s="50"/>
      <c r="CP37" s="52"/>
      <c r="CQ37" s="52"/>
      <c r="CR37" s="52"/>
      <c r="CS37" s="52"/>
      <c r="CT37" s="52"/>
      <c r="CU37" s="52"/>
      <c r="CV37" s="52"/>
      <c r="CW37" s="52"/>
      <c r="CX37" s="52">
        <f>SUM(AA37:AD37)</f>
        <v>26.6</v>
      </c>
      <c r="CY37" s="52">
        <f>SUM(AE37:AH37)</f>
        <v>115</v>
      </c>
      <c r="CZ37" s="51">
        <f t="shared" si="13"/>
        <v>302.39999999999998</v>
      </c>
      <c r="DA37" s="51">
        <f t="shared" si="39"/>
        <v>457.1</v>
      </c>
      <c r="DB37" s="52">
        <v>508.7</v>
      </c>
      <c r="DC37" s="52">
        <v>522.20000000000005</v>
      </c>
      <c r="DD37" s="52">
        <v>523</v>
      </c>
      <c r="DE37" s="52">
        <v>535.20000000000005</v>
      </c>
      <c r="DF37" s="52"/>
      <c r="DG37" s="52"/>
      <c r="DH37" s="52"/>
      <c r="DI37" s="49"/>
      <c r="DJ37" s="49"/>
      <c r="DK37" s="49"/>
      <c r="DL37" s="49"/>
    </row>
    <row r="38" spans="2:123" x14ac:dyDescent="0.15">
      <c r="B38" t="s">
        <v>55</v>
      </c>
      <c r="C38" s="51">
        <v>233.9</v>
      </c>
      <c r="D38" s="51">
        <v>254.6</v>
      </c>
      <c r="E38" s="51">
        <v>250.6</v>
      </c>
      <c r="F38" s="51">
        <v>282.60000000000002</v>
      </c>
      <c r="G38" s="51">
        <v>279</v>
      </c>
      <c r="H38" s="51">
        <v>293.3</v>
      </c>
      <c r="I38" s="51">
        <v>312.7</v>
      </c>
      <c r="J38" s="51">
        <v>329.5</v>
      </c>
      <c r="K38" s="51">
        <v>304.60000000000002</v>
      </c>
      <c r="L38" s="51">
        <v>343</v>
      </c>
      <c r="M38" s="51">
        <v>334.3</v>
      </c>
      <c r="N38" s="51">
        <v>352.6</v>
      </c>
      <c r="O38" s="51">
        <v>339</v>
      </c>
      <c r="P38" s="51">
        <v>344</v>
      </c>
      <c r="Q38" s="51">
        <v>355</v>
      </c>
      <c r="R38" s="51">
        <v>371.3</v>
      </c>
      <c r="S38" s="51">
        <v>376.9</v>
      </c>
      <c r="T38" s="51">
        <v>395.6</v>
      </c>
      <c r="U38" s="51">
        <v>394.4</v>
      </c>
      <c r="V38" s="51">
        <v>425.5</v>
      </c>
      <c r="W38" s="51">
        <v>426.2</v>
      </c>
      <c r="X38" s="51">
        <v>440.1</v>
      </c>
      <c r="Y38" s="51">
        <v>440.2</v>
      </c>
      <c r="Z38" s="51">
        <v>413.3</v>
      </c>
      <c r="AA38" s="51">
        <v>367.8</v>
      </c>
      <c r="AB38" s="51">
        <v>353.2</v>
      </c>
      <c r="AC38" s="51">
        <v>331.8</v>
      </c>
      <c r="AD38" s="51">
        <v>310.5</v>
      </c>
      <c r="AE38" s="51">
        <v>287.8</v>
      </c>
      <c r="AF38" s="51">
        <v>293.39999999999998</v>
      </c>
      <c r="AG38" s="51">
        <v>324.60000000000002</v>
      </c>
      <c r="AH38" s="51">
        <v>243.6</v>
      </c>
      <c r="AI38" s="51">
        <v>156.1</v>
      </c>
      <c r="AJ38" s="51">
        <v>112.4</v>
      </c>
      <c r="AK38" s="51">
        <v>91</v>
      </c>
      <c r="AL38" s="51">
        <v>92.6</v>
      </c>
      <c r="AM38" s="51">
        <v>0</v>
      </c>
      <c r="AN38" s="51">
        <v>0</v>
      </c>
      <c r="AO38" s="51">
        <v>0</v>
      </c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49"/>
      <c r="CN38" s="49"/>
      <c r="CO38" s="49"/>
      <c r="CP38" s="51"/>
      <c r="CQ38" s="51">
        <v>875</v>
      </c>
      <c r="CR38" s="51">
        <v>1022</v>
      </c>
      <c r="CS38" s="51">
        <v>1214</v>
      </c>
      <c r="CT38" s="51">
        <v>1335</v>
      </c>
      <c r="CU38" s="51">
        <f>SUM(O38:R38)</f>
        <v>1409.3</v>
      </c>
      <c r="CV38" s="51">
        <f>SUM(S38:V38)</f>
        <v>1592.4</v>
      </c>
      <c r="CW38" s="51">
        <f>SUM(W38:Z38)</f>
        <v>1719.8</v>
      </c>
      <c r="CX38" s="51">
        <f>SUM(AA38:AD38)</f>
        <v>1363.3</v>
      </c>
      <c r="CY38" s="51">
        <f>SUM(AE38:AH38)</f>
        <v>1149.4000000000001</v>
      </c>
      <c r="CZ38" s="51">
        <f>SUM(AI38:AL38)</f>
        <v>452.1</v>
      </c>
      <c r="DA38" s="51">
        <f t="shared" si="39"/>
        <v>0</v>
      </c>
      <c r="DB38" s="51"/>
      <c r="DC38" s="51"/>
      <c r="DD38" s="51"/>
      <c r="DE38" s="51"/>
      <c r="DF38" s="51"/>
      <c r="DG38" s="53"/>
      <c r="DH38" s="53"/>
      <c r="DI38" s="49"/>
      <c r="DJ38" s="49"/>
      <c r="DK38" s="49"/>
      <c r="DL38" s="49"/>
    </row>
    <row r="39" spans="2:123" x14ac:dyDescent="0.15">
      <c r="B39" s="38" t="s">
        <v>41</v>
      </c>
      <c r="C39" s="51"/>
      <c r="D39" s="51"/>
      <c r="E39" s="51"/>
      <c r="F39" s="51"/>
      <c r="G39" s="51"/>
      <c r="H39" s="51"/>
      <c r="I39" s="51">
        <v>13.5</v>
      </c>
      <c r="J39" s="51">
        <v>15.2</v>
      </c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49"/>
      <c r="CN39" s="49"/>
      <c r="CO39" s="49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3"/>
      <c r="DH39" s="53"/>
      <c r="DI39" s="49"/>
      <c r="DJ39" s="49"/>
      <c r="DK39" s="49"/>
      <c r="DL39" s="49"/>
    </row>
    <row r="40" spans="2:123" x14ac:dyDescent="0.15">
      <c r="B40" t="s">
        <v>70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>
        <v>25.7</v>
      </c>
      <c r="O40" s="51">
        <v>36</v>
      </c>
      <c r="P40" s="51">
        <v>52</v>
      </c>
      <c r="Q40" s="51">
        <v>62</v>
      </c>
      <c r="R40" s="51">
        <f>V40/1.34</f>
        <v>68.731343283582078</v>
      </c>
      <c r="S40" s="51">
        <v>72</v>
      </c>
      <c r="T40" s="51">
        <v>152.1</v>
      </c>
      <c r="U40" s="51">
        <v>87.1</v>
      </c>
      <c r="V40" s="51">
        <v>92.1</v>
      </c>
      <c r="W40" s="51">
        <v>82.7</v>
      </c>
      <c r="X40" s="51">
        <v>101.2</v>
      </c>
      <c r="Y40" s="51">
        <v>109.2</v>
      </c>
      <c r="Z40" s="51">
        <v>103</v>
      </c>
      <c r="AA40" s="51">
        <v>97.5</v>
      </c>
      <c r="AB40" s="51">
        <v>114.6</v>
      </c>
      <c r="AC40" s="51">
        <v>115.8</v>
      </c>
      <c r="AD40" s="51">
        <v>120.5</v>
      </c>
      <c r="AE40" s="51">
        <v>115.7</v>
      </c>
      <c r="AF40" s="51">
        <v>106.9</v>
      </c>
      <c r="AG40" s="51">
        <v>102.7</v>
      </c>
      <c r="AH40" s="51">
        <v>105.3</v>
      </c>
      <c r="AI40" s="51">
        <v>101.8</v>
      </c>
      <c r="AJ40" s="51">
        <v>103.9</v>
      </c>
      <c r="AK40" s="51">
        <v>106.7</v>
      </c>
      <c r="AL40" s="51">
        <v>110.3</v>
      </c>
      <c r="AM40" s="51">
        <v>0</v>
      </c>
      <c r="AN40" s="51">
        <v>0</v>
      </c>
      <c r="AO40" s="51">
        <v>0</v>
      </c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49"/>
      <c r="CN40" s="49"/>
      <c r="CO40" s="49"/>
      <c r="CP40" s="51"/>
      <c r="CQ40" s="51"/>
      <c r="CR40" s="51"/>
      <c r="CS40" s="51"/>
      <c r="CT40" s="51">
        <v>36</v>
      </c>
      <c r="CU40" s="51">
        <v>193</v>
      </c>
      <c r="CV40" s="51">
        <f>CU40*1.75</f>
        <v>337.75</v>
      </c>
      <c r="CW40" s="51">
        <f>SUM(W40:Z40)</f>
        <v>396.1</v>
      </c>
      <c r="CX40" s="51">
        <f>SUM(AA40:AD40)</f>
        <v>448.4</v>
      </c>
      <c r="CY40" s="51">
        <f>SUM(AE40:AH40)</f>
        <v>430.6</v>
      </c>
      <c r="CZ40" s="51">
        <f>SUM(AI40:AL40)</f>
        <v>422.7</v>
      </c>
      <c r="DA40" s="51">
        <f t="shared" si="39"/>
        <v>0</v>
      </c>
      <c r="DB40" s="51"/>
      <c r="DC40" s="51"/>
      <c r="DD40" s="51"/>
      <c r="DE40" s="51"/>
      <c r="DF40" s="51"/>
      <c r="DG40" s="53"/>
      <c r="DH40" s="53"/>
      <c r="DI40" s="49"/>
      <c r="DJ40" s="49"/>
      <c r="DK40" s="49"/>
      <c r="DL40" s="49"/>
    </row>
    <row r="41" spans="2:123" x14ac:dyDescent="0.15">
      <c r="B41" t="s">
        <v>61</v>
      </c>
      <c r="C41" s="51">
        <v>149.9</v>
      </c>
      <c r="D41" s="51">
        <v>175</v>
      </c>
      <c r="E41" s="51">
        <v>154.19999999999999</v>
      </c>
      <c r="F41" s="51">
        <f>645.1-E41-D41-C41</f>
        <v>166.00000000000003</v>
      </c>
      <c r="G41" s="51">
        <v>165</v>
      </c>
      <c r="H41" s="51">
        <v>129.80000000000001</v>
      </c>
      <c r="I41" s="51">
        <v>141</v>
      </c>
      <c r="J41" s="51">
        <v>123.1</v>
      </c>
      <c r="K41" s="51">
        <v>112.5</v>
      </c>
      <c r="L41" s="51">
        <v>114.2</v>
      </c>
      <c r="M41" s="51">
        <v>102.6</v>
      </c>
      <c r="N41" s="51">
        <v>114.4</v>
      </c>
      <c r="O41" s="51"/>
      <c r="P41" s="51"/>
      <c r="Q41" s="51">
        <v>78</v>
      </c>
      <c r="R41" s="51"/>
      <c r="S41" s="51">
        <f>Q41</f>
        <v>78</v>
      </c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49"/>
      <c r="CN41" s="49"/>
      <c r="CO41" s="49"/>
      <c r="CP41" s="51"/>
      <c r="CQ41" s="51">
        <v>656</v>
      </c>
      <c r="CR41" s="51">
        <v>645</v>
      </c>
      <c r="CS41" s="51">
        <v>559</v>
      </c>
      <c r="CT41" s="51">
        <v>454</v>
      </c>
      <c r="CU41" s="51">
        <v>327</v>
      </c>
      <c r="CV41" s="51">
        <f>CU41*0.95</f>
        <v>310.64999999999998</v>
      </c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3"/>
      <c r="DH41" s="53"/>
      <c r="DI41" s="49"/>
      <c r="DJ41" s="49"/>
      <c r="DK41" s="49"/>
      <c r="DL41" s="49"/>
    </row>
    <row r="42" spans="2:123" x14ac:dyDescent="0.15">
      <c r="B42" t="s">
        <v>63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49"/>
      <c r="CN42" s="49"/>
      <c r="CO42" s="49"/>
      <c r="CP42" s="51"/>
      <c r="CQ42" s="51">
        <v>198</v>
      </c>
      <c r="CR42" s="51">
        <v>171</v>
      </c>
      <c r="CS42" s="51">
        <v>138</v>
      </c>
      <c r="CT42" s="51">
        <v>118</v>
      </c>
      <c r="CU42" s="51">
        <v>90</v>
      </c>
      <c r="CV42" s="51">
        <f>CU42*0.9</f>
        <v>81</v>
      </c>
      <c r="CW42" s="51">
        <f>CV42*0.9</f>
        <v>72.900000000000006</v>
      </c>
      <c r="CX42" s="51"/>
      <c r="CY42" s="51"/>
      <c r="CZ42" s="51"/>
      <c r="DA42" s="51"/>
      <c r="DB42" s="51"/>
      <c r="DC42" s="51"/>
      <c r="DD42" s="51"/>
      <c r="DE42" s="51"/>
      <c r="DF42" s="51"/>
      <c r="DG42" s="53"/>
      <c r="DH42" s="53"/>
      <c r="DI42" s="49"/>
      <c r="DJ42" s="49"/>
      <c r="DK42" s="49"/>
      <c r="DL42" s="49"/>
    </row>
    <row r="43" spans="2:123" x14ac:dyDescent="0.15">
      <c r="B43" t="s">
        <v>64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49"/>
      <c r="CN43" s="49"/>
      <c r="CO43" s="49"/>
      <c r="CP43" s="51"/>
      <c r="CQ43" s="51">
        <v>38</v>
      </c>
      <c r="CR43" s="51">
        <v>32</v>
      </c>
      <c r="CS43" s="51">
        <v>55</v>
      </c>
      <c r="CT43" s="51">
        <v>28</v>
      </c>
      <c r="CU43" s="51">
        <v>17</v>
      </c>
      <c r="CV43" s="51">
        <v>16</v>
      </c>
      <c r="CW43" s="51">
        <v>16</v>
      </c>
      <c r="CX43" s="51"/>
      <c r="CY43" s="51"/>
      <c r="CZ43" s="51"/>
      <c r="DA43" s="51"/>
      <c r="DB43" s="51"/>
      <c r="DC43" s="51"/>
      <c r="DD43" s="51"/>
      <c r="DE43" s="51"/>
      <c r="DF43" s="51"/>
      <c r="DG43" s="53"/>
      <c r="DH43" s="53"/>
      <c r="DI43" s="49"/>
      <c r="DJ43" s="49"/>
      <c r="DK43" s="49"/>
      <c r="DL43" s="49"/>
    </row>
    <row r="44" spans="2:123" x14ac:dyDescent="0.15">
      <c r="B44" t="s">
        <v>65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49"/>
      <c r="CN44" s="49"/>
      <c r="CO44" s="49"/>
      <c r="CP44" s="51"/>
      <c r="CQ44" s="51">
        <v>75</v>
      </c>
      <c r="CR44" s="51">
        <v>52</v>
      </c>
      <c r="CS44" s="51">
        <v>46</v>
      </c>
      <c r="CT44" s="51">
        <v>34</v>
      </c>
      <c r="CU44" s="51">
        <v>32</v>
      </c>
      <c r="CV44" s="51">
        <f>CU44*0.8</f>
        <v>25.6</v>
      </c>
      <c r="CW44" s="51">
        <f>CV44*0.8</f>
        <v>20.480000000000004</v>
      </c>
      <c r="CX44" s="51"/>
      <c r="CY44" s="51"/>
      <c r="CZ44" s="51"/>
      <c r="DA44" s="51"/>
      <c r="DB44" s="51"/>
      <c r="DC44" s="51"/>
      <c r="DD44" s="51"/>
      <c r="DE44" s="51"/>
      <c r="DF44" s="51"/>
      <c r="DG44" s="53"/>
      <c r="DH44" s="53"/>
      <c r="DI44" s="49"/>
      <c r="DJ44" s="49"/>
      <c r="DK44" s="49"/>
      <c r="DL44" s="49"/>
    </row>
    <row r="45" spans="2:123" x14ac:dyDescent="0.15">
      <c r="B45" t="s">
        <v>66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>
        <v>25</v>
      </c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49"/>
      <c r="CN45" s="49"/>
      <c r="CO45" s="49"/>
      <c r="CP45" s="51"/>
      <c r="CQ45" s="51">
        <v>145</v>
      </c>
      <c r="CR45" s="51">
        <v>173</v>
      </c>
      <c r="CS45" s="51">
        <v>198</v>
      </c>
      <c r="CT45" s="51">
        <v>240</v>
      </c>
      <c r="CU45" s="51">
        <v>154</v>
      </c>
      <c r="CV45" s="51">
        <v>136</v>
      </c>
      <c r="CW45" s="51">
        <v>143</v>
      </c>
      <c r="CX45" s="51"/>
      <c r="CY45" s="51"/>
      <c r="CZ45" s="51"/>
      <c r="DA45" s="51"/>
      <c r="DB45" s="51"/>
      <c r="DC45" s="51"/>
      <c r="DD45" s="51"/>
      <c r="DE45" s="51"/>
      <c r="DF45" s="51"/>
      <c r="DG45" s="53"/>
      <c r="DH45" s="53"/>
      <c r="DI45" s="49"/>
      <c r="DJ45" s="49"/>
      <c r="DK45" s="49"/>
      <c r="DL45" s="49"/>
    </row>
    <row r="46" spans="2:123" x14ac:dyDescent="0.15">
      <c r="B46" t="s">
        <v>67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49"/>
      <c r="CN46" s="49"/>
      <c r="CO46" s="49"/>
      <c r="CP46" s="51"/>
      <c r="CQ46" s="51">
        <v>122</v>
      </c>
      <c r="CR46" s="51">
        <v>63</v>
      </c>
      <c r="CS46" s="51">
        <v>44</v>
      </c>
      <c r="CT46" s="51">
        <v>25</v>
      </c>
      <c r="CU46" s="51">
        <v>31</v>
      </c>
      <c r="CV46" s="51">
        <f>CU46*0.9</f>
        <v>27.900000000000002</v>
      </c>
      <c r="CW46" s="51">
        <f>CV46*0.9</f>
        <v>25.110000000000003</v>
      </c>
      <c r="CX46" s="51">
        <f>CW46*0.9</f>
        <v>22.599000000000004</v>
      </c>
      <c r="CY46" s="51"/>
      <c r="CZ46" s="51"/>
      <c r="DA46" s="51"/>
      <c r="DB46" s="51"/>
      <c r="DC46" s="51"/>
      <c r="DD46" s="51"/>
      <c r="DE46" s="51"/>
      <c r="DF46" s="51"/>
      <c r="DG46" s="53"/>
      <c r="DH46" s="53"/>
      <c r="DI46" s="49"/>
      <c r="DJ46" s="49"/>
      <c r="DK46" s="49"/>
      <c r="DL46" s="49"/>
    </row>
    <row r="47" spans="2:123" x14ac:dyDescent="0.15">
      <c r="B47" t="s">
        <v>69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>
        <v>102</v>
      </c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>
        <v>88.7</v>
      </c>
      <c r="BT47" s="51">
        <v>46.2</v>
      </c>
      <c r="BU47" s="51">
        <v>50.7</v>
      </c>
      <c r="BV47" s="51">
        <v>110.8</v>
      </c>
      <c r="BW47" s="51">
        <v>64.900000000000006</v>
      </c>
      <c r="BX47" s="51">
        <v>22.4</v>
      </c>
      <c r="BY47" s="51">
        <v>50.2</v>
      </c>
      <c r="BZ47" s="51">
        <v>51.4</v>
      </c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49"/>
      <c r="CN47" s="49"/>
      <c r="CO47" s="49"/>
      <c r="CP47" s="51"/>
      <c r="CQ47" s="51">
        <v>329</v>
      </c>
      <c r="CR47" s="51">
        <v>371</v>
      </c>
      <c r="CS47" s="51">
        <v>430</v>
      </c>
      <c r="CT47" s="51">
        <v>414</v>
      </c>
      <c r="CU47" s="51">
        <v>413</v>
      </c>
      <c r="CV47" s="51">
        <f>CU47*1.05</f>
        <v>433.65000000000003</v>
      </c>
      <c r="CW47" s="51">
        <f>CV47*1.05</f>
        <v>455.33250000000004</v>
      </c>
      <c r="CX47" s="51">
        <f>CW47*1.05</f>
        <v>478.09912500000007</v>
      </c>
      <c r="CY47" s="51"/>
      <c r="CZ47" s="51"/>
      <c r="DA47" s="51"/>
      <c r="DB47" s="51"/>
      <c r="DC47" s="51"/>
      <c r="DD47" s="51"/>
      <c r="DE47" s="51"/>
      <c r="DF47" s="51"/>
      <c r="DG47" s="53"/>
      <c r="DH47" s="53"/>
      <c r="DI47" s="49">
        <f t="shared" ref="DI47" si="40">SUM(BS47:BV47)</f>
        <v>296.40000000000003</v>
      </c>
      <c r="DJ47" s="49">
        <f t="shared" ref="DJ47" si="41">SUM(BW47:BZ47)</f>
        <v>188.9</v>
      </c>
      <c r="DK47" s="49">
        <f t="shared" ref="DK47" si="42">SUM(CA47:CD47)</f>
        <v>0</v>
      </c>
      <c r="DL47" s="49">
        <f t="shared" ref="DL47" si="43">SUM(CE47:CH47)</f>
        <v>0</v>
      </c>
    </row>
    <row r="48" spans="2:123" x14ac:dyDescent="0.15">
      <c r="B48" t="s">
        <v>71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49"/>
      <c r="CN48" s="49"/>
      <c r="CO48" s="49"/>
      <c r="CP48" s="51"/>
      <c r="CQ48" s="51">
        <v>46</v>
      </c>
      <c r="CR48" s="51">
        <v>43</v>
      </c>
      <c r="CS48" s="51">
        <v>34</v>
      </c>
      <c r="CT48" s="51">
        <v>52</v>
      </c>
      <c r="CU48" s="51">
        <v>34</v>
      </c>
      <c r="CV48" s="51">
        <v>34</v>
      </c>
      <c r="CW48" s="51">
        <v>35</v>
      </c>
      <c r="CX48" s="51"/>
      <c r="CY48" s="51"/>
      <c r="CZ48" s="51"/>
      <c r="DA48" s="51"/>
      <c r="DB48" s="51"/>
      <c r="DC48" s="51"/>
      <c r="DD48" s="51"/>
      <c r="DE48" s="51"/>
      <c r="DF48" s="51"/>
      <c r="DG48" s="53"/>
      <c r="DH48" s="53"/>
      <c r="DI48" s="49"/>
      <c r="DJ48" s="49"/>
      <c r="DK48" s="49"/>
      <c r="DL48" s="49"/>
    </row>
    <row r="49" spans="2:123" x14ac:dyDescent="0.15">
      <c r="B49" t="s">
        <v>72</v>
      </c>
      <c r="C49" s="51">
        <v>93.1</v>
      </c>
      <c r="D49" s="51">
        <v>94.5</v>
      </c>
      <c r="E49" s="51">
        <v>88.2</v>
      </c>
      <c r="F49" s="51">
        <f>364.4-E49-D49-C49</f>
        <v>88.6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>
        <v>67</v>
      </c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49"/>
      <c r="CN49" s="49"/>
      <c r="CO49" s="49"/>
      <c r="CP49" s="51"/>
      <c r="CQ49" s="51">
        <v>384</v>
      </c>
      <c r="CR49" s="51">
        <v>364</v>
      </c>
      <c r="CS49" s="51">
        <v>363</v>
      </c>
      <c r="CT49" s="51">
        <v>297</v>
      </c>
      <c r="CU49" s="51">
        <v>296</v>
      </c>
      <c r="CV49" s="51">
        <f>CU49*0.95</f>
        <v>281.2</v>
      </c>
      <c r="CW49" s="51">
        <f>CV49*0.95</f>
        <v>267.14</v>
      </c>
      <c r="CX49" s="51">
        <f>CW49*0.95</f>
        <v>253.78299999999999</v>
      </c>
      <c r="CY49" s="51"/>
      <c r="CZ49" s="51"/>
      <c r="DA49" s="51"/>
      <c r="DB49" s="51"/>
      <c r="DC49" s="51"/>
      <c r="DD49" s="51"/>
      <c r="DE49" s="51"/>
      <c r="DF49" s="51"/>
      <c r="DG49" s="53"/>
      <c r="DH49" s="53"/>
      <c r="DI49" s="49"/>
      <c r="DJ49" s="49"/>
      <c r="DK49" s="49"/>
      <c r="DL49" s="49"/>
    </row>
    <row r="50" spans="2:123" x14ac:dyDescent="0.15">
      <c r="B50" t="s">
        <v>73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49"/>
      <c r="CN50" s="49"/>
      <c r="CO50" s="49"/>
      <c r="CP50" s="51"/>
      <c r="CQ50" s="51">
        <v>60</v>
      </c>
      <c r="CR50" s="51">
        <v>70</v>
      </c>
      <c r="CS50" s="51">
        <v>42</v>
      </c>
      <c r="CT50" s="51">
        <v>34</v>
      </c>
      <c r="CU50" s="51">
        <v>23</v>
      </c>
      <c r="CV50" s="51">
        <v>22</v>
      </c>
      <c r="CW50" s="51">
        <v>22</v>
      </c>
      <c r="CX50" s="51">
        <v>22</v>
      </c>
      <c r="CY50" s="51"/>
      <c r="CZ50" s="51"/>
      <c r="DA50" s="51"/>
      <c r="DB50" s="51"/>
      <c r="DC50" s="51"/>
      <c r="DD50" s="51"/>
      <c r="DE50" s="51"/>
      <c r="DF50" s="51"/>
      <c r="DG50" s="53"/>
      <c r="DH50" s="53"/>
      <c r="DI50" s="49"/>
      <c r="DJ50" s="49"/>
      <c r="DK50" s="49"/>
      <c r="DL50" s="49"/>
    </row>
    <row r="51" spans="2:123" x14ac:dyDescent="0.15">
      <c r="B51" t="s">
        <v>68</v>
      </c>
      <c r="C51" s="51">
        <v>133.19999999999999</v>
      </c>
      <c r="D51" s="51">
        <v>116.3</v>
      </c>
      <c r="E51" s="51">
        <v>67.099999999999994</v>
      </c>
      <c r="F51" s="51">
        <f>431.2-E51-D51-C51</f>
        <v>114.60000000000002</v>
      </c>
      <c r="G51" s="51">
        <v>153.30000000000001</v>
      </c>
      <c r="H51" s="51">
        <v>112.4</v>
      </c>
      <c r="I51" s="51">
        <v>58.3</v>
      </c>
      <c r="J51" s="51">
        <v>128.9</v>
      </c>
      <c r="K51" s="51">
        <v>168.7</v>
      </c>
      <c r="L51" s="51">
        <v>105</v>
      </c>
      <c r="M51" s="51">
        <f>Q51/1.2</f>
        <v>64.166666666666671</v>
      </c>
      <c r="N51" s="51">
        <v>155</v>
      </c>
      <c r="O51" s="51">
        <v>189</v>
      </c>
      <c r="P51" s="51">
        <v>93</v>
      </c>
      <c r="Q51" s="51">
        <v>77</v>
      </c>
      <c r="R51" s="51">
        <f>V51/1.04</f>
        <v>89.615384615384613</v>
      </c>
      <c r="S51" s="51"/>
      <c r="T51" s="51"/>
      <c r="U51" s="51">
        <v>97.8</v>
      </c>
      <c r="V51" s="51">
        <v>93.2</v>
      </c>
      <c r="W51" s="51">
        <v>84.1</v>
      </c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49"/>
      <c r="CN51" s="49"/>
      <c r="CO51" s="49"/>
      <c r="CP51" s="51"/>
      <c r="CQ51" s="51">
        <v>391</v>
      </c>
      <c r="CR51" s="51">
        <v>430</v>
      </c>
      <c r="CS51" s="51">
        <v>453</v>
      </c>
      <c r="CT51" s="51">
        <v>493</v>
      </c>
      <c r="CU51" s="51">
        <v>428</v>
      </c>
      <c r="CV51" s="51">
        <f>SUM(S51:V51)</f>
        <v>191</v>
      </c>
      <c r="CW51" s="51">
        <f>SUM(W51:Z51)</f>
        <v>84.1</v>
      </c>
      <c r="CX51" s="51"/>
      <c r="CY51" s="51"/>
      <c r="CZ51" s="51"/>
      <c r="DA51" s="51"/>
      <c r="DB51" s="51"/>
      <c r="DC51" s="51"/>
      <c r="DD51" s="51"/>
      <c r="DE51" s="51"/>
      <c r="DF51" s="51"/>
      <c r="DG51" s="53"/>
      <c r="DH51" s="53"/>
      <c r="DI51" s="49"/>
      <c r="DJ51" s="49"/>
      <c r="DK51" s="49"/>
      <c r="DL51" s="49"/>
    </row>
    <row r="52" spans="2:123" x14ac:dyDescent="0.15">
      <c r="B52" t="s">
        <v>74</v>
      </c>
      <c r="C52" s="51">
        <v>35.9</v>
      </c>
      <c r="D52" s="51">
        <v>36.1</v>
      </c>
      <c r="E52" s="51">
        <v>37.799999999999997</v>
      </c>
      <c r="F52" s="51">
        <f>160.4-E52-D52-C52</f>
        <v>50.6</v>
      </c>
      <c r="G52" s="51"/>
      <c r="H52" s="51"/>
      <c r="I52" s="51"/>
      <c r="J52" s="51">
        <v>55.3</v>
      </c>
      <c r="K52" s="51">
        <v>59.5</v>
      </c>
      <c r="L52" s="51"/>
      <c r="M52" s="51">
        <v>45.5</v>
      </c>
      <c r="N52" s="51">
        <v>51.8</v>
      </c>
      <c r="O52" s="51">
        <v>50</v>
      </c>
      <c r="P52" s="51">
        <v>48</v>
      </c>
      <c r="Q52" s="51">
        <v>42</v>
      </c>
      <c r="R52" s="51"/>
      <c r="S52" s="51">
        <v>40</v>
      </c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49"/>
      <c r="CN52" s="49"/>
      <c r="CO52" s="49"/>
      <c r="CP52" s="51"/>
      <c r="CQ52" s="51">
        <v>98</v>
      </c>
      <c r="CR52" s="51">
        <v>161</v>
      </c>
      <c r="CS52" s="51">
        <v>202</v>
      </c>
      <c r="CT52" s="51">
        <v>215</v>
      </c>
      <c r="CU52" s="51">
        <v>212</v>
      </c>
      <c r="CV52" s="51">
        <f>CU52*0.8</f>
        <v>169.60000000000002</v>
      </c>
      <c r="CW52" s="51">
        <f>CV52*0.8</f>
        <v>135.68000000000004</v>
      </c>
      <c r="CX52" s="51">
        <f>CW52*0.8</f>
        <v>108.54400000000004</v>
      </c>
      <c r="CY52" s="51"/>
      <c r="CZ52" s="51"/>
      <c r="DA52" s="51"/>
      <c r="DB52" s="51"/>
      <c r="DC52" s="51"/>
      <c r="DD52" s="51"/>
      <c r="DE52" s="51"/>
      <c r="DF52" s="51"/>
      <c r="DG52" s="53"/>
      <c r="DH52" s="53"/>
      <c r="DI52" s="49"/>
      <c r="DJ52" s="49"/>
      <c r="DK52" s="49"/>
      <c r="DL52" s="49"/>
    </row>
    <row r="53" spans="2:123" x14ac:dyDescent="0.15">
      <c r="B53" t="s">
        <v>17</v>
      </c>
      <c r="C53" s="51">
        <v>214</v>
      </c>
      <c r="D53" s="51">
        <v>223.5</v>
      </c>
      <c r="E53" s="51">
        <v>240</v>
      </c>
      <c r="F53" s="51">
        <v>244.6</v>
      </c>
      <c r="G53" s="51">
        <v>232.8</v>
      </c>
      <c r="H53" s="51">
        <v>276.60000000000002</v>
      </c>
      <c r="I53" s="51">
        <v>246.1</v>
      </c>
      <c r="J53" s="51">
        <v>257.3</v>
      </c>
      <c r="K53" s="51">
        <v>248.9</v>
      </c>
      <c r="L53" s="51">
        <v>261.60000000000002</v>
      </c>
      <c r="M53" s="51">
        <v>260.3</v>
      </c>
      <c r="N53" s="51">
        <v>265.3</v>
      </c>
      <c r="O53" s="51">
        <v>242</v>
      </c>
      <c r="P53" s="51">
        <v>276</v>
      </c>
      <c r="Q53" s="51">
        <v>258</v>
      </c>
      <c r="R53" s="51">
        <v>270.3</v>
      </c>
      <c r="S53" s="51">
        <v>263.8</v>
      </c>
      <c r="T53" s="51">
        <v>278</v>
      </c>
      <c r="U53" s="51">
        <v>263.2</v>
      </c>
      <c r="V53" s="51">
        <v>285.8</v>
      </c>
      <c r="W53" s="51">
        <v>261.10000000000002</v>
      </c>
      <c r="X53" s="51">
        <v>279.8</v>
      </c>
      <c r="Y53" s="51">
        <v>265.7</v>
      </c>
      <c r="Z53" s="51">
        <v>269</v>
      </c>
      <c r="AA53" s="51">
        <v>256.89999999999998</v>
      </c>
      <c r="AB53" s="51">
        <v>251.3</v>
      </c>
      <c r="AC53" s="51">
        <v>259.5</v>
      </c>
      <c r="AD53" s="51">
        <v>262.7</v>
      </c>
      <c r="AE53" s="51">
        <v>241.6</v>
      </c>
      <c r="AF53" s="51">
        <v>259.5</v>
      </c>
      <c r="AG53" s="51">
        <v>256.8</v>
      </c>
      <c r="AH53" s="51">
        <v>266.5</v>
      </c>
      <c r="AI53" s="51">
        <v>266.10000000000002</v>
      </c>
      <c r="AJ53" s="51">
        <v>263.5</v>
      </c>
      <c r="AK53" s="51">
        <v>270.10000000000002</v>
      </c>
      <c r="AL53" s="51">
        <v>267.10000000000002</v>
      </c>
      <c r="AM53" s="51">
        <v>256.2</v>
      </c>
      <c r="AN53" s="51">
        <v>265.89999999999998</v>
      </c>
      <c r="AO53" s="51">
        <v>247</v>
      </c>
      <c r="AP53" s="51">
        <v>241</v>
      </c>
      <c r="AQ53" s="51">
        <v>240.6</v>
      </c>
      <c r="AR53" s="51">
        <v>278.7</v>
      </c>
      <c r="AS53" s="51">
        <v>255.3</v>
      </c>
      <c r="AT53" s="51">
        <v>275.89999999999998</v>
      </c>
      <c r="AU53" s="51">
        <v>150.1</v>
      </c>
      <c r="AV53" s="51">
        <v>108.3</v>
      </c>
      <c r="AW53" s="51">
        <v>89.5</v>
      </c>
      <c r="AX53" s="51">
        <v>72.099999999999994</v>
      </c>
      <c r="AY53" s="51">
        <v>66.8</v>
      </c>
      <c r="AZ53" s="51">
        <v>59.7</v>
      </c>
      <c r="BA53" s="51">
        <v>58</v>
      </c>
      <c r="BB53" s="51">
        <v>52.8</v>
      </c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49"/>
      <c r="CN53" s="49"/>
      <c r="CO53" s="49"/>
      <c r="CP53" s="51"/>
      <c r="CQ53" s="51">
        <v>822</v>
      </c>
      <c r="CR53" s="51">
        <v>922</v>
      </c>
      <c r="CS53" s="51">
        <v>1013</v>
      </c>
      <c r="CT53" s="51">
        <v>1036</v>
      </c>
      <c r="CU53" s="51">
        <f>SUM(O53:R53)</f>
        <v>1046.3</v>
      </c>
      <c r="CV53" s="51">
        <f>SUM(S53:V53)</f>
        <v>1090.8</v>
      </c>
      <c r="CW53" s="51">
        <f>SUM(W53:Z53)</f>
        <v>1075.6000000000001</v>
      </c>
      <c r="CX53" s="51">
        <f>SUM(AA53:AD53)</f>
        <v>1030.4000000000001</v>
      </c>
      <c r="CY53" s="51">
        <f>SUM(AE53:AH53)</f>
        <v>1024.4000000000001</v>
      </c>
      <c r="CZ53" s="51">
        <f>SUM(AI53:AL53)</f>
        <v>1066.8000000000002</v>
      </c>
      <c r="DA53" s="51">
        <f>SUM(AM53:AP53)</f>
        <v>1010.0999999999999</v>
      </c>
      <c r="DB53" s="51">
        <v>1050.4000000000001</v>
      </c>
      <c r="DC53" s="51">
        <v>419.8</v>
      </c>
      <c r="DD53" s="51">
        <v>237.3</v>
      </c>
      <c r="DE53" s="51"/>
      <c r="DF53" s="51"/>
      <c r="DG53" s="51"/>
      <c r="DH53" s="51"/>
      <c r="DI53" s="49"/>
      <c r="DJ53" s="49"/>
      <c r="DK53" s="49"/>
      <c r="DL53" s="49"/>
    </row>
    <row r="54" spans="2:123" x14ac:dyDescent="0.15">
      <c r="B54" s="38" t="s">
        <v>238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49"/>
      <c r="CN54" s="49"/>
      <c r="CO54" s="49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3"/>
      <c r="DH54" s="53"/>
      <c r="DI54" s="49"/>
      <c r="DJ54" s="49"/>
      <c r="DK54" s="49"/>
      <c r="DL54" s="49"/>
    </row>
    <row r="55" spans="2:123" s="38" customFormat="1" x14ac:dyDescent="0.15"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0"/>
      <c r="CN55" s="50"/>
      <c r="CO55" s="50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49"/>
      <c r="DJ55" s="49"/>
      <c r="DK55" s="49"/>
      <c r="DL55" s="49"/>
    </row>
    <row r="56" spans="2:123" x14ac:dyDescent="0.15">
      <c r="B56" t="s">
        <v>80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>
        <v>155.19999999999999</v>
      </c>
      <c r="AB56" s="51">
        <v>179.5</v>
      </c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>
        <f>5957.3-SUM(AP3:AP53)</f>
        <v>601.19999999999982</v>
      </c>
      <c r="AQ56" s="51">
        <f>5602-SUM(AQ3:AQ53)</f>
        <v>608.79999999999927</v>
      </c>
      <c r="AR56" s="51">
        <f>5929.7-SUM(AR3:AR53)</f>
        <v>569.60000000000036</v>
      </c>
      <c r="AS56" s="51">
        <f>5772.6-SUM(AS3:AS53)</f>
        <v>587.50000000000091</v>
      </c>
      <c r="AT56" s="51">
        <f>5808.8-SUM(AT3:AT53)</f>
        <v>613.70000000000073</v>
      </c>
      <c r="AU56" s="51">
        <f>4683.1-SUM(AU3:AU53)</f>
        <v>462.69999999999982</v>
      </c>
      <c r="AV56" s="51">
        <f>4935.6-SUM(AV3:AV53)</f>
        <v>505.49999999999909</v>
      </c>
      <c r="AW56" s="51">
        <f>4875.6-SUM(AW3:AW53)</f>
        <v>479.30000000000018</v>
      </c>
      <c r="AX56" s="51">
        <f>5121.3-SUM(AX3:AX53)</f>
        <v>387.39999999999964</v>
      </c>
      <c r="AY56" s="51">
        <f>4644.7-SUM(AY3:AY54)</f>
        <v>346.5</v>
      </c>
      <c r="AZ56" s="51">
        <f>4978.7-SUM(AZ3:AZ53)</f>
        <v>340.80000000000018</v>
      </c>
      <c r="BA56" s="51">
        <f>4959.7-SUM(BA3:BA53)</f>
        <v>365.19999999999891</v>
      </c>
      <c r="BB56" s="51">
        <f>5375.6-SUM(BB3:BB53)</f>
        <v>365.30000000000018</v>
      </c>
      <c r="BC56" s="51">
        <f>4865.1-SUM(BC3:BC37)</f>
        <v>463.70000000000073</v>
      </c>
      <c r="BD56" s="51">
        <f>5404.8-SUM(BD3:BD37)</f>
        <v>490.10000000000036</v>
      </c>
      <c r="BE56" s="51">
        <f>5191.7-SUM(BE3:BE37)</f>
        <v>492.09999999999945</v>
      </c>
      <c r="BF56" s="51">
        <f>5760.5-SUM(BF3:BF37)</f>
        <v>528.10000000000036</v>
      </c>
      <c r="BG56" s="51">
        <f>5228.3-SUM(BG3:BG36)</f>
        <v>474.60000000000036</v>
      </c>
      <c r="BH56" s="51">
        <f>5824.3-SUM(BH3:BH36)</f>
        <v>514.19999999999982</v>
      </c>
      <c r="BI56" s="51">
        <f>5658-SUM(BI3:BI36)</f>
        <v>403.29999999999927</v>
      </c>
      <c r="BJ56" s="51">
        <f>6160.7-SUM(BJ3:BJ36)</f>
        <v>420.99999999999909</v>
      </c>
      <c r="BK56" s="51">
        <f>5700-SUM(BK3:BK36)</f>
        <v>347.60000000000036</v>
      </c>
      <c r="BL56" s="51">
        <f>6355.2-SUM(BL3:BL36)</f>
        <v>436.00000000000091</v>
      </c>
      <c r="BM56" s="51">
        <f>6061.9-SUM(BM3:BM36)</f>
        <v>384.70000000000164</v>
      </c>
      <c r="BN56" s="51">
        <f>6438.6-SUM(BN3:BN36)</f>
        <v>331.80000000000018</v>
      </c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49"/>
      <c r="CN56" s="49"/>
      <c r="CO56" s="49"/>
      <c r="CP56" s="51"/>
      <c r="CQ56" s="51">
        <v>59</v>
      </c>
      <c r="CR56" s="51">
        <v>58</v>
      </c>
      <c r="CS56" s="51">
        <v>57</v>
      </c>
      <c r="CT56" s="51">
        <v>69</v>
      </c>
      <c r="CU56" s="51">
        <v>65</v>
      </c>
      <c r="CV56" s="51">
        <v>65</v>
      </c>
      <c r="CW56" s="51">
        <v>65</v>
      </c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49"/>
      <c r="DJ56" s="49"/>
      <c r="DK56" s="49"/>
      <c r="DL56" s="49"/>
    </row>
    <row r="57" spans="2:123" x14ac:dyDescent="0.15">
      <c r="B57" t="s">
        <v>76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49"/>
      <c r="CN57" s="49"/>
      <c r="CO57" s="49"/>
      <c r="CP57" s="51"/>
      <c r="CQ57" s="51">
        <v>35</v>
      </c>
      <c r="CR57" s="51">
        <v>32</v>
      </c>
      <c r="CS57" s="51">
        <v>19</v>
      </c>
      <c r="CT57" s="51">
        <v>12</v>
      </c>
      <c r="CU57" s="51">
        <v>14</v>
      </c>
      <c r="CV57" s="51">
        <v>10</v>
      </c>
      <c r="CW57" s="51">
        <v>10</v>
      </c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49"/>
      <c r="DJ57" s="49"/>
      <c r="DK57" s="49"/>
      <c r="DL57" s="49"/>
    </row>
    <row r="58" spans="2:123" x14ac:dyDescent="0.15">
      <c r="B58" s="38" t="s">
        <v>249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>
        <f>5210.5-SUM(Z7:Z57)</f>
        <v>481.80000000000018</v>
      </c>
      <c r="AA58" s="51">
        <f>4891.8-SUM(AA7:AA57)</f>
        <v>186.30000000000018</v>
      </c>
      <c r="AB58" s="51">
        <f>5113.5-SUM(AB7:AB57)</f>
        <v>71.599999999999454</v>
      </c>
      <c r="AC58" s="51">
        <f>5562-SUM(AC7:AC54)</f>
        <v>424.29999999999927</v>
      </c>
      <c r="AD58" s="51">
        <f>5934-SUM(AD7:AD54)</f>
        <v>449</v>
      </c>
      <c r="AE58" s="51">
        <f>5485.5-SUM(AE7:AE54)</f>
        <v>390.59999999999945</v>
      </c>
      <c r="AF58" s="51">
        <f>5748.7-SUM(AF7:AF54)</f>
        <v>410.40000000000055</v>
      </c>
      <c r="AG58" s="51">
        <f>5654.8-SUM(AG7:AG54)</f>
        <v>381.39999999999964</v>
      </c>
      <c r="AH58" s="51"/>
      <c r="AI58" s="51">
        <f>5839.2-SUM(AI7:AI54)</f>
        <v>410.09999999999854</v>
      </c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2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49"/>
      <c r="CN58" s="49"/>
      <c r="CO58" s="49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B58" s="51">
        <v>707.5</v>
      </c>
      <c r="DG58" s="47"/>
      <c r="DH58" s="47"/>
      <c r="DI58" s="49"/>
      <c r="DJ58" s="49"/>
      <c r="DK58" s="49"/>
      <c r="DL58" s="49"/>
    </row>
    <row r="59" spans="2:123" s="55" customFormat="1" x14ac:dyDescent="0.15">
      <c r="B59" s="55" t="s">
        <v>381</v>
      </c>
      <c r="C59" s="56">
        <f t="shared" ref="C59:AO59" si="44">SUM(C7:C58)</f>
        <v>2388.6999999999998</v>
      </c>
      <c r="D59" s="56">
        <f t="shared" si="44"/>
        <v>2585.6</v>
      </c>
      <c r="E59" s="56">
        <f t="shared" si="44"/>
        <v>2652.3999999999996</v>
      </c>
      <c r="F59" s="56">
        <f t="shared" si="44"/>
        <v>2920.9999999999995</v>
      </c>
      <c r="G59" s="56">
        <f t="shared" si="44"/>
        <v>2746.8</v>
      </c>
      <c r="H59" s="56">
        <f t="shared" si="44"/>
        <v>2830.7000000000003</v>
      </c>
      <c r="I59" s="56">
        <f t="shared" si="44"/>
        <v>2751.9</v>
      </c>
      <c r="J59" s="56">
        <f t="shared" si="44"/>
        <v>3320.8</v>
      </c>
      <c r="K59" s="56">
        <f t="shared" si="44"/>
        <v>3209.4366336633661</v>
      </c>
      <c r="L59" s="56">
        <f t="shared" si="44"/>
        <v>3165.6</v>
      </c>
      <c r="M59" s="56">
        <f t="shared" si="44"/>
        <v>3164.1333333333332</v>
      </c>
      <c r="N59" s="56">
        <f t="shared" si="44"/>
        <v>3455.3000000000006</v>
      </c>
      <c r="O59" s="56">
        <f t="shared" si="44"/>
        <v>3227.7000000000003</v>
      </c>
      <c r="P59" s="56">
        <f t="shared" si="44"/>
        <v>3423</v>
      </c>
      <c r="Q59" s="56">
        <f t="shared" si="44"/>
        <v>3699.7</v>
      </c>
      <c r="R59" s="56">
        <f t="shared" si="44"/>
        <v>5680.6</v>
      </c>
      <c r="S59" s="56">
        <f t="shared" si="44"/>
        <v>4236</v>
      </c>
      <c r="T59" s="56">
        <f t="shared" si="44"/>
        <v>4193.8</v>
      </c>
      <c r="U59" s="56">
        <f t="shared" si="44"/>
        <v>5899.2999999999993</v>
      </c>
      <c r="V59" s="56">
        <f t="shared" si="44"/>
        <v>6665.7000000000007</v>
      </c>
      <c r="W59" s="56">
        <f t="shared" si="44"/>
        <v>6241.8000000000011</v>
      </c>
      <c r="X59" s="56">
        <f t="shared" si="44"/>
        <v>6703.4999999999991</v>
      </c>
      <c r="Y59" s="56">
        <f t="shared" si="44"/>
        <v>6796.9000000000005</v>
      </c>
      <c r="Z59" s="56">
        <f t="shared" si="44"/>
        <v>5210.5</v>
      </c>
      <c r="AA59" s="56">
        <f t="shared" si="44"/>
        <v>4891.8</v>
      </c>
      <c r="AB59" s="56">
        <f t="shared" si="44"/>
        <v>5113.5</v>
      </c>
      <c r="AC59" s="56">
        <f t="shared" si="44"/>
        <v>5562</v>
      </c>
      <c r="AD59" s="56">
        <f t="shared" si="44"/>
        <v>5934</v>
      </c>
      <c r="AE59" s="56">
        <f t="shared" si="44"/>
        <v>5485.5</v>
      </c>
      <c r="AF59" s="56">
        <f t="shared" si="44"/>
        <v>5748.7</v>
      </c>
      <c r="AG59" s="56">
        <f t="shared" si="44"/>
        <v>5654.8</v>
      </c>
      <c r="AH59" s="56">
        <f t="shared" si="44"/>
        <v>6187.2000000000007</v>
      </c>
      <c r="AI59" s="56">
        <f t="shared" si="44"/>
        <v>5839.2</v>
      </c>
      <c r="AJ59" s="56">
        <f t="shared" si="44"/>
        <v>6252.7999999999984</v>
      </c>
      <c r="AK59" s="56">
        <f t="shared" si="44"/>
        <v>6148.1</v>
      </c>
      <c r="AL59" s="56">
        <f t="shared" si="44"/>
        <v>6047.3</v>
      </c>
      <c r="AM59" s="56">
        <f t="shared" si="44"/>
        <v>5602.4000000000005</v>
      </c>
      <c r="AN59" s="56">
        <f t="shared" si="44"/>
        <v>5600.4999999999991</v>
      </c>
      <c r="AO59" s="56">
        <f t="shared" si="44"/>
        <v>5442.5</v>
      </c>
      <c r="AP59" s="56">
        <f t="shared" ref="AP59:AW59" si="45">SUM(AP7:AP58)</f>
        <v>5957.3</v>
      </c>
      <c r="AQ59" s="56">
        <f t="shared" si="45"/>
        <v>5602</v>
      </c>
      <c r="AR59" s="56">
        <f t="shared" si="45"/>
        <v>5929.7</v>
      </c>
      <c r="AS59" s="56">
        <f t="shared" si="45"/>
        <v>5772.6</v>
      </c>
      <c r="AT59" s="56">
        <f t="shared" si="45"/>
        <v>5808.8</v>
      </c>
      <c r="AU59" s="56">
        <f t="shared" si="45"/>
        <v>4683.1000000000004</v>
      </c>
      <c r="AV59" s="56">
        <f t="shared" si="45"/>
        <v>4935.6000000000004</v>
      </c>
      <c r="AW59" s="56">
        <f t="shared" si="45"/>
        <v>4875.6000000000004</v>
      </c>
      <c r="AX59" s="56">
        <f t="shared" ref="AX59:BF59" si="46">SUM(AX3:AX58)</f>
        <v>5121.3</v>
      </c>
      <c r="AY59" s="56">
        <f t="shared" si="46"/>
        <v>4644.7</v>
      </c>
      <c r="AZ59" s="56">
        <f t="shared" si="46"/>
        <v>4978.7</v>
      </c>
      <c r="BA59" s="56">
        <f t="shared" si="46"/>
        <v>4959.7</v>
      </c>
      <c r="BB59" s="56">
        <f t="shared" si="46"/>
        <v>5375.6</v>
      </c>
      <c r="BC59" s="56">
        <f t="shared" si="46"/>
        <v>4865.1000000000004</v>
      </c>
      <c r="BD59" s="56">
        <f t="shared" si="46"/>
        <v>5404.8</v>
      </c>
      <c r="BE59" s="56">
        <f t="shared" si="46"/>
        <v>5191.7</v>
      </c>
      <c r="BF59" s="56">
        <f t="shared" si="46"/>
        <v>5760.5</v>
      </c>
      <c r="BG59" s="56">
        <f t="shared" ref="BG59:BI59" si="47">SUM(BG3:BG58)</f>
        <v>5228.3</v>
      </c>
      <c r="BH59" s="56">
        <f t="shared" si="47"/>
        <v>5824.3</v>
      </c>
      <c r="BI59" s="56">
        <f t="shared" si="47"/>
        <v>5658</v>
      </c>
      <c r="BJ59" s="56">
        <f>SUM(BJ3:BJ58)</f>
        <v>6160.7</v>
      </c>
      <c r="BK59" s="56">
        <f t="shared" ref="BK59:BM59" si="48">SUM(BK3:BK58)</f>
        <v>5700</v>
      </c>
      <c r="BL59" s="56">
        <f t="shared" si="48"/>
        <v>6355.2</v>
      </c>
      <c r="BM59" s="56">
        <f t="shared" si="48"/>
        <v>6061.9</v>
      </c>
      <c r="BN59" s="56">
        <f t="shared" ref="BN59:BT59" si="49">SUM(BN3:BN58)</f>
        <v>6438.6</v>
      </c>
      <c r="BO59" s="56">
        <f t="shared" si="49"/>
        <v>5971.7999999999993</v>
      </c>
      <c r="BP59" s="56">
        <f t="shared" si="49"/>
        <v>6665.2000000000007</v>
      </c>
      <c r="BQ59" s="56">
        <f t="shared" si="49"/>
        <v>6488.3</v>
      </c>
      <c r="BR59" s="56">
        <f t="shared" si="49"/>
        <v>7322.4</v>
      </c>
      <c r="BS59" s="56">
        <f t="shared" si="49"/>
        <v>5859.7999999999975</v>
      </c>
      <c r="BT59" s="56">
        <f t="shared" si="49"/>
        <v>5499.3999999999987</v>
      </c>
      <c r="BU59" s="56">
        <f>SUM(BU3:BU48)</f>
        <v>5740.5999999999985</v>
      </c>
      <c r="BV59" s="56">
        <f>SUM(BV3:BV50)</f>
        <v>7440.0999999999995</v>
      </c>
      <c r="BW59" s="56">
        <f>SUM(BW3:BW48)</f>
        <v>6805.6</v>
      </c>
      <c r="BX59" s="56">
        <f>SUM(BX3:BX50)</f>
        <v>6739.9999999999973</v>
      </c>
      <c r="BY59" s="56">
        <f>SUM(BY3:BY48)</f>
        <v>6772.9999999999982</v>
      </c>
      <c r="BZ59" s="56">
        <f>SUM(BZ3:BZ50)</f>
        <v>7999.9</v>
      </c>
      <c r="CA59" s="56">
        <f>SUM(CA3:CA30)</f>
        <v>7810.0999999999995</v>
      </c>
      <c r="CB59" s="56">
        <f>SUM(CB3:CB37)</f>
        <v>6487.9000000000015</v>
      </c>
      <c r="CC59" s="56">
        <f t="shared" ref="CC59:CG59" si="50">SUM(CC3:CC30)</f>
        <v>6941.7000000000007</v>
      </c>
      <c r="CD59" s="56">
        <f t="shared" si="50"/>
        <v>7302.4000000000015</v>
      </c>
      <c r="CE59" s="56">
        <f t="shared" si="50"/>
        <v>6959.9999999999991</v>
      </c>
      <c r="CF59" s="56">
        <f t="shared" si="50"/>
        <v>7733.0999999999985</v>
      </c>
      <c r="CG59" s="56">
        <f t="shared" si="50"/>
        <v>9498.6</v>
      </c>
      <c r="CH59" s="56">
        <f>SUM(CH3:CH30)</f>
        <v>9353.4</v>
      </c>
      <c r="CI59" s="56">
        <f t="shared" ref="CI59:CL59" si="51">SUM(CI3:CI30)</f>
        <v>9437.9999999999982</v>
      </c>
      <c r="CJ59" s="56">
        <f t="shared" si="51"/>
        <v>9785.4999999999982</v>
      </c>
      <c r="CK59" s="56">
        <f t="shared" si="51"/>
        <v>10057.499999999998</v>
      </c>
      <c r="CL59" s="56">
        <f t="shared" si="51"/>
        <v>10413.599999999999</v>
      </c>
      <c r="CM59" s="57"/>
      <c r="CN59" s="57"/>
      <c r="CO59" s="57"/>
      <c r="CP59" s="56">
        <v>11629</v>
      </c>
      <c r="CQ59" s="56">
        <f t="shared" ref="CQ59:DB59" si="52">SUM(CQ7:CQ58)</f>
        <v>11077</v>
      </c>
      <c r="CR59" s="56">
        <f t="shared" si="52"/>
        <v>12585</v>
      </c>
      <c r="CS59" s="56">
        <f t="shared" si="52"/>
        <v>13859</v>
      </c>
      <c r="CT59" s="56">
        <f t="shared" si="52"/>
        <v>14650</v>
      </c>
      <c r="CU59" s="56">
        <f t="shared" si="52"/>
        <v>15783.499999999998</v>
      </c>
      <c r="CV59" s="56">
        <f t="shared" si="52"/>
        <v>18492.3</v>
      </c>
      <c r="CW59" s="56">
        <f t="shared" si="52"/>
        <v>19604.942499999997</v>
      </c>
      <c r="CX59" s="56">
        <f t="shared" si="52"/>
        <v>20974.425124999998</v>
      </c>
      <c r="CY59" s="56">
        <f t="shared" si="52"/>
        <v>21893.8</v>
      </c>
      <c r="CZ59" s="56">
        <f t="shared" si="52"/>
        <v>23877.3</v>
      </c>
      <c r="DA59" s="56">
        <f t="shared" si="52"/>
        <v>22001.5</v>
      </c>
      <c r="DB59" s="56">
        <f t="shared" si="52"/>
        <v>23113.100000000002</v>
      </c>
      <c r="DC59" s="56">
        <f>SUM(DC3:DC58)</f>
        <v>19615.599999999999</v>
      </c>
      <c r="DD59" s="56">
        <f>SUM(DD3:DD58)</f>
        <v>19958.699999999997</v>
      </c>
      <c r="DE59" s="56">
        <f>SUM(DE3:DE58)</f>
        <v>21222.100000000002</v>
      </c>
      <c r="DF59" s="56">
        <f>SUM(DF3:DF58)</f>
        <v>19974.100000000002</v>
      </c>
      <c r="DG59" s="56">
        <f>SUM(DG3:DG58)</f>
        <v>21492.899999999998</v>
      </c>
      <c r="DH59" s="56">
        <f>SUM(DH3:DH58)</f>
        <v>22319.4</v>
      </c>
      <c r="DI59" s="56">
        <f>SUM(DI3:DI58)</f>
        <v>24539.899999999998</v>
      </c>
      <c r="DJ59" s="56">
        <f>SUM(DJ3:DJ58)</f>
        <v>28318.499999999996</v>
      </c>
      <c r="DK59" s="56">
        <f>SUM(DK3:DK58)</f>
        <v>28542.100000000006</v>
      </c>
      <c r="DL59" s="56">
        <f>SUM(DL3:DL58)</f>
        <v>33369.300000000003</v>
      </c>
      <c r="DM59" s="56">
        <f>SUM(DM3:DM58)</f>
        <v>41061.25</v>
      </c>
      <c r="DN59" s="56">
        <f>SUM(DN3:DN58)</f>
        <v>34570.767</v>
      </c>
      <c r="DO59" s="56">
        <f>SUM(DO3:DO58)</f>
        <v>37254.771000000001</v>
      </c>
      <c r="DP59" s="56">
        <f>SUM(DP3:DP58)</f>
        <v>38984.452647800004</v>
      </c>
      <c r="DQ59" s="56">
        <f>SUM(DQ3:DQ58)</f>
        <v>42896.479262338005</v>
      </c>
      <c r="DR59" s="56">
        <f>SUM(DR3:DR58)</f>
        <v>45808.948964973373</v>
      </c>
      <c r="DS59" s="56">
        <f>SUM(DS3:DS58)</f>
        <v>35194.625619312654</v>
      </c>
    </row>
    <row r="60" spans="2:123" x14ac:dyDescent="0.15">
      <c r="B60" t="s">
        <v>58</v>
      </c>
      <c r="C60" s="51"/>
      <c r="D60" s="51"/>
      <c r="E60" s="51"/>
      <c r="F60" s="51"/>
      <c r="G60" s="51"/>
      <c r="H60" s="51"/>
      <c r="I60" s="51"/>
      <c r="J60" s="51">
        <v>865.7</v>
      </c>
      <c r="K60" s="51">
        <v>859</v>
      </c>
      <c r="L60" s="51">
        <v>871.3</v>
      </c>
      <c r="M60" s="51">
        <v>845.7</v>
      </c>
      <c r="N60" s="51">
        <v>898.2</v>
      </c>
      <c r="O60" s="51">
        <v>806.5</v>
      </c>
      <c r="P60" s="47">
        <v>861</v>
      </c>
      <c r="Q60" s="51">
        <v>906.2</v>
      </c>
      <c r="R60" s="51">
        <v>1066.7</v>
      </c>
      <c r="S60" s="51">
        <v>922.5</v>
      </c>
      <c r="T60" s="51">
        <v>998.9</v>
      </c>
      <c r="U60" s="51">
        <v>1054.5999999999999</v>
      </c>
      <c r="V60" s="51">
        <v>1272.8</v>
      </c>
      <c r="W60" s="51">
        <v>1111.3</v>
      </c>
      <c r="X60" s="51">
        <v>1200.9000000000001</v>
      </c>
      <c r="Y60" s="51">
        <v>1155.2</v>
      </c>
      <c r="Z60" s="51">
        <v>899.6</v>
      </c>
      <c r="AA60" s="51">
        <v>816.4</v>
      </c>
      <c r="AB60" s="51">
        <v>947.4</v>
      </c>
      <c r="AC60" s="51">
        <v>1051.9000000000001</v>
      </c>
      <c r="AD60" s="51">
        <v>1431.3</v>
      </c>
      <c r="AE60" s="51">
        <v>1122.5</v>
      </c>
      <c r="AF60" s="51">
        <v>1023.9</v>
      </c>
      <c r="AG60" s="51">
        <v>987.6</v>
      </c>
      <c r="AH60" s="51">
        <v>1232.2</v>
      </c>
      <c r="AI60" s="51">
        <v>1180.0999999999999</v>
      </c>
      <c r="AJ60" s="51">
        <v>1228</v>
      </c>
      <c r="AK60" s="51">
        <v>1338.1</v>
      </c>
      <c r="AL60" s="51">
        <v>1321.7</v>
      </c>
      <c r="AM60" s="51">
        <v>1197.9000000000001</v>
      </c>
      <c r="AN60" s="51">
        <v>1146.7</v>
      </c>
      <c r="AO60" s="51">
        <v>1203.5999999999999</v>
      </c>
      <c r="AP60" s="51">
        <v>1248.3</v>
      </c>
      <c r="AQ60" s="51">
        <v>1158.3</v>
      </c>
      <c r="AR60" s="51">
        <v>1165.2</v>
      </c>
      <c r="AS60" s="51">
        <v>1198.0999999999999</v>
      </c>
      <c r="AT60" s="51">
        <v>1386.5</v>
      </c>
      <c r="AU60" s="51">
        <v>1222.7</v>
      </c>
      <c r="AV60" s="51">
        <v>1189.7</v>
      </c>
      <c r="AW60" s="51">
        <v>1267</v>
      </c>
      <c r="AX60" s="51">
        <v>1253.0999999999999</v>
      </c>
      <c r="AY60" s="51">
        <v>1192.7</v>
      </c>
      <c r="AZ60" s="51">
        <v>1033.9000000000001</v>
      </c>
      <c r="BA60" s="51">
        <v>1236.9000000000001</v>
      </c>
      <c r="BB60" s="51">
        <v>1389.2</v>
      </c>
      <c r="BC60" s="51">
        <v>1323</v>
      </c>
      <c r="BD60" s="51">
        <v>1298.4000000000001</v>
      </c>
      <c r="BE60" s="51">
        <v>1400.9</v>
      </c>
      <c r="BF60" s="51">
        <v>1466</v>
      </c>
      <c r="BG60" s="51">
        <v>1347.9</v>
      </c>
      <c r="BH60" s="51">
        <v>1571.7</v>
      </c>
      <c r="BI60" s="51">
        <v>1586.3</v>
      </c>
      <c r="BJ60" s="51">
        <v>1644.9</v>
      </c>
      <c r="BK60" s="51">
        <v>1571.3</v>
      </c>
      <c r="BL60" s="51">
        <v>1702.7</v>
      </c>
      <c r="BM60" s="51">
        <v>1562.3</v>
      </c>
      <c r="BN60" s="51">
        <v>1593.7</v>
      </c>
      <c r="BO60" s="51">
        <v>1010.5</v>
      </c>
      <c r="BP60" s="51">
        <v>1073.3</v>
      </c>
      <c r="BQ60" s="51">
        <v>1118.4000000000001</v>
      </c>
      <c r="BR60" s="51">
        <v>1229.4000000000001</v>
      </c>
      <c r="BS60" s="51">
        <v>1156.5</v>
      </c>
      <c r="BT60" s="51">
        <v>1119.2</v>
      </c>
      <c r="BU60" s="51">
        <v>1199.9000000000001</v>
      </c>
      <c r="BV60" s="51">
        <v>1719.8</v>
      </c>
      <c r="BW60" s="51">
        <v>1671.4</v>
      </c>
      <c r="BX60" s="51">
        <v>1398</v>
      </c>
      <c r="BY60" s="51">
        <v>1421.8</v>
      </c>
      <c r="BZ60" s="51">
        <v>2050.1999999999998</v>
      </c>
      <c r="CA60" s="51">
        <v>1867.5</v>
      </c>
      <c r="CB60" s="51">
        <v>1309.2</v>
      </c>
      <c r="CC60" s="51">
        <f t="shared" ref="CC60:CH60" si="53">+CC59-CC61</f>
        <v>1457.7569999999996</v>
      </c>
      <c r="CD60" s="51">
        <f>1548.1-124.1</f>
        <v>1424</v>
      </c>
      <c r="CE60" s="51">
        <f>1626.7-125.8</f>
        <v>1500.9</v>
      </c>
      <c r="CF60" s="51">
        <f>1807.4-126.4</f>
        <v>1681</v>
      </c>
      <c r="CG60" s="51">
        <f t="shared" si="53"/>
        <v>1994.7060000000001</v>
      </c>
      <c r="CH60" s="51">
        <f>1788-129</f>
        <v>1659</v>
      </c>
      <c r="CI60" s="51">
        <f>+CI59-CI61</f>
        <v>1793.2199999999993</v>
      </c>
      <c r="CJ60" s="51">
        <f t="shared" ref="CJ60:CL60" si="54">+CJ59-CJ61</f>
        <v>1859.244999999999</v>
      </c>
      <c r="CK60" s="51">
        <f t="shared" si="54"/>
        <v>1910.9249999999993</v>
      </c>
      <c r="CL60" s="51">
        <f t="shared" si="54"/>
        <v>1978.5839999999989</v>
      </c>
      <c r="CP60" s="51">
        <v>2160</v>
      </c>
      <c r="CQ60" s="51">
        <v>2177</v>
      </c>
      <c r="CR60" s="51">
        <v>2675</v>
      </c>
      <c r="CS60" s="51">
        <v>3224</v>
      </c>
      <c r="CT60" s="51">
        <v>3474</v>
      </c>
      <c r="CU60" s="51">
        <v>3501</v>
      </c>
      <c r="CV60" s="51">
        <f>CV59-CV61</f>
        <v>4068.3059999999987</v>
      </c>
      <c r="CW60" s="51">
        <f>CW59-CW61</f>
        <v>-980.75749999999971</v>
      </c>
      <c r="CX60" s="51">
        <f>CX59-CX61</f>
        <v>3720.1251249999987</v>
      </c>
      <c r="CY60" s="51">
        <f>SUM(AE60:AH60)</f>
        <v>4366.2</v>
      </c>
      <c r="CZ60" s="51">
        <f>SUM(AI60:AL60)</f>
        <v>5067.8999999999996</v>
      </c>
      <c r="DA60" s="51">
        <f>SUM(AM60:AP60)</f>
        <v>4796.5</v>
      </c>
      <c r="DB60" s="51">
        <f t="shared" ref="DB60:DC60" si="55">DB59-DB61</f>
        <v>23113.100000000002</v>
      </c>
      <c r="DC60" s="51">
        <f t="shared" si="55"/>
        <v>19615.599999999999</v>
      </c>
      <c r="DD60" s="51"/>
      <c r="DE60" s="51"/>
      <c r="DF60" s="51">
        <v>4447.7</v>
      </c>
      <c r="DG60" s="51">
        <v>4681.7</v>
      </c>
      <c r="DH60" s="51">
        <v>4721.2</v>
      </c>
      <c r="DI60" s="49">
        <f t="shared" ref="DI60" si="56">SUM(BS60:BV60)</f>
        <v>5195.3999999999996</v>
      </c>
      <c r="DJ60" s="49">
        <f t="shared" ref="DJ60" si="57">SUM(BW60:BZ60)</f>
        <v>6541.4</v>
      </c>
      <c r="DK60" s="49">
        <f>SUM(CA60:CD60)</f>
        <v>6058.4569999999994</v>
      </c>
      <c r="DL60" s="49">
        <f>SUM(CE60:CH60)</f>
        <v>6835.6059999999998</v>
      </c>
      <c r="DM60" s="49">
        <f>DM59-DM61</f>
        <v>8622.8624999999993</v>
      </c>
      <c r="DN60" s="49">
        <f t="shared" ref="DN60:DS60" si="58">DN59-DN61</f>
        <v>7259.861069999999</v>
      </c>
      <c r="DO60" s="49">
        <f t="shared" si="58"/>
        <v>7823.501909999999</v>
      </c>
      <c r="DP60" s="49">
        <f t="shared" si="58"/>
        <v>8186.735056038</v>
      </c>
      <c r="DQ60" s="49">
        <f t="shared" si="58"/>
        <v>9008.2606450909807</v>
      </c>
      <c r="DR60" s="49">
        <f t="shared" si="58"/>
        <v>9619.8792826444042</v>
      </c>
      <c r="DS60" s="49">
        <f t="shared" si="58"/>
        <v>7390.8713800556543</v>
      </c>
    </row>
    <row r="61" spans="2:123" x14ac:dyDescent="0.15">
      <c r="B61" t="s">
        <v>123</v>
      </c>
      <c r="C61" s="51"/>
      <c r="D61" s="51"/>
      <c r="E61" s="51"/>
      <c r="F61" s="51"/>
      <c r="G61" s="51"/>
      <c r="H61" s="51"/>
      <c r="I61" s="51"/>
      <c r="J61" s="51">
        <f t="shared" ref="J61:R61" si="59">J59-J60</f>
        <v>2455.1000000000004</v>
      </c>
      <c r="K61" s="51">
        <f t="shared" si="59"/>
        <v>2350.4366336633661</v>
      </c>
      <c r="L61" s="51">
        <f t="shared" si="59"/>
        <v>2294.3000000000002</v>
      </c>
      <c r="M61" s="51">
        <f t="shared" si="59"/>
        <v>2318.4333333333334</v>
      </c>
      <c r="N61" s="51">
        <f t="shared" si="59"/>
        <v>2557.1000000000004</v>
      </c>
      <c r="O61" s="51">
        <f t="shared" si="59"/>
        <v>2421.2000000000003</v>
      </c>
      <c r="P61" s="51">
        <f t="shared" si="59"/>
        <v>2562</v>
      </c>
      <c r="Q61" s="51">
        <f t="shared" si="59"/>
        <v>2793.5</v>
      </c>
      <c r="R61" s="51">
        <f t="shared" si="59"/>
        <v>4613.9000000000005</v>
      </c>
      <c r="S61" s="51">
        <f t="shared" ref="S61:AA61" si="60">S59-S60</f>
        <v>3313.5</v>
      </c>
      <c r="T61" s="51">
        <f t="shared" si="60"/>
        <v>3194.9</v>
      </c>
      <c r="U61" s="51">
        <f t="shared" si="60"/>
        <v>4844.6999999999989</v>
      </c>
      <c r="V61" s="51">
        <f t="shared" si="60"/>
        <v>5392.9000000000005</v>
      </c>
      <c r="W61" s="51">
        <f t="shared" si="60"/>
        <v>5130.5000000000009</v>
      </c>
      <c r="X61" s="51">
        <f t="shared" si="60"/>
        <v>5502.5999999999985</v>
      </c>
      <c r="Y61" s="51">
        <f t="shared" si="60"/>
        <v>5641.7000000000007</v>
      </c>
      <c r="Z61" s="51">
        <f t="shared" si="60"/>
        <v>4310.8999999999996</v>
      </c>
      <c r="AA61" s="51">
        <f t="shared" si="60"/>
        <v>4075.4</v>
      </c>
      <c r="AB61" s="51">
        <f t="shared" ref="AB61:AG61" si="61">AB59-AB60</f>
        <v>4166.1000000000004</v>
      </c>
      <c r="AC61" s="51">
        <f t="shared" si="61"/>
        <v>4510.1000000000004</v>
      </c>
      <c r="AD61" s="51">
        <f t="shared" si="61"/>
        <v>4502.7</v>
      </c>
      <c r="AE61" s="51">
        <f t="shared" si="61"/>
        <v>4363</v>
      </c>
      <c r="AF61" s="51">
        <f t="shared" si="61"/>
        <v>4724.8</v>
      </c>
      <c r="AG61" s="51">
        <f t="shared" si="61"/>
        <v>4667.2</v>
      </c>
      <c r="AH61" s="51">
        <f>+AH59-AH60</f>
        <v>4955.0000000000009</v>
      </c>
      <c r="AI61" s="51">
        <f>+AI59-AI60</f>
        <v>4659.1000000000004</v>
      </c>
      <c r="AJ61" s="51">
        <f>AJ59-AJ60</f>
        <v>5024.7999999999984</v>
      </c>
      <c r="AK61" s="51">
        <f>AK59-AK60</f>
        <v>4810</v>
      </c>
      <c r="AL61" s="51">
        <f>+AL59-AL60</f>
        <v>4725.6000000000004</v>
      </c>
      <c r="AM61" s="51">
        <f>+AM59-AM60</f>
        <v>4404.5</v>
      </c>
      <c r="AN61" s="51">
        <f>+AN59-AN60</f>
        <v>4453.7999999999993</v>
      </c>
      <c r="AO61" s="51">
        <f>+AO59-AO60</f>
        <v>4238.8999999999996</v>
      </c>
      <c r="AP61" s="51">
        <f>+AP59-AP60</f>
        <v>4709</v>
      </c>
      <c r="AQ61" s="51">
        <f t="shared" ref="AQ61:AT61" si="62">+AQ59-AQ60</f>
        <v>4443.7</v>
      </c>
      <c r="AR61" s="51">
        <f t="shared" si="62"/>
        <v>4764.5</v>
      </c>
      <c r="AS61" s="51">
        <f t="shared" si="62"/>
        <v>4574.5</v>
      </c>
      <c r="AT61" s="51">
        <f t="shared" si="62"/>
        <v>4422.3</v>
      </c>
      <c r="AU61" s="51">
        <f t="shared" ref="AU61" si="63">AU59-AU60</f>
        <v>3460.4000000000005</v>
      </c>
      <c r="AV61" s="51">
        <f t="shared" ref="AV61:AW61" si="64">AV59-AV60</f>
        <v>3745.9000000000005</v>
      </c>
      <c r="AW61" s="51">
        <f t="shared" si="64"/>
        <v>3608.6000000000004</v>
      </c>
      <c r="AX61" s="51">
        <f t="shared" ref="AX61" si="65">AX59-AX60</f>
        <v>3868.2000000000003</v>
      </c>
      <c r="AY61" s="51">
        <f t="shared" ref="AY61:AZ61" si="66">AY59-AY60</f>
        <v>3452</v>
      </c>
      <c r="AZ61" s="51">
        <f t="shared" si="66"/>
        <v>3944.7999999999997</v>
      </c>
      <c r="BA61" s="51">
        <f t="shared" ref="BA61:BC61" si="67">BA59-BA60</f>
        <v>3722.7999999999997</v>
      </c>
      <c r="BB61" s="51">
        <f t="shared" si="67"/>
        <v>3986.4000000000005</v>
      </c>
      <c r="BC61" s="51">
        <f t="shared" si="67"/>
        <v>3542.1000000000004</v>
      </c>
      <c r="BD61" s="51">
        <f t="shared" ref="BD61:BE61" si="68">BD59-BD60</f>
        <v>4106.3999999999996</v>
      </c>
      <c r="BE61" s="51">
        <f t="shared" si="68"/>
        <v>3790.7999999999997</v>
      </c>
      <c r="BF61" s="51">
        <f t="shared" ref="BF61:BG61" si="69">BF59-BF60</f>
        <v>4294.5</v>
      </c>
      <c r="BG61" s="51">
        <f t="shared" si="69"/>
        <v>3880.4</v>
      </c>
      <c r="BH61" s="51">
        <f t="shared" ref="BH61:BJ61" si="70">BH59-BH60</f>
        <v>4252.6000000000004</v>
      </c>
      <c r="BI61" s="51">
        <f t="shared" si="70"/>
        <v>4071.7</v>
      </c>
      <c r="BJ61" s="51">
        <f t="shared" si="70"/>
        <v>4515.7999999999993</v>
      </c>
      <c r="BK61" s="51">
        <f t="shared" ref="BK61:BL61" si="71">BK59-BK60</f>
        <v>4128.7</v>
      </c>
      <c r="BL61" s="51">
        <f t="shared" si="71"/>
        <v>4652.5</v>
      </c>
      <c r="BM61" s="51">
        <f t="shared" ref="BM61:BN61" si="72">BM59-BM60</f>
        <v>4499.5999999999995</v>
      </c>
      <c r="BN61" s="51">
        <f t="shared" si="72"/>
        <v>4844.9000000000005</v>
      </c>
      <c r="BO61" s="51">
        <f t="shared" ref="BO61:CA61" si="73">BO59-BO60</f>
        <v>4961.2999999999993</v>
      </c>
      <c r="BP61" s="51">
        <f t="shared" si="73"/>
        <v>5591.9000000000005</v>
      </c>
      <c r="BQ61" s="51">
        <f t="shared" si="73"/>
        <v>5369.9</v>
      </c>
      <c r="BR61" s="51">
        <f t="shared" si="73"/>
        <v>6093</v>
      </c>
      <c r="BS61" s="51">
        <f t="shared" si="73"/>
        <v>4703.2999999999975</v>
      </c>
      <c r="BT61" s="51">
        <f t="shared" si="73"/>
        <v>4380.1999999999989</v>
      </c>
      <c r="BU61" s="51">
        <f t="shared" si="73"/>
        <v>4540.6999999999989</v>
      </c>
      <c r="BV61" s="51">
        <f t="shared" si="73"/>
        <v>5720.2999999999993</v>
      </c>
      <c r="BW61" s="51">
        <f t="shared" si="73"/>
        <v>5134.2000000000007</v>
      </c>
      <c r="BX61" s="51">
        <f t="shared" si="73"/>
        <v>5341.9999999999973</v>
      </c>
      <c r="BY61" s="51">
        <f t="shared" si="73"/>
        <v>5351.199999999998</v>
      </c>
      <c r="BZ61" s="51">
        <f t="shared" si="73"/>
        <v>5949.7</v>
      </c>
      <c r="CA61" s="51">
        <f t="shared" si="73"/>
        <v>5942.5999999999995</v>
      </c>
      <c r="CB61" s="51">
        <f>CB59-CB60</f>
        <v>5178.7000000000016</v>
      </c>
      <c r="CC61" s="51">
        <f t="shared" ref="CC61:CH61" si="74">+CC59*0.79</f>
        <v>5483.9430000000011</v>
      </c>
      <c r="CD61" s="51">
        <f>+CD59-CD60</f>
        <v>5878.4000000000015</v>
      </c>
      <c r="CE61" s="51">
        <f>CE59-CE60</f>
        <v>5459.0999999999985</v>
      </c>
      <c r="CF61" s="51">
        <f>+CF59-CF60</f>
        <v>6052.0999999999985</v>
      </c>
      <c r="CG61" s="51">
        <f t="shared" si="74"/>
        <v>7503.8940000000002</v>
      </c>
      <c r="CH61" s="51">
        <f>+CH59-CH60</f>
        <v>7694.4</v>
      </c>
      <c r="CI61" s="51">
        <f>+CI59*0.81</f>
        <v>7644.7799999999988</v>
      </c>
      <c r="CJ61" s="51">
        <f t="shared" ref="CJ61:CL61" si="75">+CJ59*0.81</f>
        <v>7926.2549999999992</v>
      </c>
      <c r="CK61" s="51">
        <f t="shared" si="75"/>
        <v>8146.5749999999989</v>
      </c>
      <c r="CL61" s="51">
        <f t="shared" si="75"/>
        <v>8435.0159999999996</v>
      </c>
      <c r="CP61" s="51">
        <f t="shared" ref="CP61:CU61" si="76">CP59-CP60</f>
        <v>9469</v>
      </c>
      <c r="CQ61" s="51">
        <f t="shared" si="76"/>
        <v>8900</v>
      </c>
      <c r="CR61" s="51">
        <f t="shared" si="76"/>
        <v>9910</v>
      </c>
      <c r="CS61" s="51">
        <f t="shared" si="76"/>
        <v>10635</v>
      </c>
      <c r="CT61" s="51">
        <f t="shared" si="76"/>
        <v>11176</v>
      </c>
      <c r="CU61" s="51">
        <f t="shared" si="76"/>
        <v>12282.499999999998</v>
      </c>
      <c r="CV61" s="51">
        <f>CV59*CV80</f>
        <v>14423.994000000001</v>
      </c>
      <c r="CW61" s="51">
        <f>SUM(W61:Z61)</f>
        <v>20585.699999999997</v>
      </c>
      <c r="CX61" s="51">
        <f>SUM(AA61:AD61)</f>
        <v>17254.3</v>
      </c>
      <c r="CY61" s="51">
        <f>CY59-CY60</f>
        <v>17527.599999999999</v>
      </c>
      <c r="CZ61" s="51">
        <f>CZ59-CZ60</f>
        <v>18809.400000000001</v>
      </c>
      <c r="DA61" s="51">
        <f>DA59-DA60</f>
        <v>17205</v>
      </c>
      <c r="DB61" s="51">
        <f t="shared" ref="DB61:DC61" si="77">DB59*DB80</f>
        <v>0</v>
      </c>
      <c r="DC61" s="51">
        <f t="shared" si="77"/>
        <v>0</v>
      </c>
      <c r="DD61" s="51"/>
      <c r="DE61" s="51"/>
      <c r="DF61" s="51">
        <f t="shared" ref="DF61:DG61" si="78">+DF59-DF60</f>
        <v>15526.400000000001</v>
      </c>
      <c r="DG61" s="51">
        <f t="shared" si="78"/>
        <v>16811.199999999997</v>
      </c>
      <c r="DH61" s="51">
        <f>+DH59-DH60</f>
        <v>17598.2</v>
      </c>
      <c r="DI61" s="51">
        <f>+DI59-DI60</f>
        <v>19344.5</v>
      </c>
      <c r="DJ61" s="51">
        <f t="shared" ref="DJ61" si="79">+DJ59-DJ60</f>
        <v>21777.1</v>
      </c>
      <c r="DK61" s="51">
        <f>+DK59-DK60</f>
        <v>22483.643000000007</v>
      </c>
      <c r="DL61" s="51">
        <f>+DL59-DL60</f>
        <v>26533.694000000003</v>
      </c>
      <c r="DM61" s="51">
        <f>DM59*0.79</f>
        <v>32438.387500000001</v>
      </c>
      <c r="DN61" s="51">
        <f t="shared" ref="DN61:DS61" si="80">DN59*0.79</f>
        <v>27310.905930000001</v>
      </c>
      <c r="DO61" s="51">
        <f t="shared" si="80"/>
        <v>29431.269090000002</v>
      </c>
      <c r="DP61" s="51">
        <f t="shared" si="80"/>
        <v>30797.717591762004</v>
      </c>
      <c r="DQ61" s="51">
        <f t="shared" si="80"/>
        <v>33888.218617247025</v>
      </c>
      <c r="DR61" s="51">
        <f t="shared" si="80"/>
        <v>36189.069682328969</v>
      </c>
      <c r="DS61" s="51">
        <f t="shared" si="80"/>
        <v>27803.754239256999</v>
      </c>
    </row>
    <row r="62" spans="2:123" x14ac:dyDescent="0.15">
      <c r="B62" t="s">
        <v>59</v>
      </c>
      <c r="C62" s="51"/>
      <c r="D62" s="51"/>
      <c r="E62" s="51"/>
      <c r="F62" s="51"/>
      <c r="G62" s="51"/>
      <c r="H62" s="51"/>
      <c r="I62" s="51"/>
      <c r="J62" s="51">
        <v>1098</v>
      </c>
      <c r="K62" s="51">
        <v>1090</v>
      </c>
      <c r="L62" s="51">
        <v>1146.0999999999999</v>
      </c>
      <c r="M62" s="51">
        <v>1070.9000000000001</v>
      </c>
      <c r="N62" s="51">
        <v>1190</v>
      </c>
      <c r="O62" s="51">
        <v>1143</v>
      </c>
      <c r="P62" s="51">
        <v>1238</v>
      </c>
      <c r="Q62" s="51">
        <v>1302.3</v>
      </c>
      <c r="R62" s="51">
        <v>1422.1</v>
      </c>
      <c r="S62" s="51">
        <v>1336.8</v>
      </c>
      <c r="T62" s="51">
        <v>1524.7</v>
      </c>
      <c r="U62" s="51">
        <v>1477.8</v>
      </c>
      <c r="V62" s="51">
        <v>1755.8</v>
      </c>
      <c r="W62" s="51">
        <v>1550.5</v>
      </c>
      <c r="X62" s="51">
        <v>1700.1</v>
      </c>
      <c r="Y62" s="51">
        <v>1649.2</v>
      </c>
      <c r="Z62" s="51">
        <v>1718.6</v>
      </c>
      <c r="AA62" s="51">
        <v>1529.2</v>
      </c>
      <c r="AB62" s="51">
        <v>1708.2</v>
      </c>
      <c r="AC62" s="51">
        <v>1701.8</v>
      </c>
      <c r="AD62" s="51">
        <v>1953.3</v>
      </c>
      <c r="AE62" s="51">
        <v>1614.4</v>
      </c>
      <c r="AF62" s="51">
        <v>1755.4</v>
      </c>
      <c r="AG62" s="51">
        <v>1694.9</v>
      </c>
      <c r="AH62" s="51">
        <v>1988.7</v>
      </c>
      <c r="AI62" s="51">
        <v>1785.7</v>
      </c>
      <c r="AJ62" s="51">
        <v>2043</v>
      </c>
      <c r="AK62" s="51">
        <v>1917.8</v>
      </c>
      <c r="AL62" s="51">
        <v>2133.4</v>
      </c>
      <c r="AM62" s="51">
        <v>1847.5</v>
      </c>
      <c r="AN62" s="51">
        <v>1931.1</v>
      </c>
      <c r="AO62" s="51">
        <v>1757.4</v>
      </c>
      <c r="AP62" s="51">
        <v>1977.5</v>
      </c>
      <c r="AQ62" s="51">
        <v>1652</v>
      </c>
      <c r="AR62" s="51">
        <v>1867.6</v>
      </c>
      <c r="AS62" s="51">
        <v>1652.4</v>
      </c>
      <c r="AT62" s="51">
        <v>1953.6</v>
      </c>
      <c r="AU62" s="51">
        <v>1484.9</v>
      </c>
      <c r="AV62" s="51">
        <v>1663.9</v>
      </c>
      <c r="AW62" s="51">
        <v>1672.1</v>
      </c>
      <c r="AX62" s="51">
        <v>1799.9</v>
      </c>
      <c r="AY62" s="51">
        <v>1523.5</v>
      </c>
      <c r="AZ62" s="51">
        <v>1635.4</v>
      </c>
      <c r="BA62" s="51">
        <v>1575.7</v>
      </c>
      <c r="BB62" s="51">
        <v>1798.4</v>
      </c>
      <c r="BC62" s="51">
        <v>1473.9</v>
      </c>
      <c r="BD62" s="51">
        <v>1622.6</v>
      </c>
      <c r="BE62" s="51">
        <v>1565.4</v>
      </c>
      <c r="BF62" s="51">
        <v>1790.1</v>
      </c>
      <c r="BG62" s="51">
        <v>1567.7</v>
      </c>
      <c r="BH62" s="51">
        <v>1730.4</v>
      </c>
      <c r="BI62" s="51">
        <v>1578.5</v>
      </c>
      <c r="BJ62" s="51">
        <v>1803.5</v>
      </c>
      <c r="BK62" s="51">
        <v>1500</v>
      </c>
      <c r="BL62" s="51">
        <v>1653.7</v>
      </c>
      <c r="BM62" s="51">
        <v>1616.6</v>
      </c>
      <c r="BN62" s="51">
        <v>1861.5</v>
      </c>
      <c r="BO62" s="51">
        <v>1517.1</v>
      </c>
      <c r="BP62" s="51">
        <v>1586.3</v>
      </c>
      <c r="BQ62" s="51">
        <v>1412.3</v>
      </c>
      <c r="BR62" s="51">
        <v>1698.1</v>
      </c>
      <c r="BS62" s="51">
        <v>1549.6</v>
      </c>
      <c r="BT62" s="51">
        <v>1448.6</v>
      </c>
      <c r="BU62" s="51">
        <v>1569.1</v>
      </c>
      <c r="BV62" s="51">
        <v>1553.9</v>
      </c>
      <c r="BW62" s="51">
        <v>1576</v>
      </c>
      <c r="BX62" s="51">
        <v>1685.7</v>
      </c>
      <c r="BY62" s="51">
        <v>1577.9</v>
      </c>
      <c r="BZ62" s="51">
        <v>1592</v>
      </c>
      <c r="CA62" s="51">
        <v>1557.9</v>
      </c>
      <c r="CB62" s="51">
        <v>1781.9</v>
      </c>
      <c r="CC62" s="51">
        <f t="shared" ref="CC62:CC63" si="81">+BY62</f>
        <v>1577.9</v>
      </c>
      <c r="CD62" s="51">
        <f t="shared" ref="CD62:CD63" si="82">+BZ62</f>
        <v>1592</v>
      </c>
      <c r="CE62" s="51">
        <v>1749.2</v>
      </c>
      <c r="CF62" s="51">
        <v>1925.4</v>
      </c>
      <c r="CG62" s="51">
        <f t="shared" ref="CG62:CG63" si="83">+CC62</f>
        <v>1577.9</v>
      </c>
      <c r="CH62" s="51">
        <v>1924.6</v>
      </c>
      <c r="CI62" s="51">
        <f t="shared" ref="CI62:CI63" si="84">+CE62*1.1</f>
        <v>1924.1200000000001</v>
      </c>
      <c r="CJ62" s="51">
        <f t="shared" ref="CJ62:CJ63" si="85">+CF62*1.1</f>
        <v>2117.94</v>
      </c>
      <c r="CK62" s="51">
        <f t="shared" ref="CK62:CK63" si="86">+CG62*1.1</f>
        <v>1735.6900000000003</v>
      </c>
      <c r="CL62" s="51">
        <f t="shared" ref="CL62:CL63" si="87">+CH62*1.1</f>
        <v>2117.06</v>
      </c>
      <c r="CP62" s="51">
        <v>3417</v>
      </c>
      <c r="CQ62" s="51">
        <v>3424</v>
      </c>
      <c r="CR62" s="51">
        <v>4055</v>
      </c>
      <c r="CS62" s="51">
        <v>4284</v>
      </c>
      <c r="CT62" s="51">
        <v>4497</v>
      </c>
      <c r="CU62" s="51">
        <v>4752</v>
      </c>
      <c r="CV62" s="51">
        <f>CU62*1.03</f>
        <v>4894.5600000000004</v>
      </c>
      <c r="CW62" s="51">
        <f>SUM(W62:Z62)</f>
        <v>6618.4</v>
      </c>
      <c r="CX62" s="51">
        <f>SUM(AA62:AD62)</f>
        <v>6892.5</v>
      </c>
      <c r="CY62" s="51">
        <f>SUM(AE62:AH62)</f>
        <v>7053.4000000000005</v>
      </c>
      <c r="CZ62" s="51">
        <f t="shared" ref="CZ62:CZ63" si="88">SUM(AI62:AL62)</f>
        <v>7879.9</v>
      </c>
      <c r="DA62" s="51">
        <f t="shared" ref="DA62" si="89">SUM(AM62:AP62)</f>
        <v>7513.5</v>
      </c>
      <c r="DB62" s="51">
        <f>DA62*0.95</f>
        <v>7137.8249999999998</v>
      </c>
      <c r="DC62" s="51">
        <f>DB62*0.8</f>
        <v>5710.26</v>
      </c>
      <c r="DD62" s="51"/>
      <c r="DE62" s="51"/>
      <c r="DF62" s="51">
        <v>5982.4</v>
      </c>
      <c r="DG62" s="51">
        <v>5975.1</v>
      </c>
      <c r="DH62" s="51">
        <v>6213.8</v>
      </c>
      <c r="DI62" s="49">
        <f t="shared" ref="DI62:DI63" si="90">SUM(BS62:BV62)</f>
        <v>6121.1999999999989</v>
      </c>
      <c r="DJ62" s="49">
        <f t="shared" ref="DJ62:DJ63" si="91">SUM(BW62:BZ62)</f>
        <v>6431.6</v>
      </c>
      <c r="DK62" s="49">
        <f t="shared" ref="DK62:DK63" si="92">SUM(CA62:CD62)</f>
        <v>6509.7000000000007</v>
      </c>
      <c r="DL62" s="49">
        <f t="shared" ref="DL62:DL63" si="93">SUM(CE62:CH62)</f>
        <v>7177.1</v>
      </c>
      <c r="DM62" s="49">
        <f>+DM59*0.25</f>
        <v>10265.3125</v>
      </c>
      <c r="DN62" s="49">
        <f t="shared" ref="DN62:DS62" si="94">+DN59*0.25</f>
        <v>8642.69175</v>
      </c>
      <c r="DO62" s="49">
        <f t="shared" si="94"/>
        <v>9313.6927500000002</v>
      </c>
      <c r="DP62" s="49">
        <f t="shared" si="94"/>
        <v>9746.1131619500011</v>
      </c>
      <c r="DQ62" s="49">
        <f t="shared" si="94"/>
        <v>10724.119815584501</v>
      </c>
      <c r="DR62" s="49">
        <f t="shared" si="94"/>
        <v>11452.237241243343</v>
      </c>
      <c r="DS62" s="49">
        <f t="shared" si="94"/>
        <v>8798.6564048281634</v>
      </c>
    </row>
    <row r="63" spans="2:123" x14ac:dyDescent="0.15">
      <c r="B63" t="s">
        <v>60</v>
      </c>
      <c r="C63" s="51"/>
      <c r="D63" s="51"/>
      <c r="E63" s="51"/>
      <c r="F63" s="51"/>
      <c r="G63" s="51"/>
      <c r="H63" s="51"/>
      <c r="I63" s="51"/>
      <c r="J63" s="51">
        <v>706</v>
      </c>
      <c r="K63" s="51">
        <v>702</v>
      </c>
      <c r="L63" s="51">
        <v>762.4</v>
      </c>
      <c r="M63" s="51">
        <v>751</v>
      </c>
      <c r="N63" s="51">
        <v>810</v>
      </c>
      <c r="O63" s="51">
        <v>741</v>
      </c>
      <c r="P63" s="51">
        <v>775</v>
      </c>
      <c r="Q63" s="51">
        <v>788.8</v>
      </c>
      <c r="R63" s="51">
        <v>890</v>
      </c>
      <c r="S63" s="51">
        <v>834.2</v>
      </c>
      <c r="T63" s="51">
        <v>854.4</v>
      </c>
      <c r="U63" s="51">
        <v>844.5</v>
      </c>
      <c r="V63" s="51">
        <v>953.6</v>
      </c>
      <c r="W63" s="51">
        <v>877.1</v>
      </c>
      <c r="X63" s="51">
        <v>951.5</v>
      </c>
      <c r="Y63" s="51">
        <v>953</v>
      </c>
      <c r="Z63" s="51">
        <v>1036.0999999999999</v>
      </c>
      <c r="AA63" s="51">
        <v>947.3</v>
      </c>
      <c r="AB63" s="51">
        <v>1040.4000000000001</v>
      </c>
      <c r="AC63" s="51">
        <v>1122.0999999999999</v>
      </c>
      <c r="AD63" s="51">
        <v>1216.7</v>
      </c>
      <c r="AE63" s="51">
        <v>1039.0999999999999</v>
      </c>
      <c r="AF63" s="51">
        <v>1187.2</v>
      </c>
      <c r="AG63" s="51">
        <v>1219.8</v>
      </c>
      <c r="AH63" s="51">
        <v>1438.1</v>
      </c>
      <c r="AI63" s="51">
        <v>1124</v>
      </c>
      <c r="AJ63" s="51">
        <v>1260.5999999999999</v>
      </c>
      <c r="AK63" s="51">
        <v>1280.9000000000001</v>
      </c>
      <c r="AL63" s="51">
        <v>1355.3</v>
      </c>
      <c r="AM63" s="51">
        <v>1151.5</v>
      </c>
      <c r="AN63" s="51">
        <v>1320.7</v>
      </c>
      <c r="AO63" s="51">
        <v>1342.8</v>
      </c>
      <c r="AP63" s="51">
        <v>1463.1</v>
      </c>
      <c r="AQ63" s="51">
        <v>1348.1</v>
      </c>
      <c r="AR63" s="51">
        <v>1330.4</v>
      </c>
      <c r="AS63" s="51">
        <v>1377.4</v>
      </c>
      <c r="AT63" s="51">
        <v>1475.4</v>
      </c>
      <c r="AU63" s="51">
        <v>1109.3</v>
      </c>
      <c r="AV63" s="51">
        <v>1195.4000000000001</v>
      </c>
      <c r="AW63" s="51">
        <v>1243.2</v>
      </c>
      <c r="AX63" s="51">
        <v>1185.7</v>
      </c>
      <c r="AY63" s="51">
        <v>1039.3</v>
      </c>
      <c r="AZ63" s="51">
        <v>1169.5</v>
      </c>
      <c r="BA63" s="51">
        <v>1143.4000000000001</v>
      </c>
      <c r="BB63" s="51">
        <v>1444.2</v>
      </c>
      <c r="BC63" s="51">
        <v>1221</v>
      </c>
      <c r="BD63" s="51">
        <v>1335.9</v>
      </c>
      <c r="BE63" s="51">
        <v>1236.4000000000001</v>
      </c>
      <c r="BF63" s="51">
        <v>1450.6</v>
      </c>
      <c r="BG63" s="51">
        <v>1258.3</v>
      </c>
      <c r="BH63" s="51">
        <v>1272.0999999999999</v>
      </c>
      <c r="BI63" s="51">
        <v>1340</v>
      </c>
      <c r="BJ63" s="51">
        <v>1486.9</v>
      </c>
      <c r="BK63" s="51">
        <v>1176.9000000000001</v>
      </c>
      <c r="BL63" s="51">
        <v>1333.1</v>
      </c>
      <c r="BM63" s="51">
        <v>1343.3</v>
      </c>
      <c r="BN63" s="51">
        <v>1453.8</v>
      </c>
      <c r="BO63" s="51">
        <v>1230.5</v>
      </c>
      <c r="BP63" s="51">
        <v>1402.2</v>
      </c>
      <c r="BQ63" s="51">
        <v>1380.9</v>
      </c>
      <c r="BR63" s="51">
        <v>1581.4</v>
      </c>
      <c r="BS63" s="51">
        <v>1392.1</v>
      </c>
      <c r="BT63" s="51">
        <v>1390.2</v>
      </c>
      <c r="BU63" s="51">
        <v>1465.4</v>
      </c>
      <c r="BV63" s="51">
        <v>1838</v>
      </c>
      <c r="BW63" s="51">
        <v>1672.1</v>
      </c>
      <c r="BX63" s="51">
        <v>1672.8</v>
      </c>
      <c r="BY63" s="51">
        <v>1708.9</v>
      </c>
      <c r="BZ63" s="51">
        <v>1959.4</v>
      </c>
      <c r="CA63" s="51">
        <v>1610.1</v>
      </c>
      <c r="CB63" s="51">
        <v>1625.1</v>
      </c>
      <c r="CC63" s="51">
        <f t="shared" si="81"/>
        <v>1708.9</v>
      </c>
      <c r="CD63" s="51">
        <f t="shared" si="82"/>
        <v>1959.4</v>
      </c>
      <c r="CE63" s="51">
        <v>1985.1</v>
      </c>
      <c r="CF63" s="51">
        <v>2356.5</v>
      </c>
      <c r="CG63" s="51">
        <f t="shared" si="83"/>
        <v>1708.9</v>
      </c>
      <c r="CH63" s="51">
        <v>2562.6999999999998</v>
      </c>
      <c r="CI63" s="51">
        <f>+CE63*1.1</f>
        <v>2183.61</v>
      </c>
      <c r="CJ63" s="51">
        <f t="shared" si="85"/>
        <v>2592.15</v>
      </c>
      <c r="CK63" s="51">
        <f t="shared" si="86"/>
        <v>1879.7900000000002</v>
      </c>
      <c r="CL63" s="51">
        <f t="shared" si="87"/>
        <v>2818.9700000000003</v>
      </c>
      <c r="CP63" s="51">
        <v>2235</v>
      </c>
      <c r="CQ63" s="51">
        <v>2149</v>
      </c>
      <c r="CR63" s="51">
        <v>2350</v>
      </c>
      <c r="CS63" s="51">
        <v>2691</v>
      </c>
      <c r="CT63" s="51">
        <v>3026</v>
      </c>
      <c r="CU63" s="51">
        <v>3130</v>
      </c>
      <c r="CV63" s="51">
        <f>CU63*1.02</f>
        <v>3192.6</v>
      </c>
      <c r="CW63" s="51">
        <f>SUM(W63:Z63)</f>
        <v>3817.7</v>
      </c>
      <c r="CX63" s="51">
        <f>SUM(AA63:AD63)</f>
        <v>4326.5</v>
      </c>
      <c r="CY63" s="51">
        <f>SUM(AE63:AH63)</f>
        <v>4884.2000000000007</v>
      </c>
      <c r="CZ63" s="51">
        <f t="shared" si="88"/>
        <v>5020.8</v>
      </c>
      <c r="DA63" s="51">
        <f>SUM(AM63:AP63)</f>
        <v>5278.1</v>
      </c>
      <c r="DB63" s="51"/>
      <c r="DC63" s="51"/>
      <c r="DD63" s="51"/>
      <c r="DE63" s="51"/>
      <c r="DF63" s="51">
        <v>5096.2</v>
      </c>
      <c r="DG63" s="51">
        <v>5051.2</v>
      </c>
      <c r="DH63" s="51">
        <v>5595</v>
      </c>
      <c r="DI63" s="49">
        <f t="shared" si="90"/>
        <v>6085.7000000000007</v>
      </c>
      <c r="DJ63" s="49">
        <f t="shared" si="91"/>
        <v>7013.1999999999989</v>
      </c>
      <c r="DK63" s="49">
        <f t="shared" si="92"/>
        <v>6903.5</v>
      </c>
      <c r="DL63" s="49">
        <f t="shared" si="93"/>
        <v>8613.2000000000007</v>
      </c>
      <c r="DM63" s="49"/>
      <c r="DN63" s="49"/>
      <c r="DO63" s="49"/>
      <c r="DP63" s="49"/>
      <c r="DQ63" s="49"/>
      <c r="DR63" s="49"/>
      <c r="DS63" s="49"/>
    </row>
    <row r="64" spans="2:123" x14ac:dyDescent="0.15">
      <c r="B64" s="38" t="s">
        <v>250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>
        <f t="shared" ref="Z64:AE64" si="95">Z63+Z62</f>
        <v>2754.7</v>
      </c>
      <c r="AA64" s="51">
        <f t="shared" si="95"/>
        <v>2476.5</v>
      </c>
      <c r="AB64" s="51">
        <f t="shared" si="95"/>
        <v>2748.6000000000004</v>
      </c>
      <c r="AC64" s="51">
        <f t="shared" si="95"/>
        <v>2823.8999999999996</v>
      </c>
      <c r="AD64" s="51">
        <f t="shared" si="95"/>
        <v>3170</v>
      </c>
      <c r="AE64" s="51">
        <f t="shared" si="95"/>
        <v>2653.5</v>
      </c>
      <c r="AF64" s="51">
        <f t="shared" ref="AF64:AH64" si="96">AF63+AF62</f>
        <v>2942.6000000000004</v>
      </c>
      <c r="AG64" s="51">
        <f t="shared" si="96"/>
        <v>2914.7</v>
      </c>
      <c r="AH64" s="51">
        <f t="shared" si="96"/>
        <v>3426.8</v>
      </c>
      <c r="AI64" s="51">
        <f>AI63+AI62</f>
        <v>2909.7</v>
      </c>
      <c r="AJ64" s="51">
        <f>AJ63+AJ62</f>
        <v>3303.6</v>
      </c>
      <c r="AK64" s="51">
        <f>AK63+AK62</f>
        <v>3198.7</v>
      </c>
      <c r="AL64" s="51">
        <f>AL63+AL62</f>
        <v>3488.7</v>
      </c>
      <c r="AM64" s="51">
        <f>+AM63+AM62</f>
        <v>2999</v>
      </c>
      <c r="AN64" s="51">
        <f>+AN63+AN62</f>
        <v>3251.8</v>
      </c>
      <c r="AO64" s="51">
        <f>+AO63+AO62</f>
        <v>3100.2</v>
      </c>
      <c r="AP64" s="51">
        <f>+AP63+AP62</f>
        <v>3440.6</v>
      </c>
      <c r="AQ64" s="51">
        <f t="shared" ref="AQ64:AT64" si="97">+AQ63+AQ62</f>
        <v>3000.1</v>
      </c>
      <c r="AR64" s="51">
        <f t="shared" si="97"/>
        <v>3198</v>
      </c>
      <c r="AS64" s="51">
        <f t="shared" si="97"/>
        <v>3029.8</v>
      </c>
      <c r="AT64" s="51">
        <f t="shared" si="97"/>
        <v>3429</v>
      </c>
      <c r="AU64" s="51">
        <f t="shared" ref="AU64" si="98">SUM(AU62:AU63)</f>
        <v>2594.1999999999998</v>
      </c>
      <c r="AV64" s="51">
        <f t="shared" ref="AV64:AW64" si="99">SUM(AV62:AV63)</f>
        <v>2859.3</v>
      </c>
      <c r="AW64" s="51">
        <f t="shared" si="99"/>
        <v>2915.3</v>
      </c>
      <c r="AX64" s="51">
        <f t="shared" ref="AX64" si="100">SUM(AX62:AX63)</f>
        <v>2985.6000000000004</v>
      </c>
      <c r="AY64" s="51">
        <f t="shared" ref="AY64:AZ64" si="101">SUM(AY62:AY63)</f>
        <v>2562.8000000000002</v>
      </c>
      <c r="AZ64" s="51">
        <f t="shared" si="101"/>
        <v>2804.9</v>
      </c>
      <c r="BA64" s="51">
        <f t="shared" ref="BA64:BC64" si="102">SUM(BA62:BA63)</f>
        <v>2719.1000000000004</v>
      </c>
      <c r="BB64" s="51">
        <f t="shared" si="102"/>
        <v>3242.6000000000004</v>
      </c>
      <c r="BC64" s="51">
        <f t="shared" si="102"/>
        <v>2694.9</v>
      </c>
      <c r="BD64" s="51">
        <f t="shared" ref="BD64:BE64" si="103">SUM(BD62:BD63)</f>
        <v>2958.5</v>
      </c>
      <c r="BE64" s="51">
        <f t="shared" si="103"/>
        <v>2801.8</v>
      </c>
      <c r="BF64" s="51">
        <f t="shared" ref="BF64:BG64" si="104">SUM(BF62:BF63)</f>
        <v>3240.7</v>
      </c>
      <c r="BG64" s="51">
        <f t="shared" si="104"/>
        <v>2826</v>
      </c>
      <c r="BH64" s="51">
        <f t="shared" ref="BH64" si="105">SUM(BH62:BH63)</f>
        <v>3002.5</v>
      </c>
      <c r="BI64" s="51">
        <f t="shared" ref="BI64:BJ64" si="106">SUM(BI62:BI63)</f>
        <v>2918.5</v>
      </c>
      <c r="BJ64" s="51">
        <f t="shared" si="106"/>
        <v>3290.4</v>
      </c>
      <c r="BK64" s="51">
        <f t="shared" ref="BK64:BL64" si="107">SUM(BK62:BK63)</f>
        <v>2676.9</v>
      </c>
      <c r="BL64" s="51">
        <f t="shared" si="107"/>
        <v>2986.8</v>
      </c>
      <c r="BM64" s="51">
        <f t="shared" ref="BM64:BN64" si="108">SUM(BM62:BM63)</f>
        <v>2959.8999999999996</v>
      </c>
      <c r="BN64" s="51">
        <f t="shared" si="108"/>
        <v>3315.3</v>
      </c>
      <c r="BO64" s="51">
        <f t="shared" ref="BO64:CA64" si="109">SUM(BO62:BO63)</f>
        <v>2747.6</v>
      </c>
      <c r="BP64" s="51">
        <f t="shared" si="109"/>
        <v>2988.5</v>
      </c>
      <c r="BQ64" s="51">
        <f t="shared" si="109"/>
        <v>2793.2</v>
      </c>
      <c r="BR64" s="51">
        <f t="shared" si="109"/>
        <v>3279.5</v>
      </c>
      <c r="BS64" s="51">
        <f t="shared" si="109"/>
        <v>2941.7</v>
      </c>
      <c r="BT64" s="51">
        <f t="shared" si="109"/>
        <v>2838.8</v>
      </c>
      <c r="BU64" s="51">
        <f t="shared" si="109"/>
        <v>3034.5</v>
      </c>
      <c r="BV64" s="51">
        <f t="shared" si="109"/>
        <v>3391.9</v>
      </c>
      <c r="BW64" s="51">
        <f t="shared" si="109"/>
        <v>3248.1</v>
      </c>
      <c r="BX64" s="51">
        <f t="shared" si="109"/>
        <v>3358.5</v>
      </c>
      <c r="BY64" s="51">
        <f t="shared" si="109"/>
        <v>3286.8</v>
      </c>
      <c r="BZ64" s="51">
        <f t="shared" si="109"/>
        <v>3551.4</v>
      </c>
      <c r="CA64" s="51">
        <f t="shared" si="109"/>
        <v>3168</v>
      </c>
      <c r="CB64" s="51">
        <f t="shared" ref="CB64:CH64" si="110">SUM(CB62:CB63)</f>
        <v>3407</v>
      </c>
      <c r="CC64" s="51">
        <f t="shared" si="110"/>
        <v>3286.8</v>
      </c>
      <c r="CD64" s="51">
        <f t="shared" si="110"/>
        <v>3551.4</v>
      </c>
      <c r="CE64" s="51">
        <f t="shared" si="110"/>
        <v>3734.3</v>
      </c>
      <c r="CF64" s="51">
        <f t="shared" si="110"/>
        <v>4281.8999999999996</v>
      </c>
      <c r="CG64" s="51">
        <f t="shared" si="110"/>
        <v>3286.8</v>
      </c>
      <c r="CH64" s="51">
        <f t="shared" si="110"/>
        <v>4487.2999999999993</v>
      </c>
      <c r="CI64" s="51">
        <f t="shared" ref="CI64:CL64" si="111">SUM(CI62:CI63)</f>
        <v>4107.7300000000005</v>
      </c>
      <c r="CJ64" s="51">
        <f t="shared" si="111"/>
        <v>4710.09</v>
      </c>
      <c r="CK64" s="51">
        <f t="shared" si="111"/>
        <v>3615.4800000000005</v>
      </c>
      <c r="CL64" s="51">
        <f t="shared" si="111"/>
        <v>4936.0300000000007</v>
      </c>
      <c r="CP64" s="51">
        <f t="shared" ref="CP64:CV64" si="112">CP63+CP62</f>
        <v>5652</v>
      </c>
      <c r="CQ64" s="51">
        <f t="shared" si="112"/>
        <v>5573</v>
      </c>
      <c r="CR64" s="51">
        <f t="shared" si="112"/>
        <v>6405</v>
      </c>
      <c r="CS64" s="51">
        <f t="shared" si="112"/>
        <v>6975</v>
      </c>
      <c r="CT64" s="51">
        <f t="shared" si="112"/>
        <v>7523</v>
      </c>
      <c r="CU64" s="51">
        <f t="shared" si="112"/>
        <v>7882</v>
      </c>
      <c r="CV64" s="51">
        <f t="shared" si="112"/>
        <v>8087.16</v>
      </c>
      <c r="CW64" s="51">
        <f>CW63+CW62</f>
        <v>10436.099999999999</v>
      </c>
      <c r="CX64" s="51">
        <f t="shared" ref="CX64:DD64" si="113">CX63+CX62</f>
        <v>11219</v>
      </c>
      <c r="CY64" s="51">
        <f>CY63+CY62</f>
        <v>11937.600000000002</v>
      </c>
      <c r="CZ64" s="51">
        <f>CZ63+CZ62</f>
        <v>12900.7</v>
      </c>
      <c r="DA64" s="51">
        <f>DA63+DA62</f>
        <v>12791.6</v>
      </c>
      <c r="DB64" s="51">
        <f t="shared" si="113"/>
        <v>7137.8249999999998</v>
      </c>
      <c r="DC64" s="51">
        <f t="shared" si="113"/>
        <v>5710.26</v>
      </c>
      <c r="DD64" s="51">
        <f t="shared" si="113"/>
        <v>0</v>
      </c>
      <c r="DE64" s="51"/>
      <c r="DF64" s="51">
        <f>DF63+DF62</f>
        <v>11078.599999999999</v>
      </c>
      <c r="DG64" s="51">
        <f t="shared" ref="DG64:DH64" si="114">DG63+DG62</f>
        <v>11026.3</v>
      </c>
      <c r="DH64" s="51">
        <f t="shared" si="114"/>
        <v>11808.8</v>
      </c>
      <c r="DI64" s="51">
        <f>DI63+DI62</f>
        <v>12206.9</v>
      </c>
      <c r="DJ64" s="51">
        <f t="shared" ref="DJ64:DL64" si="115">DJ63+DJ62</f>
        <v>13444.8</v>
      </c>
      <c r="DK64" s="51">
        <f t="shared" si="115"/>
        <v>13413.2</v>
      </c>
      <c r="DL64" s="51">
        <f t="shared" si="115"/>
        <v>15790.300000000001</v>
      </c>
      <c r="DM64" s="51">
        <f t="shared" ref="DM64" si="116">DM63+DM62</f>
        <v>10265.3125</v>
      </c>
      <c r="DN64" s="51">
        <f t="shared" ref="DN64" si="117">DN63+DN62</f>
        <v>8642.69175</v>
      </c>
      <c r="DO64" s="51">
        <f t="shared" ref="DO64" si="118">DO63+DO62</f>
        <v>9313.6927500000002</v>
      </c>
      <c r="DP64" s="51">
        <f t="shared" ref="DP64" si="119">DP63+DP62</f>
        <v>9746.1131619500011</v>
      </c>
      <c r="DQ64" s="51">
        <f t="shared" ref="DQ64" si="120">DQ63+DQ62</f>
        <v>10724.119815584501</v>
      </c>
      <c r="DR64" s="51">
        <f t="shared" ref="DR64" si="121">DR63+DR62</f>
        <v>11452.237241243343</v>
      </c>
      <c r="DS64" s="51">
        <f t="shared" ref="DS64" si="122">DS63+DS62</f>
        <v>8798.6564048281634</v>
      </c>
    </row>
    <row r="65" spans="2:201" x14ac:dyDescent="0.15">
      <c r="B65" s="38" t="s">
        <v>251</v>
      </c>
      <c r="C65" s="51"/>
      <c r="D65" s="51"/>
      <c r="E65" s="51"/>
      <c r="F65" s="51"/>
      <c r="G65" s="51"/>
      <c r="H65" s="51"/>
      <c r="I65" s="51"/>
      <c r="J65" s="51">
        <f t="shared" ref="J65:S65" si="123">J61-J62-J63</f>
        <v>651.10000000000036</v>
      </c>
      <c r="K65" s="51">
        <f t="shared" si="123"/>
        <v>558.43663366336614</v>
      </c>
      <c r="L65" s="51">
        <f t="shared" si="123"/>
        <v>385.8000000000003</v>
      </c>
      <c r="M65" s="51">
        <f t="shared" si="123"/>
        <v>496.5333333333333</v>
      </c>
      <c r="N65" s="51">
        <f t="shared" si="123"/>
        <v>557.10000000000036</v>
      </c>
      <c r="O65" s="51">
        <f t="shared" si="123"/>
        <v>537.20000000000027</v>
      </c>
      <c r="P65" s="51">
        <f t="shared" si="123"/>
        <v>549</v>
      </c>
      <c r="Q65" s="51">
        <f t="shared" si="123"/>
        <v>702.40000000000009</v>
      </c>
      <c r="R65" s="51">
        <f t="shared" si="123"/>
        <v>2301.8000000000006</v>
      </c>
      <c r="S65" s="51">
        <f t="shared" si="123"/>
        <v>1142.5</v>
      </c>
      <c r="T65" s="51">
        <f t="shared" ref="T65:Y65" si="124">T61-T62-T63</f>
        <v>815.80000000000007</v>
      </c>
      <c r="U65" s="51">
        <f t="shared" si="124"/>
        <v>2522.3999999999987</v>
      </c>
      <c r="V65" s="51">
        <f t="shared" si="124"/>
        <v>2683.5000000000005</v>
      </c>
      <c r="W65" s="51">
        <f t="shared" si="124"/>
        <v>2702.900000000001</v>
      </c>
      <c r="X65" s="51">
        <f t="shared" si="124"/>
        <v>2850.9999999999986</v>
      </c>
      <c r="Y65" s="51">
        <f t="shared" si="124"/>
        <v>3039.5000000000009</v>
      </c>
      <c r="Z65" s="51">
        <f t="shared" ref="Z65:AE65" si="125">Z61-Z64</f>
        <v>1556.1999999999998</v>
      </c>
      <c r="AA65" s="51">
        <f t="shared" si="125"/>
        <v>1598.9</v>
      </c>
      <c r="AB65" s="51">
        <f t="shared" si="125"/>
        <v>1417.5</v>
      </c>
      <c r="AC65" s="51">
        <f t="shared" si="125"/>
        <v>1686.2000000000007</v>
      </c>
      <c r="AD65" s="51">
        <f t="shared" si="125"/>
        <v>1332.6999999999998</v>
      </c>
      <c r="AE65" s="51">
        <f t="shared" si="125"/>
        <v>1709.5</v>
      </c>
      <c r="AF65" s="51">
        <f t="shared" ref="AF65:AH65" si="126">AF61-AF64</f>
        <v>1782.1999999999998</v>
      </c>
      <c r="AG65" s="51">
        <f t="shared" si="126"/>
        <v>1752.5</v>
      </c>
      <c r="AH65" s="51">
        <f t="shared" si="126"/>
        <v>1528.2000000000007</v>
      </c>
      <c r="AI65" s="51">
        <f>AI61-AI64</f>
        <v>1749.4000000000005</v>
      </c>
      <c r="AJ65" s="51">
        <f>AJ61-AJ64</f>
        <v>1721.1999999999985</v>
      </c>
      <c r="AK65" s="51">
        <f>AK61-AK64</f>
        <v>1611.3000000000002</v>
      </c>
      <c r="AL65" s="51">
        <f>AL61-AL64</f>
        <v>1236.9000000000005</v>
      </c>
      <c r="AM65" s="51">
        <f>+AM61-AM64</f>
        <v>1405.5</v>
      </c>
      <c r="AN65" s="51">
        <f>+AN61-AN64</f>
        <v>1201.9999999999991</v>
      </c>
      <c r="AO65" s="51">
        <f>+AO61-AO64</f>
        <v>1138.6999999999998</v>
      </c>
      <c r="AP65" s="51">
        <f>+AP61-AP64</f>
        <v>1268.4000000000001</v>
      </c>
      <c r="AQ65" s="51">
        <f t="shared" ref="AQ65:AT65" si="127">+AQ61-AQ64</f>
        <v>1443.6</v>
      </c>
      <c r="AR65" s="51">
        <f t="shared" si="127"/>
        <v>1566.5</v>
      </c>
      <c r="AS65" s="51">
        <f t="shared" si="127"/>
        <v>1544.6999999999998</v>
      </c>
      <c r="AT65" s="51">
        <f t="shared" si="127"/>
        <v>993.30000000000018</v>
      </c>
      <c r="AU65" s="51">
        <f t="shared" ref="AU65" si="128">AU61-AU64</f>
        <v>866.20000000000073</v>
      </c>
      <c r="AV65" s="51">
        <f t="shared" ref="AV65:AW65" si="129">AV61-AV64</f>
        <v>886.60000000000036</v>
      </c>
      <c r="AW65" s="51">
        <f t="shared" si="129"/>
        <v>693.30000000000018</v>
      </c>
      <c r="AX65" s="51">
        <f t="shared" ref="AX65" si="130">AX61-AX64</f>
        <v>882.59999999999991</v>
      </c>
      <c r="AY65" s="51">
        <f t="shared" ref="AY65:AZ65" si="131">AY61-AY64</f>
        <v>889.19999999999982</v>
      </c>
      <c r="AZ65" s="51">
        <f t="shared" si="131"/>
        <v>1139.8999999999996</v>
      </c>
      <c r="BA65" s="51">
        <f t="shared" ref="BA65:BC65" si="132">BA61-BA64</f>
        <v>1003.6999999999994</v>
      </c>
      <c r="BB65" s="51">
        <f t="shared" si="132"/>
        <v>743.80000000000018</v>
      </c>
      <c r="BC65" s="51">
        <f t="shared" si="132"/>
        <v>847.20000000000027</v>
      </c>
      <c r="BD65" s="51">
        <f t="shared" ref="BD65:BE65" si="133">BD61-BD64</f>
        <v>1147.8999999999996</v>
      </c>
      <c r="BE65" s="51">
        <f t="shared" si="133"/>
        <v>988.99999999999955</v>
      </c>
      <c r="BF65" s="51">
        <f t="shared" ref="BF65:BG65" si="134">BF61-BF64</f>
        <v>1053.8000000000002</v>
      </c>
      <c r="BG65" s="51">
        <f t="shared" si="134"/>
        <v>1054.4000000000001</v>
      </c>
      <c r="BH65" s="51">
        <f t="shared" ref="BH65" si="135">BH61-BH64</f>
        <v>1250.1000000000004</v>
      </c>
      <c r="BI65" s="51">
        <f t="shared" ref="BI65:BJ65" si="136">BI61-BI64</f>
        <v>1153.1999999999998</v>
      </c>
      <c r="BJ65" s="51">
        <f t="shared" si="136"/>
        <v>1225.3999999999992</v>
      </c>
      <c r="BK65" s="51">
        <f t="shared" ref="BK65:BL65" si="137">BK61-BK64</f>
        <v>1451.7999999999997</v>
      </c>
      <c r="BL65" s="51">
        <f t="shared" si="137"/>
        <v>1665.6999999999998</v>
      </c>
      <c r="BM65" s="51">
        <f t="shared" ref="BM65:BN65" si="138">BM61-BM64</f>
        <v>1539.6999999999998</v>
      </c>
      <c r="BN65" s="51">
        <f t="shared" si="138"/>
        <v>1529.6000000000004</v>
      </c>
      <c r="BO65" s="51">
        <f t="shared" ref="BO65:CA65" si="139">BO61-BO64</f>
        <v>2213.6999999999994</v>
      </c>
      <c r="BP65" s="51">
        <f t="shared" si="139"/>
        <v>2603.4000000000005</v>
      </c>
      <c r="BQ65" s="51">
        <f t="shared" si="139"/>
        <v>2576.6999999999998</v>
      </c>
      <c r="BR65" s="51">
        <f t="shared" si="139"/>
        <v>2813.5</v>
      </c>
      <c r="BS65" s="51">
        <f t="shared" si="139"/>
        <v>1761.5999999999976</v>
      </c>
      <c r="BT65" s="51">
        <f t="shared" si="139"/>
        <v>1541.3999999999987</v>
      </c>
      <c r="BU65" s="51">
        <f t="shared" si="139"/>
        <v>1506.1999999999989</v>
      </c>
      <c r="BV65" s="51">
        <f t="shared" si="139"/>
        <v>2328.3999999999992</v>
      </c>
      <c r="BW65" s="51">
        <f t="shared" si="139"/>
        <v>1886.1000000000008</v>
      </c>
      <c r="BX65" s="51">
        <f t="shared" si="139"/>
        <v>1983.4999999999973</v>
      </c>
      <c r="BY65" s="51">
        <f t="shared" si="139"/>
        <v>2064.3999999999978</v>
      </c>
      <c r="BZ65" s="51">
        <f t="shared" si="139"/>
        <v>2398.2999999999997</v>
      </c>
      <c r="CA65" s="51">
        <f t="shared" si="139"/>
        <v>2774.5999999999995</v>
      </c>
      <c r="CB65" s="51">
        <f t="shared" ref="CB65:CH65" si="140">CB61-CB64</f>
        <v>1771.7000000000016</v>
      </c>
      <c r="CC65" s="51">
        <f t="shared" si="140"/>
        <v>2197.1430000000009</v>
      </c>
      <c r="CD65" s="51">
        <f t="shared" si="140"/>
        <v>2327.0000000000014</v>
      </c>
      <c r="CE65" s="51">
        <f t="shared" si="140"/>
        <v>1724.7999999999984</v>
      </c>
      <c r="CF65" s="51">
        <f t="shared" si="140"/>
        <v>1770.1999999999989</v>
      </c>
      <c r="CG65" s="51">
        <f t="shared" si="140"/>
        <v>4217.0940000000001</v>
      </c>
      <c r="CH65" s="51">
        <f t="shared" si="140"/>
        <v>3207.1000000000004</v>
      </c>
      <c r="CI65" s="51">
        <f t="shared" ref="CI65:CL65" si="141">CI61-CI64</f>
        <v>3537.0499999999984</v>
      </c>
      <c r="CJ65" s="51">
        <f t="shared" si="141"/>
        <v>3216.1649999999991</v>
      </c>
      <c r="CK65" s="51">
        <f t="shared" si="141"/>
        <v>4531.0949999999984</v>
      </c>
      <c r="CL65" s="51">
        <f t="shared" si="141"/>
        <v>3498.985999999999</v>
      </c>
      <c r="CP65" s="51">
        <f t="shared" ref="CP65:CX65" si="142">CP61-CP62-CP63</f>
        <v>3817</v>
      </c>
      <c r="CQ65" s="51">
        <f t="shared" si="142"/>
        <v>3327</v>
      </c>
      <c r="CR65" s="51">
        <f t="shared" si="142"/>
        <v>3505</v>
      </c>
      <c r="CS65" s="51">
        <f t="shared" si="142"/>
        <v>3660</v>
      </c>
      <c r="CT65" s="51">
        <f t="shared" si="142"/>
        <v>3653</v>
      </c>
      <c r="CU65" s="51">
        <f t="shared" si="142"/>
        <v>4400.4999999999982</v>
      </c>
      <c r="CV65" s="51">
        <f t="shared" si="142"/>
        <v>6336.8340000000007</v>
      </c>
      <c r="CW65" s="51">
        <f>CW61-CW62-CW63</f>
        <v>10149.599999999999</v>
      </c>
      <c r="CX65" s="51">
        <f t="shared" si="142"/>
        <v>6035.2999999999993</v>
      </c>
      <c r="CY65" s="51">
        <f>CY61-CY62-CY63</f>
        <v>5589.9999999999964</v>
      </c>
      <c r="CZ65" s="51">
        <f>CZ61-CZ62-CZ63</f>
        <v>5908.7000000000016</v>
      </c>
      <c r="DA65" s="51">
        <f>DA61-DA62-DA63</f>
        <v>4413.3999999999996</v>
      </c>
      <c r="DB65" s="51">
        <f t="shared" ref="DB65:DD65" si="143">DB61-DB62-DB63</f>
        <v>-7137.8249999999998</v>
      </c>
      <c r="DC65" s="51">
        <f t="shared" si="143"/>
        <v>-5710.26</v>
      </c>
      <c r="DD65" s="51">
        <f t="shared" si="143"/>
        <v>0</v>
      </c>
      <c r="DE65" s="51"/>
      <c r="DF65" s="51">
        <f t="shared" ref="DF65:DH65" si="144">+DF61-DF64</f>
        <v>4447.8000000000029</v>
      </c>
      <c r="DG65" s="51">
        <f t="shared" si="144"/>
        <v>5784.8999999999978</v>
      </c>
      <c r="DH65" s="51">
        <f t="shared" si="144"/>
        <v>5789.4000000000015</v>
      </c>
      <c r="DI65" s="51">
        <f>+DI61-DI64</f>
        <v>7137.6</v>
      </c>
      <c r="DJ65" s="51">
        <f>+DJ61-DJ64</f>
        <v>8332.2999999999993</v>
      </c>
      <c r="DK65" s="51">
        <f t="shared" ref="DK65:DL65" si="145">+DK61-DK64</f>
        <v>9070.4430000000066</v>
      </c>
      <c r="DL65" s="51">
        <f t="shared" si="145"/>
        <v>10743.394000000002</v>
      </c>
      <c r="DM65" s="51">
        <f t="shared" ref="DM65" si="146">+DM61-DM64</f>
        <v>22173.075000000001</v>
      </c>
      <c r="DN65" s="51">
        <f t="shared" ref="DN65" si="147">+DN61-DN64</f>
        <v>18668.214180000003</v>
      </c>
      <c r="DO65" s="51">
        <f t="shared" ref="DO65" si="148">+DO61-DO64</f>
        <v>20117.57634</v>
      </c>
      <c r="DP65" s="51">
        <f t="shared" ref="DP65" si="149">+DP61-DP64</f>
        <v>21051.604429812003</v>
      </c>
      <c r="DQ65" s="51">
        <f t="shared" ref="DQ65" si="150">+DQ61-DQ64</f>
        <v>23164.098801662523</v>
      </c>
      <c r="DR65" s="51">
        <f t="shared" ref="DR65" si="151">+DR61-DR64</f>
        <v>24736.832441085626</v>
      </c>
      <c r="DS65" s="51">
        <f t="shared" ref="DS65" si="152">+DS61-DS64</f>
        <v>19005.097834428838</v>
      </c>
    </row>
    <row r="66" spans="2:201" x14ac:dyDescent="0.15">
      <c r="B66" t="s">
        <v>78</v>
      </c>
      <c r="C66" s="51"/>
      <c r="D66" s="51"/>
      <c r="E66" s="51"/>
      <c r="F66" s="51"/>
      <c r="G66" s="51"/>
      <c r="H66" s="51"/>
      <c r="I66" s="51"/>
      <c r="J66" s="51">
        <v>69.099999999999994</v>
      </c>
      <c r="K66" s="51">
        <v>99</v>
      </c>
      <c r="L66" s="51">
        <v>45.4</v>
      </c>
      <c r="M66" s="51">
        <v>85</v>
      </c>
      <c r="N66" s="51">
        <v>85.2</v>
      </c>
      <c r="O66" s="51">
        <v>32</v>
      </c>
      <c r="P66" s="51">
        <v>47</v>
      </c>
      <c r="Q66" s="51">
        <v>-4.8</v>
      </c>
      <c r="R66" s="51">
        <v>38.9</v>
      </c>
      <c r="S66" s="51">
        <v>38.299999999999997</v>
      </c>
      <c r="T66" s="51">
        <v>1.8</v>
      </c>
      <c r="U66" s="51">
        <v>49.8</v>
      </c>
      <c r="V66" s="51">
        <v>32.1</v>
      </c>
      <c r="W66" s="51">
        <v>20.3</v>
      </c>
      <c r="X66" s="51">
        <v>32.299999999999997</v>
      </c>
      <c r="Y66" s="51">
        <v>2.5</v>
      </c>
      <c r="Z66" s="51">
        <v>-48.2</v>
      </c>
      <c r="AA66" s="51">
        <v>-70.7</v>
      </c>
      <c r="AB66" s="51">
        <v>-24.1</v>
      </c>
      <c r="AC66" s="51">
        <f>-44-22.9</f>
        <v>-66.900000000000006</v>
      </c>
      <c r="AD66" s="51">
        <v>-67.8</v>
      </c>
      <c r="AE66" s="51">
        <v>74.5</v>
      </c>
      <c r="AF66" s="51">
        <f>-36.5+18.1-18.4</f>
        <v>-36.799999999999997</v>
      </c>
      <c r="AG66" s="51">
        <f>-30.9+9.2-21.7</f>
        <v>-43.4</v>
      </c>
      <c r="AH66" s="51">
        <v>-39.4</v>
      </c>
      <c r="AI66" s="51">
        <v>-11.2</v>
      </c>
      <c r="AJ66" s="51">
        <v>-57.6</v>
      </c>
      <c r="AK66" s="51">
        <f>-22.8-60.6</f>
        <v>-83.4</v>
      </c>
      <c r="AL66" s="51">
        <v>-26.8</v>
      </c>
      <c r="AM66" s="51">
        <f>-19.2-26.8</f>
        <v>-46</v>
      </c>
      <c r="AN66" s="51">
        <f>-15.8-0.7</f>
        <v>-16.5</v>
      </c>
      <c r="AO66" s="51">
        <f>-21.3+22</f>
        <v>0.69999999999999929</v>
      </c>
      <c r="AP66" s="51">
        <v>-52</v>
      </c>
      <c r="AQ66" s="51">
        <f>-16.7+50.5</f>
        <v>33.799999999999997</v>
      </c>
      <c r="AR66" s="51">
        <v>11.9</v>
      </c>
      <c r="AS66" s="51">
        <v>-31.3</v>
      </c>
      <c r="AT66" s="51">
        <v>9.1</v>
      </c>
      <c r="AU66" s="51">
        <v>56</v>
      </c>
      <c r="AV66" s="51">
        <v>53.8</v>
      </c>
      <c r="AW66" s="51">
        <v>93.5</v>
      </c>
      <c r="AX66" s="51">
        <v>137.19999999999999</v>
      </c>
      <c r="AY66" s="51">
        <v>92.7</v>
      </c>
      <c r="AZ66" s="51">
        <v>-123.3</v>
      </c>
      <c r="BA66" s="51">
        <v>86.5</v>
      </c>
      <c r="BB66" s="51">
        <v>44.7</v>
      </c>
      <c r="BC66" s="51">
        <v>-149</v>
      </c>
      <c r="BD66" s="51">
        <v>21.2</v>
      </c>
      <c r="BE66" s="51">
        <v>27.2</v>
      </c>
      <c r="BF66" s="51">
        <v>15.8</v>
      </c>
      <c r="BG66" s="51">
        <v>78.3</v>
      </c>
      <c r="BH66" s="51">
        <v>60.4</v>
      </c>
      <c r="BI66" s="51">
        <f>-16.8+66.7</f>
        <v>49.900000000000006</v>
      </c>
      <c r="BJ66" s="51">
        <f>-10.2+122.1</f>
        <v>111.89999999999999</v>
      </c>
      <c r="BK66" s="51">
        <v>67.5</v>
      </c>
      <c r="BL66" s="51">
        <v>38</v>
      </c>
      <c r="BM66" s="51">
        <f>-37.3+21.9</f>
        <v>-15.399999999999999</v>
      </c>
      <c r="BN66" s="51">
        <f>-35.7+20.4</f>
        <v>-15.300000000000004</v>
      </c>
      <c r="BO66" s="51">
        <v>55.9</v>
      </c>
      <c r="BP66" s="51">
        <v>91.5</v>
      </c>
      <c r="BQ66" s="51">
        <v>90.1</v>
      </c>
      <c r="BR66" s="51">
        <v>82.7</v>
      </c>
      <c r="BS66" s="51">
        <v>78.2</v>
      </c>
      <c r="BT66" s="51">
        <v>81.2</v>
      </c>
      <c r="BU66" s="51">
        <v>83.8</v>
      </c>
      <c r="BV66" s="51">
        <v>83.4</v>
      </c>
      <c r="BW66" s="51">
        <v>-34.6</v>
      </c>
      <c r="BX66" s="51">
        <v>81.5</v>
      </c>
      <c r="BY66" s="51">
        <v>77.599999999999994</v>
      </c>
      <c r="BZ66" s="51">
        <v>77.3</v>
      </c>
      <c r="CA66" s="51">
        <v>-37.700000000000003</v>
      </c>
      <c r="CB66" s="51">
        <f>-71-48.2</f>
        <v>-119.2</v>
      </c>
      <c r="CC66" s="51">
        <v>0</v>
      </c>
      <c r="CD66" s="51">
        <v>0</v>
      </c>
      <c r="CE66" s="51">
        <f>-68.6+104.3</f>
        <v>35.700000000000003</v>
      </c>
      <c r="CF66" s="51">
        <v>-36.799999999999997</v>
      </c>
      <c r="CG66" s="51">
        <v>0</v>
      </c>
      <c r="CH66" s="51">
        <v>121</v>
      </c>
      <c r="CI66" s="51"/>
      <c r="CJ66" s="51"/>
      <c r="CK66" s="51"/>
      <c r="CL66" s="51"/>
      <c r="CP66" s="51">
        <v>134</v>
      </c>
      <c r="CQ66" s="51">
        <v>214</v>
      </c>
      <c r="CR66" s="51">
        <v>85</v>
      </c>
      <c r="CS66" s="51">
        <v>279</v>
      </c>
      <c r="CT66" s="51">
        <v>313</v>
      </c>
      <c r="CU66" s="51">
        <v>201</v>
      </c>
      <c r="CV66" s="51">
        <v>100</v>
      </c>
      <c r="CW66" s="51">
        <f>SUM(W66:Z66)</f>
        <v>6.8999999999999915</v>
      </c>
      <c r="CX66" s="51">
        <f>SUM(AA66:AD66)</f>
        <v>-229.5</v>
      </c>
      <c r="CY66" s="51">
        <f>SUM(AE66:AH66)</f>
        <v>-45.099999999999994</v>
      </c>
      <c r="CZ66" s="51">
        <f t="shared" ref="CZ66" si="153">SUM(AI66:AL66)</f>
        <v>-179</v>
      </c>
      <c r="DA66" s="51">
        <f>SUM(AM66:AP66)</f>
        <v>-113.8</v>
      </c>
      <c r="DB66" s="51"/>
      <c r="DC66" s="51"/>
      <c r="DD66" s="51"/>
      <c r="DE66" s="51"/>
      <c r="DF66" s="51"/>
      <c r="DG66" s="53"/>
      <c r="DH66" s="53"/>
      <c r="DM66" s="49">
        <f>+DL85*$DU$83</f>
        <v>94.919846000000021</v>
      </c>
      <c r="DN66" s="49">
        <f t="shared" ref="DN66:DS66" si="154">+DM85*$DU$83</f>
        <v>273.06380476800007</v>
      </c>
      <c r="DO66" s="49">
        <f t="shared" si="154"/>
        <v>424.59402864614407</v>
      </c>
      <c r="DP66" s="49">
        <f t="shared" si="154"/>
        <v>588.93139159531324</v>
      </c>
      <c r="DQ66" s="49">
        <f t="shared" si="154"/>
        <v>762.05567816657174</v>
      </c>
      <c r="DR66" s="49">
        <f t="shared" si="154"/>
        <v>953.46491400520449</v>
      </c>
      <c r="DS66" s="49">
        <f t="shared" si="154"/>
        <v>1158.9872928459311</v>
      </c>
    </row>
    <row r="67" spans="2:201" x14ac:dyDescent="0.15">
      <c r="B67" t="s">
        <v>81</v>
      </c>
      <c r="C67" s="51"/>
      <c r="D67" s="51"/>
      <c r="E67" s="51"/>
      <c r="F67" s="51"/>
      <c r="G67" s="51"/>
      <c r="H67" s="51"/>
      <c r="I67" s="51"/>
      <c r="J67" s="51">
        <f t="shared" ref="J67:S67" si="155">J65+J66</f>
        <v>720.20000000000039</v>
      </c>
      <c r="K67" s="51">
        <f t="shared" si="155"/>
        <v>657.43663366336614</v>
      </c>
      <c r="L67" s="51">
        <f t="shared" si="155"/>
        <v>431.20000000000027</v>
      </c>
      <c r="M67" s="51">
        <f t="shared" si="155"/>
        <v>581.5333333333333</v>
      </c>
      <c r="N67" s="51">
        <f t="shared" si="155"/>
        <v>642.30000000000041</v>
      </c>
      <c r="O67" s="51">
        <f t="shared" si="155"/>
        <v>569.20000000000027</v>
      </c>
      <c r="P67" s="51">
        <f t="shared" si="155"/>
        <v>596</v>
      </c>
      <c r="Q67" s="51">
        <f t="shared" si="155"/>
        <v>697.60000000000014</v>
      </c>
      <c r="R67" s="51">
        <f t="shared" si="155"/>
        <v>2340.7000000000007</v>
      </c>
      <c r="S67" s="51">
        <f t="shared" si="155"/>
        <v>1180.8</v>
      </c>
      <c r="T67" s="51">
        <f t="shared" ref="T67:AA67" si="156">T65+T66</f>
        <v>817.6</v>
      </c>
      <c r="U67" s="51">
        <f t="shared" si="156"/>
        <v>2572.1999999999989</v>
      </c>
      <c r="V67" s="51">
        <f t="shared" si="156"/>
        <v>2715.6000000000004</v>
      </c>
      <c r="W67" s="51">
        <f t="shared" si="156"/>
        <v>2723.2000000000012</v>
      </c>
      <c r="X67" s="51">
        <f t="shared" si="156"/>
        <v>2883.2999999999988</v>
      </c>
      <c r="Y67" s="51">
        <f t="shared" si="156"/>
        <v>3042.0000000000009</v>
      </c>
      <c r="Z67" s="51">
        <f t="shared" si="156"/>
        <v>1507.9999999999998</v>
      </c>
      <c r="AA67" s="51">
        <f t="shared" si="156"/>
        <v>1528.2</v>
      </c>
      <c r="AB67" s="51">
        <f t="shared" ref="AB67:AG67" si="157">AB65+AB66</f>
        <v>1393.4</v>
      </c>
      <c r="AC67" s="51">
        <f t="shared" si="157"/>
        <v>1619.3000000000006</v>
      </c>
      <c r="AD67" s="51">
        <f t="shared" si="157"/>
        <v>1264.8999999999999</v>
      </c>
      <c r="AE67" s="51">
        <f t="shared" si="157"/>
        <v>1784</v>
      </c>
      <c r="AF67" s="51">
        <f t="shared" si="157"/>
        <v>1745.3999999999999</v>
      </c>
      <c r="AG67" s="51">
        <f t="shared" si="157"/>
        <v>1709.1</v>
      </c>
      <c r="AH67" s="51">
        <f>AH65+AH66</f>
        <v>1488.8000000000006</v>
      </c>
      <c r="AI67" s="51">
        <f>AI65+AI66</f>
        <v>1738.2000000000005</v>
      </c>
      <c r="AJ67" s="51">
        <f>AJ65+AJ66</f>
        <v>1663.5999999999985</v>
      </c>
      <c r="AK67" s="51">
        <f>AK65+AK66</f>
        <v>1527.9</v>
      </c>
      <c r="AL67" s="51">
        <f>AL65+AL66</f>
        <v>1210.1000000000006</v>
      </c>
      <c r="AM67" s="51">
        <f>+AM65+AM66</f>
        <v>1359.5</v>
      </c>
      <c r="AN67" s="51">
        <f>+AN65+AN66</f>
        <v>1185.4999999999991</v>
      </c>
      <c r="AO67" s="51">
        <f>+AO65+AO66</f>
        <v>1139.3999999999999</v>
      </c>
      <c r="AP67" s="51">
        <f>+AP65+AP66</f>
        <v>1216.4000000000001</v>
      </c>
      <c r="AQ67" s="51">
        <f t="shared" ref="AQ67:AS67" si="158">+AQ65+AQ66</f>
        <v>1477.3999999999999</v>
      </c>
      <c r="AR67" s="51">
        <f t="shared" si="158"/>
        <v>1578.4</v>
      </c>
      <c r="AS67" s="51">
        <f t="shared" si="158"/>
        <v>1513.3999999999999</v>
      </c>
      <c r="AT67" s="51">
        <f>+AT65+AT66</f>
        <v>1002.4000000000002</v>
      </c>
      <c r="AU67" s="51">
        <f t="shared" ref="AU67" si="159">AU65-AU66</f>
        <v>810.20000000000073</v>
      </c>
      <c r="AV67" s="51">
        <f t="shared" ref="AV67:AW67" si="160">AV65-AV66</f>
        <v>832.80000000000041</v>
      </c>
      <c r="AW67" s="51">
        <f t="shared" si="160"/>
        <v>599.80000000000018</v>
      </c>
      <c r="AX67" s="51">
        <f t="shared" ref="AX67" si="161">AX65-AX66</f>
        <v>745.39999999999986</v>
      </c>
      <c r="AY67" s="51">
        <f t="shared" ref="AY67:AZ67" si="162">AY65-AY66</f>
        <v>796.49999999999977</v>
      </c>
      <c r="AZ67" s="51">
        <f t="shared" si="162"/>
        <v>1263.1999999999996</v>
      </c>
      <c r="BA67" s="51">
        <f t="shared" ref="BA67:BC67" si="163">BA65-BA66</f>
        <v>917.19999999999936</v>
      </c>
      <c r="BB67" s="51">
        <f t="shared" si="163"/>
        <v>699.10000000000014</v>
      </c>
      <c r="BC67" s="51">
        <f t="shared" si="163"/>
        <v>996.20000000000027</v>
      </c>
      <c r="BD67" s="51">
        <f t="shared" ref="BD67:BE67" si="164">BD65-BD66</f>
        <v>1126.6999999999996</v>
      </c>
      <c r="BE67" s="51">
        <f t="shared" si="164"/>
        <v>961.7999999999995</v>
      </c>
      <c r="BF67" s="51">
        <f t="shared" ref="BF67:BG67" si="165">BF65-BF66</f>
        <v>1038.0000000000002</v>
      </c>
      <c r="BG67" s="51">
        <f t="shared" si="165"/>
        <v>976.10000000000014</v>
      </c>
      <c r="BH67" s="51">
        <f t="shared" ref="BH67:BJ67" si="166">BH65-BH66</f>
        <v>1189.7000000000003</v>
      </c>
      <c r="BI67" s="51">
        <f t="shared" si="166"/>
        <v>1103.2999999999997</v>
      </c>
      <c r="BJ67" s="51">
        <f t="shared" si="166"/>
        <v>1113.4999999999991</v>
      </c>
      <c r="BK67" s="51">
        <f t="shared" ref="BK67:BL67" si="167">BK65-BK66</f>
        <v>1384.2999999999997</v>
      </c>
      <c r="BL67" s="51">
        <f t="shared" si="167"/>
        <v>1627.6999999999998</v>
      </c>
      <c r="BM67" s="51">
        <f t="shared" ref="BM67:BN67" si="168">BM65-BM66</f>
        <v>1555.1</v>
      </c>
      <c r="BN67" s="51">
        <f t="shared" si="168"/>
        <v>1544.9000000000003</v>
      </c>
      <c r="BO67" s="51">
        <f t="shared" ref="BO67:CL67" si="169">BO65-BO66</f>
        <v>2157.7999999999993</v>
      </c>
      <c r="BP67" s="51">
        <f t="shared" si="169"/>
        <v>2511.9000000000005</v>
      </c>
      <c r="BQ67" s="51">
        <f t="shared" si="169"/>
        <v>2486.6</v>
      </c>
      <c r="BR67" s="51">
        <f t="shared" si="169"/>
        <v>2730.8</v>
      </c>
      <c r="BS67" s="51">
        <f t="shared" si="169"/>
        <v>1683.3999999999976</v>
      </c>
      <c r="BT67" s="51">
        <f t="shared" si="169"/>
        <v>1460.1999999999987</v>
      </c>
      <c r="BU67" s="51">
        <f t="shared" si="169"/>
        <v>1422.399999999999</v>
      </c>
      <c r="BV67" s="51">
        <f t="shared" si="169"/>
        <v>2244.9999999999991</v>
      </c>
      <c r="BW67" s="51">
        <f t="shared" si="169"/>
        <v>1920.7000000000007</v>
      </c>
      <c r="BX67" s="51">
        <f t="shared" si="169"/>
        <v>1901.9999999999973</v>
      </c>
      <c r="BY67" s="51">
        <f t="shared" si="169"/>
        <v>1986.7999999999979</v>
      </c>
      <c r="BZ67" s="51">
        <f t="shared" si="169"/>
        <v>2320.9999999999995</v>
      </c>
      <c r="CA67" s="51">
        <f t="shared" si="169"/>
        <v>2812.2999999999993</v>
      </c>
      <c r="CB67" s="51">
        <f t="shared" si="169"/>
        <v>1890.9000000000017</v>
      </c>
      <c r="CC67" s="51">
        <f t="shared" si="169"/>
        <v>2197.1430000000009</v>
      </c>
      <c r="CD67" s="51">
        <f t="shared" si="169"/>
        <v>2327.0000000000014</v>
      </c>
      <c r="CE67" s="51">
        <f t="shared" si="169"/>
        <v>1689.0999999999983</v>
      </c>
      <c r="CF67" s="51">
        <f t="shared" si="169"/>
        <v>1806.9999999999989</v>
      </c>
      <c r="CG67" s="51">
        <f t="shared" si="169"/>
        <v>4217.0940000000001</v>
      </c>
      <c r="CH67" s="51">
        <f t="shared" si="169"/>
        <v>3086.1000000000004</v>
      </c>
      <c r="CI67" s="51">
        <f t="shared" si="169"/>
        <v>3537.0499999999984</v>
      </c>
      <c r="CJ67" s="51">
        <f t="shared" si="169"/>
        <v>3216.1649999999991</v>
      </c>
      <c r="CK67" s="51">
        <f t="shared" si="169"/>
        <v>4531.0949999999984</v>
      </c>
      <c r="CL67" s="51">
        <f t="shared" si="169"/>
        <v>3498.985999999999</v>
      </c>
      <c r="CP67" s="51">
        <f t="shared" ref="CP67:CU67" si="170">CP65+CP66</f>
        <v>3951</v>
      </c>
      <c r="CQ67" s="51">
        <f t="shared" si="170"/>
        <v>3541</v>
      </c>
      <c r="CR67" s="51">
        <f t="shared" si="170"/>
        <v>3590</v>
      </c>
      <c r="CS67" s="51">
        <f t="shared" si="170"/>
        <v>3939</v>
      </c>
      <c r="CT67" s="51">
        <f t="shared" si="170"/>
        <v>3966</v>
      </c>
      <c r="CU67" s="51">
        <f t="shared" si="170"/>
        <v>4601.4999999999982</v>
      </c>
      <c r="CV67" s="51">
        <f t="shared" ref="CV67" si="171">CV65+CV66</f>
        <v>6436.8340000000007</v>
      </c>
      <c r="CW67" s="51">
        <f t="shared" ref="CW67:DF67" si="172">CW65+CW66</f>
        <v>10156.499999999998</v>
      </c>
      <c r="CX67" s="51">
        <f t="shared" si="172"/>
        <v>5805.7999999999993</v>
      </c>
      <c r="CY67" s="51">
        <f t="shared" si="172"/>
        <v>5544.899999999996</v>
      </c>
      <c r="CZ67" s="51">
        <f t="shared" si="172"/>
        <v>5729.7000000000016</v>
      </c>
      <c r="DA67" s="51">
        <f t="shared" si="172"/>
        <v>4299.5999999999995</v>
      </c>
      <c r="DB67" s="51">
        <f t="shared" si="172"/>
        <v>-7137.8249999999998</v>
      </c>
      <c r="DC67" s="51">
        <f t="shared" si="172"/>
        <v>-5710.26</v>
      </c>
      <c r="DD67" s="51">
        <f t="shared" si="172"/>
        <v>0</v>
      </c>
      <c r="DE67" s="51">
        <f t="shared" si="172"/>
        <v>0</v>
      </c>
      <c r="DF67" s="51">
        <f t="shared" si="172"/>
        <v>4447.8000000000029</v>
      </c>
      <c r="DG67" s="51">
        <f t="shared" ref="DG67:DS67" si="173">DG65+DG66</f>
        <v>5784.8999999999978</v>
      </c>
      <c r="DH67" s="51">
        <f t="shared" si="173"/>
        <v>5789.4000000000015</v>
      </c>
      <c r="DI67" s="51">
        <f t="shared" si="173"/>
        <v>7137.6</v>
      </c>
      <c r="DJ67" s="51">
        <f t="shared" si="173"/>
        <v>8332.2999999999993</v>
      </c>
      <c r="DK67" s="51">
        <f t="shared" si="173"/>
        <v>9070.4430000000066</v>
      </c>
      <c r="DL67" s="51">
        <f t="shared" si="173"/>
        <v>10743.394000000002</v>
      </c>
      <c r="DM67" s="51">
        <f t="shared" si="173"/>
        <v>22267.994846000001</v>
      </c>
      <c r="DN67" s="51">
        <f t="shared" si="173"/>
        <v>18941.277984768003</v>
      </c>
      <c r="DO67" s="51">
        <f t="shared" si="173"/>
        <v>20542.170368646144</v>
      </c>
      <c r="DP67" s="51">
        <f t="shared" si="173"/>
        <v>21640.535821407317</v>
      </c>
      <c r="DQ67" s="51">
        <f t="shared" si="173"/>
        <v>23926.154479829096</v>
      </c>
      <c r="DR67" s="51">
        <f t="shared" si="173"/>
        <v>25690.297355090832</v>
      </c>
      <c r="DS67" s="51">
        <f t="shared" si="173"/>
        <v>20164.085127274768</v>
      </c>
    </row>
    <row r="68" spans="2:201" x14ac:dyDescent="0.15">
      <c r="B68" t="s">
        <v>82</v>
      </c>
      <c r="C68" s="51"/>
      <c r="D68" s="51"/>
      <c r="E68" s="51"/>
      <c r="F68" s="51"/>
      <c r="G68" s="51"/>
      <c r="H68" s="51"/>
      <c r="I68" s="51"/>
      <c r="J68" s="51">
        <v>230</v>
      </c>
      <c r="K68" s="51">
        <v>208</v>
      </c>
      <c r="L68" s="51">
        <v>205.3</v>
      </c>
      <c r="M68" s="51">
        <v>224.1</v>
      </c>
      <c r="N68" s="51">
        <v>195</v>
      </c>
      <c r="O68" s="51">
        <v>222</v>
      </c>
      <c r="P68" s="51">
        <v>219</v>
      </c>
      <c r="Q68" s="51">
        <v>220.6</v>
      </c>
      <c r="R68" s="51">
        <v>226.6</v>
      </c>
      <c r="S68" s="51">
        <v>257.60000000000002</v>
      </c>
      <c r="T68" s="51">
        <v>263.10000000000002</v>
      </c>
      <c r="U68" s="51">
        <v>263.3</v>
      </c>
      <c r="V68" s="51">
        <v>197.9</v>
      </c>
      <c r="W68" s="51">
        <v>-8</v>
      </c>
      <c r="X68" s="51">
        <v>247.5</v>
      </c>
      <c r="Y68" s="51">
        <v>320</v>
      </c>
      <c r="Z68" s="51">
        <v>295.89999999999998</v>
      </c>
      <c r="AA68" s="51">
        <v>370.3</v>
      </c>
      <c r="AB68" s="51">
        <v>346</v>
      </c>
      <c r="AC68" s="51">
        <v>127.7</v>
      </c>
      <c r="AD68" s="51">
        <v>265.7</v>
      </c>
      <c r="AE68" s="51">
        <v>486.4</v>
      </c>
      <c r="AF68" s="51">
        <v>387.6</v>
      </c>
      <c r="AG68" s="51">
        <v>368.4</v>
      </c>
      <c r="AH68" s="51">
        <v>240</v>
      </c>
      <c r="AI68" s="51">
        <v>363.3</v>
      </c>
      <c r="AJ68" s="51">
        <v>334</v>
      </c>
      <c r="AK68" s="51">
        <v>273.89999999999998</v>
      </c>
      <c r="AL68" s="51">
        <v>240.5</v>
      </c>
      <c r="AM68" s="51">
        <v>332.2</v>
      </c>
      <c r="AN68" s="51">
        <v>262.10000000000002</v>
      </c>
      <c r="AO68" s="51">
        <v>251.9</v>
      </c>
      <c r="AP68" s="51">
        <v>185.2</v>
      </c>
      <c r="AQ68" s="51">
        <v>403.1</v>
      </c>
      <c r="AR68" s="51">
        <v>308.7</v>
      </c>
      <c r="AS68" s="51">
        <v>310.3</v>
      </c>
      <c r="AT68" s="51">
        <v>182.4</v>
      </c>
      <c r="AU68" s="51">
        <v>162.9</v>
      </c>
      <c r="AV68" s="51">
        <v>206.9</v>
      </c>
      <c r="AW68" s="51">
        <v>154.9</v>
      </c>
      <c r="AX68" s="51">
        <v>85.1</v>
      </c>
      <c r="AY68" s="51">
        <v>88.4</v>
      </c>
      <c r="AZ68" s="51">
        <v>78.900000000000006</v>
      </c>
      <c r="BA68" s="51">
        <v>248.1</v>
      </c>
      <c r="BB68" s="51">
        <v>0</v>
      </c>
      <c r="BC68" s="51">
        <v>126.7</v>
      </c>
      <c r="BD68" s="51">
        <v>196.8</v>
      </c>
      <c r="BE68" s="51">
        <v>192.7</v>
      </c>
      <c r="BF68" s="51">
        <v>120.2</v>
      </c>
      <c r="BG68" s="51">
        <v>172</v>
      </c>
      <c r="BH68" s="51">
        <v>252.5</v>
      </c>
      <c r="BI68" s="51">
        <v>36</v>
      </c>
      <c r="BJ68" s="51">
        <v>0</v>
      </c>
      <c r="BK68" s="51">
        <v>223.6</v>
      </c>
      <c r="BL68" s="51">
        <v>264.7</v>
      </c>
      <c r="BM68" s="51">
        <v>261.5</v>
      </c>
      <c r="BN68" s="51">
        <v>0</v>
      </c>
      <c r="BO68" s="51">
        <v>183.4</v>
      </c>
      <c r="BP68" s="51">
        <v>154.5</v>
      </c>
      <c r="BQ68" s="51">
        <v>180.1</v>
      </c>
      <c r="BR68" s="51">
        <v>167.4</v>
      </c>
      <c r="BS68" s="51">
        <v>251.9</v>
      </c>
      <c r="BT68" s="51">
        <v>231.7</v>
      </c>
      <c r="BU68" s="51">
        <v>258.2</v>
      </c>
      <c r="BV68" s="51">
        <v>352.3</v>
      </c>
      <c r="BW68" s="51">
        <v>143.19999999999999</v>
      </c>
      <c r="BX68" s="51">
        <v>203.7</v>
      </c>
      <c r="BY68" s="51">
        <v>293.2</v>
      </c>
      <c r="BZ68" s="51">
        <v>113.8</v>
      </c>
      <c r="CA68" s="51">
        <v>273.8</v>
      </c>
      <c r="CB68" s="51">
        <v>187.2</v>
      </c>
      <c r="CC68" s="51">
        <f t="shared" ref="CC68:CH68" si="174">+CC67*0.1</f>
        <v>219.71430000000009</v>
      </c>
      <c r="CD68" s="51">
        <f t="shared" si="174"/>
        <v>232.70000000000016</v>
      </c>
      <c r="CE68" s="51">
        <v>184.8</v>
      </c>
      <c r="CF68" s="51">
        <v>325.7</v>
      </c>
      <c r="CG68" s="51">
        <f t="shared" si="174"/>
        <v>421.70940000000002</v>
      </c>
      <c r="CH68" s="51">
        <v>319.2</v>
      </c>
      <c r="CI68" s="51">
        <f>+CI67*0.15</f>
        <v>530.55749999999978</v>
      </c>
      <c r="CJ68" s="51">
        <f>+CJ67*0.15</f>
        <v>482.42474999999985</v>
      </c>
      <c r="CK68" s="51">
        <f>+CK67*0.15</f>
        <v>679.6642499999997</v>
      </c>
      <c r="CL68" s="51">
        <f>+CL67*0.15</f>
        <v>524.84789999999987</v>
      </c>
      <c r="CP68" s="51">
        <v>850</v>
      </c>
      <c r="CQ68" s="51">
        <v>779</v>
      </c>
      <c r="CR68" s="51">
        <v>788</v>
      </c>
      <c r="CS68" s="51">
        <v>866</v>
      </c>
      <c r="CT68" s="51">
        <v>832</v>
      </c>
      <c r="CU68" s="51">
        <v>912</v>
      </c>
      <c r="CV68" s="51">
        <f>CV67*0.22</f>
        <v>1416.1034800000002</v>
      </c>
      <c r="CW68" s="51">
        <f>SUM(W68:Z68)</f>
        <v>855.4</v>
      </c>
      <c r="CX68" s="51">
        <f>SUM(AA68:AD68)</f>
        <v>1109.7</v>
      </c>
      <c r="CY68" s="51">
        <f>SUM(AE68:AH68)</f>
        <v>1482.4</v>
      </c>
      <c r="CZ68" s="51">
        <f>SUM(AI68:AL68)</f>
        <v>1211.6999999999998</v>
      </c>
      <c r="DA68" s="51">
        <f>SUM(AM68:AP68)</f>
        <v>1031.3999999999999</v>
      </c>
      <c r="DB68" s="51">
        <f t="shared" ref="DB68:DD68" si="175">DB67*0.28</f>
        <v>-1998.5910000000001</v>
      </c>
      <c r="DC68" s="51">
        <f t="shared" si="175"/>
        <v>-1598.8728000000003</v>
      </c>
      <c r="DD68" s="51">
        <f t="shared" si="175"/>
        <v>0</v>
      </c>
      <c r="DE68" s="51"/>
      <c r="DF68" s="51"/>
      <c r="DG68" s="51"/>
      <c r="DH68" s="51"/>
      <c r="DI68" s="51"/>
      <c r="DJ68" s="51"/>
      <c r="DK68" s="49">
        <f t="shared" ref="DK68" si="176">SUM(CA68:CD68)</f>
        <v>913.41430000000025</v>
      </c>
      <c r="DL68" s="49">
        <f t="shared" ref="DL68" si="177">SUM(CE68:CH68)</f>
        <v>1251.4094</v>
      </c>
      <c r="DM68" s="51">
        <f>DM67*0.2</f>
        <v>4453.5989692000003</v>
      </c>
      <c r="DN68" s="51">
        <f t="shared" ref="DN68:DS68" si="178">DN67*0.2</f>
        <v>3788.2555969536006</v>
      </c>
      <c r="DO68" s="51">
        <f t="shared" si="178"/>
        <v>4108.4340737292287</v>
      </c>
      <c r="DP68" s="51">
        <f t="shared" si="178"/>
        <v>4328.1071642814632</v>
      </c>
      <c r="DQ68" s="51">
        <f t="shared" si="178"/>
        <v>4785.2308959658194</v>
      </c>
      <c r="DR68" s="51">
        <f t="shared" si="178"/>
        <v>5138.0594710181667</v>
      </c>
      <c r="DS68" s="51">
        <f t="shared" si="178"/>
        <v>4032.8170254549536</v>
      </c>
    </row>
    <row r="69" spans="2:201" x14ac:dyDescent="0.15">
      <c r="B69" t="s">
        <v>83</v>
      </c>
      <c r="C69" s="51"/>
      <c r="D69" s="51"/>
      <c r="E69" s="51"/>
      <c r="F69" s="51"/>
      <c r="G69" s="51"/>
      <c r="H69" s="51"/>
      <c r="I69" s="51"/>
      <c r="J69" s="51">
        <f t="shared" ref="J69:T69" si="179">J67-J68</f>
        <v>490.20000000000039</v>
      </c>
      <c r="K69" s="51">
        <f t="shared" si="179"/>
        <v>449.43663366336614</v>
      </c>
      <c r="L69" s="51">
        <f t="shared" si="179"/>
        <v>225.90000000000026</v>
      </c>
      <c r="M69" s="51">
        <f t="shared" si="179"/>
        <v>357.43333333333328</v>
      </c>
      <c r="N69" s="51">
        <f t="shared" si="179"/>
        <v>447.30000000000041</v>
      </c>
      <c r="O69" s="51">
        <f t="shared" si="179"/>
        <v>347.20000000000027</v>
      </c>
      <c r="P69" s="51">
        <f t="shared" si="179"/>
        <v>377</v>
      </c>
      <c r="Q69" s="51">
        <f t="shared" si="179"/>
        <v>477.00000000000011</v>
      </c>
      <c r="R69" s="51">
        <f t="shared" si="179"/>
        <v>2114.1000000000008</v>
      </c>
      <c r="S69" s="51">
        <f t="shared" si="179"/>
        <v>923.19999999999993</v>
      </c>
      <c r="T69" s="51">
        <f t="shared" si="179"/>
        <v>554.5</v>
      </c>
      <c r="U69" s="51">
        <f t="shared" ref="U69:Z69" si="180">U67-U68</f>
        <v>2308.8999999999987</v>
      </c>
      <c r="V69" s="51">
        <f t="shared" si="180"/>
        <v>2517.7000000000003</v>
      </c>
      <c r="W69" s="51">
        <f t="shared" si="180"/>
        <v>2731.2000000000012</v>
      </c>
      <c r="X69" s="51">
        <f t="shared" si="180"/>
        <v>2635.7999999999988</v>
      </c>
      <c r="Y69" s="51">
        <f t="shared" si="180"/>
        <v>2722.0000000000009</v>
      </c>
      <c r="Z69" s="51">
        <f t="shared" si="180"/>
        <v>1212.0999999999999</v>
      </c>
      <c r="AA69" s="51">
        <f t="shared" ref="AA69:AF69" si="181">AA67-AA68</f>
        <v>1157.9000000000001</v>
      </c>
      <c r="AB69" s="51">
        <f t="shared" si="181"/>
        <v>1047.4000000000001</v>
      </c>
      <c r="AC69" s="51">
        <f t="shared" si="181"/>
        <v>1491.6000000000006</v>
      </c>
      <c r="AD69" s="51">
        <f t="shared" si="181"/>
        <v>999.19999999999982</v>
      </c>
      <c r="AE69" s="51">
        <f t="shared" si="181"/>
        <v>1297.5999999999999</v>
      </c>
      <c r="AF69" s="51">
        <f t="shared" si="181"/>
        <v>1357.7999999999997</v>
      </c>
      <c r="AG69" s="51">
        <f t="shared" ref="AG69:AM69" si="182">AG67-AG68</f>
        <v>1340.6999999999998</v>
      </c>
      <c r="AH69" s="51">
        <f t="shared" si="182"/>
        <v>1248.8000000000006</v>
      </c>
      <c r="AI69" s="51">
        <f>AI67-AI68</f>
        <v>1374.9000000000005</v>
      </c>
      <c r="AJ69" s="51">
        <f>AJ67-AJ68</f>
        <v>1329.5999999999985</v>
      </c>
      <c r="AK69" s="51">
        <f>AK67-AK68</f>
        <v>1254</v>
      </c>
      <c r="AL69" s="51">
        <f t="shared" si="182"/>
        <v>969.60000000000059</v>
      </c>
      <c r="AM69" s="51">
        <f t="shared" si="182"/>
        <v>1027.3</v>
      </c>
      <c r="AN69" s="51">
        <f t="shared" ref="AN69:AP69" si="183">AN67-AN68</f>
        <v>923.39999999999907</v>
      </c>
      <c r="AO69" s="51">
        <f t="shared" si="183"/>
        <v>887.49999999999989</v>
      </c>
      <c r="AP69" s="51">
        <f t="shared" si="183"/>
        <v>1031.2</v>
      </c>
      <c r="AQ69" s="51">
        <f t="shared" ref="AQ69:AU69" si="184">AQ67-AQ68</f>
        <v>1074.2999999999997</v>
      </c>
      <c r="AR69" s="51">
        <f t="shared" si="184"/>
        <v>1269.7</v>
      </c>
      <c r="AS69" s="51">
        <f t="shared" si="184"/>
        <v>1203.0999999999999</v>
      </c>
      <c r="AT69" s="51">
        <f>AT67-AT68</f>
        <v>820.00000000000023</v>
      </c>
      <c r="AU69" s="51">
        <f t="shared" si="184"/>
        <v>647.30000000000075</v>
      </c>
      <c r="AV69" s="51">
        <f t="shared" ref="AV69:AW69" si="185">AV67-AV68</f>
        <v>625.90000000000043</v>
      </c>
      <c r="AW69" s="51">
        <f t="shared" si="185"/>
        <v>444.9000000000002</v>
      </c>
      <c r="AX69" s="51">
        <f t="shared" ref="AX69" si="186">AX67-AX68</f>
        <v>660.29999999999984</v>
      </c>
      <c r="AY69" s="51">
        <f t="shared" ref="AY69:AZ69" si="187">AY67-AY68</f>
        <v>708.0999999999998</v>
      </c>
      <c r="AZ69" s="51">
        <f t="shared" si="187"/>
        <v>1184.2999999999995</v>
      </c>
      <c r="BA69" s="51">
        <f t="shared" ref="BA69:BB69" si="188">BA67-BA68</f>
        <v>669.09999999999934</v>
      </c>
      <c r="BB69" s="51">
        <f t="shared" si="188"/>
        <v>699.10000000000014</v>
      </c>
      <c r="BC69" s="51">
        <f t="shared" ref="BC69:BD69" si="189">BC67-BC68</f>
        <v>869.50000000000023</v>
      </c>
      <c r="BD69" s="51">
        <f t="shared" si="189"/>
        <v>929.89999999999964</v>
      </c>
      <c r="BE69" s="51">
        <f t="shared" ref="BE69:BF69" si="190">BE67-BE68</f>
        <v>769.09999999999945</v>
      </c>
      <c r="BF69" s="51">
        <f t="shared" si="190"/>
        <v>917.80000000000018</v>
      </c>
      <c r="BG69" s="51">
        <f t="shared" ref="BG69:BH69" si="191">BG67-BG68</f>
        <v>804.10000000000014</v>
      </c>
      <c r="BH69" s="51">
        <f t="shared" si="191"/>
        <v>937.20000000000027</v>
      </c>
      <c r="BI69" s="51">
        <f t="shared" ref="BI69:BJ69" si="192">BI67-BI68</f>
        <v>1067.2999999999997</v>
      </c>
      <c r="BJ69" s="51">
        <f t="shared" si="192"/>
        <v>1113.4999999999991</v>
      </c>
      <c r="BK69" s="51">
        <f t="shared" ref="BK69:BL69" si="193">BK67-BK68</f>
        <v>1160.6999999999998</v>
      </c>
      <c r="BL69" s="51">
        <f t="shared" si="193"/>
        <v>1362.9999999999998</v>
      </c>
      <c r="BM69" s="51">
        <f t="shared" ref="BM69:BN69" si="194">BM67-BM68</f>
        <v>1293.5999999999999</v>
      </c>
      <c r="BN69" s="51">
        <f t="shared" si="194"/>
        <v>1544.9000000000003</v>
      </c>
      <c r="BO69" s="51">
        <f t="shared" ref="BO69:CA69" si="195">BO67-BO68</f>
        <v>1974.3999999999992</v>
      </c>
      <c r="BP69" s="51">
        <f t="shared" si="195"/>
        <v>2357.4000000000005</v>
      </c>
      <c r="BQ69" s="51">
        <f t="shared" si="195"/>
        <v>2306.5</v>
      </c>
      <c r="BR69" s="51">
        <f t="shared" si="195"/>
        <v>2563.4</v>
      </c>
      <c r="BS69" s="51">
        <f t="shared" si="195"/>
        <v>1431.4999999999975</v>
      </c>
      <c r="BT69" s="51">
        <f t="shared" si="195"/>
        <v>1228.4999999999986</v>
      </c>
      <c r="BU69" s="51">
        <f t="shared" si="195"/>
        <v>1164.1999999999989</v>
      </c>
      <c r="BV69" s="51">
        <f t="shared" si="195"/>
        <v>1892.6999999999991</v>
      </c>
      <c r="BW69" s="51">
        <f t="shared" si="195"/>
        <v>1777.5000000000007</v>
      </c>
      <c r="BX69" s="51">
        <f t="shared" si="195"/>
        <v>1698.2999999999972</v>
      </c>
      <c r="BY69" s="51">
        <f t="shared" si="195"/>
        <v>1693.5999999999979</v>
      </c>
      <c r="BZ69" s="51">
        <f t="shared" si="195"/>
        <v>2207.1999999999994</v>
      </c>
      <c r="CA69" s="51">
        <f t="shared" si="195"/>
        <v>2538.4999999999991</v>
      </c>
      <c r="CB69" s="51">
        <f>+CB67-CB68</f>
        <v>1703.7000000000016</v>
      </c>
      <c r="CC69" s="51">
        <f t="shared" ref="CC69:CL69" si="196">+CC67-CC68</f>
        <v>1977.4287000000008</v>
      </c>
      <c r="CD69" s="51">
        <f t="shared" si="196"/>
        <v>2094.3000000000011</v>
      </c>
      <c r="CE69" s="51">
        <f t="shared" si="196"/>
        <v>1504.2999999999984</v>
      </c>
      <c r="CF69" s="51">
        <f t="shared" si="196"/>
        <v>1481.2999999999988</v>
      </c>
      <c r="CG69" s="51">
        <f t="shared" si="196"/>
        <v>3795.3845999999999</v>
      </c>
      <c r="CH69" s="51">
        <f t="shared" si="196"/>
        <v>2766.9000000000005</v>
      </c>
      <c r="CI69" s="51">
        <f t="shared" si="196"/>
        <v>3006.4924999999985</v>
      </c>
      <c r="CJ69" s="51">
        <f t="shared" si="196"/>
        <v>2733.7402499999994</v>
      </c>
      <c r="CK69" s="51">
        <f t="shared" si="196"/>
        <v>3851.4307499999986</v>
      </c>
      <c r="CL69" s="51">
        <f t="shared" si="196"/>
        <v>2974.1380999999992</v>
      </c>
      <c r="CP69" s="51">
        <f t="shared" ref="CP69:CV69" si="197">CP67-CP68</f>
        <v>3101</v>
      </c>
      <c r="CQ69" s="51">
        <f t="shared" si="197"/>
        <v>2762</v>
      </c>
      <c r="CR69" s="51">
        <f t="shared" si="197"/>
        <v>2802</v>
      </c>
      <c r="CS69" s="51">
        <f t="shared" si="197"/>
        <v>3073</v>
      </c>
      <c r="CT69" s="51">
        <f t="shared" si="197"/>
        <v>3134</v>
      </c>
      <c r="CU69" s="51">
        <f t="shared" si="197"/>
        <v>3689.4999999999982</v>
      </c>
      <c r="CV69" s="51">
        <f t="shared" si="197"/>
        <v>5020.730520000001</v>
      </c>
      <c r="CW69" s="51">
        <f>CW67-CW68</f>
        <v>9301.0999999999985</v>
      </c>
      <c r="CX69" s="51">
        <f>CX67-CX68</f>
        <v>4696.0999999999995</v>
      </c>
      <c r="CY69" s="51">
        <f>CY67-CY68</f>
        <v>4062.4999999999959</v>
      </c>
      <c r="CZ69" s="51">
        <f>CZ67-CZ68</f>
        <v>4518.0000000000018</v>
      </c>
      <c r="DA69" s="51">
        <f t="shared" ref="DA69:DD69" si="198">DA67-DA68</f>
        <v>3268.2</v>
      </c>
      <c r="DB69" s="51">
        <f t="shared" si="198"/>
        <v>-5139.2339999999995</v>
      </c>
      <c r="DC69" s="51">
        <f t="shared" si="198"/>
        <v>-4111.3872000000001</v>
      </c>
      <c r="DD69" s="51">
        <f t="shared" si="198"/>
        <v>0</v>
      </c>
      <c r="DE69" s="51">
        <f>DE67-DE68</f>
        <v>0</v>
      </c>
      <c r="DF69" s="51">
        <f>DF67-DF68</f>
        <v>4447.8000000000029</v>
      </c>
      <c r="DG69" s="51">
        <f t="shared" ref="DG69:DJ69" si="199">DG67-DG68</f>
        <v>5784.8999999999978</v>
      </c>
      <c r="DH69" s="51">
        <f t="shared" si="199"/>
        <v>5789.4000000000015</v>
      </c>
      <c r="DI69" s="51">
        <f t="shared" si="199"/>
        <v>7137.6</v>
      </c>
      <c r="DJ69" s="51">
        <f t="shared" si="199"/>
        <v>8332.2999999999993</v>
      </c>
      <c r="DK69" s="51">
        <f>+DK67-DK68</f>
        <v>8157.0287000000062</v>
      </c>
      <c r="DL69" s="51">
        <f t="shared" ref="DL69:DQ69" si="200">+DL67-DL68</f>
        <v>9491.9846000000016</v>
      </c>
      <c r="DM69" s="51">
        <f t="shared" si="200"/>
        <v>17814.395876800001</v>
      </c>
      <c r="DN69" s="51">
        <f t="shared" si="200"/>
        <v>15153.022387814402</v>
      </c>
      <c r="DO69" s="51">
        <f t="shared" si="200"/>
        <v>16433.736294916915</v>
      </c>
      <c r="DP69" s="51">
        <f t="shared" si="200"/>
        <v>17312.428657125853</v>
      </c>
      <c r="DQ69" s="51">
        <f t="shared" si="200"/>
        <v>19140.923583863278</v>
      </c>
      <c r="DR69" s="51">
        <f>+DR67-DR68</f>
        <v>20552.237884072667</v>
      </c>
      <c r="DS69" s="51">
        <f>+DS67-DS68</f>
        <v>16131.268101819815</v>
      </c>
      <c r="DT69" s="54">
        <f>+DS69*(1+$DU$84)</f>
        <v>15969.955420801616</v>
      </c>
      <c r="DU69" s="54">
        <f t="shared" ref="DU69:GF69" si="201">+DT69*(1+$DU$84)</f>
        <v>15810.255866593599</v>
      </c>
      <c r="DV69" s="54">
        <f t="shared" si="201"/>
        <v>15652.153307927663</v>
      </c>
      <c r="DW69" s="54">
        <f t="shared" si="201"/>
        <v>15495.631774848387</v>
      </c>
      <c r="DX69" s="54">
        <f t="shared" si="201"/>
        <v>15340.675457099904</v>
      </c>
      <c r="DY69" s="54">
        <f t="shared" si="201"/>
        <v>15187.268702528905</v>
      </c>
      <c r="DZ69" s="54">
        <f t="shared" si="201"/>
        <v>15035.396015503617</v>
      </c>
      <c r="EA69" s="54">
        <f t="shared" si="201"/>
        <v>14885.04205534858</v>
      </c>
      <c r="EB69" s="54">
        <f t="shared" si="201"/>
        <v>14736.191634795094</v>
      </c>
      <c r="EC69" s="54">
        <f t="shared" si="201"/>
        <v>14588.829718447143</v>
      </c>
      <c r="ED69" s="54">
        <f t="shared" si="201"/>
        <v>14442.941421262671</v>
      </c>
      <c r="EE69" s="54">
        <f t="shared" si="201"/>
        <v>14298.512007050043</v>
      </c>
      <c r="EF69" s="54">
        <f t="shared" si="201"/>
        <v>14155.526886979544</v>
      </c>
      <c r="EG69" s="54">
        <f t="shared" si="201"/>
        <v>14013.971618109748</v>
      </c>
      <c r="EH69" s="54">
        <f t="shared" si="201"/>
        <v>13873.83190192865</v>
      </c>
      <c r="EI69" s="54">
        <f t="shared" si="201"/>
        <v>13735.093582909363</v>
      </c>
      <c r="EJ69" s="54">
        <f t="shared" si="201"/>
        <v>13597.742647080269</v>
      </c>
      <c r="EK69" s="54">
        <f t="shared" si="201"/>
        <v>13461.765220609466</v>
      </c>
      <c r="EL69" s="54">
        <f t="shared" si="201"/>
        <v>13327.147568403372</v>
      </c>
      <c r="EM69" s="54">
        <f t="shared" si="201"/>
        <v>13193.876092719338</v>
      </c>
      <c r="EN69" s="54">
        <f t="shared" si="201"/>
        <v>13061.937331792144</v>
      </c>
      <c r="EO69" s="54">
        <f t="shared" si="201"/>
        <v>12931.317958474223</v>
      </c>
      <c r="EP69" s="54">
        <f t="shared" si="201"/>
        <v>12802.004778889481</v>
      </c>
      <c r="EQ69" s="54">
        <f t="shared" si="201"/>
        <v>12673.984731100585</v>
      </c>
      <c r="ER69" s="54">
        <f t="shared" si="201"/>
        <v>12547.244883789579</v>
      </c>
      <c r="ES69" s="54">
        <f t="shared" si="201"/>
        <v>12421.772434951683</v>
      </c>
      <c r="ET69" s="54">
        <f t="shared" si="201"/>
        <v>12297.554710602166</v>
      </c>
      <c r="EU69" s="54">
        <f t="shared" si="201"/>
        <v>12174.579163496144</v>
      </c>
      <c r="EV69" s="54">
        <f t="shared" si="201"/>
        <v>12052.833371861183</v>
      </c>
      <c r="EW69" s="54">
        <f t="shared" si="201"/>
        <v>11932.305038142571</v>
      </c>
      <c r="EX69" s="54">
        <f t="shared" si="201"/>
        <v>11812.981987761144</v>
      </c>
      <c r="EY69" s="54">
        <f t="shared" si="201"/>
        <v>11694.852167883533</v>
      </c>
      <c r="EZ69" s="54">
        <f t="shared" si="201"/>
        <v>11577.903646204697</v>
      </c>
      <c r="FA69" s="54">
        <f t="shared" si="201"/>
        <v>11462.12460974265</v>
      </c>
      <c r="FB69" s="54">
        <f t="shared" si="201"/>
        <v>11347.503363645223</v>
      </c>
      <c r="FC69" s="54">
        <f t="shared" si="201"/>
        <v>11234.02833000877</v>
      </c>
      <c r="FD69" s="54">
        <f t="shared" si="201"/>
        <v>11121.688046708683</v>
      </c>
      <c r="FE69" s="54">
        <f t="shared" si="201"/>
        <v>11010.471166241596</v>
      </c>
      <c r="FF69" s="54">
        <f t="shared" si="201"/>
        <v>10900.36645457918</v>
      </c>
      <c r="FG69" s="54">
        <f t="shared" si="201"/>
        <v>10791.362790033389</v>
      </c>
      <c r="FH69" s="54">
        <f t="shared" si="201"/>
        <v>10683.449162133054</v>
      </c>
      <c r="FI69" s="54">
        <f t="shared" si="201"/>
        <v>10576.614670511724</v>
      </c>
      <c r="FJ69" s="54">
        <f t="shared" si="201"/>
        <v>10470.848523806608</v>
      </c>
      <c r="FK69" s="54">
        <f t="shared" si="201"/>
        <v>10366.140038568541</v>
      </c>
      <c r="FL69" s="54">
        <f t="shared" si="201"/>
        <v>10262.478638182856</v>
      </c>
      <c r="FM69" s="54">
        <f t="shared" si="201"/>
        <v>10159.853851801028</v>
      </c>
      <c r="FN69" s="54">
        <f t="shared" si="201"/>
        <v>10058.255313283018</v>
      </c>
      <c r="FO69" s="54">
        <f t="shared" si="201"/>
        <v>9957.672760150188</v>
      </c>
      <c r="FP69" s="54">
        <f t="shared" si="201"/>
        <v>9858.0960325486867</v>
      </c>
      <c r="FQ69" s="54">
        <f t="shared" si="201"/>
        <v>9759.5150722231992</v>
      </c>
      <c r="FR69" s="54">
        <f t="shared" si="201"/>
        <v>9661.9199215009667</v>
      </c>
      <c r="FS69" s="54">
        <f t="shared" si="201"/>
        <v>9565.3007222859578</v>
      </c>
      <c r="FT69" s="54">
        <f t="shared" si="201"/>
        <v>9469.6477150630981</v>
      </c>
      <c r="FU69" s="54">
        <f t="shared" si="201"/>
        <v>9374.9512379124662</v>
      </c>
      <c r="FV69" s="54">
        <f t="shared" si="201"/>
        <v>9281.2017255333412</v>
      </c>
      <c r="FW69" s="54">
        <f t="shared" si="201"/>
        <v>9188.3897082780077</v>
      </c>
      <c r="FX69" s="54">
        <f t="shared" si="201"/>
        <v>9096.5058111952276</v>
      </c>
      <c r="FY69" s="54">
        <f t="shared" si="201"/>
        <v>9005.5407530832745</v>
      </c>
      <c r="FZ69" s="54">
        <f t="shared" si="201"/>
        <v>8915.4853455524408</v>
      </c>
      <c r="GA69" s="54">
        <f t="shared" si="201"/>
        <v>8826.3304920969167</v>
      </c>
      <c r="GB69" s="54">
        <f t="shared" si="201"/>
        <v>8738.0671871759478</v>
      </c>
      <c r="GC69" s="54">
        <f t="shared" si="201"/>
        <v>8650.686515304189</v>
      </c>
      <c r="GD69" s="54">
        <f t="shared" si="201"/>
        <v>8564.1796501511471</v>
      </c>
      <c r="GE69" s="54">
        <f t="shared" si="201"/>
        <v>8478.5378536496355</v>
      </c>
      <c r="GF69" s="54">
        <f t="shared" si="201"/>
        <v>8393.7524751131386</v>
      </c>
      <c r="GG69" s="54">
        <f t="shared" ref="GG69:GS69" si="202">+GF69*(1+$DU$84)</f>
        <v>8309.8149503620079</v>
      </c>
      <c r="GH69" s="54">
        <f t="shared" si="202"/>
        <v>8226.7168008583885</v>
      </c>
      <c r="GI69" s="54">
        <f t="shared" si="202"/>
        <v>8144.4496328498044</v>
      </c>
      <c r="GJ69" s="54">
        <f t="shared" si="202"/>
        <v>8063.0051365213067</v>
      </c>
      <c r="GK69" s="54">
        <f t="shared" si="202"/>
        <v>7982.3750851560935</v>
      </c>
      <c r="GL69" s="54">
        <f t="shared" si="202"/>
        <v>7902.5513343045322</v>
      </c>
      <c r="GM69" s="54">
        <f t="shared" si="202"/>
        <v>7823.5258209614867</v>
      </c>
      <c r="GN69" s="54">
        <f t="shared" si="202"/>
        <v>7745.2905627518721</v>
      </c>
      <c r="GO69" s="54">
        <f t="shared" si="202"/>
        <v>7667.8376571243534</v>
      </c>
      <c r="GP69" s="54">
        <f t="shared" si="202"/>
        <v>7591.15928055311</v>
      </c>
      <c r="GQ69" s="54">
        <f t="shared" si="202"/>
        <v>7515.2476877475792</v>
      </c>
      <c r="GR69" s="54">
        <f t="shared" si="202"/>
        <v>7440.0952108701031</v>
      </c>
      <c r="GS69" s="54">
        <f t="shared" si="202"/>
        <v>7365.6942587614021</v>
      </c>
    </row>
    <row r="70" spans="2:201" s="58" customFormat="1" x14ac:dyDescent="0.15">
      <c r="B70" s="58" t="s">
        <v>56</v>
      </c>
      <c r="C70" s="59"/>
      <c r="D70" s="59"/>
      <c r="E70" s="59"/>
      <c r="F70" s="59"/>
      <c r="G70" s="59"/>
      <c r="H70" s="59"/>
      <c r="I70" s="59"/>
      <c r="J70" s="59">
        <f t="shared" ref="J70:S70" si="203">J69/J71</f>
        <v>0.4500550863018733</v>
      </c>
      <c r="K70" s="59">
        <f t="shared" si="203"/>
        <v>0.41270581603614886</v>
      </c>
      <c r="L70" s="59">
        <f t="shared" si="203"/>
        <v>0.20724770642201859</v>
      </c>
      <c r="M70" s="59">
        <f t="shared" si="203"/>
        <v>0.32761992056217532</v>
      </c>
      <c r="N70" s="59">
        <f t="shared" si="203"/>
        <v>0.40905349794238721</v>
      </c>
      <c r="O70" s="59">
        <f t="shared" si="203"/>
        <v>0.31941122355105822</v>
      </c>
      <c r="P70" s="59">
        <f t="shared" si="203"/>
        <v>0.34736939095181057</v>
      </c>
      <c r="Q70" s="59">
        <f t="shared" si="203"/>
        <v>0.43905995147329013</v>
      </c>
      <c r="R70" s="59">
        <f t="shared" si="203"/>
        <v>1.9411494109340131</v>
      </c>
      <c r="S70" s="59">
        <f t="shared" si="203"/>
        <v>0.84706650921799576</v>
      </c>
      <c r="T70" s="59">
        <f t="shared" ref="T70:Z70" si="204">T69/T71</f>
        <v>0.50877207469820052</v>
      </c>
      <c r="U70" s="59">
        <f t="shared" si="204"/>
        <v>2.117813888471034</v>
      </c>
      <c r="V70" s="59">
        <f t="shared" si="204"/>
        <v>2.3042440483381479</v>
      </c>
      <c r="W70" s="59">
        <f t="shared" si="204"/>
        <v>2.4963987218204564</v>
      </c>
      <c r="X70" s="59">
        <f t="shared" si="204"/>
        <v>2.4096936275406082</v>
      </c>
      <c r="Y70" s="59">
        <f t="shared" si="204"/>
        <v>2.4881693125175399</v>
      </c>
      <c r="Z70" s="59">
        <f t="shared" si="204"/>
        <v>1.1054354299305693</v>
      </c>
      <c r="AA70" s="59">
        <f t="shared" ref="AA70:AF70" si="205">AA69/AA71</f>
        <v>1.0552687795737732</v>
      </c>
      <c r="AB70" s="59">
        <f t="shared" si="205"/>
        <v>0.95460042854031091</v>
      </c>
      <c r="AC70" s="59">
        <f t="shared" si="205"/>
        <v>1.3588746375286636</v>
      </c>
      <c r="AD70" s="59">
        <f t="shared" si="205"/>
        <v>0.90717029507547786</v>
      </c>
      <c r="AE70" s="59">
        <f t="shared" si="205"/>
        <v>1.1759950553105565</v>
      </c>
      <c r="AF70" s="59">
        <f t="shared" si="205"/>
        <v>1.2301063501137424</v>
      </c>
      <c r="AG70" s="59">
        <f>AG69/AG71</f>
        <v>1.2130858000104956</v>
      </c>
      <c r="AH70" s="59">
        <f>AH69/AH71</f>
        <v>1.1256930791689996</v>
      </c>
      <c r="AI70" s="59">
        <f>+AI69/AI71</f>
        <v>1.236420863309353</v>
      </c>
      <c r="AJ70" s="59">
        <f t="shared" ref="AJ70:AP70" si="206">AJ69/AJ71</f>
        <v>1.1491789109766626</v>
      </c>
      <c r="AK70" s="59">
        <f t="shared" si="206"/>
        <v>1.125833938596263</v>
      </c>
      <c r="AL70" s="59">
        <f t="shared" si="206"/>
        <v>0.86959641255605435</v>
      </c>
      <c r="AM70" s="59">
        <f t="shared" si="206"/>
        <v>0.91970961062075252</v>
      </c>
      <c r="AN70" s="59">
        <f t="shared" si="206"/>
        <v>0.82593917710196696</v>
      </c>
      <c r="AO70" s="59">
        <f t="shared" si="206"/>
        <v>0.79266479166089832</v>
      </c>
      <c r="AP70" s="59">
        <f t="shared" si="206"/>
        <v>0.92577297374941636</v>
      </c>
      <c r="AQ70" s="59">
        <f t="shared" ref="AQ70:AU70" si="207">AQ69/AQ71</f>
        <v>0.98390293403280205</v>
      </c>
      <c r="AR70" s="59">
        <f t="shared" si="207"/>
        <v>1.1712699843271033</v>
      </c>
      <c r="AS70" s="59">
        <f t="shared" si="207"/>
        <v>1.1096077774918676</v>
      </c>
      <c r="AT70" s="59">
        <f t="shared" si="207"/>
        <v>0.75997983273029257</v>
      </c>
      <c r="AU70" s="59">
        <f t="shared" si="207"/>
        <v>0.60167163024847725</v>
      </c>
      <c r="AV70" s="59">
        <f t="shared" ref="AV70:AW70" si="208">AV69/AV71</f>
        <v>0.58146556449260467</v>
      </c>
      <c r="AW70" s="59">
        <f t="shared" si="208"/>
        <v>0.41409698190408312</v>
      </c>
      <c r="AX70" s="59">
        <f t="shared" ref="AX70" si="209">AX69/AX71</f>
        <v>0.61722567202630041</v>
      </c>
      <c r="AY70" s="59">
        <f t="shared" ref="AY70:AZ70" si="210">AY69/AY71</f>
        <v>0.66361397366161945</v>
      </c>
      <c r="AZ70" s="59">
        <f t="shared" si="210"/>
        <v>1.1114093304704269</v>
      </c>
      <c r="BA70" s="59">
        <f t="shared" ref="BA70:BB70" si="211">BA69/BA71</f>
        <v>0.62816912780157641</v>
      </c>
      <c r="BB70" s="59">
        <f t="shared" si="211"/>
        <v>0.65649788288588629</v>
      </c>
      <c r="BC70" s="59">
        <f t="shared" ref="BC70:BD70" si="212">BC69/BC71</f>
        <v>0.81791030736307424</v>
      </c>
      <c r="BD70" s="59">
        <f t="shared" si="212"/>
        <v>0.87719546488340971</v>
      </c>
      <c r="BE70" s="59">
        <f t="shared" ref="BE70:BF70" si="213">BE69/BE71</f>
        <v>0.72502842232080689</v>
      </c>
      <c r="BF70" s="59">
        <f t="shared" si="213"/>
        <v>0.86462715897721909</v>
      </c>
      <c r="BG70" s="59">
        <f t="shared" ref="BG70:BH70" si="214">BG69/BG71</f>
        <v>0.76123774739516781</v>
      </c>
      <c r="BH70" s="59">
        <f t="shared" si="214"/>
        <v>0.88656809603541764</v>
      </c>
      <c r="BI70" s="59">
        <f t="shared" ref="BI70:BJ70" si="215">BI69/BI71</f>
        <v>1.0106768305674578</v>
      </c>
      <c r="BJ70" s="59">
        <f t="shared" si="215"/>
        <v>1.0593754489382929</v>
      </c>
      <c r="BK70" s="59">
        <f t="shared" ref="BK70:BL70" si="216">BK69/BK71</f>
        <v>1.10559809647003</v>
      </c>
      <c r="BL70" s="59">
        <f t="shared" si="216"/>
        <v>1.3230312266431112</v>
      </c>
      <c r="BM70" s="59">
        <f t="shared" ref="BM70:BN70" si="217">BM69/BM71</f>
        <v>1.2604526170761319</v>
      </c>
      <c r="BN70" s="59">
        <f t="shared" si="217"/>
        <v>1.5171587522157357</v>
      </c>
      <c r="BO70" s="59">
        <f t="shared" ref="BO70:CI70" si="218">BO69/BO71</f>
        <v>2.0065020259125745</v>
      </c>
      <c r="BP70" s="59">
        <f t="shared" si="218"/>
        <v>2.5495603646864158</v>
      </c>
      <c r="BQ70" s="59">
        <f t="shared" si="218"/>
        <v>2.5112852685055542</v>
      </c>
      <c r="BR70" s="59">
        <f t="shared" si="218"/>
        <v>2.8025162953520257</v>
      </c>
      <c r="BS70" s="59">
        <f t="shared" si="218"/>
        <v>1.5701212991368967</v>
      </c>
      <c r="BT70" s="59">
        <f t="shared" si="218"/>
        <v>1.3486809603794077</v>
      </c>
      <c r="BU70" s="59">
        <f t="shared" si="218"/>
        <v>1.2773432314084667</v>
      </c>
      <c r="BV70" s="59">
        <f t="shared" si="218"/>
        <v>2.0739849505419174</v>
      </c>
      <c r="BW70" s="59">
        <f t="shared" si="218"/>
        <v>1.9481587023235432</v>
      </c>
      <c r="BX70" s="59">
        <f t="shared" si="218"/>
        <v>1.8654765461607379</v>
      </c>
      <c r="BY70" s="59">
        <f t="shared" si="218"/>
        <v>1.8595642497235774</v>
      </c>
      <c r="BZ70" s="59">
        <f t="shared" si="218"/>
        <v>2.4266811792579883</v>
      </c>
      <c r="CA70" s="59">
        <f t="shared" si="218"/>
        <v>2.8006398940864949</v>
      </c>
      <c r="CB70" s="59">
        <f t="shared" si="218"/>
        <v>1.8868363346401771</v>
      </c>
      <c r="CC70" s="59">
        <f t="shared" si="218"/>
        <v>2.1899890358163341</v>
      </c>
      <c r="CD70" s="59">
        <f t="shared" si="218"/>
        <v>2.3148291427737728</v>
      </c>
      <c r="CE70" s="59">
        <f t="shared" si="218"/>
        <v>1.6653695464212195</v>
      </c>
      <c r="CF70" s="59">
        <f t="shared" si="218"/>
        <v>1.6409678087601725</v>
      </c>
      <c r="CG70" s="59">
        <f t="shared" si="218"/>
        <v>4.204485216002233</v>
      </c>
      <c r="CH70" s="59">
        <f t="shared" si="218"/>
        <v>3.0607978052611791</v>
      </c>
      <c r="CI70" s="59">
        <f t="shared" si="218"/>
        <v>3.3258396203455809</v>
      </c>
      <c r="CJ70" s="59">
        <f t="shared" ref="CJ70:CL70" si="219">CJ69/CJ71</f>
        <v>3.0241158543330595</v>
      </c>
      <c r="CK70" s="59">
        <f t="shared" si="219"/>
        <v>4.2605265050111711</v>
      </c>
      <c r="CL70" s="59">
        <f t="shared" si="219"/>
        <v>3.2900485630213048</v>
      </c>
      <c r="CP70" s="59">
        <f t="shared" ref="CP70:CU70" si="220">CP69/CP71</f>
        <v>2.842346471127406</v>
      </c>
      <c r="CQ70" s="59">
        <f t="shared" si="220"/>
        <v>2.5456221198156683</v>
      </c>
      <c r="CR70" s="59">
        <f t="shared" si="220"/>
        <v>2.5920444033302497</v>
      </c>
      <c r="CS70" s="59">
        <f t="shared" si="220"/>
        <v>2.8218549127640036</v>
      </c>
      <c r="CT70" s="59">
        <f t="shared" si="220"/>
        <v>2.8752293577981654</v>
      </c>
      <c r="CU70" s="59">
        <f t="shared" si="220"/>
        <v>3.3973296500920793</v>
      </c>
      <c r="CV70" s="59">
        <f>CV69/CV71</f>
        <v>4.6034064101817682</v>
      </c>
      <c r="CW70" s="59">
        <f>CW69/CW71</f>
        <v>8.4973446654406342</v>
      </c>
      <c r="CX70" s="59">
        <f>CX69/CX71</f>
        <v>4.275411286763509</v>
      </c>
      <c r="CY70" s="59">
        <f>CY69/CY71</f>
        <v>3.6749972635404955</v>
      </c>
      <c r="CZ70" s="59">
        <f>CZ69/CZ71</f>
        <v>4.0179277124291426</v>
      </c>
      <c r="DA70" s="59">
        <f t="shared" ref="DA70:DF70" si="221">DA69/DA71</f>
        <v>2.9255428662478531</v>
      </c>
      <c r="DB70" s="59">
        <f t="shared" si="221"/>
        <v>-4.6004067580559385</v>
      </c>
      <c r="DC70" s="59">
        <f t="shared" si="221"/>
        <v>-3.6803254064447515</v>
      </c>
      <c r="DD70" s="59">
        <f t="shared" si="221"/>
        <v>0</v>
      </c>
      <c r="DE70" s="59">
        <f t="shared" si="221"/>
        <v>0</v>
      </c>
      <c r="DF70" s="59">
        <f t="shared" si="221"/>
        <v>4.2278543339831955</v>
      </c>
      <c r="DG70" s="59">
        <f t="shared" ref="DG70:DS70" si="222">DG69/DG71</f>
        <v>5.5964832001021589</v>
      </c>
      <c r="DH70" s="59">
        <f t="shared" si="222"/>
        <v>6.1873453003364398</v>
      </c>
      <c r="DI70" s="59" t="e">
        <f t="shared" si="222"/>
        <v>#DIV/0!</v>
      </c>
      <c r="DJ70" s="59">
        <f t="shared" si="222"/>
        <v>9.1486073635293117</v>
      </c>
      <c r="DK70" s="59">
        <f t="shared" si="222"/>
        <v>9.0207372273025417</v>
      </c>
      <c r="DL70" s="59">
        <f t="shared" si="222"/>
        <v>10.509687568249555</v>
      </c>
      <c r="DM70" s="59">
        <f t="shared" si="222"/>
        <v>19.724403564906865</v>
      </c>
      <c r="DN70" s="59">
        <f t="shared" si="222"/>
        <v>16.777685354717093</v>
      </c>
      <c r="DO70" s="59">
        <f t="shared" si="222"/>
        <v>18.195713680211803</v>
      </c>
      <c r="DP70" s="59">
        <f t="shared" si="222"/>
        <v>19.168616880605018</v>
      </c>
      <c r="DQ70" s="59">
        <f t="shared" si="222"/>
        <v>21.193157712681348</v>
      </c>
      <c r="DR70" s="59">
        <f t="shared" si="222"/>
        <v>22.75578902540002</v>
      </c>
      <c r="DS70" s="59">
        <f t="shared" si="222"/>
        <v>17.860815727597817</v>
      </c>
    </row>
    <row r="71" spans="2:201" x14ac:dyDescent="0.15">
      <c r="B71" t="s">
        <v>84</v>
      </c>
      <c r="C71" s="51"/>
      <c r="D71" s="51"/>
      <c r="E71" s="51"/>
      <c r="F71" s="51"/>
      <c r="G71" s="51"/>
      <c r="H71" s="51"/>
      <c r="I71" s="51"/>
      <c r="J71" s="51">
        <v>1089.2</v>
      </c>
      <c r="K71" s="51">
        <v>1089</v>
      </c>
      <c r="L71" s="51">
        <v>1090</v>
      </c>
      <c r="M71" s="51">
        <v>1091</v>
      </c>
      <c r="N71" s="51">
        <v>1093.5</v>
      </c>
      <c r="O71" s="51">
        <v>1087</v>
      </c>
      <c r="P71" s="51">
        <v>1085.3</v>
      </c>
      <c r="Q71" s="51">
        <v>1086.412</v>
      </c>
      <c r="R71" s="51">
        <v>1089.097</v>
      </c>
      <c r="S71" s="51">
        <v>1089.8789999999999</v>
      </c>
      <c r="T71" s="51">
        <f>S71</f>
        <v>1089.8789999999999</v>
      </c>
      <c r="U71" s="51">
        <v>1090.2280000000001</v>
      </c>
      <c r="V71" s="51">
        <v>1092.636</v>
      </c>
      <c r="W71" s="51">
        <v>1094.056</v>
      </c>
      <c r="X71" s="51">
        <v>1093.8320000000001</v>
      </c>
      <c r="Y71" s="51">
        <v>1093.9770000000001</v>
      </c>
      <c r="Z71" s="51">
        <v>1096.491</v>
      </c>
      <c r="AA71" s="51">
        <v>1097.2560000000001</v>
      </c>
      <c r="AB71" s="51">
        <v>1097.213</v>
      </c>
      <c r="AC71" s="51">
        <v>1097.673</v>
      </c>
      <c r="AD71" s="51">
        <v>1101.4469999999999</v>
      </c>
      <c r="AE71" s="51">
        <v>1103.4059999999999</v>
      </c>
      <c r="AF71" s="51">
        <v>1103.807</v>
      </c>
      <c r="AG71" s="51">
        <v>1105.1980000000001</v>
      </c>
      <c r="AH71" s="51">
        <v>1109.3610000000001</v>
      </c>
      <c r="AI71" s="51">
        <v>1112</v>
      </c>
      <c r="AJ71" s="51">
        <v>1157</v>
      </c>
      <c r="AK71" s="51">
        <v>1113.8409999999999</v>
      </c>
      <c r="AL71" s="51">
        <v>1115</v>
      </c>
      <c r="AM71" s="51">
        <v>1116.9829999999999</v>
      </c>
      <c r="AN71" s="51">
        <v>1118</v>
      </c>
      <c r="AO71" s="51">
        <v>1119.6410000000001</v>
      </c>
      <c r="AP71" s="51">
        <v>1113.8800000000001</v>
      </c>
      <c r="AQ71" s="51">
        <v>1091.876</v>
      </c>
      <c r="AR71" s="51">
        <v>1084.037</v>
      </c>
      <c r="AS71" s="51">
        <v>1084.2570000000001</v>
      </c>
      <c r="AT71" s="51">
        <v>1078.9760000000001</v>
      </c>
      <c r="AU71" s="51">
        <v>1075.836</v>
      </c>
      <c r="AV71" s="51">
        <v>1076.4179999999999</v>
      </c>
      <c r="AW71" s="51">
        <v>1074.386</v>
      </c>
      <c r="AX71" s="51">
        <v>1069.787</v>
      </c>
      <c r="AY71" s="51">
        <v>1067.0360000000001</v>
      </c>
      <c r="AZ71" s="51">
        <v>1065.5840000000001</v>
      </c>
      <c r="BA71" s="51">
        <v>1065.1590000000001</v>
      </c>
      <c r="BB71" s="51">
        <v>1064.893</v>
      </c>
      <c r="BC71" s="51">
        <v>1063.075</v>
      </c>
      <c r="BD71" s="51">
        <v>1060.0830000000001</v>
      </c>
      <c r="BE71" s="51">
        <v>1060.7860000000001</v>
      </c>
      <c r="BF71" s="51">
        <v>1061.498</v>
      </c>
      <c r="BG71" s="51">
        <v>1056.306</v>
      </c>
      <c r="BH71" s="51">
        <v>1057.1099999999999</v>
      </c>
      <c r="BI71" s="51">
        <v>1056.0250000000001</v>
      </c>
      <c r="BJ71" s="51">
        <v>1051.0909999999999</v>
      </c>
      <c r="BK71" s="51">
        <v>1049.8389999999999</v>
      </c>
      <c r="BL71" s="51">
        <v>1030.21</v>
      </c>
      <c r="BM71" s="51">
        <v>1026.298</v>
      </c>
      <c r="BN71" s="51">
        <v>1018.285</v>
      </c>
      <c r="BO71" s="51">
        <v>984.00099999999998</v>
      </c>
      <c r="BP71" s="51">
        <v>924.63</v>
      </c>
      <c r="BQ71" s="51">
        <v>918.45399999999995</v>
      </c>
      <c r="BR71" s="51">
        <v>914.678</v>
      </c>
      <c r="BS71" s="51">
        <v>911.71299999999997</v>
      </c>
      <c r="BT71" s="51">
        <v>910.89</v>
      </c>
      <c r="BU71" s="51">
        <v>911.423</v>
      </c>
      <c r="BV71" s="51">
        <v>912.59100000000001</v>
      </c>
      <c r="BW71" s="51">
        <v>912.4</v>
      </c>
      <c r="BX71" s="51">
        <v>910.38400000000001</v>
      </c>
      <c r="BY71" s="51">
        <v>910.75099999999998</v>
      </c>
      <c r="BZ71" s="51">
        <v>909.55499999999995</v>
      </c>
      <c r="CA71" s="51">
        <v>906.4</v>
      </c>
      <c r="CB71" s="51">
        <v>902.94</v>
      </c>
      <c r="CC71" s="51">
        <f t="shared" ref="CC71:CH71" si="223">+CB71</f>
        <v>902.94</v>
      </c>
      <c r="CD71" s="51">
        <v>904.73199999999997</v>
      </c>
      <c r="CE71" s="51">
        <v>903.28300000000002</v>
      </c>
      <c r="CF71" s="51">
        <v>902.69899999999996</v>
      </c>
      <c r="CG71" s="51">
        <f t="shared" si="223"/>
        <v>902.69899999999996</v>
      </c>
      <c r="CH71" s="51">
        <v>903.98</v>
      </c>
      <c r="CI71" s="51">
        <f>+CH71</f>
        <v>903.98</v>
      </c>
      <c r="CJ71" s="51">
        <f t="shared" ref="CJ71:CL71" si="224">+CI71</f>
        <v>903.98</v>
      </c>
      <c r="CK71" s="51">
        <f t="shared" si="224"/>
        <v>903.98</v>
      </c>
      <c r="CL71" s="51">
        <f t="shared" si="224"/>
        <v>903.98</v>
      </c>
      <c r="CP71" s="51">
        <v>1091</v>
      </c>
      <c r="CQ71" s="51">
        <v>1085</v>
      </c>
      <c r="CR71" s="51">
        <v>1081</v>
      </c>
      <c r="CS71" s="51">
        <v>1089</v>
      </c>
      <c r="CT71" s="51">
        <v>1090</v>
      </c>
      <c r="CU71" s="51">
        <v>1086</v>
      </c>
      <c r="CV71" s="51">
        <f>AVERAGE(S71:V71)</f>
        <v>1090.6554999999998</v>
      </c>
      <c r="CW71" s="51">
        <f>AVERAGE(W71:Z71)</f>
        <v>1094.5889999999999</v>
      </c>
      <c r="CX71" s="51">
        <f>AVERAGE(AA71:AD71)</f>
        <v>1098.39725</v>
      </c>
      <c r="CY71" s="51">
        <f>AVERAGE(AE71:AH71)</f>
        <v>1105.443</v>
      </c>
      <c r="CZ71" s="51">
        <f>AVERAGE(AI71:AL71)</f>
        <v>1124.4602500000001</v>
      </c>
      <c r="DA71" s="51">
        <f>AVERAGE(AM71:AP71)</f>
        <v>1117.1260000000002</v>
      </c>
      <c r="DB71" s="51">
        <f t="shared" ref="DB71:DE71" si="225">DA71</f>
        <v>1117.1260000000002</v>
      </c>
      <c r="DC71" s="51">
        <f t="shared" si="225"/>
        <v>1117.1260000000002</v>
      </c>
      <c r="DD71" s="51">
        <f t="shared" si="225"/>
        <v>1117.1260000000002</v>
      </c>
      <c r="DE71" s="51">
        <f t="shared" si="225"/>
        <v>1117.1260000000002</v>
      </c>
      <c r="DF71" s="51">
        <v>1052.0229999999999</v>
      </c>
      <c r="DG71" s="51">
        <v>1033.6669999999999</v>
      </c>
      <c r="DH71" s="51">
        <v>935.68399999999997</v>
      </c>
      <c r="DI71" s="51"/>
      <c r="DJ71" s="51">
        <f>AVERAGE(BW71:BZ71)</f>
        <v>910.77249999999992</v>
      </c>
      <c r="DK71" s="49">
        <f>AVERAGE(CA71:CD71)</f>
        <v>904.25300000000004</v>
      </c>
      <c r="DL71" s="49">
        <f>AVERAGE(CE71:CH71)</f>
        <v>903.16525000000001</v>
      </c>
      <c r="DM71" s="49">
        <f>+DL71</f>
        <v>903.16525000000001</v>
      </c>
      <c r="DN71" s="49">
        <f t="shared" ref="DN71:DS71" si="226">+DM71</f>
        <v>903.16525000000001</v>
      </c>
      <c r="DO71" s="49">
        <f t="shared" si="226"/>
        <v>903.16525000000001</v>
      </c>
      <c r="DP71" s="49">
        <f t="shared" si="226"/>
        <v>903.16525000000001</v>
      </c>
      <c r="DQ71" s="49">
        <f t="shared" si="226"/>
        <v>903.16525000000001</v>
      </c>
      <c r="DR71" s="49">
        <f t="shared" si="226"/>
        <v>903.16525000000001</v>
      </c>
      <c r="DS71" s="49">
        <f t="shared" si="226"/>
        <v>903.16525000000001</v>
      </c>
    </row>
    <row r="72" spans="2:201" x14ac:dyDescent="0.15">
      <c r="Q72" s="51"/>
    </row>
    <row r="73" spans="2:201" s="55" customFormat="1" x14ac:dyDescent="0.15">
      <c r="B73" s="55" t="s">
        <v>382</v>
      </c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1">
        <f t="shared" ref="X73:AP73" si="227">X59/T59-1</f>
        <v>0.59843101721588976</v>
      </c>
      <c r="Y73" s="61">
        <f t="shared" si="227"/>
        <v>0.15215364534775344</v>
      </c>
      <c r="Z73" s="61">
        <f t="shared" si="227"/>
        <v>-0.21831165519000262</v>
      </c>
      <c r="AA73" s="61">
        <f t="shared" si="227"/>
        <v>-0.21628376429876006</v>
      </c>
      <c r="AB73" s="61">
        <f t="shared" si="227"/>
        <v>-0.23718952785858127</v>
      </c>
      <c r="AC73" s="61">
        <f t="shared" si="227"/>
        <v>-0.18168576851211593</v>
      </c>
      <c r="AD73" s="61">
        <f t="shared" si="227"/>
        <v>0.13885423663755869</v>
      </c>
      <c r="AE73" s="61">
        <f t="shared" si="227"/>
        <v>0.12136636820802149</v>
      </c>
      <c r="AF73" s="61">
        <f t="shared" si="227"/>
        <v>0.12422020142759349</v>
      </c>
      <c r="AG73" s="61">
        <f t="shared" si="227"/>
        <v>1.6684645810859378E-2</v>
      </c>
      <c r="AH73" s="61">
        <f t="shared" si="227"/>
        <v>4.2669362992922233E-2</v>
      </c>
      <c r="AI73" s="61">
        <f t="shared" si="227"/>
        <v>6.4479081214109835E-2</v>
      </c>
      <c r="AJ73" s="61">
        <f t="shared" si="227"/>
        <v>8.768939064484127E-2</v>
      </c>
      <c r="AK73" s="61">
        <f t="shared" si="227"/>
        <v>8.7235622833698789E-2</v>
      </c>
      <c r="AL73" s="61">
        <f t="shared" si="227"/>
        <v>-2.2611197310576814E-2</v>
      </c>
      <c r="AM73" s="61">
        <f t="shared" si="227"/>
        <v>-4.0553500479517668E-2</v>
      </c>
      <c r="AN73" s="61">
        <f t="shared" si="227"/>
        <v>-0.10432126407369491</v>
      </c>
      <c r="AO73" s="61">
        <f t="shared" si="227"/>
        <v>-0.11476716383923491</v>
      </c>
      <c r="AP73" s="61">
        <f t="shared" si="227"/>
        <v>-1.4882674912770955E-2</v>
      </c>
      <c r="AQ73" s="61">
        <f t="shared" ref="AQ73:AT73" si="228">AQ59/AM59-1</f>
        <v>-7.1397972297715384E-5</v>
      </c>
      <c r="AR73" s="61">
        <f t="shared" si="228"/>
        <v>5.8780466029819012E-2</v>
      </c>
      <c r="AS73" s="61">
        <f t="shared" si="228"/>
        <v>6.0652273771244936E-2</v>
      </c>
      <c r="AT73" s="61">
        <f t="shared" si="228"/>
        <v>-2.492739999664273E-2</v>
      </c>
      <c r="AU73" s="61">
        <f t="shared" ref="AU73" si="229">AU59/AQ59-1</f>
        <v>-0.16403070332024272</v>
      </c>
      <c r="AV73" s="61">
        <f t="shared" ref="AV73" si="230">AV59/AR59-1</f>
        <v>-0.16764760443192728</v>
      </c>
      <c r="AW73" s="61">
        <f t="shared" ref="AW73" si="231">AW59/AS59-1</f>
        <v>-0.155389252676437</v>
      </c>
      <c r="AX73" s="61">
        <f t="shared" ref="AX73" si="232">AX59/AT59-1</f>
        <v>-0.11835490979203966</v>
      </c>
      <c r="AY73" s="61">
        <f t="shared" ref="AY73:BB73" si="233">AY59/AU59-1</f>
        <v>-8.1996967820462396E-3</v>
      </c>
      <c r="AZ73" s="61">
        <f t="shared" si="233"/>
        <v>8.73247426857926E-3</v>
      </c>
      <c r="BA73" s="61">
        <f t="shared" si="233"/>
        <v>1.7249159077856957E-2</v>
      </c>
      <c r="BB73" s="61">
        <f t="shared" si="233"/>
        <v>4.9655360943510418E-2</v>
      </c>
      <c r="BC73" s="61">
        <f t="shared" ref="BC73" si="234">BC59/AY59-1</f>
        <v>4.7451934462936274E-2</v>
      </c>
      <c r="BD73" s="61">
        <f t="shared" ref="BD73" si="235">BD59/AZ59-1</f>
        <v>8.5584590354911949E-2</v>
      </c>
      <c r="BE73" s="61">
        <f t="shared" ref="BE73" si="236">BE59/BA59-1</f>
        <v>4.6777022803798696E-2</v>
      </c>
      <c r="BF73" s="61">
        <f t="shared" ref="BF73" si="237">BF59/BB59-1</f>
        <v>7.1601309621251552E-2</v>
      </c>
      <c r="BG73" s="61">
        <f t="shared" ref="BG73" si="238">BG59/BC59-1</f>
        <v>7.4654169492918809E-2</v>
      </c>
      <c r="BH73" s="61">
        <f t="shared" ref="BH73:BO73" si="239">BH59/BD59-1</f>
        <v>7.761619301361744E-2</v>
      </c>
      <c r="BI73" s="61">
        <f t="shared" si="239"/>
        <v>8.9816437775680491E-2</v>
      </c>
      <c r="BJ73" s="61">
        <f t="shared" si="239"/>
        <v>6.9473136012498937E-2</v>
      </c>
      <c r="BK73" s="61">
        <f t="shared" si="239"/>
        <v>9.0220530573991597E-2</v>
      </c>
      <c r="BL73" s="61">
        <f t="shared" si="239"/>
        <v>9.115258485998301E-2</v>
      </c>
      <c r="BM73" s="61">
        <f t="shared" si="239"/>
        <v>7.1385648639094912E-2</v>
      </c>
      <c r="BN73" s="61">
        <f t="shared" si="239"/>
        <v>4.5108510396545842E-2</v>
      </c>
      <c r="BO73" s="61">
        <f t="shared" si="239"/>
        <v>4.7684210526315551E-2</v>
      </c>
      <c r="BP73" s="61">
        <f>BP59/BL59-1</f>
        <v>4.8778952668680819E-2</v>
      </c>
      <c r="BQ73" s="61">
        <f>BQ59/BM59-1</f>
        <v>7.0340982200300273E-2</v>
      </c>
      <c r="BR73" s="61">
        <f>BR59/BN59-1</f>
        <v>0.13726586525020945</v>
      </c>
      <c r="BS73" s="61">
        <f>BS59/BO59-1</f>
        <v>-1.8754814293848066E-2</v>
      </c>
      <c r="BT73" s="61">
        <f t="shared" ref="BT73:CA73" si="240">BT59/BP59-1</f>
        <v>-0.17490847986557068</v>
      </c>
      <c r="BU73" s="61">
        <f t="shared" si="240"/>
        <v>-0.1152381979871463</v>
      </c>
      <c r="BV73" s="61">
        <f t="shared" si="240"/>
        <v>1.6073964820277453E-2</v>
      </c>
      <c r="BW73" s="61">
        <f t="shared" si="240"/>
        <v>0.16140482610328055</v>
      </c>
      <c r="BX73" s="61">
        <f t="shared" si="240"/>
        <v>0.22558824599047145</v>
      </c>
      <c r="BY73" s="61">
        <f t="shared" si="240"/>
        <v>0.17984182838030871</v>
      </c>
      <c r="BZ73" s="61">
        <f t="shared" si="240"/>
        <v>7.5240924181126712E-2</v>
      </c>
      <c r="CA73" s="61">
        <f t="shared" si="240"/>
        <v>0.14759903608792735</v>
      </c>
      <c r="CB73" s="61">
        <f t="shared" ref="CB73" si="241">CB59/BX59-1</f>
        <v>-3.7403560830859939E-2</v>
      </c>
      <c r="CC73" s="61">
        <f t="shared" ref="CC73" si="242">CC59/BY59-1</f>
        <v>2.4907721836704866E-2</v>
      </c>
      <c r="CD73" s="61">
        <f t="shared" ref="CD73" si="243">CD59/BZ59-1</f>
        <v>-8.7188589857372989E-2</v>
      </c>
      <c r="CE73" s="61">
        <f t="shared" ref="CE73" si="244">CE59/CA59-1</f>
        <v>-0.10884623756417977</v>
      </c>
      <c r="CF73" s="61">
        <f t="shared" ref="CF73" si="245">CF59/CB59-1</f>
        <v>0.19192650934817079</v>
      </c>
      <c r="CG73" s="61">
        <f t="shared" ref="CG73" si="246">CG59/CC59-1</f>
        <v>0.36833916763905084</v>
      </c>
      <c r="CH73" s="61">
        <f t="shared" ref="CH73" si="247">CH59/CD59-1</f>
        <v>0.2808665644171775</v>
      </c>
      <c r="CI73" s="61">
        <f t="shared" ref="CI73" si="248">CI59/CE59-1</f>
        <v>0.3560344827586206</v>
      </c>
      <c r="CJ73" s="61">
        <f t="shared" ref="CJ73" si="249">CJ59/CF59-1</f>
        <v>0.26540455962033338</v>
      </c>
      <c r="CK73" s="61">
        <f t="shared" ref="CK73" si="250">CK59/CG59-1</f>
        <v>5.8840250142125905E-2</v>
      </c>
      <c r="CL73" s="61">
        <f t="shared" ref="CL73" si="251">CL59/CH59-1</f>
        <v>0.1133491564564757</v>
      </c>
      <c r="CM73" s="61"/>
      <c r="CN73" s="61"/>
      <c r="CO73" s="61"/>
      <c r="CP73" s="60"/>
      <c r="CQ73" s="60"/>
      <c r="CR73" s="60"/>
      <c r="CS73" s="60"/>
      <c r="CT73" s="62">
        <f t="shared" ref="CT73:DF73" si="252">CT59/CS59-1</f>
        <v>5.7074825023450515E-2</v>
      </c>
      <c r="CU73" s="62">
        <f t="shared" si="252"/>
        <v>7.7372013651876959E-2</v>
      </c>
      <c r="CV73" s="62">
        <f t="shared" si="252"/>
        <v>0.17162226375645462</v>
      </c>
      <c r="CW73" s="62">
        <f t="shared" si="252"/>
        <v>6.0167880685474406E-2</v>
      </c>
      <c r="CX73" s="62">
        <f t="shared" si="252"/>
        <v>6.985394754409513E-2</v>
      </c>
      <c r="CY73" s="62">
        <f t="shared" si="252"/>
        <v>4.383313819191037E-2</v>
      </c>
      <c r="CZ73" s="62">
        <f t="shared" si="252"/>
        <v>9.0596424558550881E-2</v>
      </c>
      <c r="DA73" s="62">
        <f t="shared" si="252"/>
        <v>-7.8559971186021871E-2</v>
      </c>
      <c r="DB73" s="62">
        <f t="shared" si="252"/>
        <v>5.0523827920823772E-2</v>
      </c>
      <c r="DC73" s="62">
        <f t="shared" si="252"/>
        <v>-0.15132111226966538</v>
      </c>
      <c r="DD73" s="62">
        <f t="shared" si="252"/>
        <v>1.7491180488998559E-2</v>
      </c>
      <c r="DE73" s="62">
        <f t="shared" si="252"/>
        <v>6.3300715978495958E-2</v>
      </c>
      <c r="DF73" s="62">
        <f t="shared" si="252"/>
        <v>-5.8806621399390302E-2</v>
      </c>
      <c r="DG73" s="62">
        <f t="shared" ref="DG73:DI73" si="253">DG59/DF59-1</f>
        <v>7.6038469818414667E-2</v>
      </c>
      <c r="DH73" s="62">
        <f t="shared" si="253"/>
        <v>3.8454559412643308E-2</v>
      </c>
      <c r="DI73" s="62">
        <f t="shared" si="253"/>
        <v>9.9487441418675937E-2</v>
      </c>
      <c r="DJ73" s="62">
        <f t="shared" ref="DJ73" si="254">DJ59/DI59-1</f>
        <v>0.15397780757052804</v>
      </c>
      <c r="DK73" s="62">
        <f t="shared" ref="DK73:DS73" si="255">DK59/DJ59-1</f>
        <v>7.8958984409487343E-3</v>
      </c>
      <c r="DL73" s="62">
        <f t="shared" si="255"/>
        <v>0.169125607436033</v>
      </c>
      <c r="DM73" s="62">
        <f t="shared" si="255"/>
        <v>0.23050977994743671</v>
      </c>
      <c r="DN73" s="62">
        <f t="shared" si="255"/>
        <v>-0.15806832475874455</v>
      </c>
      <c r="DO73" s="62">
        <f t="shared" si="255"/>
        <v>7.7637965047174129E-2</v>
      </c>
      <c r="DP73" s="62">
        <f t="shared" si="255"/>
        <v>4.6428460070255362E-2</v>
      </c>
      <c r="DQ73" s="62">
        <f t="shared" si="255"/>
        <v>0.10034837861854062</v>
      </c>
      <c r="DR73" s="62">
        <f t="shared" si="255"/>
        <v>6.7895308722747405E-2</v>
      </c>
      <c r="DS73" s="62">
        <f t="shared" si="255"/>
        <v>-0.23170851079287336</v>
      </c>
    </row>
    <row r="74" spans="2:201" s="38" customFormat="1" x14ac:dyDescent="0.15">
      <c r="B74" s="38" t="s">
        <v>380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>
        <f t="shared" ref="BB74" si="256">+BB3/AX3-1</f>
        <v>10.029411764705882</v>
      </c>
      <c r="BC74" s="66">
        <f t="shared" ref="BC74" si="257">+BC3/AY3-1</f>
        <v>6.8469945355191246</v>
      </c>
      <c r="BD74" s="66">
        <f t="shared" ref="BD74" si="258">+BD3/AZ3-1</f>
        <v>3.544018058690745</v>
      </c>
      <c r="BE74" s="66">
        <f t="shared" ref="BE74" si="259">+BE3/BA3-1</f>
        <v>2.3052917232021706</v>
      </c>
      <c r="BF74" s="66">
        <f t="shared" ref="BF74" si="260">+BF3/BB3-1</f>
        <v>1.9955555555555557</v>
      </c>
      <c r="BG74" s="66">
        <f t="shared" ref="BG74" si="261">+BG3/BC3-1</f>
        <v>1.5967966573816157</v>
      </c>
      <c r="BH74" s="66">
        <f t="shared" ref="BH74:BK74" si="262">+BH3/BD3-1</f>
        <v>1.3854942871336311</v>
      </c>
      <c r="BI74" s="66">
        <f t="shared" si="262"/>
        <v>1.1662561576354684</v>
      </c>
      <c r="BJ74" s="66">
        <f t="shared" si="262"/>
        <v>0.9258160237388724</v>
      </c>
      <c r="BK74" s="66">
        <f t="shared" si="262"/>
        <v>0.81898632341110211</v>
      </c>
      <c r="BL74" s="66">
        <f t="shared" ref="BL74" si="263">+BL3/BH3-1</f>
        <v>0.62390670553935856</v>
      </c>
      <c r="BM74" s="66">
        <f t="shared" ref="BM74" si="264">+BM3/BI3-1</f>
        <v>0.54671214705324989</v>
      </c>
      <c r="BN74" s="66">
        <f t="shared" ref="BN74" si="265">+BN3/BJ3-1</f>
        <v>0.42480739599383677</v>
      </c>
      <c r="BO74" s="66">
        <f t="shared" ref="BO74" si="266">+BO3/BK3-1</f>
        <v>0.29691876750700286</v>
      </c>
      <c r="BP74" s="66">
        <f t="shared" ref="BP74:CH74" si="267">+BP3/BL3-1</f>
        <v>0.31892793023852284</v>
      </c>
      <c r="BQ74" s="66">
        <f t="shared" si="267"/>
        <v>0.23927958833619201</v>
      </c>
      <c r="BR74" s="66">
        <f t="shared" si="267"/>
        <v>0.3064777765761868</v>
      </c>
      <c r="BS74" s="66">
        <f t="shared" si="267"/>
        <v>0.39752188245992959</v>
      </c>
      <c r="BT74" s="66">
        <f t="shared" si="267"/>
        <v>0.19572192513368969</v>
      </c>
      <c r="BU74" s="66">
        <f t="shared" si="267"/>
        <v>9.4018783984181731E-2</v>
      </c>
      <c r="BV74" s="66">
        <f t="shared" si="267"/>
        <v>0.24360566178296517</v>
      </c>
      <c r="BW74" s="66">
        <f t="shared" si="267"/>
        <v>0.18138929559134542</v>
      </c>
      <c r="BX74" s="66">
        <f t="shared" si="267"/>
        <v>0.24865831842576025</v>
      </c>
      <c r="BY74" s="66">
        <f t="shared" si="267"/>
        <v>0.44596060003614668</v>
      </c>
      <c r="BZ74" s="66">
        <f t="shared" si="267"/>
        <v>0.25379392971246006</v>
      </c>
      <c r="CA74" s="66">
        <f t="shared" si="267"/>
        <v>0.19891214541448621</v>
      </c>
      <c r="CB74" s="66">
        <f t="shared" si="267"/>
        <v>0.24505079447772871</v>
      </c>
      <c r="CC74" s="66">
        <f t="shared" si="267"/>
        <v>0.15642772326729593</v>
      </c>
      <c r="CD74" s="66">
        <f t="shared" si="267"/>
        <v>2.7870680044593144E-2</v>
      </c>
      <c r="CE74" s="66">
        <f t="shared" si="267"/>
        <v>0.13541606845460286</v>
      </c>
      <c r="CF74" s="66">
        <f t="shared" si="267"/>
        <v>-5.1990166849730679E-2</v>
      </c>
      <c r="CG74" s="66">
        <f t="shared" si="267"/>
        <v>-9.5546908776480866E-2</v>
      </c>
      <c r="CH74" s="66">
        <f t="shared" si="267"/>
        <v>-0.13784732982129955</v>
      </c>
      <c r="CI74" s="66">
        <f t="shared" ref="CI74" si="268">+CI3/CE3-1</f>
        <v>-0.18097213089879116</v>
      </c>
      <c r="CJ74" s="66">
        <f t="shared" ref="CJ74" si="269">+CJ3/CF3-1</f>
        <v>-0.13417931034482766</v>
      </c>
      <c r="CK74" s="66">
        <f t="shared" ref="CK74" si="270">+CK3/CG3-1</f>
        <v>-9.2196462715105176E-2</v>
      </c>
      <c r="CL74" s="66">
        <f t="shared" ref="CL74" si="271">+CL3/CH3-1</f>
        <v>-0.11981069909542919</v>
      </c>
      <c r="CM74" s="66"/>
      <c r="CN74" s="66"/>
      <c r="CO74" s="66"/>
      <c r="CP74" s="48"/>
      <c r="CQ74" s="48"/>
      <c r="CR74" s="48"/>
      <c r="CS74" s="48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</row>
    <row r="75" spans="2:201" s="38" customFormat="1" x14ac:dyDescent="0.15">
      <c r="B75" s="38" t="s">
        <v>493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>
        <f t="shared" ref="BH75:BO75" si="272">+BH7/BD7-1</f>
        <v>6.1865284974093253</v>
      </c>
      <c r="BI75" s="66">
        <f t="shared" si="272"/>
        <v>3.6553846153846159</v>
      </c>
      <c r="BJ75" s="66">
        <f t="shared" si="272"/>
        <v>1.8140293637846656</v>
      </c>
      <c r="BK75" s="66">
        <f t="shared" si="272"/>
        <v>0.51656314699792971</v>
      </c>
      <c r="BL75" s="66">
        <f t="shared" si="272"/>
        <v>0.58687815428983425</v>
      </c>
      <c r="BM75" s="66">
        <f t="shared" si="272"/>
        <v>0.74421678783873069</v>
      </c>
      <c r="BN75" s="66">
        <f t="shared" si="272"/>
        <v>0.77971014492753632</v>
      </c>
      <c r="BO75" s="66">
        <f t="shared" si="272"/>
        <v>0.72354948805460761</v>
      </c>
      <c r="BP75" s="66">
        <f t="shared" ref="BP75:BY77" si="273">+BP7/BL7-1</f>
        <v>0.607451158564289</v>
      </c>
      <c r="BQ75" s="66">
        <f t="shared" si="273"/>
        <v>0.28836680560818495</v>
      </c>
      <c r="BR75" s="66">
        <f t="shared" si="273"/>
        <v>0.36840390879478835</v>
      </c>
      <c r="BS75" s="66">
        <f t="shared" si="273"/>
        <v>0.75643564356435644</v>
      </c>
      <c r="BT75" s="66">
        <f t="shared" si="273"/>
        <v>0.11701526286037311</v>
      </c>
      <c r="BU75" s="66">
        <f t="shared" si="273"/>
        <v>0.33676470588235285</v>
      </c>
      <c r="BV75" s="66">
        <f t="shared" si="273"/>
        <v>0.17900499880980725</v>
      </c>
      <c r="BW75" s="66">
        <f t="shared" si="273"/>
        <v>-9.0868094701240132E-2</v>
      </c>
      <c r="BX75" s="66">
        <f t="shared" si="273"/>
        <v>0.44003036437246967</v>
      </c>
      <c r="BY75" s="66">
        <f t="shared" si="273"/>
        <v>0.304950495049505</v>
      </c>
      <c r="BZ75" s="66">
        <f t="shared" ref="BZ75:CH77" si="274">+BZ7/BV7-1</f>
        <v>0.30708661417322825</v>
      </c>
      <c r="CA75" s="66">
        <f t="shared" si="274"/>
        <v>0.21056547619047628</v>
      </c>
      <c r="CB75" s="66">
        <f t="shared" si="274"/>
        <v>6.519065190651907E-2</v>
      </c>
      <c r="CC75" s="66">
        <f t="shared" si="274"/>
        <v>0.14634968807958182</v>
      </c>
      <c r="CD75" s="66">
        <f t="shared" si="274"/>
        <v>9.3296261970960748E-2</v>
      </c>
      <c r="CE75" s="66">
        <f t="shared" si="274"/>
        <v>7.9696783446015163E-2</v>
      </c>
      <c r="CF75" s="66">
        <f t="shared" si="274"/>
        <v>0.16116793137578345</v>
      </c>
      <c r="CG75" s="66">
        <f t="shared" si="274"/>
        <v>9.4572731284012557E-2</v>
      </c>
      <c r="CH75" s="66">
        <f t="shared" si="274"/>
        <v>0.10850522746538571</v>
      </c>
      <c r="CI75" s="66">
        <f t="shared" ref="CI75:CI77" si="275">+CI7/CE7-1</f>
        <v>0.52675521821631888</v>
      </c>
      <c r="CJ75" s="66">
        <f t="shared" ref="CJ75:CJ77" si="276">+CJ7/CF7-1</f>
        <v>0.17147322062793013</v>
      </c>
      <c r="CK75" s="66">
        <f t="shared" ref="CK75:CK77" si="277">+CK7/CG7-1</f>
        <v>0.13490997043805431</v>
      </c>
      <c r="CL75" s="66">
        <f t="shared" ref="CL75:CL77" si="278">+CL7/CH7-1</f>
        <v>0.1019627835839918</v>
      </c>
      <c r="CM75" s="66"/>
      <c r="CN75" s="66"/>
      <c r="CO75" s="66"/>
      <c r="CP75" s="48"/>
      <c r="CQ75" s="48"/>
      <c r="CR75" s="48"/>
      <c r="CS75" s="48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</row>
    <row r="76" spans="2:201" s="38" customFormat="1" x14ac:dyDescent="0.15">
      <c r="B76" s="38" t="s">
        <v>494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>
        <f>+BN8/BJ8-1</f>
        <v>2.9571428571428569</v>
      </c>
      <c r="BO76" s="66">
        <f>+BO8/BK8-1</f>
        <v>2.6835016835016838</v>
      </c>
      <c r="BP76" s="66">
        <f t="shared" si="273"/>
        <v>1.3206239168110918</v>
      </c>
      <c r="BQ76" s="66">
        <f t="shared" si="273"/>
        <v>0.86035502958579868</v>
      </c>
      <c r="BR76" s="66">
        <f t="shared" si="273"/>
        <v>1.1552346570397112</v>
      </c>
      <c r="BS76" s="66">
        <f t="shared" si="273"/>
        <v>0.71846435100548445</v>
      </c>
      <c r="BT76" s="66">
        <f t="shared" si="273"/>
        <v>0.55787901418969366</v>
      </c>
      <c r="BU76" s="66">
        <f t="shared" si="273"/>
        <v>0.49109414758269732</v>
      </c>
      <c r="BV76" s="66">
        <f t="shared" si="273"/>
        <v>0.57230597431602481</v>
      </c>
      <c r="BW76" s="66">
        <f t="shared" si="273"/>
        <v>0.43085106382978733</v>
      </c>
      <c r="BX76" s="66">
        <f t="shared" si="273"/>
        <v>0.63614573346116976</v>
      </c>
      <c r="BY76" s="66">
        <f t="shared" si="273"/>
        <v>0.43131399317406149</v>
      </c>
      <c r="BZ76" s="66">
        <f t="shared" si="274"/>
        <v>0.43501420454545459</v>
      </c>
      <c r="CA76" s="66">
        <f t="shared" si="274"/>
        <v>0.7449814126394052</v>
      </c>
      <c r="CB76" s="66">
        <f t="shared" si="274"/>
        <v>0.72428948139466742</v>
      </c>
      <c r="CC76" s="66">
        <f t="shared" si="274"/>
        <v>0.84113263785394943</v>
      </c>
      <c r="CD76" s="66">
        <f t="shared" si="274"/>
        <v>0.99950507300173208</v>
      </c>
      <c r="CE76" s="66">
        <f t="shared" si="274"/>
        <v>0.59970174691095024</v>
      </c>
      <c r="CF76" s="66">
        <f t="shared" si="274"/>
        <v>0.57485131690739166</v>
      </c>
      <c r="CG76" s="66">
        <f t="shared" si="274"/>
        <v>0.68398899141978298</v>
      </c>
      <c r="CH76" s="66">
        <f t="shared" si="274"/>
        <v>0.41757425742574261</v>
      </c>
      <c r="CI76" s="66">
        <f t="shared" si="275"/>
        <v>0.55200426155280358</v>
      </c>
      <c r="CJ76" s="66">
        <f t="shared" si="276"/>
        <v>0.27902460077686686</v>
      </c>
      <c r="CK76" s="66">
        <f t="shared" si="277"/>
        <v>0.15881561238223418</v>
      </c>
      <c r="CL76" s="66">
        <f t="shared" si="278"/>
        <v>6.9844595774402052E-2</v>
      </c>
      <c r="CM76" s="66"/>
      <c r="CN76" s="66"/>
      <c r="CO76" s="66"/>
      <c r="CP76" s="48"/>
      <c r="CQ76" s="48"/>
      <c r="CR76" s="48"/>
      <c r="CS76" s="48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</row>
    <row r="77" spans="2:201" s="38" customFormat="1" x14ac:dyDescent="0.15">
      <c r="B77" s="38" t="s">
        <v>495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>
        <f t="shared" ref="BC77" si="279">+BC9/AY9-1</f>
        <v>0.97927461139896388</v>
      </c>
      <c r="BD77" s="66">
        <f t="shared" ref="BD77" si="280">+BD9/AZ9-1</f>
        <v>2.612612612612613</v>
      </c>
      <c r="BE77" s="66">
        <f t="shared" ref="BE77" si="281">+BE9/BA9-1</f>
        <v>2.0844155844155843</v>
      </c>
      <c r="BF77" s="66">
        <f t="shared" ref="BF77" si="282">+BF9/BB9-1</f>
        <v>4.212328767123287</v>
      </c>
      <c r="BG77" s="66">
        <f t="shared" ref="BG77" si="283">+BG9/BC9-1</f>
        <v>0.93717277486910988</v>
      </c>
      <c r="BH77" s="66">
        <f t="shared" ref="BH77:BO77" si="284">+BH9/BD9-1</f>
        <v>1.57356608478803</v>
      </c>
      <c r="BI77" s="66">
        <f t="shared" si="284"/>
        <v>1.6778947368421053</v>
      </c>
      <c r="BJ77" s="66">
        <f t="shared" si="284"/>
        <v>0.88173455978975035</v>
      </c>
      <c r="BK77" s="66">
        <f t="shared" si="284"/>
        <v>1.0405405405405403</v>
      </c>
      <c r="BL77" s="66">
        <f t="shared" si="284"/>
        <v>0.42635658914728669</v>
      </c>
      <c r="BM77" s="66">
        <f t="shared" si="284"/>
        <v>0.31210691823899372</v>
      </c>
      <c r="BN77" s="66">
        <f t="shared" si="284"/>
        <v>0.34916201117318435</v>
      </c>
      <c r="BO77" s="66">
        <f t="shared" si="284"/>
        <v>0.34834437086092707</v>
      </c>
      <c r="BP77" s="66">
        <f t="shared" si="273"/>
        <v>0.57540760869565233</v>
      </c>
      <c r="BQ77" s="66">
        <f t="shared" si="273"/>
        <v>0.44218094667465535</v>
      </c>
      <c r="BR77" s="66">
        <f t="shared" si="273"/>
        <v>0.38716356107660466</v>
      </c>
      <c r="BS77" s="66">
        <f t="shared" si="273"/>
        <v>0.31385068762278978</v>
      </c>
      <c r="BT77" s="66">
        <f t="shared" si="273"/>
        <v>0.1297973264338077</v>
      </c>
      <c r="BU77" s="66">
        <f t="shared" si="273"/>
        <v>0.29123390112172842</v>
      </c>
      <c r="BV77" s="66">
        <f t="shared" si="273"/>
        <v>0.17014925373134338</v>
      </c>
      <c r="BW77" s="66">
        <f t="shared" si="273"/>
        <v>0.16635514018691588</v>
      </c>
      <c r="BX77" s="66">
        <f t="shared" si="273"/>
        <v>0.36068702290076327</v>
      </c>
      <c r="BY77" s="66">
        <f t="shared" si="273"/>
        <v>0.25611325611325597</v>
      </c>
      <c r="BZ77" s="66">
        <f t="shared" si="274"/>
        <v>0.37723214285714279</v>
      </c>
      <c r="CA77" s="66">
        <f t="shared" si="274"/>
        <v>0.34423076923076912</v>
      </c>
      <c r="CB77" s="66">
        <f t="shared" si="274"/>
        <v>0.29312762973352036</v>
      </c>
      <c r="CC77" s="66">
        <f t="shared" si="274"/>
        <v>0.46849385245901631</v>
      </c>
      <c r="CD77" s="66">
        <f t="shared" si="274"/>
        <v>0.41768927992590865</v>
      </c>
      <c r="CE77" s="66">
        <f t="shared" si="274"/>
        <v>0.37696709585121613</v>
      </c>
      <c r="CF77" s="66">
        <f t="shared" si="274"/>
        <v>0.44967462039045536</v>
      </c>
      <c r="CG77" s="66">
        <f t="shared" si="274"/>
        <v>0.22239665096807948</v>
      </c>
      <c r="CH77" s="66">
        <f t="shared" si="274"/>
        <v>0.30344602319124636</v>
      </c>
      <c r="CI77" s="66">
        <f t="shared" si="275"/>
        <v>0.41662337662337667</v>
      </c>
      <c r="CJ77" s="66">
        <f t="shared" si="276"/>
        <v>0.25407751010025459</v>
      </c>
      <c r="CK77" s="66">
        <f t="shared" si="277"/>
        <v>0.22445776255707783</v>
      </c>
      <c r="CL77" s="66">
        <f t="shared" si="278"/>
        <v>0.10023806540533764</v>
      </c>
      <c r="CM77" s="66"/>
      <c r="CN77" s="66"/>
      <c r="CO77" s="66"/>
      <c r="CP77" s="48"/>
      <c r="CQ77" s="48"/>
      <c r="CR77" s="48"/>
      <c r="CS77" s="48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</row>
    <row r="78" spans="2:201" s="38" customFormat="1" x14ac:dyDescent="0.15">
      <c r="B78" s="38" t="s">
        <v>56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66">
        <f t="shared" ref="O78:AS78" si="285">O70/K70-1</f>
        <v>-0.22605591891372567</v>
      </c>
      <c r="P78" s="66">
        <f t="shared" si="285"/>
        <v>0.67610728701847322</v>
      </c>
      <c r="Q78" s="66">
        <f t="shared" si="285"/>
        <v>0.34015035080861589</v>
      </c>
      <c r="R78" s="66">
        <f t="shared" si="285"/>
        <v>3.7454658637521607</v>
      </c>
      <c r="S78" s="66">
        <f t="shared" si="285"/>
        <v>1.6519622566819141</v>
      </c>
      <c r="T78" s="66">
        <f t="shared" si="285"/>
        <v>0.46464279222800253</v>
      </c>
      <c r="U78" s="66">
        <f t="shared" si="285"/>
        <v>3.8235187048251413</v>
      </c>
      <c r="V78" s="66">
        <f t="shared" si="285"/>
        <v>0.1870513600647703</v>
      </c>
      <c r="W78" s="66">
        <f t="shared" si="285"/>
        <v>1.9471106396652482</v>
      </c>
      <c r="X78" s="66">
        <f t="shared" si="285"/>
        <v>3.7362930227057349</v>
      </c>
      <c r="Y78" s="66">
        <f t="shared" si="285"/>
        <v>0.17487628448498183</v>
      </c>
      <c r="Z78" s="66">
        <f t="shared" si="285"/>
        <v>-0.52026113261404561</v>
      </c>
      <c r="AA78" s="66">
        <f t="shared" si="285"/>
        <v>-0.57728356037442752</v>
      </c>
      <c r="AB78" s="66">
        <f t="shared" si="285"/>
        <v>-0.60384987633693532</v>
      </c>
      <c r="AC78" s="66">
        <f t="shared" si="285"/>
        <v>-0.45386568723743781</v>
      </c>
      <c r="AD78" s="66">
        <f t="shared" si="285"/>
        <v>-0.17935478589422826</v>
      </c>
      <c r="AE78" s="66">
        <f t="shared" si="285"/>
        <v>0.1144033426114861</v>
      </c>
      <c r="AF78" s="66">
        <f t="shared" si="285"/>
        <v>0.28860862968049394</v>
      </c>
      <c r="AG78" s="66">
        <f t="shared" si="285"/>
        <v>-0.10728645122357194</v>
      </c>
      <c r="AH78" s="66">
        <f t="shared" si="285"/>
        <v>0.24088397214917667</v>
      </c>
      <c r="AI78" s="66">
        <f t="shared" si="285"/>
        <v>5.1382705842108578E-2</v>
      </c>
      <c r="AJ78" s="66">
        <f t="shared" si="285"/>
        <v>-6.5788977619371525E-2</v>
      </c>
      <c r="AK78" s="66">
        <f t="shared" si="285"/>
        <v>-7.1925548393590666E-2</v>
      </c>
      <c r="AL78" s="66">
        <f t="shared" si="285"/>
        <v>-0.22750132460794636</v>
      </c>
      <c r="AM78" s="66">
        <f t="shared" si="285"/>
        <v>-0.25615165684029639</v>
      </c>
      <c r="AN78" s="66">
        <f t="shared" si="285"/>
        <v>-0.28127885987742418</v>
      </c>
      <c r="AO78" s="66">
        <f t="shared" si="285"/>
        <v>-0.29593098547977148</v>
      </c>
      <c r="AP78" s="66">
        <f t="shared" si="285"/>
        <v>6.4600727857465623E-2</v>
      </c>
      <c r="AQ78" s="66">
        <f t="shared" si="285"/>
        <v>6.9797382424570564E-2</v>
      </c>
      <c r="AR78" s="66">
        <f t="shared" si="285"/>
        <v>0.41810682529532461</v>
      </c>
      <c r="AS78" s="66">
        <f t="shared" si="285"/>
        <v>0.39984491447748982</v>
      </c>
      <c r="AT78" s="66">
        <f t="shared" ref="AT78" si="286">+AT70/AP70-1</f>
        <v>-0.17908617525056403</v>
      </c>
      <c r="AU78" s="66">
        <f t="shared" ref="AU78" si="287">+AU70/AQ70-1</f>
        <v>-0.38848476873388582</v>
      </c>
      <c r="AV78" s="66">
        <f t="shared" ref="AV78" si="288">+AV70/AR70-1</f>
        <v>-0.50355974944012782</v>
      </c>
      <c r="AW78" s="66">
        <f t="shared" ref="AW78" si="289">+AW70/AS70-1</f>
        <v>-0.6268077871262776</v>
      </c>
      <c r="AX78" s="66">
        <f t="shared" ref="AX78:BB78" si="290">+AX70/AT70-1</f>
        <v>-0.18783940646311048</v>
      </c>
      <c r="AY78" s="66">
        <f t="shared" si="290"/>
        <v>0.10295041397840432</v>
      </c>
      <c r="AZ78" s="66">
        <f t="shared" si="290"/>
        <v>0.91139320767904608</v>
      </c>
      <c r="BA78" s="66">
        <f t="shared" si="290"/>
        <v>0.5169613768087753</v>
      </c>
      <c r="BB78" s="66">
        <f t="shared" si="290"/>
        <v>6.3626988700353992E-2</v>
      </c>
      <c r="BC78" s="66">
        <f t="shared" ref="BC78" si="291">+BC70/AY70-1</f>
        <v>0.23250916922393094</v>
      </c>
      <c r="BD78" s="66">
        <f t="shared" ref="BD78" si="292">+BD70/AZ70-1</f>
        <v>-0.21073591805089609</v>
      </c>
      <c r="BE78" s="66">
        <f t="shared" ref="BE78" si="293">+BE70/BA70-1</f>
        <v>0.15419301941534758</v>
      </c>
      <c r="BF78" s="66">
        <f t="shared" ref="BF78" si="294">+BF70/BB70-1</f>
        <v>0.3170296226644651</v>
      </c>
      <c r="BG78" s="66">
        <f t="shared" ref="BG78" si="295">+BG70/BC70-1</f>
        <v>-6.9289455650238252E-2</v>
      </c>
      <c r="BH78" s="66">
        <f t="shared" ref="BH78:BK78" si="296">+BH70/BD70-1</f>
        <v>1.0684769275743689E-2</v>
      </c>
      <c r="BI78" s="66">
        <f t="shared" si="296"/>
        <v>0.39398235910848012</v>
      </c>
      <c r="BJ78" s="66">
        <f t="shared" si="296"/>
        <v>0.22523961679788629</v>
      </c>
      <c r="BK78" s="66">
        <f t="shared" si="296"/>
        <v>0.45236898755113963</v>
      </c>
      <c r="BL78" s="66">
        <f t="shared" ref="BL78" si="297">+BL70/BH70-1</f>
        <v>0.49230638070497101</v>
      </c>
      <c r="BM78" s="66">
        <f t="shared" ref="BM78" si="298">+BM70/BI70-1</f>
        <v>0.24713714508369033</v>
      </c>
      <c r="BN78" s="66">
        <f t="shared" ref="BN78" si="299">+BN70/BJ70-1</f>
        <v>0.43212564887758509</v>
      </c>
      <c r="BO78" s="66">
        <f t="shared" ref="BO78" si="300">+BO70/BK70-1</f>
        <v>0.81485662133370518</v>
      </c>
      <c r="BP78" s="66">
        <f t="shared" ref="BP78:BZ78" si="301">+BP70/BL70-1</f>
        <v>0.92705985568862292</v>
      </c>
      <c r="BQ78" s="66">
        <f t="shared" si="301"/>
        <v>0.99236784825039681</v>
      </c>
      <c r="BR78" s="66">
        <f t="shared" si="301"/>
        <v>0.84721360982104787</v>
      </c>
      <c r="BS78" s="66">
        <f t="shared" si="301"/>
        <v>-0.21748332228930001</v>
      </c>
      <c r="BT78" s="66">
        <f t="shared" si="301"/>
        <v>-0.47101430542308842</v>
      </c>
      <c r="BU78" s="66">
        <f t="shared" si="301"/>
        <v>-0.49135876858442151</v>
      </c>
      <c r="BV78" s="66">
        <f t="shared" si="301"/>
        <v>-0.25995614941414535</v>
      </c>
      <c r="BW78" s="66">
        <f t="shared" si="301"/>
        <v>0.24076955289661717</v>
      </c>
      <c r="BX78" s="66">
        <f t="shared" si="301"/>
        <v>0.38318594312768117</v>
      </c>
      <c r="BY78" s="66">
        <f t="shared" si="301"/>
        <v>0.45580624220564636</v>
      </c>
      <c r="BZ78" s="66">
        <f t="shared" si="301"/>
        <v>0.17005727482444555</v>
      </c>
      <c r="CA78" s="66">
        <f>+CA70/BW70-1</f>
        <v>0.43758303199128945</v>
      </c>
      <c r="CB78" s="66">
        <f t="shared" ref="CB78:CH78" si="302">+CB70/BX70-1</f>
        <v>1.1450043970479884E-2</v>
      </c>
      <c r="CC78" s="66">
        <f t="shared" si="302"/>
        <v>0.17768936251698442</v>
      </c>
      <c r="CD78" s="66">
        <f t="shared" si="302"/>
        <v>-4.6092596522472218E-2</v>
      </c>
      <c r="CE78" s="66">
        <f t="shared" si="302"/>
        <v>-0.4053610569721513</v>
      </c>
      <c r="CF78" s="66">
        <f t="shared" si="302"/>
        <v>-0.1303072881129842</v>
      </c>
      <c r="CG78" s="66">
        <f t="shared" si="302"/>
        <v>0.91986587477821824</v>
      </c>
      <c r="CH78" s="66">
        <f t="shared" si="302"/>
        <v>0.32225646753070514</v>
      </c>
      <c r="CI78" s="66">
        <f t="shared" ref="CI78" si="303">+CI70/CE70-1</f>
        <v>0.99705802684612155</v>
      </c>
      <c r="CJ78" s="66">
        <f t="shared" ref="CJ78" si="304">+CJ70/CF70-1</f>
        <v>0.84288554485289979</v>
      </c>
      <c r="CK78" s="66">
        <f t="shared" ref="CK78" si="305">+CK70/CG70-1</f>
        <v>1.3328929971175851E-2</v>
      </c>
      <c r="CL78" s="66">
        <f t="shared" ref="CL78" si="306">+CL70/CH70-1</f>
        <v>7.4899020564530128E-2</v>
      </c>
      <c r="CM78" s="66"/>
      <c r="CN78" s="66"/>
      <c r="CO78" s="66"/>
      <c r="CP78" s="48"/>
      <c r="CQ78" s="67">
        <f t="shared" ref="CQ78:DJ78" si="307">CQ70/CP70-1</f>
        <v>-0.10439415262209151</v>
      </c>
      <c r="CR78" s="67">
        <f t="shared" si="307"/>
        <v>1.8236125131542602E-2</v>
      </c>
      <c r="CS78" s="67">
        <f t="shared" si="307"/>
        <v>8.8659943146997877E-2</v>
      </c>
      <c r="CT78" s="67">
        <f t="shared" si="307"/>
        <v>1.8914666658705448E-2</v>
      </c>
      <c r="CU78" s="67">
        <f t="shared" si="307"/>
        <v>0.18158561537982321</v>
      </c>
      <c r="CV78" s="67">
        <f t="shared" si="307"/>
        <v>0.355007280514271</v>
      </c>
      <c r="CW78" s="67">
        <f t="shared" si="307"/>
        <v>0.84588192053742906</v>
      </c>
      <c r="CX78" s="67">
        <f t="shared" si="307"/>
        <v>-0.49685325768272748</v>
      </c>
      <c r="CY78" s="67">
        <f t="shared" si="307"/>
        <v>-0.14043421391571609</v>
      </c>
      <c r="CZ78" s="67">
        <f t="shared" si="307"/>
        <v>9.3314477344200064E-2</v>
      </c>
      <c r="DA78" s="67">
        <f t="shared" si="307"/>
        <v>-0.27187767535042584</v>
      </c>
      <c r="DB78" s="67">
        <f t="shared" si="307"/>
        <v>-2.5724967872223239</v>
      </c>
      <c r="DC78" s="67">
        <f t="shared" si="307"/>
        <v>-0.19999999999999984</v>
      </c>
      <c r="DD78" s="67">
        <f t="shared" si="307"/>
        <v>-1</v>
      </c>
      <c r="DE78" s="67" t="e">
        <f t="shared" si="307"/>
        <v>#DIV/0!</v>
      </c>
      <c r="DF78" s="67" t="e">
        <f t="shared" si="307"/>
        <v>#DIV/0!</v>
      </c>
      <c r="DG78" s="67">
        <f t="shared" si="307"/>
        <v>0.32371712883247206</v>
      </c>
      <c r="DH78" s="67">
        <f t="shared" si="307"/>
        <v>0.10557739192775473</v>
      </c>
      <c r="DI78" s="67" t="e">
        <f t="shared" si="307"/>
        <v>#DIV/0!</v>
      </c>
      <c r="DJ78" s="67" t="e">
        <f t="shared" si="307"/>
        <v>#DIV/0!</v>
      </c>
    </row>
    <row r="79" spans="2:201" x14ac:dyDescent="0.15">
      <c r="DG79" s="47"/>
      <c r="DH79" s="47"/>
      <c r="DI79" s="47"/>
      <c r="DJ79" s="47"/>
    </row>
    <row r="80" spans="2:201" x14ac:dyDescent="0.15">
      <c r="B80" t="s">
        <v>123</v>
      </c>
      <c r="J80" s="64">
        <f t="shared" ref="J80:V80" si="308">J61/J59</f>
        <v>0.73930980486629738</v>
      </c>
      <c r="K80" s="64">
        <f t="shared" si="308"/>
        <v>0.73235178068634854</v>
      </c>
      <c r="L80" s="64">
        <f t="shared" si="308"/>
        <v>0.72475991913065463</v>
      </c>
      <c r="M80" s="64">
        <f t="shared" si="308"/>
        <v>0.73272302052168059</v>
      </c>
      <c r="N80" s="64">
        <f t="shared" si="308"/>
        <v>0.74005151506381495</v>
      </c>
      <c r="O80" s="64">
        <f t="shared" si="308"/>
        <v>0.75013167270812031</v>
      </c>
      <c r="P80" s="64">
        <f t="shared" si="308"/>
        <v>0.74846625766871167</v>
      </c>
      <c r="Q80" s="64">
        <f t="shared" si="308"/>
        <v>0.75506122118009567</v>
      </c>
      <c r="R80" s="64">
        <f t="shared" si="308"/>
        <v>0.81222054008379396</v>
      </c>
      <c r="S80" s="64">
        <f t="shared" si="308"/>
        <v>0.78222379603399439</v>
      </c>
      <c r="T80" s="64">
        <f t="shared" si="308"/>
        <v>0.76181506032714963</v>
      </c>
      <c r="U80" s="64">
        <f t="shared" si="308"/>
        <v>0.82123302764734796</v>
      </c>
      <c r="V80" s="64">
        <f t="shared" si="308"/>
        <v>0.80905231258532484</v>
      </c>
      <c r="W80" s="64">
        <v>0.75800000000000001</v>
      </c>
      <c r="X80" s="64">
        <v>0.75800000000000001</v>
      </c>
      <c r="Y80" s="64">
        <v>0.75800000000000001</v>
      </c>
      <c r="Z80" s="64">
        <v>0.75800000000000001</v>
      </c>
      <c r="AA80" s="64">
        <f t="shared" ref="AA80:AT80" si="309">AA61/AA59</f>
        <v>0.83310846723087617</v>
      </c>
      <c r="AB80" s="64">
        <f t="shared" si="309"/>
        <v>0.81472572601936055</v>
      </c>
      <c r="AC80" s="64">
        <f t="shared" si="309"/>
        <v>0.81087738223660555</v>
      </c>
      <c r="AD80" s="64">
        <f t="shared" si="309"/>
        <v>0.75879676440849342</v>
      </c>
      <c r="AE80" s="64">
        <f t="shared" si="309"/>
        <v>0.79536961079208823</v>
      </c>
      <c r="AF80" s="64">
        <f t="shared" si="309"/>
        <v>0.82189016647241986</v>
      </c>
      <c r="AG80" s="64">
        <f t="shared" si="309"/>
        <v>0.82535191341868852</v>
      </c>
      <c r="AH80" s="64">
        <f t="shared" si="309"/>
        <v>0.80084690974915962</v>
      </c>
      <c r="AI80" s="64">
        <f t="shared" si="309"/>
        <v>0.79790039731470075</v>
      </c>
      <c r="AJ80" s="64">
        <f t="shared" si="309"/>
        <v>0.80360798362333674</v>
      </c>
      <c r="AK80" s="64">
        <f t="shared" si="309"/>
        <v>0.78235552447097467</v>
      </c>
      <c r="AL80" s="64">
        <f t="shared" si="309"/>
        <v>0.78143965075322874</v>
      </c>
      <c r="AM80" s="64">
        <f t="shared" si="309"/>
        <v>0.78618092246180205</v>
      </c>
      <c r="AN80" s="64">
        <f t="shared" si="309"/>
        <v>0.79525042406927948</v>
      </c>
      <c r="AO80" s="64">
        <f t="shared" si="309"/>
        <v>0.77885163068442809</v>
      </c>
      <c r="AP80" s="64">
        <f t="shared" si="309"/>
        <v>0.79045876487670585</v>
      </c>
      <c r="AQ80" s="64">
        <f t="shared" si="309"/>
        <v>0.79323455908604068</v>
      </c>
      <c r="AR80" s="64">
        <f t="shared" si="309"/>
        <v>0.80349764743578933</v>
      </c>
      <c r="AS80" s="64">
        <f t="shared" si="309"/>
        <v>0.79245054221667877</v>
      </c>
      <c r="AT80" s="64">
        <f t="shared" si="309"/>
        <v>0.76131042556121742</v>
      </c>
      <c r="AU80" s="64">
        <f t="shared" ref="AU80:AV80" si="310">AU61/AU59</f>
        <v>0.73891225897375679</v>
      </c>
      <c r="AV80" s="64">
        <f t="shared" si="310"/>
        <v>0.75895534484155935</v>
      </c>
      <c r="AW80" s="64">
        <f t="shared" ref="AW80:AX80" si="311">AW61/AW59</f>
        <v>0.74013454754286656</v>
      </c>
      <c r="AX80" s="64">
        <f t="shared" si="311"/>
        <v>0.75531603303848638</v>
      </c>
      <c r="AY80" s="64">
        <f t="shared" ref="AY80" si="312">AY61/AY59</f>
        <v>0.74321269403836632</v>
      </c>
      <c r="AZ80" s="64">
        <f t="shared" ref="AZ80" si="313">AZ61/AZ59</f>
        <v>0.79233534858497201</v>
      </c>
      <c r="BA80" s="64">
        <f t="shared" ref="BA80" si="314">BA61/BA59</f>
        <v>0.75060991592233395</v>
      </c>
      <c r="BB80" s="64">
        <f t="shared" ref="BB80" si="315">BB61/BB59</f>
        <v>0.7415730337078652</v>
      </c>
      <c r="BC80" s="64">
        <f t="shared" ref="BC80:BD80" si="316">BC61/BC59</f>
        <v>0.72806314361472535</v>
      </c>
      <c r="BD80" s="64">
        <f t="shared" si="316"/>
        <v>0.75976909413854343</v>
      </c>
      <c r="BE80" s="64">
        <f t="shared" ref="BE80:BF80" si="317">BE61/BE59</f>
        <v>0.73016545640156405</v>
      </c>
      <c r="BF80" s="64">
        <f t="shared" si="317"/>
        <v>0.74550820241298499</v>
      </c>
      <c r="BG80" s="64">
        <f t="shared" ref="BG80:BH80" si="318">BG61/BG59</f>
        <v>0.74219153453321351</v>
      </c>
      <c r="BH80" s="64">
        <f t="shared" si="318"/>
        <v>0.73014782892364749</v>
      </c>
      <c r="BI80" s="64">
        <f t="shared" ref="BI80:BK80" si="319">BI61/BI59</f>
        <v>0.71963591375044178</v>
      </c>
      <c r="BJ80" s="64">
        <f t="shared" si="319"/>
        <v>0.73300112000259698</v>
      </c>
      <c r="BK80" s="64">
        <f t="shared" si="319"/>
        <v>0.72433333333333327</v>
      </c>
      <c r="BL80" s="64">
        <f t="shared" ref="BL80" si="320">BL61/BL59</f>
        <v>0.7320776686807654</v>
      </c>
      <c r="BM80" s="64">
        <f t="shared" ref="BM80" si="321">BM61/BM59</f>
        <v>0.74227552417558851</v>
      </c>
      <c r="BN80" s="64">
        <f t="shared" ref="BN80:BO80" si="322">BN61/BN59</f>
        <v>0.75247724660640514</v>
      </c>
      <c r="BO80" s="64">
        <f t="shared" si="322"/>
        <v>0.83078803710773974</v>
      </c>
      <c r="BP80" s="64">
        <f t="shared" ref="BP80:BQ80" si="323">BP61/BP59</f>
        <v>0.83896957330612731</v>
      </c>
      <c r="BQ80" s="64">
        <f t="shared" si="323"/>
        <v>0.82762819228457374</v>
      </c>
      <c r="BR80" s="64">
        <f t="shared" ref="BR80:BS80" si="324">BR61/BR59</f>
        <v>0.8321042281219273</v>
      </c>
      <c r="BS80" s="64">
        <f t="shared" si="324"/>
        <v>0.80263831530086338</v>
      </c>
      <c r="BT80" s="64">
        <f t="shared" ref="BT80:BZ80" si="325">BT61/BT59</f>
        <v>0.79648688947885227</v>
      </c>
      <c r="BU80" s="64">
        <f t="shared" si="325"/>
        <v>0.79098003692993768</v>
      </c>
      <c r="BV80" s="64">
        <f t="shared" si="325"/>
        <v>0.76884719291407366</v>
      </c>
      <c r="BW80" s="64">
        <f t="shared" si="325"/>
        <v>0.75440813447748922</v>
      </c>
      <c r="BX80" s="64">
        <f t="shared" si="325"/>
        <v>0.7925816023738872</v>
      </c>
      <c r="BY80" s="64">
        <f t="shared" si="325"/>
        <v>0.79007825188247449</v>
      </c>
      <c r="BZ80" s="64">
        <f t="shared" si="325"/>
        <v>0.74372179652245651</v>
      </c>
      <c r="CA80" s="64">
        <f>CA61/CA59</f>
        <v>0.76088654434642322</v>
      </c>
      <c r="CB80" s="64">
        <f t="shared" ref="CB80:CH80" si="326">CB61/CB59</f>
        <v>0.79820897362783039</v>
      </c>
      <c r="CC80" s="64">
        <f t="shared" si="326"/>
        <v>0.79</v>
      </c>
      <c r="CD80" s="64">
        <f t="shared" si="326"/>
        <v>0.80499561787905349</v>
      </c>
      <c r="CE80" s="64">
        <f t="shared" si="326"/>
        <v>0.78435344827586195</v>
      </c>
      <c r="CF80" s="64">
        <f t="shared" si="326"/>
        <v>0.78262275154853811</v>
      </c>
      <c r="CG80" s="64">
        <f t="shared" si="326"/>
        <v>0.79</v>
      </c>
      <c r="CH80" s="64">
        <f t="shared" si="326"/>
        <v>0.82263134261338122</v>
      </c>
      <c r="CI80" s="64">
        <f t="shared" ref="CI80:CL80" si="327">CI61/CI59</f>
        <v>0.81</v>
      </c>
      <c r="CJ80" s="64">
        <f t="shared" si="327"/>
        <v>0.81</v>
      </c>
      <c r="CK80" s="64">
        <f t="shared" si="327"/>
        <v>0.81</v>
      </c>
      <c r="CL80" s="64">
        <f t="shared" si="327"/>
        <v>0.81</v>
      </c>
      <c r="CT80" s="64">
        <f>CT61/CT59</f>
        <v>0.76286689419795217</v>
      </c>
      <c r="CU80" s="64">
        <f>CU61/CU59</f>
        <v>0.77818608040041815</v>
      </c>
      <c r="CV80" s="64">
        <v>0.78</v>
      </c>
      <c r="CW80" s="64">
        <f>CW61/CW59</f>
        <v>1.0500260329761233</v>
      </c>
      <c r="CX80" s="64">
        <f>CX61/CX59</f>
        <v>0.82263518056731488</v>
      </c>
      <c r="CY80" s="64">
        <f>CY61/CY59</f>
        <v>0.80057367839296967</v>
      </c>
      <c r="CZ80" s="64">
        <f>CZ61/CZ59</f>
        <v>0.78775238406352488</v>
      </c>
      <c r="DA80" s="64">
        <f>DA61/DA59</f>
        <v>0.78199213689975688</v>
      </c>
      <c r="DB80" s="64"/>
      <c r="DC80" s="64"/>
      <c r="DD80" s="64"/>
      <c r="DE80" s="64"/>
      <c r="DF80" s="64"/>
      <c r="DG80" s="64"/>
      <c r="DH80" s="64"/>
      <c r="DI80" s="64">
        <f t="shared" ref="DI80:DS80" si="328">DI61/DI59</f>
        <v>0.78828764583392763</v>
      </c>
      <c r="DJ80" s="64">
        <f t="shared" si="328"/>
        <v>0.7690061267369388</v>
      </c>
      <c r="DK80" s="64">
        <f t="shared" si="328"/>
        <v>0.7877361161232006</v>
      </c>
      <c r="DL80" s="64">
        <f t="shared" si="328"/>
        <v>0.79515285007476932</v>
      </c>
      <c r="DM80" s="64">
        <f>DM61/DM59</f>
        <v>0.79</v>
      </c>
      <c r="DN80" s="64">
        <f t="shared" si="328"/>
        <v>0.79</v>
      </c>
      <c r="DO80" s="64">
        <f t="shared" si="328"/>
        <v>0.79</v>
      </c>
      <c r="DP80" s="64">
        <f t="shared" si="328"/>
        <v>0.79</v>
      </c>
      <c r="DQ80" s="64">
        <f t="shared" si="328"/>
        <v>0.79</v>
      </c>
      <c r="DR80" s="64">
        <f t="shared" si="328"/>
        <v>0.79000000000000015</v>
      </c>
      <c r="DS80" s="64">
        <f t="shared" si="328"/>
        <v>0.79</v>
      </c>
    </row>
    <row r="81" spans="2:125" x14ac:dyDescent="0.15">
      <c r="B81" t="s">
        <v>59</v>
      </c>
      <c r="J81" s="64">
        <f t="shared" ref="J81:AT81" si="329">J62/J59</f>
        <v>0.33064321850156586</v>
      </c>
      <c r="K81" s="64">
        <f t="shared" si="329"/>
        <v>0.33962346804642624</v>
      </c>
      <c r="L81" s="64">
        <f t="shared" si="329"/>
        <v>0.36204826889057362</v>
      </c>
      <c r="M81" s="64">
        <f t="shared" si="329"/>
        <v>0.33844970713412842</v>
      </c>
      <c r="N81" s="64">
        <f t="shared" si="329"/>
        <v>0.3443984603362949</v>
      </c>
      <c r="O81" s="64">
        <f t="shared" si="329"/>
        <v>0.35412213030950829</v>
      </c>
      <c r="P81" s="64">
        <f t="shared" si="329"/>
        <v>0.36167104878761319</v>
      </c>
      <c r="Q81" s="64">
        <f t="shared" si="329"/>
        <v>0.35200151363624077</v>
      </c>
      <c r="R81" s="64">
        <f t="shared" si="329"/>
        <v>0.25034327359785935</v>
      </c>
      <c r="S81" s="64">
        <f t="shared" si="329"/>
        <v>0.31558073654390933</v>
      </c>
      <c r="T81" s="64">
        <f t="shared" si="329"/>
        <v>0.36356049406266394</v>
      </c>
      <c r="U81" s="64">
        <f t="shared" si="329"/>
        <v>0.25050429711999733</v>
      </c>
      <c r="V81" s="64">
        <f t="shared" si="329"/>
        <v>0.26340819418815725</v>
      </c>
      <c r="W81" s="64">
        <f t="shared" si="329"/>
        <v>0.24840590855202022</v>
      </c>
      <c r="X81" s="64">
        <f t="shared" si="329"/>
        <v>0.25361378384426048</v>
      </c>
      <c r="Y81" s="64">
        <f t="shared" si="329"/>
        <v>0.24264002707116478</v>
      </c>
      <c r="Z81" s="64">
        <f t="shared" si="329"/>
        <v>0.32983398906055078</v>
      </c>
      <c r="AA81" s="64">
        <f t="shared" si="329"/>
        <v>0.31260476716137209</v>
      </c>
      <c r="AB81" s="64">
        <f t="shared" si="329"/>
        <v>0.33405690818421824</v>
      </c>
      <c r="AC81" s="64">
        <f t="shared" si="329"/>
        <v>0.30596907587198846</v>
      </c>
      <c r="AD81" s="64">
        <f t="shared" si="329"/>
        <v>0.32917087967644082</v>
      </c>
      <c r="AE81" s="64">
        <f t="shared" si="329"/>
        <v>0.29430316288396685</v>
      </c>
      <c r="AF81" s="64">
        <f t="shared" si="329"/>
        <v>0.3053559935289718</v>
      </c>
      <c r="AG81" s="64">
        <f t="shared" si="329"/>
        <v>0.2997276649925727</v>
      </c>
      <c r="AH81" s="64">
        <f t="shared" si="329"/>
        <v>0.32142164468580292</v>
      </c>
      <c r="AI81" s="64">
        <f t="shared" si="329"/>
        <v>0.30581244006028224</v>
      </c>
      <c r="AJ81" s="64">
        <f t="shared" si="329"/>
        <v>0.32673362333674522</v>
      </c>
      <c r="AK81" s="64">
        <f t="shared" si="329"/>
        <v>0.31193376815601565</v>
      </c>
      <c r="AL81" s="64">
        <f t="shared" si="329"/>
        <v>0.35278554065450696</v>
      </c>
      <c r="AM81" s="64">
        <f t="shared" si="329"/>
        <v>0.32976938454947874</v>
      </c>
      <c r="AN81" s="64">
        <f t="shared" si="329"/>
        <v>0.34480849924113921</v>
      </c>
      <c r="AO81" s="64">
        <f t="shared" si="329"/>
        <v>0.32290307762976572</v>
      </c>
      <c r="AP81" s="64">
        <f t="shared" si="329"/>
        <v>0.33194568008997366</v>
      </c>
      <c r="AQ81" s="64">
        <f t="shared" si="329"/>
        <v>0.29489468047126027</v>
      </c>
      <c r="AR81" s="64">
        <f t="shared" si="329"/>
        <v>0.3149569118167867</v>
      </c>
      <c r="AS81" s="64">
        <f t="shared" si="329"/>
        <v>0.28624883068288121</v>
      </c>
      <c r="AT81" s="64">
        <f t="shared" si="329"/>
        <v>0.3363173116650599</v>
      </c>
      <c r="AU81" s="64">
        <f t="shared" ref="AU81:AV81" si="330">AU62/AU59</f>
        <v>0.31707629561615169</v>
      </c>
      <c r="AV81" s="64">
        <f t="shared" si="330"/>
        <v>0.33712213307399302</v>
      </c>
      <c r="AW81" s="64">
        <f t="shared" ref="AW81:AX81" si="331">AW62/AW59</f>
        <v>0.34295266223644266</v>
      </c>
      <c r="AX81" s="64">
        <f t="shared" si="331"/>
        <v>0.35145373245074496</v>
      </c>
      <c r="AY81" s="64">
        <f t="shared" ref="AY81" si="332">AY62/AY59</f>
        <v>0.32800826748767414</v>
      </c>
      <c r="AZ81" s="64">
        <f t="shared" ref="AZ81" si="333">AZ62/AZ59</f>
        <v>0.32847932191134233</v>
      </c>
      <c r="BA81" s="64">
        <f t="shared" ref="BA81" si="334">BA62/BA59</f>
        <v>0.31770066737907537</v>
      </c>
      <c r="BB81" s="64">
        <f t="shared" ref="BB81" si="335">BB62/BB59</f>
        <v>0.33454870154029315</v>
      </c>
      <c r="BC81" s="64">
        <f t="shared" ref="BC81:BD81" si="336">BC62/BC59</f>
        <v>0.30295369057162236</v>
      </c>
      <c r="BD81" s="64">
        <f t="shared" si="336"/>
        <v>0.30021462403789223</v>
      </c>
      <c r="BE81" s="64">
        <f t="shared" ref="BE81:BF81" si="337">BE62/BE59</f>
        <v>0.30151973342065225</v>
      </c>
      <c r="BF81" s="64">
        <f t="shared" si="337"/>
        <v>0.31075427480253448</v>
      </c>
      <c r="BG81" s="64">
        <f t="shared" ref="BG81:BH81" si="338">BG62/BG59</f>
        <v>0.29984889925979763</v>
      </c>
      <c r="BH81" s="64">
        <f t="shared" si="338"/>
        <v>0.29710008069639271</v>
      </c>
      <c r="BI81" s="64">
        <f t="shared" ref="BI81:BK81" si="339">BI62/BI59</f>
        <v>0.27898550724637683</v>
      </c>
      <c r="BJ81" s="64">
        <f t="shared" si="339"/>
        <v>0.29274270780917755</v>
      </c>
      <c r="BK81" s="64">
        <f t="shared" si="339"/>
        <v>0.26315789473684209</v>
      </c>
      <c r="BL81" s="64">
        <f t="shared" ref="BL81" si="340">BL62/BL59</f>
        <v>0.26021210976837866</v>
      </c>
      <c r="BM81" s="64">
        <f t="shared" ref="BM81" si="341">BM62/BM59</f>
        <v>0.26668206337946848</v>
      </c>
      <c r="BN81" s="64">
        <f t="shared" ref="BN81:BO81" si="342">BN62/BN59</f>
        <v>0.28911564625850339</v>
      </c>
      <c r="BO81" s="64">
        <f t="shared" si="342"/>
        <v>0.25404400683211092</v>
      </c>
      <c r="BP81" s="64">
        <f t="shared" ref="BP81:BQ81" si="343">BP62/BP59</f>
        <v>0.23799735941907216</v>
      </c>
      <c r="BQ81" s="64">
        <f t="shared" si="343"/>
        <v>0.2176687267851363</v>
      </c>
      <c r="BR81" s="64">
        <f t="shared" ref="BR81:BS81" si="344">BR62/BR59</f>
        <v>0.23190483994318803</v>
      </c>
      <c r="BS81" s="64">
        <f t="shared" si="344"/>
        <v>0.26444588552510334</v>
      </c>
      <c r="BT81" s="64">
        <f t="shared" ref="BT81:BZ81" si="345">BT62/BT59</f>
        <v>0.26341055387860496</v>
      </c>
      <c r="BU81" s="64">
        <f t="shared" si="345"/>
        <v>0.27333379786085082</v>
      </c>
      <c r="BV81" s="64">
        <f t="shared" si="345"/>
        <v>0.20885471969462779</v>
      </c>
      <c r="BW81" s="64">
        <f t="shared" si="345"/>
        <v>0.23157399788409544</v>
      </c>
      <c r="BX81" s="64">
        <f t="shared" si="345"/>
        <v>0.25010385756676567</v>
      </c>
      <c r="BY81" s="64">
        <f t="shared" si="345"/>
        <v>0.23296914218219408</v>
      </c>
      <c r="BZ81" s="64">
        <f t="shared" si="345"/>
        <v>0.19900248753109415</v>
      </c>
      <c r="CA81" s="64">
        <f>CA62/CA59</f>
        <v>0.1994724779452248</v>
      </c>
      <c r="CB81" s="64">
        <f t="shared" ref="CB81:CH81" si="346">CB62/CB59</f>
        <v>0.27464973257910874</v>
      </c>
      <c r="CC81" s="64">
        <f t="shared" si="346"/>
        <v>0.22730743189708572</v>
      </c>
      <c r="CD81" s="64">
        <f t="shared" si="346"/>
        <v>0.21801051709027164</v>
      </c>
      <c r="CE81" s="64">
        <f t="shared" si="346"/>
        <v>0.2513218390804598</v>
      </c>
      <c r="CF81" s="64">
        <f t="shared" si="346"/>
        <v>0.24898165030841454</v>
      </c>
      <c r="CG81" s="64">
        <f t="shared" si="346"/>
        <v>0.16611921756890488</v>
      </c>
      <c r="CH81" s="64">
        <f t="shared" si="346"/>
        <v>0.20576474864755062</v>
      </c>
      <c r="CI81" s="64">
        <f t="shared" ref="CI81:CL81" si="347">CI62/CI59</f>
        <v>0.20386946386946392</v>
      </c>
      <c r="CJ81" s="64">
        <f t="shared" si="347"/>
        <v>0.21643656430432787</v>
      </c>
      <c r="CK81" s="64">
        <f t="shared" si="347"/>
        <v>0.17257668406661703</v>
      </c>
      <c r="CL81" s="64">
        <f t="shared" si="347"/>
        <v>0.20329761081662442</v>
      </c>
      <c r="CP81" s="64">
        <f t="shared" ref="CP81:DI81" si="348">CP62/CP59</f>
        <v>0.29383437956832059</v>
      </c>
      <c r="CQ81" s="64">
        <f t="shared" si="348"/>
        <v>0.30910896452107972</v>
      </c>
      <c r="CR81" s="64">
        <f t="shared" si="348"/>
        <v>0.32220897894318634</v>
      </c>
      <c r="CS81" s="64">
        <f t="shared" si="348"/>
        <v>0.30911321163143085</v>
      </c>
      <c r="CT81" s="64">
        <f t="shared" si="348"/>
        <v>0.30696245733788396</v>
      </c>
      <c r="CU81" s="64">
        <f t="shared" si="348"/>
        <v>0.30107390629454817</v>
      </c>
      <c r="CV81" s="64">
        <f t="shared" si="348"/>
        <v>0.26468097532486495</v>
      </c>
      <c r="CW81" s="64">
        <f t="shared" si="348"/>
        <v>0.33758834028714957</v>
      </c>
      <c r="CX81" s="64">
        <f t="shared" si="348"/>
        <v>0.32861448926124026</v>
      </c>
      <c r="CY81" s="64">
        <f t="shared" si="348"/>
        <v>0.32216426568252204</v>
      </c>
      <c r="CZ81" s="64">
        <f t="shared" si="348"/>
        <v>0.33001637538582668</v>
      </c>
      <c r="DA81" s="64">
        <f t="shared" si="348"/>
        <v>0.34149944321978049</v>
      </c>
      <c r="DB81" s="64">
        <f t="shared" si="348"/>
        <v>0.30882162063937763</v>
      </c>
      <c r="DC81" s="64">
        <f t="shared" si="348"/>
        <v>0.29110809763657503</v>
      </c>
      <c r="DD81" s="64">
        <f t="shared" si="348"/>
        <v>0</v>
      </c>
      <c r="DE81" s="64">
        <f t="shared" si="348"/>
        <v>0</v>
      </c>
      <c r="DF81" s="64">
        <f t="shared" si="348"/>
        <v>0.29950786268217339</v>
      </c>
      <c r="DG81" s="64">
        <f t="shared" si="348"/>
        <v>0.27800343369205649</v>
      </c>
      <c r="DH81" s="64">
        <f t="shared" si="348"/>
        <v>0.2784035413138346</v>
      </c>
      <c r="DI81" s="64">
        <f t="shared" si="348"/>
        <v>0.24943866926923092</v>
      </c>
      <c r="DJ81" s="64">
        <f>DJ62/DJ59</f>
        <v>0.22711654925225563</v>
      </c>
      <c r="DK81" s="64">
        <f t="shared" ref="DK81:DS81" si="349">DK62/DK59</f>
        <v>0.22807361756843397</v>
      </c>
      <c r="DL81" s="64">
        <f t="shared" si="349"/>
        <v>0.21508092767903431</v>
      </c>
      <c r="DM81" s="64">
        <f t="shared" si="349"/>
        <v>0.25</v>
      </c>
      <c r="DN81" s="64">
        <f t="shared" si="349"/>
        <v>0.25</v>
      </c>
      <c r="DO81" s="64">
        <f t="shared" si="349"/>
        <v>0.25</v>
      </c>
      <c r="DP81" s="64">
        <f t="shared" si="349"/>
        <v>0.25</v>
      </c>
      <c r="DQ81" s="64">
        <f t="shared" si="349"/>
        <v>0.25</v>
      </c>
      <c r="DR81" s="64">
        <f t="shared" si="349"/>
        <v>0.25</v>
      </c>
      <c r="DS81" s="64">
        <f t="shared" si="349"/>
        <v>0.25</v>
      </c>
    </row>
    <row r="82" spans="2:125" x14ac:dyDescent="0.15">
      <c r="B82" t="s">
        <v>60</v>
      </c>
      <c r="J82" s="64">
        <f t="shared" ref="J82:AT82" si="350">J63/J59</f>
        <v>0.21259937364490483</v>
      </c>
      <c r="K82" s="64">
        <f t="shared" si="350"/>
        <v>0.2187299766684323</v>
      </c>
      <c r="L82" s="64">
        <f t="shared" si="350"/>
        <v>0.24083901945918626</v>
      </c>
      <c r="M82" s="64">
        <f t="shared" si="350"/>
        <v>0.23734777295520629</v>
      </c>
      <c r="N82" s="64">
        <f t="shared" si="350"/>
        <v>0.23442248140537719</v>
      </c>
      <c r="O82" s="64">
        <f t="shared" si="350"/>
        <v>0.22957523933451063</v>
      </c>
      <c r="P82" s="64">
        <f t="shared" si="350"/>
        <v>0.22640958223780311</v>
      </c>
      <c r="Q82" s="64">
        <f t="shared" si="350"/>
        <v>0.21320647620077304</v>
      </c>
      <c r="R82" s="64">
        <f t="shared" si="350"/>
        <v>0.15667359081787136</v>
      </c>
      <c r="S82" s="64">
        <f t="shared" si="350"/>
        <v>0.19693106704438151</v>
      </c>
      <c r="T82" s="64">
        <f t="shared" si="350"/>
        <v>0.20372931470265629</v>
      </c>
      <c r="U82" s="64">
        <f t="shared" si="350"/>
        <v>0.14315257742444021</v>
      </c>
      <c r="V82" s="64">
        <f t="shared" si="350"/>
        <v>0.14306074380785214</v>
      </c>
      <c r="W82" s="64">
        <f t="shared" si="350"/>
        <v>0.14052036271588322</v>
      </c>
      <c r="X82" s="64">
        <f t="shared" si="350"/>
        <v>0.14194077720593723</v>
      </c>
      <c r="Y82" s="64">
        <f t="shared" si="350"/>
        <v>0.14021097853433181</v>
      </c>
      <c r="Z82" s="64">
        <f t="shared" si="350"/>
        <v>0.19884847903272238</v>
      </c>
      <c r="AA82" s="64">
        <f t="shared" si="350"/>
        <v>0.19365059896152745</v>
      </c>
      <c r="AB82" s="64">
        <f t="shared" si="350"/>
        <v>0.20346142563801703</v>
      </c>
      <c r="AC82" s="64">
        <f t="shared" si="350"/>
        <v>0.20174397698669541</v>
      </c>
      <c r="AD82" s="64">
        <f t="shared" si="350"/>
        <v>0.2050387596899225</v>
      </c>
      <c r="AE82" s="64">
        <f t="shared" si="350"/>
        <v>0.1894266703126424</v>
      </c>
      <c r="AF82" s="64">
        <f t="shared" si="350"/>
        <v>0.20651625584914851</v>
      </c>
      <c r="AG82" s="64">
        <f t="shared" si="350"/>
        <v>0.2157105467921058</v>
      </c>
      <c r="AH82" s="64">
        <f t="shared" si="350"/>
        <v>0.23243147142487713</v>
      </c>
      <c r="AI82" s="64">
        <f t="shared" si="350"/>
        <v>0.19249212220852172</v>
      </c>
      <c r="AJ82" s="64">
        <f t="shared" si="350"/>
        <v>0.20160568065506657</v>
      </c>
      <c r="AK82" s="64">
        <f t="shared" si="350"/>
        <v>0.20834078821099203</v>
      </c>
      <c r="AL82" s="64">
        <f t="shared" si="350"/>
        <v>0.22411654788087243</v>
      </c>
      <c r="AM82" s="64">
        <f t="shared" si="350"/>
        <v>0.20553691275167782</v>
      </c>
      <c r="AN82" s="64">
        <f t="shared" si="350"/>
        <v>0.23581823051513262</v>
      </c>
      <c r="AO82" s="64">
        <f t="shared" si="350"/>
        <v>0.24672485071198896</v>
      </c>
      <c r="AP82" s="64">
        <f t="shared" si="350"/>
        <v>0.2455978379467208</v>
      </c>
      <c r="AQ82" s="64">
        <f t="shared" si="350"/>
        <v>0.24064619778650481</v>
      </c>
      <c r="AR82" s="64">
        <f t="shared" si="350"/>
        <v>0.22436210938158763</v>
      </c>
      <c r="AS82" s="64">
        <f t="shared" si="350"/>
        <v>0.23860998510203374</v>
      </c>
      <c r="AT82" s="64">
        <f t="shared" si="350"/>
        <v>0.25399394022861865</v>
      </c>
      <c r="AU82" s="64">
        <f t="shared" ref="AU82:AV82" si="351">AU63/AU59</f>
        <v>0.23687301146676343</v>
      </c>
      <c r="AV82" s="64">
        <f t="shared" si="351"/>
        <v>0.24219952994570063</v>
      </c>
      <c r="AW82" s="64">
        <f t="shared" ref="AW82:AX82" si="352">AW63/AW59</f>
        <v>0.25498400196898841</v>
      </c>
      <c r="AX82" s="64">
        <f t="shared" si="352"/>
        <v>0.2315232460508074</v>
      </c>
      <c r="AY82" s="64">
        <f t="shared" ref="AY82" si="353">AY63/AY59</f>
        <v>0.22376041509677697</v>
      </c>
      <c r="AZ82" s="64">
        <f t="shared" ref="AZ82" si="354">AZ63/AZ59</f>
        <v>0.23490067688352381</v>
      </c>
      <c r="BA82" s="64">
        <f t="shared" ref="BA82" si="355">BA63/BA59</f>
        <v>0.230538137387342</v>
      </c>
      <c r="BB82" s="64">
        <f t="shared" ref="BB82" si="356">BB63/BB59</f>
        <v>0.26865838232011308</v>
      </c>
      <c r="BC82" s="64">
        <f t="shared" ref="BC82:BD82" si="357">BC63/BC59</f>
        <v>0.25097120305851883</v>
      </c>
      <c r="BD82" s="64">
        <f t="shared" si="357"/>
        <v>0.24716918294849025</v>
      </c>
      <c r="BE82" s="64">
        <f t="shared" ref="BE82:BF82" si="358">BE63/BE59</f>
        <v>0.23814935377621976</v>
      </c>
      <c r="BF82" s="64">
        <f t="shared" si="358"/>
        <v>0.25181841854005726</v>
      </c>
      <c r="BG82" s="64">
        <f t="shared" ref="BG82:BH82" si="359">BG63/BG59</f>
        <v>0.24067096379320235</v>
      </c>
      <c r="BH82" s="64">
        <f t="shared" si="359"/>
        <v>0.21841251309170198</v>
      </c>
      <c r="BI82" s="64">
        <f t="shared" ref="BI82:BK82" si="360">BI63/BI59</f>
        <v>0.23683280311063981</v>
      </c>
      <c r="BJ82" s="64">
        <f t="shared" si="360"/>
        <v>0.24135244371581155</v>
      </c>
      <c r="BK82" s="64">
        <f t="shared" si="360"/>
        <v>0.20647368421052634</v>
      </c>
      <c r="BL82" s="64">
        <f t="shared" ref="BL82" si="361">BL63/BL59</f>
        <v>0.20976523162134944</v>
      </c>
      <c r="BM82" s="64">
        <f t="shared" ref="BM82" si="362">BM63/BM59</f>
        <v>0.22159718900014846</v>
      </c>
      <c r="BN82" s="64">
        <f t="shared" ref="BN82:BO82" si="363">BN63/BN59</f>
        <v>0.22579442735998506</v>
      </c>
      <c r="BO82" s="64">
        <f t="shared" si="363"/>
        <v>0.20605177668374697</v>
      </c>
      <c r="BP82" s="64">
        <f t="shared" ref="BP82:BQ82" si="364">BP63/BP59</f>
        <v>0.21037628278221207</v>
      </c>
      <c r="BQ82" s="64">
        <f t="shared" si="364"/>
        <v>0.21282924648983556</v>
      </c>
      <c r="BR82" s="64">
        <f t="shared" ref="BR82:BS82" si="365">BR63/BR59</f>
        <v>0.21596744236862234</v>
      </c>
      <c r="BS82" s="64">
        <f t="shared" si="365"/>
        <v>0.23756783507969564</v>
      </c>
      <c r="BT82" s="64">
        <f t="shared" ref="BT82:BZ82" si="366">BT63/BT59</f>
        <v>0.25279121358693685</v>
      </c>
      <c r="BU82" s="64">
        <f t="shared" si="366"/>
        <v>0.25526948402606009</v>
      </c>
      <c r="BV82" s="64">
        <f t="shared" si="366"/>
        <v>0.24703969032674294</v>
      </c>
      <c r="BW82" s="64">
        <f t="shared" si="366"/>
        <v>0.24569472199365225</v>
      </c>
      <c r="BX82" s="64">
        <f t="shared" si="366"/>
        <v>0.24818991097922857</v>
      </c>
      <c r="BY82" s="64">
        <f t="shared" si="366"/>
        <v>0.25231064520891783</v>
      </c>
      <c r="BZ82" s="64">
        <f t="shared" si="366"/>
        <v>0.24492806160077002</v>
      </c>
      <c r="CA82" s="64">
        <f>CA63/CA59</f>
        <v>0.20615613116349343</v>
      </c>
      <c r="CB82" s="64">
        <f t="shared" ref="CB82:CH82" si="367">CB63/CB59</f>
        <v>0.25048166587031234</v>
      </c>
      <c r="CC82" s="64">
        <f t="shared" si="367"/>
        <v>0.2461788898972874</v>
      </c>
      <c r="CD82" s="64">
        <f t="shared" si="367"/>
        <v>0.26832274320771249</v>
      </c>
      <c r="CE82" s="64">
        <f t="shared" si="367"/>
        <v>0.28521551724137933</v>
      </c>
      <c r="CF82" s="64">
        <f t="shared" si="367"/>
        <v>0.30472902199635338</v>
      </c>
      <c r="CG82" s="64">
        <f t="shared" si="367"/>
        <v>0.17991072368559577</v>
      </c>
      <c r="CH82" s="64">
        <f t="shared" si="367"/>
        <v>0.27398593024996259</v>
      </c>
      <c r="CI82" s="64">
        <f t="shared" ref="CI82:CL82" si="368">CI63/CI59</f>
        <v>0.23136363636363641</v>
      </c>
      <c r="CJ82" s="64">
        <f t="shared" si="368"/>
        <v>0.2648970415410557</v>
      </c>
      <c r="CK82" s="64">
        <f t="shared" si="368"/>
        <v>0.18690430027342783</v>
      </c>
      <c r="CL82" s="64">
        <f t="shared" si="368"/>
        <v>0.27070081431973581</v>
      </c>
      <c r="DG82" s="53"/>
      <c r="DH82" s="53"/>
    </row>
    <row r="83" spans="2:125" x14ac:dyDescent="0.15">
      <c r="B83" t="s">
        <v>206</v>
      </c>
      <c r="J83" s="64">
        <f t="shared" ref="J83:V83" si="369">J68/J67</f>
        <v>0.31935573451818922</v>
      </c>
      <c r="K83" s="64">
        <f t="shared" si="369"/>
        <v>0.31638030092874975</v>
      </c>
      <c r="L83" s="64">
        <f t="shared" si="369"/>
        <v>0.47611317254174368</v>
      </c>
      <c r="M83" s="64">
        <f t="shared" si="369"/>
        <v>0.38536054109824602</v>
      </c>
      <c r="N83" s="64">
        <f t="shared" si="369"/>
        <v>0.30359645025688908</v>
      </c>
      <c r="O83" s="64">
        <f t="shared" si="369"/>
        <v>0.3900210822206604</v>
      </c>
      <c r="P83" s="64">
        <f t="shared" si="369"/>
        <v>0.3674496644295302</v>
      </c>
      <c r="Q83" s="64">
        <f t="shared" si="369"/>
        <v>0.31622706422018343</v>
      </c>
      <c r="R83" s="64">
        <f t="shared" si="369"/>
        <v>9.6808646985944338E-2</v>
      </c>
      <c r="S83" s="64">
        <f t="shared" si="369"/>
        <v>0.21815718157181574</v>
      </c>
      <c r="T83" s="64">
        <f t="shared" si="369"/>
        <v>0.32179549902152643</v>
      </c>
      <c r="U83" s="64">
        <f t="shared" si="369"/>
        <v>0.10236373532384734</v>
      </c>
      <c r="V83" s="64">
        <f t="shared" si="369"/>
        <v>7.2875239357784644E-2</v>
      </c>
      <c r="W83" s="64">
        <v>0.22</v>
      </c>
      <c r="X83" s="64">
        <v>0.22</v>
      </c>
      <c r="Y83" s="64">
        <v>0.22</v>
      </c>
      <c r="Z83" s="64">
        <v>0.22</v>
      </c>
      <c r="AA83" s="64">
        <f t="shared" ref="AA83:AT83" si="370">AA68/AA67</f>
        <v>0.24231121580944903</v>
      </c>
      <c r="AB83" s="64">
        <f t="shared" si="370"/>
        <v>0.24831347782402755</v>
      </c>
      <c r="AC83" s="64">
        <f t="shared" si="370"/>
        <v>7.8861236336688664E-2</v>
      </c>
      <c r="AD83" s="64">
        <f t="shared" si="370"/>
        <v>0.21005613091944028</v>
      </c>
      <c r="AE83" s="64">
        <f t="shared" si="370"/>
        <v>0.27264573991031388</v>
      </c>
      <c r="AF83" s="64">
        <f t="shared" si="370"/>
        <v>0.22206943966998971</v>
      </c>
      <c r="AG83" s="64">
        <f t="shared" si="370"/>
        <v>0.21555204493593119</v>
      </c>
      <c r="AH83" s="64">
        <f t="shared" si="370"/>
        <v>0.16120365394948946</v>
      </c>
      <c r="AI83" s="64">
        <f t="shared" si="370"/>
        <v>0.20900931998619257</v>
      </c>
      <c r="AJ83" s="64">
        <f t="shared" si="370"/>
        <v>0.20076941572493406</v>
      </c>
      <c r="AK83" s="64">
        <f t="shared" si="370"/>
        <v>0.17926565874730019</v>
      </c>
      <c r="AL83" s="64">
        <f t="shared" si="370"/>
        <v>0.19874390546235837</v>
      </c>
      <c r="AM83" s="64">
        <f t="shared" si="370"/>
        <v>0.24435454211107024</v>
      </c>
      <c r="AN83" s="64">
        <f t="shared" si="370"/>
        <v>0.22108814846056535</v>
      </c>
      <c r="AO83" s="64">
        <f t="shared" si="370"/>
        <v>0.22108127084430404</v>
      </c>
      <c r="AP83" s="64">
        <f t="shared" si="370"/>
        <v>0.15225254850378164</v>
      </c>
      <c r="AQ83" s="64">
        <f t="shared" si="370"/>
        <v>0.27284418573169084</v>
      </c>
      <c r="AR83" s="64">
        <f t="shared" si="370"/>
        <v>0.1955778003041054</v>
      </c>
      <c r="AS83" s="64">
        <f t="shared" si="370"/>
        <v>0.20503502048367916</v>
      </c>
      <c r="AT83" s="64">
        <f t="shared" si="370"/>
        <v>0.18196328810853948</v>
      </c>
      <c r="AU83" s="64">
        <f t="shared" ref="AU83:AV83" si="371">AU68/AU67</f>
        <v>0.20106146630461597</v>
      </c>
      <c r="AV83" s="64">
        <f t="shared" si="371"/>
        <v>0.24843900096061469</v>
      </c>
      <c r="AW83" s="64">
        <f t="shared" ref="AW83:AX83" si="372">AW68/AW67</f>
        <v>0.25825275091697225</v>
      </c>
      <c r="AX83" s="64">
        <f t="shared" si="372"/>
        <v>0.11416689026026296</v>
      </c>
      <c r="AY83" s="64">
        <f t="shared" ref="AY83" si="373">AY68/AY67</f>
        <v>0.1109855618330195</v>
      </c>
      <c r="AZ83" s="64">
        <f t="shared" ref="AZ83" si="374">AZ68/AZ67</f>
        <v>6.2460417986067156E-2</v>
      </c>
      <c r="BA83" s="64">
        <f t="shared" ref="BA83" si="375">BA68/BA67</f>
        <v>0.27049716528565215</v>
      </c>
      <c r="BB83" s="64">
        <f t="shared" ref="BB83" si="376">BB68/BB67</f>
        <v>0</v>
      </c>
      <c r="BC83" s="64">
        <f t="shared" ref="BC83:BD83" si="377">BC68/BC67</f>
        <v>0.12718329652680183</v>
      </c>
      <c r="BD83" s="64">
        <f t="shared" si="377"/>
        <v>0.17466938847963084</v>
      </c>
      <c r="BE83" s="64">
        <f t="shared" ref="BE83:BF83" si="378">BE68/BE67</f>
        <v>0.20035350384695372</v>
      </c>
      <c r="BF83" s="64">
        <f t="shared" si="378"/>
        <v>0.11579961464354525</v>
      </c>
      <c r="BG83" s="64">
        <f t="shared" ref="BG83:BH83" si="379">BG68/BG67</f>
        <v>0.17621145374449337</v>
      </c>
      <c r="BH83" s="64">
        <f t="shared" si="379"/>
        <v>0.212238379423384</v>
      </c>
      <c r="BI83" s="64">
        <f t="shared" ref="BI83:BK83" si="380">BI68/BI67</f>
        <v>3.2629384573552078E-2</v>
      </c>
      <c r="BJ83" s="64">
        <f t="shared" si="380"/>
        <v>0</v>
      </c>
      <c r="BK83" s="64">
        <f t="shared" si="380"/>
        <v>0.16152568084952687</v>
      </c>
      <c r="BL83" s="64">
        <f t="shared" ref="BL83" si="381">BL68/BL67</f>
        <v>0.16262210481046876</v>
      </c>
      <c r="BM83" s="64">
        <f t="shared" ref="BM83" si="382">BM68/BM67</f>
        <v>0.16815638865667804</v>
      </c>
      <c r="BN83" s="64">
        <f t="shared" ref="BN83:BO83" si="383">BN68/BN67</f>
        <v>0</v>
      </c>
      <c r="BO83" s="64">
        <f t="shared" si="383"/>
        <v>8.4993975345259085E-2</v>
      </c>
      <c r="BP83" s="64">
        <f t="shared" ref="BP83:BQ83" si="384">BP68/BP67</f>
        <v>6.1507225606114879E-2</v>
      </c>
      <c r="BQ83" s="64">
        <f t="shared" si="384"/>
        <v>7.2428215233652379E-2</v>
      </c>
      <c r="BR83" s="64">
        <f t="shared" ref="BR83:BS83" si="385">BR68/BR67</f>
        <v>6.1300717738391679E-2</v>
      </c>
      <c r="BS83" s="64">
        <f t="shared" si="385"/>
        <v>0.14963763811334227</v>
      </c>
      <c r="BT83" s="64">
        <f t="shared" ref="BT83:BZ83" si="386">BT68/BT67</f>
        <v>0.15867689357622258</v>
      </c>
      <c r="BU83" s="64">
        <f t="shared" si="386"/>
        <v>0.18152418447694052</v>
      </c>
      <c r="BV83" s="64">
        <f t="shared" si="386"/>
        <v>0.15692650334075731</v>
      </c>
      <c r="BW83" s="64">
        <f t="shared" si="386"/>
        <v>7.4556151403134235E-2</v>
      </c>
      <c r="BX83" s="64">
        <f t="shared" si="386"/>
        <v>0.1070977917981074</v>
      </c>
      <c r="BY83" s="64">
        <f t="shared" si="386"/>
        <v>0.1475739883229315</v>
      </c>
      <c r="BZ83" s="64">
        <f t="shared" si="386"/>
        <v>4.903059026281776E-2</v>
      </c>
      <c r="CA83" s="64">
        <f>CA68/CA67</f>
        <v>9.7358034349109293E-2</v>
      </c>
      <c r="CB83" s="64">
        <f t="shared" ref="CB83:CH83" si="387">CB68/CB67</f>
        <v>9.9000475963826662E-2</v>
      </c>
      <c r="CC83" s="64">
        <f t="shared" si="387"/>
        <v>0.1</v>
      </c>
      <c r="CD83" s="64">
        <f t="shared" si="387"/>
        <v>0.1</v>
      </c>
      <c r="CE83" s="64">
        <f t="shared" si="387"/>
        <v>0.10940737670949038</v>
      </c>
      <c r="CF83" s="64">
        <f t="shared" si="387"/>
        <v>0.18024349750968466</v>
      </c>
      <c r="CG83" s="64">
        <f t="shared" si="387"/>
        <v>0.1</v>
      </c>
      <c r="CH83" s="64">
        <f t="shared" si="387"/>
        <v>0.1034315155050063</v>
      </c>
      <c r="CI83" s="64">
        <f t="shared" ref="CI83:CL83" si="388">CI68/CI67</f>
        <v>0.15</v>
      </c>
      <c r="CJ83" s="64">
        <f t="shared" si="388"/>
        <v>0.15</v>
      </c>
      <c r="CK83" s="64">
        <f t="shared" si="388"/>
        <v>0.15</v>
      </c>
      <c r="CL83" s="64">
        <f t="shared" si="388"/>
        <v>0.15</v>
      </c>
      <c r="DG83" s="53"/>
      <c r="DH83" s="53"/>
      <c r="DK83" s="79">
        <f>+DK68/DK67</f>
        <v>0.10070228102420131</v>
      </c>
      <c r="DL83" s="79">
        <f t="shared" ref="DL83:DS83" si="389">+DL68/DL67</f>
        <v>0.11648175613777172</v>
      </c>
      <c r="DM83" s="79">
        <f t="shared" si="389"/>
        <v>0.2</v>
      </c>
      <c r="DN83" s="79">
        <f t="shared" si="389"/>
        <v>0.2</v>
      </c>
      <c r="DO83" s="79">
        <f t="shared" si="389"/>
        <v>0.19999999999999998</v>
      </c>
      <c r="DP83" s="79">
        <f t="shared" si="389"/>
        <v>0.19999999999999998</v>
      </c>
      <c r="DQ83" s="79">
        <f t="shared" si="389"/>
        <v>0.2</v>
      </c>
      <c r="DR83" s="79">
        <f t="shared" si="389"/>
        <v>0.2</v>
      </c>
      <c r="DS83" s="79">
        <f t="shared" si="389"/>
        <v>0.2</v>
      </c>
      <c r="DT83" s="52" t="s">
        <v>270</v>
      </c>
      <c r="DU83" s="66">
        <v>0.01</v>
      </c>
    </row>
    <row r="84" spans="2:125" x14ac:dyDescent="0.15">
      <c r="DT84" s="47" t="s">
        <v>242</v>
      </c>
      <c r="DU84" s="63">
        <v>-0.01</v>
      </c>
    </row>
    <row r="85" spans="2:125" x14ac:dyDescent="0.15">
      <c r="B85" t="s">
        <v>187</v>
      </c>
      <c r="AD85" s="51">
        <f>4498-6662+1155.8</f>
        <v>-1008.2</v>
      </c>
      <c r="AE85" s="51">
        <f>+AD85+AE69</f>
        <v>289.39999999999986</v>
      </c>
      <c r="AI85" s="51">
        <f>+AI87-AI100</f>
        <v>1939.5</v>
      </c>
      <c r="AJ85" s="51">
        <f t="shared" ref="AJ85" si="390">+AJ87-AJ100</f>
        <v>2544.1999999999989</v>
      </c>
      <c r="AK85" s="51">
        <f t="shared" ref="AK85" si="391">+AK87-AK100</f>
        <v>2923.8999999999996</v>
      </c>
      <c r="AL85" s="51">
        <f>+AL87-AL100</f>
        <v>3939.9000000000015</v>
      </c>
      <c r="AM85" s="51">
        <f>+AM87-AM100</f>
        <v>4031.9000000000005</v>
      </c>
      <c r="AN85" s="51">
        <f>+AN87-AN100</f>
        <v>4299.8</v>
      </c>
      <c r="AO85" s="51">
        <f>+AO87-AO100</f>
        <v>6604.2000000000007</v>
      </c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>
        <f t="shared" ref="BW85" si="392">+BW87-BW100</f>
        <v>-9920.7000000000007</v>
      </c>
      <c r="BX85" s="51">
        <f t="shared" ref="BX85" si="393">+BX87-BX100</f>
        <v>-9768.9999999999982</v>
      </c>
      <c r="BY85" s="51">
        <f>+BY87-BY100</f>
        <v>-9909.6000000000022</v>
      </c>
      <c r="BZ85" s="51">
        <f>+BZ87-BZ100</f>
        <v>-9763.5</v>
      </c>
      <c r="CA85" s="51">
        <f>+CA87-CA100</f>
        <v>-11213.199999999999</v>
      </c>
      <c r="CB85" s="51">
        <f>+CB87-CB100</f>
        <v>-11489.9</v>
      </c>
      <c r="CC85" s="51"/>
      <c r="CD85" s="51"/>
      <c r="CE85" s="51">
        <f>+CE87-CE100</f>
        <v>-12463.899999999998</v>
      </c>
      <c r="CF85" s="51"/>
      <c r="CG85" s="51"/>
      <c r="CH85" s="51"/>
      <c r="CI85" s="51"/>
      <c r="CJ85" s="51"/>
      <c r="CK85" s="51"/>
      <c r="CL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K85" s="49">
        <f>+CD85</f>
        <v>0</v>
      </c>
      <c r="DL85" s="49">
        <f>+DK85+DL69</f>
        <v>9491.9846000000016</v>
      </c>
      <c r="DM85" s="49">
        <f t="shared" ref="DM85:DS85" si="394">+DL85+DM69</f>
        <v>27306.380476800005</v>
      </c>
      <c r="DN85" s="49">
        <f t="shared" si="394"/>
        <v>42459.402864614407</v>
      </c>
      <c r="DO85" s="49">
        <f t="shared" si="394"/>
        <v>58893.139159531318</v>
      </c>
      <c r="DP85" s="49">
        <f t="shared" si="394"/>
        <v>76205.567816657174</v>
      </c>
      <c r="DQ85" s="49">
        <f t="shared" si="394"/>
        <v>95346.491400520448</v>
      </c>
      <c r="DR85" s="49">
        <f t="shared" si="394"/>
        <v>115898.72928459311</v>
      </c>
      <c r="DS85" s="49">
        <f t="shared" si="394"/>
        <v>132029.99738641293</v>
      </c>
      <c r="DT85" s="47" t="s">
        <v>241</v>
      </c>
      <c r="DU85" s="63">
        <v>7.0000000000000007E-2</v>
      </c>
    </row>
    <row r="86" spans="2:125" x14ac:dyDescent="0.15">
      <c r="DT86" s="47" t="s">
        <v>243</v>
      </c>
      <c r="DU86" s="51">
        <f>NPV(DU85,DL69:GS69)+Main!J5-Main!J6</f>
        <v>200071.14683637107</v>
      </c>
    </row>
    <row r="87" spans="2:125" s="49" customFormat="1" x14ac:dyDescent="0.15">
      <c r="B87" s="49" t="s">
        <v>174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>
        <f>5993.2+733.8+1779.5</f>
        <v>8506.5</v>
      </c>
      <c r="AI87" s="51">
        <f>6506.4+206.7+1898.7</f>
        <v>8611.7999999999993</v>
      </c>
      <c r="AJ87" s="51">
        <f>6113.5+216.3+2943</f>
        <v>9272.7999999999993</v>
      </c>
      <c r="AK87" s="51">
        <f>6597.7+186.6+3219.6</f>
        <v>10003.9</v>
      </c>
      <c r="AL87" s="51">
        <f>5922.5+974.6+4029.8</f>
        <v>10926.900000000001</v>
      </c>
      <c r="AM87" s="51">
        <f>4122.2+802.4+4521.1</f>
        <v>9445.7000000000007</v>
      </c>
      <c r="AN87" s="51">
        <f>4345.8+915.7+4547.6</f>
        <v>9809.1</v>
      </c>
      <c r="AO87" s="51">
        <f>5319.2+1580.7+5224.3</f>
        <v>12124.2</v>
      </c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>
        <f>3002.4+49+3232.4</f>
        <v>6283.8</v>
      </c>
      <c r="BX87" s="51">
        <f>3220+51.2+3474.9</f>
        <v>6746.1</v>
      </c>
      <c r="BY87" s="51">
        <f>3788.2+37.1+3350.5</f>
        <v>7175.7999999999993</v>
      </c>
      <c r="BZ87" s="51">
        <f>3818.5+90.1+3212.6</f>
        <v>7121.2</v>
      </c>
      <c r="CA87" s="51">
        <f>2459.2+109.1+2727.3</f>
        <v>5295.6</v>
      </c>
      <c r="CB87" s="51">
        <f>2622.9+113.8+2587.2</f>
        <v>5323.9</v>
      </c>
      <c r="CC87" s="51"/>
      <c r="CD87" s="51"/>
      <c r="CE87" s="51">
        <f>3545.9+123.4+2750.4</f>
        <v>6419.7000000000007</v>
      </c>
      <c r="CF87" s="51"/>
      <c r="CG87" s="51"/>
      <c r="CH87" s="51"/>
      <c r="CI87" s="51"/>
      <c r="CJ87" s="51"/>
      <c r="CK87" s="51"/>
      <c r="CL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T87" s="60" t="s">
        <v>265</v>
      </c>
      <c r="DU87" s="65">
        <f>+DU86/Main!J3</f>
        <v>210.76251084509863</v>
      </c>
    </row>
    <row r="88" spans="2:125" s="49" customFormat="1" x14ac:dyDescent="0.15">
      <c r="B88" s="50" t="s">
        <v>286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>
        <v>3493.8</v>
      </c>
      <c r="AI88" s="51">
        <v>3694.3</v>
      </c>
      <c r="AJ88" s="51">
        <v>3833.6</v>
      </c>
      <c r="AK88" s="51">
        <v>3533.2</v>
      </c>
      <c r="AL88" s="51">
        <v>3597.7</v>
      </c>
      <c r="AM88" s="51">
        <v>3402.1</v>
      </c>
      <c r="AN88" s="51">
        <v>3181.7</v>
      </c>
      <c r="AO88" s="51">
        <v>3268.2</v>
      </c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>
        <v>5592.8</v>
      </c>
      <c r="BX88" s="51">
        <v>5829.4</v>
      </c>
      <c r="BY88" s="51">
        <v>5914.3</v>
      </c>
      <c r="BZ88" s="51">
        <v>6672.8</v>
      </c>
      <c r="CA88" s="51">
        <v>6322.5</v>
      </c>
      <c r="CB88" s="51">
        <v>6364.5</v>
      </c>
      <c r="CC88" s="51"/>
      <c r="CD88" s="51"/>
      <c r="CE88" s="51">
        <v>7526.2</v>
      </c>
      <c r="CF88" s="51"/>
      <c r="CG88" s="51"/>
      <c r="CH88" s="51"/>
      <c r="CI88" s="51"/>
      <c r="CJ88" s="51"/>
      <c r="CK88" s="51"/>
      <c r="CL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</row>
    <row r="89" spans="2:125" s="49" customFormat="1" x14ac:dyDescent="0.15">
      <c r="B89" s="50" t="s">
        <v>287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>
        <v>664.3</v>
      </c>
      <c r="AI89" s="51">
        <v>488.8</v>
      </c>
      <c r="AJ89" s="51">
        <v>612.9</v>
      </c>
      <c r="AK89" s="51">
        <v>564.4</v>
      </c>
      <c r="AL89" s="51">
        <v>640.20000000000005</v>
      </c>
      <c r="AM89" s="51">
        <v>529.20000000000005</v>
      </c>
      <c r="AN89" s="51">
        <v>590</v>
      </c>
      <c r="AO89" s="51">
        <v>527.29999999999995</v>
      </c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>
        <v>1065.8</v>
      </c>
      <c r="BX89" s="51">
        <v>1073.4000000000001</v>
      </c>
      <c r="BY89" s="51">
        <v>1110.7</v>
      </c>
      <c r="BZ89" s="51">
        <v>1454.4</v>
      </c>
      <c r="CA89" s="51">
        <v>1483.2</v>
      </c>
      <c r="CB89" s="51">
        <v>1307.9000000000001</v>
      </c>
      <c r="CC89" s="51"/>
      <c r="CD89" s="51"/>
      <c r="CE89" s="51">
        <v>1495.9</v>
      </c>
      <c r="CF89" s="51"/>
      <c r="CG89" s="51"/>
      <c r="CH89" s="51"/>
      <c r="CI89" s="51"/>
      <c r="CJ89" s="51"/>
      <c r="CK89" s="51"/>
      <c r="CL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</row>
    <row r="90" spans="2:125" s="49" customFormat="1" x14ac:dyDescent="0.15">
      <c r="B90" s="50" t="s">
        <v>288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>
        <v>2517.6999999999998</v>
      </c>
      <c r="AI90" s="51">
        <v>2767.2</v>
      </c>
      <c r="AJ90" s="51">
        <v>2870.2</v>
      </c>
      <c r="AK90" s="51">
        <v>2513.3000000000002</v>
      </c>
      <c r="AL90" s="51">
        <v>2299.8000000000002</v>
      </c>
      <c r="AM90" s="51">
        <v>2424.1999999999998</v>
      </c>
      <c r="AN90" s="51">
        <v>2320.8000000000002</v>
      </c>
      <c r="AO90" s="51">
        <v>2553.4</v>
      </c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>
        <v>3660.8</v>
      </c>
      <c r="BX90" s="51">
        <v>3824.9</v>
      </c>
      <c r="BY90" s="51">
        <v>3907.4</v>
      </c>
      <c r="BZ90" s="51">
        <v>3886</v>
      </c>
      <c r="CA90" s="51">
        <v>3893</v>
      </c>
      <c r="CB90" s="51">
        <v>3899.4</v>
      </c>
      <c r="CC90" s="51"/>
      <c r="CD90" s="51"/>
      <c r="CE90" s="51">
        <v>4544.8</v>
      </c>
      <c r="CF90" s="51"/>
      <c r="CG90" s="51"/>
      <c r="CH90" s="51"/>
      <c r="CI90" s="51"/>
      <c r="CJ90" s="51"/>
      <c r="CK90" s="51"/>
      <c r="CL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</row>
    <row r="91" spans="2:125" s="49" customFormat="1" x14ac:dyDescent="0.15">
      <c r="B91" s="50" t="s">
        <v>289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>
        <v>828.3</v>
      </c>
      <c r="AI91" s="51">
        <v>550.1</v>
      </c>
      <c r="AJ91" s="51">
        <v>436.5</v>
      </c>
      <c r="AK91" s="51">
        <v>378.4</v>
      </c>
      <c r="AL91" s="51">
        <v>158.5</v>
      </c>
      <c r="AM91" s="51">
        <v>324</v>
      </c>
      <c r="AN91" s="51">
        <v>0</v>
      </c>
      <c r="AO91" s="51">
        <v>0</v>
      </c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>
        <v>3233.7</v>
      </c>
      <c r="BX91" s="51">
        <v>3296.6</v>
      </c>
      <c r="BY91" s="51">
        <v>3050.6</v>
      </c>
      <c r="BZ91" s="51">
        <v>2530.6</v>
      </c>
      <c r="CA91" s="51">
        <v>2697.7</v>
      </c>
      <c r="CB91" s="51">
        <v>2806.7</v>
      </c>
      <c r="CC91" s="51"/>
      <c r="CD91" s="51"/>
      <c r="CE91" s="51">
        <v>3575.2</v>
      </c>
      <c r="CF91" s="51"/>
      <c r="CG91" s="51"/>
      <c r="CH91" s="51"/>
      <c r="CI91" s="51"/>
      <c r="CJ91" s="51"/>
      <c r="CK91" s="51"/>
      <c r="CL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</row>
    <row r="92" spans="2:125" s="49" customFormat="1" x14ac:dyDescent="0.15">
      <c r="B92" s="50" t="s">
        <v>290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>
        <v>608.9</v>
      </c>
      <c r="AI92" s="51">
        <v>1140.8</v>
      </c>
      <c r="AJ92" s="51">
        <v>867.3</v>
      </c>
      <c r="AK92" s="51">
        <v>799.1</v>
      </c>
      <c r="AL92" s="51">
        <v>654.9</v>
      </c>
      <c r="AM92" s="51">
        <v>998.5</v>
      </c>
      <c r="AN92" s="51">
        <v>953.3</v>
      </c>
      <c r="AO92" s="51">
        <v>790.1</v>
      </c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</row>
    <row r="93" spans="2:125" s="49" customFormat="1" x14ac:dyDescent="0.15">
      <c r="B93" s="50" t="s">
        <v>291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>
        <v>4818.8</v>
      </c>
      <c r="AI93" s="51">
        <v>4731.3</v>
      </c>
      <c r="AJ93" s="51">
        <v>4955.3999999999996</v>
      </c>
      <c r="AK93" s="51">
        <v>5221.8999999999996</v>
      </c>
      <c r="AL93" s="51">
        <v>5128.1000000000004</v>
      </c>
      <c r="AM93" s="51">
        <v>5266.7</v>
      </c>
      <c r="AN93" s="51">
        <v>5142.8</v>
      </c>
      <c r="AO93" s="51">
        <v>5031.1000000000004</v>
      </c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>
        <f>3877.4+8087.8</f>
        <v>11965.2</v>
      </c>
      <c r="BX93" s="51">
        <f>3884.2+7985.4</f>
        <v>11869.599999999999</v>
      </c>
      <c r="BY93" s="51">
        <f>3884.1+7887.7</f>
        <v>11771.8</v>
      </c>
      <c r="BZ93" s="51">
        <f>3892+7691.9</f>
        <v>11583.9</v>
      </c>
      <c r="CA93" s="51">
        <f>3892+7482.4</f>
        <v>11374.4</v>
      </c>
      <c r="CB93" s="51">
        <f>3891.8+7497.7</f>
        <v>11389.5</v>
      </c>
      <c r="CC93" s="51"/>
      <c r="CD93" s="51"/>
      <c r="CE93" s="51">
        <f>4073.1+7087.1</f>
        <v>11160.2</v>
      </c>
      <c r="CF93" s="51"/>
      <c r="CG93" s="51"/>
      <c r="CH93" s="51"/>
      <c r="CI93" s="51"/>
      <c r="CJ93" s="51"/>
      <c r="CK93" s="51"/>
      <c r="CL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</row>
    <row r="94" spans="2:125" s="49" customFormat="1" x14ac:dyDescent="0.15">
      <c r="B94" s="50" t="s">
        <v>387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>
        <v>2649.9</v>
      </c>
      <c r="BX94" s="51">
        <v>2674.9</v>
      </c>
      <c r="BY94" s="51">
        <v>2625.6</v>
      </c>
      <c r="BZ94" s="51">
        <v>2489.3000000000002</v>
      </c>
      <c r="CA94" s="51">
        <v>2464.9</v>
      </c>
      <c r="CB94" s="51">
        <v>2371.9</v>
      </c>
      <c r="CC94" s="51"/>
      <c r="CD94" s="51"/>
      <c r="CE94" s="51">
        <v>3406.7</v>
      </c>
      <c r="CF94" s="51"/>
      <c r="CG94" s="51"/>
      <c r="CH94" s="51"/>
      <c r="CI94" s="51"/>
      <c r="CJ94" s="51"/>
      <c r="CK94" s="51"/>
      <c r="CL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</row>
    <row r="95" spans="2:125" s="49" customFormat="1" x14ac:dyDescent="0.15">
      <c r="B95" s="50" t="s">
        <v>292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>
        <v>1622.4</v>
      </c>
      <c r="AI95" s="51">
        <v>1743.3</v>
      </c>
      <c r="AJ95" s="51">
        <v>1976.9</v>
      </c>
      <c r="AK95" s="51">
        <v>2215.8000000000002</v>
      </c>
      <c r="AL95" s="51">
        <v>2493.4</v>
      </c>
      <c r="AM95" s="51">
        <v>2093.1999999999998</v>
      </c>
      <c r="AN95" s="51">
        <v>2195</v>
      </c>
      <c r="AO95" s="51">
        <v>2387.8000000000002</v>
      </c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>
        <v>0</v>
      </c>
      <c r="BX95" s="51">
        <v>0</v>
      </c>
      <c r="BY95" s="51">
        <v>0</v>
      </c>
      <c r="BZ95" s="51">
        <v>0</v>
      </c>
      <c r="CA95" s="51">
        <v>0</v>
      </c>
      <c r="CB95" s="51">
        <v>0</v>
      </c>
      <c r="CC95" s="51"/>
      <c r="CD95" s="51"/>
      <c r="CE95" s="51">
        <v>0</v>
      </c>
      <c r="CF95" s="51"/>
      <c r="CG95" s="51"/>
      <c r="CH95" s="51"/>
      <c r="CI95" s="51"/>
      <c r="CJ95" s="51"/>
      <c r="CK95" s="51"/>
      <c r="CL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</row>
    <row r="96" spans="2:125" s="49" customFormat="1" x14ac:dyDescent="0.15">
      <c r="B96" s="50" t="s">
        <v>293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>
        <v>7940.7</v>
      </c>
      <c r="AI96" s="51">
        <v>7967.7</v>
      </c>
      <c r="AJ96" s="51">
        <v>7953.7</v>
      </c>
      <c r="AK96" s="51">
        <v>7812.2</v>
      </c>
      <c r="AL96" s="51">
        <v>7760.3</v>
      </c>
      <c r="AM96" s="51">
        <v>7754.6</v>
      </c>
      <c r="AN96" s="51">
        <v>7619.9</v>
      </c>
      <c r="AO96" s="51">
        <v>7638.9</v>
      </c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>
        <v>8630.1</v>
      </c>
      <c r="BX96" s="51">
        <v>8855.5</v>
      </c>
      <c r="BY96" s="51">
        <v>8920.4</v>
      </c>
      <c r="BZ96" s="51">
        <v>8985.1</v>
      </c>
      <c r="CA96" s="51">
        <v>9102.7000000000007</v>
      </c>
      <c r="CB96" s="51">
        <v>9128.2000000000007</v>
      </c>
      <c r="CC96" s="51"/>
      <c r="CD96" s="51"/>
      <c r="CE96" s="51">
        <v>10546.2</v>
      </c>
      <c r="CF96" s="51"/>
      <c r="CG96" s="51"/>
      <c r="CH96" s="51"/>
      <c r="CI96" s="51"/>
      <c r="CJ96" s="51"/>
      <c r="CK96" s="51"/>
      <c r="CL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</row>
    <row r="97" spans="2:110" s="49" customFormat="1" x14ac:dyDescent="0.15">
      <c r="B97" s="50" t="s">
        <v>388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>
        <v>3756.2</v>
      </c>
      <c r="BX97" s="51">
        <v>3638.6</v>
      </c>
      <c r="BY97" s="51">
        <v>3710.4</v>
      </c>
      <c r="BZ97" s="51">
        <v>4082.7</v>
      </c>
      <c r="CA97" s="51">
        <v>4285.3</v>
      </c>
      <c r="CB97" s="51">
        <v>4471.6000000000004</v>
      </c>
      <c r="CC97" s="51"/>
      <c r="CD97" s="51"/>
      <c r="CE97" s="51">
        <v>4488.1000000000004</v>
      </c>
      <c r="CF97" s="51"/>
      <c r="CG97" s="51"/>
      <c r="CH97" s="51"/>
      <c r="CI97" s="51"/>
      <c r="CJ97" s="51"/>
      <c r="CK97" s="51"/>
      <c r="CL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</row>
    <row r="98" spans="2:110" s="49" customFormat="1" x14ac:dyDescent="0.15">
      <c r="B98" s="50" t="s">
        <v>294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>
        <f>SUM(AH87:AH96)</f>
        <v>31001.4</v>
      </c>
      <c r="AI98" s="51">
        <f>SUM(AI87:AI96)</f>
        <v>31695.3</v>
      </c>
      <c r="AJ98" s="51">
        <f t="shared" ref="AJ98" si="395">SUM(AJ87:AJ96)</f>
        <v>32779.299999999996</v>
      </c>
      <c r="AK98" s="51">
        <f>SUM(AK87:AK96)</f>
        <v>33042.199999999997</v>
      </c>
      <c r="AL98" s="51">
        <f>SUM(AL87:AL96)</f>
        <v>33659.80000000001</v>
      </c>
      <c r="AM98" s="51">
        <f>SUM(AM87:AM96)</f>
        <v>32238.200000000004</v>
      </c>
      <c r="AN98" s="51">
        <f>SUM(AN87:AN96)</f>
        <v>31812.6</v>
      </c>
      <c r="AO98" s="51">
        <f>SUM(AO87:AO96)</f>
        <v>34321</v>
      </c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>
        <f t="shared" ref="BW98" si="396">SUM(BW87:BW97)</f>
        <v>46838.299999999996</v>
      </c>
      <c r="BX98" s="51">
        <f t="shared" ref="BX98" si="397">SUM(BX87:BX97)</f>
        <v>47808.999999999993</v>
      </c>
      <c r="BY98" s="51">
        <f>SUM(BY87:BY97)</f>
        <v>48187</v>
      </c>
      <c r="BZ98" s="51">
        <f>SUM(BZ87:BZ97)</f>
        <v>48806</v>
      </c>
      <c r="CA98" s="51">
        <f>SUM(CA87:CA97)</f>
        <v>46919.3</v>
      </c>
      <c r="CB98" s="51">
        <f>SUM(CB87:CB97)</f>
        <v>47063.6</v>
      </c>
      <c r="CC98" s="51"/>
      <c r="CD98" s="51"/>
      <c r="CE98" s="51">
        <f>SUM(CE87:CE97)</f>
        <v>53162.999999999993</v>
      </c>
      <c r="CF98" s="51"/>
      <c r="CG98" s="51"/>
      <c r="CH98" s="51"/>
      <c r="CI98" s="51"/>
      <c r="CJ98" s="51"/>
      <c r="CK98" s="51"/>
      <c r="CL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</row>
    <row r="100" spans="2:110" s="49" customFormat="1" x14ac:dyDescent="0.15">
      <c r="B100" s="50" t="s">
        <v>175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>
        <f>156+6770.5</f>
        <v>6926.5</v>
      </c>
      <c r="AI100" s="51">
        <f>1539.9+5132.4</f>
        <v>6672.2999999999993</v>
      </c>
      <c r="AJ100" s="51">
        <f>1528.5+5200.1</f>
        <v>6728.6</v>
      </c>
      <c r="AK100" s="51">
        <f>1628.7+5451.3</f>
        <v>7080</v>
      </c>
      <c r="AL100" s="51">
        <f>1522.3+5464.7</f>
        <v>6987</v>
      </c>
      <c r="AM100" s="51">
        <f>10.6+5403.2</f>
        <v>5413.8</v>
      </c>
      <c r="AN100" s="51">
        <f>9.1+5500.2</f>
        <v>5509.3</v>
      </c>
      <c r="AO100" s="51">
        <f>9.1+5510.9</f>
        <v>5520</v>
      </c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>
        <f>4.9+16199.6</f>
        <v>16204.5</v>
      </c>
      <c r="BX100" s="51">
        <f>1778.5+14736.6</f>
        <v>16515.099999999999</v>
      </c>
      <c r="BY100" s="51">
        <f>1563+15522.4</f>
        <v>17085.400000000001</v>
      </c>
      <c r="BZ100" s="51">
        <f>1538.3+15346.4</f>
        <v>16884.7</v>
      </c>
      <c r="CA100" s="51">
        <f>1355.9+15152.9</f>
        <v>16508.8</v>
      </c>
      <c r="CB100" s="51">
        <f>2121.8+14692</f>
        <v>16813.8</v>
      </c>
      <c r="CC100" s="51"/>
      <c r="CD100" s="51"/>
      <c r="CE100" s="51">
        <f>18880.5+3.1</f>
        <v>18883.599999999999</v>
      </c>
      <c r="CF100" s="51"/>
      <c r="CG100" s="51"/>
      <c r="CH100" s="51"/>
      <c r="CI100" s="51"/>
      <c r="CJ100" s="51"/>
      <c r="CK100" s="51"/>
      <c r="CL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</row>
    <row r="101" spans="2:110" s="49" customFormat="1" x14ac:dyDescent="0.15">
      <c r="B101" s="50" t="s">
        <v>295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>
        <v>1072.2</v>
      </c>
      <c r="AI101" s="51">
        <v>1183.2</v>
      </c>
      <c r="AJ101" s="51">
        <v>1187.5999999999999</v>
      </c>
      <c r="AK101" s="51">
        <v>1154.3</v>
      </c>
      <c r="AL101" s="51">
        <v>1125.2</v>
      </c>
      <c r="AM101" s="51">
        <v>1246.3</v>
      </c>
      <c r="AN101" s="51">
        <v>1201.5999999999999</v>
      </c>
      <c r="AO101" s="51">
        <v>1328.7</v>
      </c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>
        <v>1639.6</v>
      </c>
      <c r="BX101" s="51">
        <v>1597.8</v>
      </c>
      <c r="BY101" s="51">
        <v>1566.8</v>
      </c>
      <c r="BZ101" s="51">
        <v>1670.6</v>
      </c>
      <c r="CA101" s="51">
        <v>1433.3</v>
      </c>
      <c r="CB101" s="51">
        <v>1659.3</v>
      </c>
      <c r="CC101" s="51"/>
      <c r="CD101" s="51"/>
      <c r="CE101" s="51">
        <v>2015.9</v>
      </c>
      <c r="CF101" s="51"/>
      <c r="CG101" s="51"/>
      <c r="CH101" s="51"/>
      <c r="CI101" s="51"/>
      <c r="CJ101" s="51"/>
      <c r="CK101" s="51"/>
      <c r="CL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</row>
    <row r="102" spans="2:110" s="49" customFormat="1" x14ac:dyDescent="0.15">
      <c r="B102" s="50" t="s">
        <v>296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>
        <v>851.8</v>
      </c>
      <c r="AI102" s="51">
        <v>524</v>
      </c>
      <c r="AJ102" s="51">
        <v>584.70000000000005</v>
      </c>
      <c r="AK102" s="51">
        <v>689.3</v>
      </c>
      <c r="AL102" s="51">
        <v>804.7</v>
      </c>
      <c r="AM102" s="51">
        <v>533.79999999999995</v>
      </c>
      <c r="AN102" s="51">
        <v>602.9</v>
      </c>
      <c r="AO102" s="51">
        <v>772.7</v>
      </c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>
        <v>649.9</v>
      </c>
      <c r="BX102" s="51">
        <v>755.5</v>
      </c>
      <c r="BY102" s="51">
        <v>836.6</v>
      </c>
      <c r="BZ102" s="51">
        <v>958.1</v>
      </c>
      <c r="CA102" s="51">
        <v>693.1</v>
      </c>
      <c r="CB102" s="51">
        <v>835.8</v>
      </c>
      <c r="CC102" s="51"/>
      <c r="CD102" s="51"/>
      <c r="CE102" s="51">
        <v>739.7</v>
      </c>
      <c r="CF102" s="51"/>
      <c r="CG102" s="51"/>
      <c r="CH102" s="51"/>
      <c r="CI102" s="51"/>
      <c r="CJ102" s="51"/>
      <c r="CK102" s="51"/>
      <c r="CL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</row>
    <row r="103" spans="2:110" s="49" customFormat="1" x14ac:dyDescent="0.15">
      <c r="B103" s="50" t="s">
        <v>297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>
        <v>1372.6</v>
      </c>
      <c r="AI103" s="51">
        <v>1489.5</v>
      </c>
      <c r="AJ103" s="51">
        <v>1807.6</v>
      </c>
      <c r="AK103" s="51">
        <v>1882.3</v>
      </c>
      <c r="AL103" s="51">
        <v>1771.3</v>
      </c>
      <c r="AM103" s="51">
        <v>1619.8</v>
      </c>
      <c r="AN103" s="51">
        <v>1628.6</v>
      </c>
      <c r="AO103" s="51">
        <v>1695.6</v>
      </c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>
        <v>5821.4</v>
      </c>
      <c r="BX103" s="51">
        <v>7035.8</v>
      </c>
      <c r="BY103" s="51">
        <v>7185.6</v>
      </c>
      <c r="BZ103" s="51">
        <v>6845.8</v>
      </c>
      <c r="CA103" s="51">
        <v>6768.7</v>
      </c>
      <c r="CB103" s="51">
        <v>7991.4</v>
      </c>
      <c r="CC103" s="51"/>
      <c r="CD103" s="51"/>
      <c r="CE103" s="51">
        <v>9529.5</v>
      </c>
      <c r="CF103" s="51"/>
      <c r="CG103" s="51"/>
      <c r="CH103" s="51"/>
      <c r="CI103" s="51"/>
      <c r="CJ103" s="51"/>
      <c r="CK103" s="51"/>
      <c r="CL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</row>
    <row r="104" spans="2:110" s="49" customFormat="1" x14ac:dyDescent="0.15">
      <c r="B104" s="50" t="s">
        <v>298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>
        <v>540</v>
      </c>
      <c r="AI104" s="51">
        <v>0</v>
      </c>
      <c r="AJ104" s="51">
        <v>542.29999999999995</v>
      </c>
      <c r="AK104" s="51">
        <v>0</v>
      </c>
      <c r="AL104" s="51">
        <v>542.29999999999995</v>
      </c>
      <c r="AM104" s="51">
        <v>0</v>
      </c>
      <c r="AN104" s="51">
        <v>543.6</v>
      </c>
      <c r="AO104" s="51">
        <v>0</v>
      </c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>
        <v>0</v>
      </c>
      <c r="BX104" s="51">
        <v>770.8</v>
      </c>
      <c r="BY104" s="51">
        <v>0</v>
      </c>
      <c r="BZ104" s="51">
        <v>885.5</v>
      </c>
      <c r="CA104" s="51">
        <v>0</v>
      </c>
      <c r="CB104" s="51">
        <v>882.2</v>
      </c>
      <c r="CC104" s="51"/>
      <c r="CD104" s="51"/>
      <c r="CE104" s="51">
        <v>0</v>
      </c>
      <c r="CF104" s="51"/>
      <c r="CG104" s="51"/>
      <c r="CH104" s="51"/>
      <c r="CI104" s="51"/>
      <c r="CJ104" s="51"/>
      <c r="CK104" s="51"/>
      <c r="CL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</row>
    <row r="105" spans="2:110" s="49" customFormat="1" x14ac:dyDescent="0.15">
      <c r="B105" s="50" t="s">
        <v>82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>
        <v>457.5</v>
      </c>
      <c r="AI105" s="51">
        <v>315.2</v>
      </c>
      <c r="AJ105" s="51">
        <v>183.1</v>
      </c>
      <c r="AK105" s="51">
        <v>144.4</v>
      </c>
      <c r="AL105" s="51">
        <v>261.60000000000002</v>
      </c>
      <c r="AM105" s="51">
        <v>388.8</v>
      </c>
      <c r="AN105" s="51">
        <v>33.5</v>
      </c>
      <c r="AO105" s="51">
        <v>338.2</v>
      </c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>
        <v>791.6</v>
      </c>
      <c r="BX105" s="51">
        <v>529.9</v>
      </c>
      <c r="BY105" s="51">
        <v>203.5</v>
      </c>
      <c r="BZ105" s="51">
        <v>126.9</v>
      </c>
      <c r="CA105" s="51">
        <v>598.29999999999995</v>
      </c>
      <c r="CB105" s="51">
        <v>126.6</v>
      </c>
      <c r="CC105" s="51"/>
      <c r="CD105" s="51"/>
      <c r="CE105" s="51">
        <v>1528.3</v>
      </c>
      <c r="CF105" s="51"/>
      <c r="CG105" s="51"/>
      <c r="CH105" s="51"/>
      <c r="CI105" s="51"/>
      <c r="CJ105" s="51"/>
      <c r="CK105" s="51"/>
      <c r="CL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</row>
    <row r="106" spans="2:110" s="49" customFormat="1" x14ac:dyDescent="0.15">
      <c r="B106" s="50" t="s">
        <v>299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>
        <v>2651.3</v>
      </c>
      <c r="AI106" s="51">
        <v>2600</v>
      </c>
      <c r="AJ106" s="51">
        <v>2786.7</v>
      </c>
      <c r="AK106" s="51">
        <v>2720.3</v>
      </c>
      <c r="AL106" s="51">
        <v>2903.5</v>
      </c>
      <c r="AM106" s="51">
        <v>2754.4</v>
      </c>
      <c r="AN106" s="51">
        <v>2590.4</v>
      </c>
      <c r="AO106" s="51">
        <v>2816.4</v>
      </c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>
        <v>2806.8</v>
      </c>
      <c r="BX106" s="51">
        <v>2624.9</v>
      </c>
      <c r="BY106" s="51">
        <v>2326.5</v>
      </c>
      <c r="BZ106" s="51">
        <v>3027.5</v>
      </c>
      <c r="CA106" s="51">
        <v>2536.6999999999998</v>
      </c>
      <c r="CB106" s="51">
        <v>2003.5</v>
      </c>
      <c r="CC106" s="51"/>
      <c r="CD106" s="51"/>
      <c r="CE106" s="51">
        <v>2193.5</v>
      </c>
      <c r="CF106" s="51"/>
      <c r="CG106" s="51"/>
      <c r="CH106" s="51"/>
      <c r="CI106" s="51"/>
      <c r="CJ106" s="51"/>
      <c r="CK106" s="51"/>
      <c r="CL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</row>
    <row r="107" spans="2:110" s="49" customFormat="1" x14ac:dyDescent="0.15">
      <c r="B107" s="50" t="s">
        <v>300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>
        <v>1887.4</v>
      </c>
      <c r="AI107" s="51">
        <v>1866.4</v>
      </c>
      <c r="AJ107" s="51">
        <v>1848.6</v>
      </c>
      <c r="AK107" s="51">
        <v>1805.9</v>
      </c>
      <c r="AL107" s="51">
        <v>3068.5</v>
      </c>
      <c r="AM107" s="51">
        <v>2766.5</v>
      </c>
      <c r="AN107" s="51">
        <v>2714.5</v>
      </c>
      <c r="AO107" s="51">
        <v>2702.4</v>
      </c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>
        <v>3969.8</v>
      </c>
      <c r="BX107" s="51">
        <v>3918.5</v>
      </c>
      <c r="BY107" s="51">
        <v>3878.8</v>
      </c>
      <c r="BZ107" s="51">
        <v>1954.1</v>
      </c>
      <c r="CA107" s="51">
        <v>1940.3</v>
      </c>
      <c r="CB107" s="51">
        <v>1888.6</v>
      </c>
      <c r="CC107" s="51"/>
      <c r="CD107" s="51"/>
      <c r="CE107" s="51">
        <v>1313</v>
      </c>
      <c r="CF107" s="51"/>
      <c r="CG107" s="51"/>
      <c r="CH107" s="51"/>
      <c r="CI107" s="51"/>
      <c r="CJ107" s="51"/>
      <c r="CK107" s="51"/>
      <c r="CL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</row>
    <row r="108" spans="2:110" s="49" customFormat="1" x14ac:dyDescent="0.15">
      <c r="B108" s="50" t="s">
        <v>82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>
        <v>1234.8</v>
      </c>
      <c r="AI108" s="51">
        <v>1224.3</v>
      </c>
      <c r="AJ108" s="51">
        <v>1283</v>
      </c>
      <c r="AK108" s="51">
        <v>1058.8</v>
      </c>
      <c r="AL108" s="51">
        <v>1086.3</v>
      </c>
      <c r="AM108" s="51">
        <v>1158.3</v>
      </c>
      <c r="AN108" s="51">
        <v>1207.5</v>
      </c>
      <c r="AO108" s="51">
        <v>1275.0999999999999</v>
      </c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>
        <f>3917.5+2200.6</f>
        <v>6118.1</v>
      </c>
      <c r="BX108" s="51">
        <f>3738+1857.3</f>
        <v>5595.3</v>
      </c>
      <c r="BY108" s="51">
        <f>3768.5+1632.5</f>
        <v>5401</v>
      </c>
      <c r="BZ108" s="51">
        <f>3920+1733.7</f>
        <v>5653.7</v>
      </c>
      <c r="CA108" s="51">
        <f>1286.1+3978.1</f>
        <v>5264.2</v>
      </c>
      <c r="CB108" s="51">
        <f>3557.6+862.5</f>
        <v>4420.1000000000004</v>
      </c>
      <c r="CC108" s="51"/>
      <c r="CD108" s="51"/>
      <c r="CE108" s="51">
        <v>3842.1</v>
      </c>
      <c r="CF108" s="51"/>
      <c r="CG108" s="51"/>
      <c r="CH108" s="51"/>
      <c r="CI108" s="51"/>
      <c r="CJ108" s="51"/>
      <c r="CK108" s="51"/>
      <c r="CL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</row>
    <row r="109" spans="2:110" s="49" customFormat="1" x14ac:dyDescent="0.15">
      <c r="B109" s="50" t="s">
        <v>301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>
        <v>1594.5</v>
      </c>
      <c r="AI109" s="51">
        <v>1886.2</v>
      </c>
      <c r="AJ109" s="51">
        <v>1550.1</v>
      </c>
      <c r="AK109" s="51">
        <v>1449</v>
      </c>
      <c r="AL109" s="51">
        <v>1573.8</v>
      </c>
      <c r="AM109" s="51">
        <v>1533.9</v>
      </c>
      <c r="AN109" s="51">
        <v>1472.8</v>
      </c>
      <c r="AO109" s="51">
        <v>1815</v>
      </c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>
        <v>1737.3</v>
      </c>
      <c r="BX109" s="51">
        <v>1801.9</v>
      </c>
      <c r="BY109" s="51">
        <v>1748.7</v>
      </c>
      <c r="BZ109" s="51">
        <v>1644.3</v>
      </c>
      <c r="CA109" s="51">
        <v>1713.9</v>
      </c>
      <c r="CB109" s="51">
        <v>1783.1</v>
      </c>
      <c r="CC109" s="51"/>
      <c r="CD109" s="51"/>
      <c r="CE109" s="51">
        <v>1822.5</v>
      </c>
      <c r="CF109" s="51"/>
      <c r="CG109" s="51"/>
      <c r="CH109" s="51"/>
      <c r="CI109" s="51"/>
      <c r="CJ109" s="51"/>
      <c r="CK109" s="51"/>
      <c r="CL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</row>
    <row r="110" spans="2:110" s="49" customFormat="1" x14ac:dyDescent="0.15">
      <c r="B110" s="50" t="s">
        <v>302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>
        <v>12412.8</v>
      </c>
      <c r="AI110" s="51">
        <v>13934.2</v>
      </c>
      <c r="AJ110" s="51">
        <v>14277</v>
      </c>
      <c r="AK110" s="51">
        <v>15057.9</v>
      </c>
      <c r="AL110" s="51">
        <v>13535.6</v>
      </c>
      <c r="AM110" s="51">
        <v>14822.6</v>
      </c>
      <c r="AN110" s="51">
        <v>14307.9</v>
      </c>
      <c r="AO110" s="51">
        <v>16056.9</v>
      </c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>
        <v>7099.3</v>
      </c>
      <c r="BX110" s="51">
        <v>6663.5</v>
      </c>
      <c r="BY110" s="51">
        <v>7954.1</v>
      </c>
      <c r="BZ110" s="51">
        <v>9154.7999999999993</v>
      </c>
      <c r="CA110" s="51">
        <v>9462</v>
      </c>
      <c r="CB110" s="51">
        <v>8659.2000000000007</v>
      </c>
      <c r="CC110" s="51"/>
      <c r="CD110" s="51"/>
      <c r="CE110" s="51">
        <v>11294.9</v>
      </c>
      <c r="CF110" s="51"/>
      <c r="CG110" s="51"/>
      <c r="CH110" s="51"/>
      <c r="CI110" s="51"/>
      <c r="CJ110" s="51"/>
      <c r="CK110" s="51"/>
      <c r="CL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</row>
    <row r="111" spans="2:110" s="49" customFormat="1" x14ac:dyDescent="0.15">
      <c r="B111" s="50" t="s">
        <v>303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>
        <f>SUM(AH100:AH110)</f>
        <v>31001.4</v>
      </c>
      <c r="AI111" s="51">
        <f>SUM(AI100:AI110)</f>
        <v>31695.3</v>
      </c>
      <c r="AJ111" s="51">
        <f t="shared" ref="AJ111" si="398">SUM(AJ100:AJ110)</f>
        <v>32779.300000000003</v>
      </c>
      <c r="AK111" s="51">
        <f>SUM(AK100:AK110)</f>
        <v>33042.199999999997</v>
      </c>
      <c r="AL111" s="51">
        <f>SUM(AL100:AL110)</f>
        <v>33659.799999999996</v>
      </c>
      <c r="AM111" s="51">
        <f>SUM(AM100:AM110)</f>
        <v>32238.199999999997</v>
      </c>
      <c r="AN111" s="51">
        <f>SUM(AN100:AN110)</f>
        <v>31812.6</v>
      </c>
      <c r="AO111" s="51">
        <f>SUM(AO100:AO110)</f>
        <v>34321</v>
      </c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>
        <f t="shared" ref="BW111" si="399">SUM(BW100:BW110)</f>
        <v>46838.3</v>
      </c>
      <c r="BX111" s="51">
        <f t="shared" ref="BX111" si="400">SUM(BX100:BX110)</f>
        <v>47809.000000000007</v>
      </c>
      <c r="BY111" s="51">
        <f>SUM(BY100:BY110)</f>
        <v>48187</v>
      </c>
      <c r="BZ111" s="51">
        <f>SUM(BZ100:BZ110)</f>
        <v>48806</v>
      </c>
      <c r="CA111" s="51">
        <f>SUM(CA100:CA110)</f>
        <v>46919.299999999996</v>
      </c>
      <c r="CB111" s="51">
        <f>SUM(CB100:CB110)</f>
        <v>47063.599999999991</v>
      </c>
      <c r="CC111" s="51"/>
      <c r="CD111" s="51"/>
      <c r="CE111" s="51">
        <f>SUM(CE100:CE110)</f>
        <v>53163</v>
      </c>
      <c r="CF111" s="51"/>
      <c r="CG111" s="51"/>
      <c r="CH111" s="51"/>
      <c r="CI111" s="51"/>
      <c r="CJ111" s="51"/>
      <c r="CK111" s="51"/>
      <c r="CL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</row>
    <row r="113" spans="2:110" x14ac:dyDescent="0.15">
      <c r="B113" s="50" t="s">
        <v>389</v>
      </c>
      <c r="BW113" s="51">
        <f>BW69</f>
        <v>1777.5000000000007</v>
      </c>
      <c r="CA113" s="51">
        <f>CA69</f>
        <v>2538.4999999999991</v>
      </c>
    </row>
    <row r="114" spans="2:110" x14ac:dyDescent="0.15">
      <c r="B114" s="50" t="s">
        <v>390</v>
      </c>
      <c r="BW114" s="51">
        <v>1355.3</v>
      </c>
      <c r="CA114" s="51">
        <v>1902.9</v>
      </c>
    </row>
    <row r="115" spans="2:110" x14ac:dyDescent="0.15">
      <c r="B115" s="50" t="s">
        <v>391</v>
      </c>
      <c r="BW115" s="51">
        <v>350.3</v>
      </c>
      <c r="CA115" s="51">
        <v>435.7</v>
      </c>
    </row>
    <row r="116" spans="2:110" x14ac:dyDescent="0.15">
      <c r="B116" s="50" t="s">
        <v>387</v>
      </c>
      <c r="BW116" s="51">
        <v>-119.1</v>
      </c>
      <c r="CA116" s="51">
        <v>-506.6</v>
      </c>
    </row>
    <row r="117" spans="2:110" x14ac:dyDescent="0.15">
      <c r="B117" s="50" t="s">
        <v>392</v>
      </c>
      <c r="BW117" s="51">
        <v>85.5</v>
      </c>
      <c r="CA117" s="51">
        <v>101</v>
      </c>
    </row>
    <row r="118" spans="2:110" x14ac:dyDescent="0.15">
      <c r="B118" s="50" t="s">
        <v>393</v>
      </c>
      <c r="BW118" s="51">
        <v>-302.2</v>
      </c>
      <c r="CA118" s="51">
        <v>426.1</v>
      </c>
    </row>
    <row r="119" spans="2:110" x14ac:dyDescent="0.15">
      <c r="B119" s="50" t="s">
        <v>394</v>
      </c>
      <c r="BW119" s="51">
        <v>299.3</v>
      </c>
      <c r="CA119" s="51">
        <v>153</v>
      </c>
    </row>
    <row r="120" spans="2:110" x14ac:dyDescent="0.15">
      <c r="B120" s="50" t="s">
        <v>78</v>
      </c>
      <c r="BW120" s="51">
        <v>-102.8</v>
      </c>
      <c r="CA120" s="51">
        <v>-45.5</v>
      </c>
    </row>
    <row r="121" spans="2:110" x14ac:dyDescent="0.15">
      <c r="B121" s="50" t="s">
        <v>395</v>
      </c>
      <c r="BW121" s="51">
        <v>131.1</v>
      </c>
      <c r="CA121" s="51">
        <v>32.6</v>
      </c>
    </row>
    <row r="122" spans="2:110" s="49" customFormat="1" x14ac:dyDescent="0.15">
      <c r="B122" s="50" t="s">
        <v>304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>
        <v>1176.0999999999999</v>
      </c>
      <c r="AJ122" s="51">
        <f>3216.4-AI122</f>
        <v>2040.3000000000002</v>
      </c>
      <c r="AK122" s="51">
        <f>5289.8-AJ122-AI122</f>
        <v>2073.4</v>
      </c>
      <c r="AL122" s="52">
        <f>7234.5-AK122-AJ122-AI122</f>
        <v>1944.7000000000003</v>
      </c>
      <c r="AM122" s="52">
        <v>852.5</v>
      </c>
      <c r="AN122" s="52">
        <f>2158.5-AM122</f>
        <v>1306</v>
      </c>
      <c r="AO122" s="51">
        <f>3702.8-AN122-AM122</f>
        <v>1544.3000000000002</v>
      </c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>
        <f>SUM(BW114:BW121)</f>
        <v>1697.3999999999999</v>
      </c>
      <c r="BX122" s="51"/>
      <c r="BY122" s="51"/>
      <c r="BZ122" s="51"/>
      <c r="CA122" s="51">
        <f>SUM(CA114:CA121)</f>
        <v>2499.1999999999998</v>
      </c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P122" s="51"/>
      <c r="CQ122" s="51"/>
      <c r="CR122" s="51"/>
      <c r="CS122" s="51"/>
      <c r="CT122" s="51"/>
      <c r="CU122" s="51"/>
      <c r="CV122" s="51"/>
      <c r="CW122" s="51">
        <v>7295.6</v>
      </c>
      <c r="CX122" s="51">
        <v>4335.5</v>
      </c>
      <c r="CY122" s="51">
        <v>6856.8</v>
      </c>
      <c r="CZ122" s="51"/>
      <c r="DA122" s="51"/>
      <c r="DB122" s="51"/>
      <c r="DC122" s="51"/>
      <c r="DD122" s="51"/>
      <c r="DE122" s="51"/>
      <c r="DF122" s="51"/>
    </row>
    <row r="123" spans="2:110" x14ac:dyDescent="0.15">
      <c r="BW123" s="51"/>
    </row>
    <row r="124" spans="2:110" x14ac:dyDescent="0.15">
      <c r="B124" s="50" t="s">
        <v>396</v>
      </c>
      <c r="BW124" s="51">
        <v>-300.3</v>
      </c>
      <c r="CA124" s="51">
        <v>-365.4</v>
      </c>
    </row>
    <row r="125" spans="2:110" x14ac:dyDescent="0.15">
      <c r="B125" s="50" t="s">
        <v>393</v>
      </c>
      <c r="BW125" s="51">
        <f>4-19.4+284.8-291.5</f>
        <v>-22.099999999999966</v>
      </c>
      <c r="CA125" s="51">
        <f>26.7-14.6+81.4-116.7</f>
        <v>-23.200000000000003</v>
      </c>
    </row>
    <row r="126" spans="2:110" x14ac:dyDescent="0.15">
      <c r="B126" s="50" t="s">
        <v>397</v>
      </c>
      <c r="BW126" s="51">
        <f>-747.4-191.8</f>
        <v>-939.2</v>
      </c>
      <c r="CA126" s="51">
        <v>-491.8</v>
      </c>
    </row>
    <row r="127" spans="2:110" x14ac:dyDescent="0.15">
      <c r="B127" s="50" t="s">
        <v>78</v>
      </c>
      <c r="BW127" s="51">
        <v>-21.9</v>
      </c>
      <c r="CA127" s="51">
        <v>-133.4</v>
      </c>
    </row>
    <row r="128" spans="2:110" x14ac:dyDescent="0.15">
      <c r="B128" s="50" t="s">
        <v>398</v>
      </c>
      <c r="BW128" s="51">
        <f>SUM(BW124:BW127)</f>
        <v>-1283.5</v>
      </c>
      <c r="CA128" s="51">
        <f>SUM(CA124:CA127)</f>
        <v>-1013.8</v>
      </c>
    </row>
    <row r="129" spans="2:79" x14ac:dyDescent="0.15">
      <c r="BW129" s="51"/>
    </row>
    <row r="130" spans="2:79" x14ac:dyDescent="0.15">
      <c r="B130" s="50" t="s">
        <v>298</v>
      </c>
      <c r="BW130" s="51">
        <v>-774.8</v>
      </c>
      <c r="CA130" s="51">
        <v>-885.5</v>
      </c>
    </row>
    <row r="131" spans="2:79" x14ac:dyDescent="0.15">
      <c r="B131" s="50" t="s">
        <v>401</v>
      </c>
      <c r="BW131" s="51">
        <v>-3.7</v>
      </c>
      <c r="CA131" s="52">
        <f>499.7-710.1</f>
        <v>-210.40000000000003</v>
      </c>
    </row>
    <row r="132" spans="2:79" x14ac:dyDescent="0.15">
      <c r="B132" s="38" t="s">
        <v>400</v>
      </c>
      <c r="BW132" s="51">
        <v>0</v>
      </c>
      <c r="CA132" s="51">
        <v>-1500</v>
      </c>
    </row>
    <row r="133" spans="2:79" x14ac:dyDescent="0.15">
      <c r="B133" s="38" t="s">
        <v>78</v>
      </c>
      <c r="BW133" s="51">
        <v>-279.89999999999998</v>
      </c>
      <c r="CA133" s="51">
        <v>-282.39999999999998</v>
      </c>
    </row>
    <row r="134" spans="2:79" x14ac:dyDescent="0.15">
      <c r="B134" s="38" t="s">
        <v>399</v>
      </c>
      <c r="BW134" s="51">
        <f>SUM(BW130:BW133)</f>
        <v>-1058.4000000000001</v>
      </c>
      <c r="CA134" s="51">
        <f>SUM(CA130:CA133)</f>
        <v>-2878.3</v>
      </c>
    </row>
    <row r="136" spans="2:79" x14ac:dyDescent="0.15">
      <c r="B136" s="38" t="s">
        <v>402</v>
      </c>
      <c r="BW136" s="51">
        <v>-10.199999999999999</v>
      </c>
      <c r="CA136" s="51">
        <v>33.6</v>
      </c>
    </row>
    <row r="137" spans="2:79" x14ac:dyDescent="0.15">
      <c r="B137" s="38" t="s">
        <v>403</v>
      </c>
      <c r="BW137" s="51">
        <f>+BW136+BW134+BW128+BW122</f>
        <v>-654.7000000000005</v>
      </c>
      <c r="CA137" s="51">
        <f>+CA136+CA134+CA128+CA122</f>
        <v>-1359.3000000000002</v>
      </c>
    </row>
    <row r="139" spans="2:79" x14ac:dyDescent="0.15">
      <c r="B139" t="s">
        <v>497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3"/>
  <sheetViews>
    <sheetView zoomScale="150" zoomScaleNormal="150" workbookViewId="0"/>
  </sheetViews>
  <sheetFormatPr baseColWidth="10" defaultRowHeight="13" x14ac:dyDescent="0.15"/>
  <cols>
    <col min="1" max="1" width="4.83203125" bestFit="1" customWidth="1"/>
    <col min="2" max="2" width="7.1640625" bestFit="1" customWidth="1"/>
  </cols>
  <sheetData>
    <row r="1" spans="1:3" x14ac:dyDescent="0.15">
      <c r="A1" s="13" t="s">
        <v>6</v>
      </c>
    </row>
    <row r="2" spans="1:3" x14ac:dyDescent="0.15">
      <c r="B2" s="38" t="s">
        <v>404</v>
      </c>
      <c r="C2" s="38" t="s">
        <v>367</v>
      </c>
    </row>
    <row r="3" spans="1:3" x14ac:dyDescent="0.15">
      <c r="B3" s="38" t="s">
        <v>405</v>
      </c>
      <c r="C3" s="38" t="s">
        <v>465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4"/>
  <sheetViews>
    <sheetView zoomScale="160" zoomScaleNormal="160" workbookViewId="0"/>
  </sheetViews>
  <sheetFormatPr baseColWidth="10" defaultRowHeight="13" x14ac:dyDescent="0.15"/>
  <cols>
    <col min="1" max="1" width="4.83203125" bestFit="1" customWidth="1"/>
  </cols>
  <sheetData>
    <row r="1" spans="1:3" x14ac:dyDescent="0.15">
      <c r="A1" s="13" t="s">
        <v>6</v>
      </c>
    </row>
    <row r="2" spans="1:3" x14ac:dyDescent="0.15">
      <c r="B2" s="38" t="s">
        <v>404</v>
      </c>
      <c r="C2" s="38" t="s">
        <v>513</v>
      </c>
    </row>
    <row r="3" spans="1:3" x14ac:dyDescent="0.15">
      <c r="B3" s="38" t="s">
        <v>405</v>
      </c>
      <c r="C3" s="38" t="s">
        <v>550</v>
      </c>
    </row>
    <row r="4" spans="1:3" x14ac:dyDescent="0.15">
      <c r="B4" s="38" t="s">
        <v>1</v>
      </c>
      <c r="C4" s="38" t="s">
        <v>551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baseColWidth="10" defaultRowHeight="13" x14ac:dyDescent="0.15"/>
  <cols>
    <col min="1" max="1" width="4.83203125" bestFit="1" customWidth="1"/>
    <col min="2" max="2" width="11.33203125" customWidth="1"/>
  </cols>
  <sheetData>
    <row r="1" spans="1:3" x14ac:dyDescent="0.15">
      <c r="A1" s="13" t="s">
        <v>6</v>
      </c>
    </row>
    <row r="2" spans="1:3" x14ac:dyDescent="0.15">
      <c r="B2" s="38" t="s">
        <v>404</v>
      </c>
      <c r="C2" s="38" t="s">
        <v>538</v>
      </c>
    </row>
    <row r="3" spans="1:3" x14ac:dyDescent="0.15">
      <c r="B3" s="38" t="s">
        <v>405</v>
      </c>
      <c r="C3" t="s">
        <v>540</v>
      </c>
    </row>
    <row r="4" spans="1:3" x14ac:dyDescent="0.15">
      <c r="B4" s="38" t="s">
        <v>1</v>
      </c>
      <c r="C4" s="38" t="s">
        <v>526</v>
      </c>
    </row>
    <row r="5" spans="1:3" x14ac:dyDescent="0.15">
      <c r="B5" s="38" t="s">
        <v>407</v>
      </c>
      <c r="C5" s="38" t="s">
        <v>542</v>
      </c>
    </row>
    <row r="6" spans="1:3" x14ac:dyDescent="0.15">
      <c r="B6" s="38" t="s">
        <v>547</v>
      </c>
      <c r="C6" s="38" t="s">
        <v>548</v>
      </c>
    </row>
    <row r="7" spans="1:3" x14ac:dyDescent="0.15">
      <c r="B7" s="38" t="s">
        <v>92</v>
      </c>
    </row>
    <row r="8" spans="1:3" x14ac:dyDescent="0.15">
      <c r="B8" s="38"/>
      <c r="C8" s="20" t="s">
        <v>549</v>
      </c>
    </row>
    <row r="9" spans="1:3" x14ac:dyDescent="0.15">
      <c r="B9" s="38"/>
    </row>
    <row r="10" spans="1:3" x14ac:dyDescent="0.15">
      <c r="B10" s="38"/>
    </row>
    <row r="11" spans="1:3" x14ac:dyDescent="0.15">
      <c r="B11" s="38"/>
    </row>
    <row r="12" spans="1:3" x14ac:dyDescent="0.15">
      <c r="C12" s="20" t="s">
        <v>543</v>
      </c>
    </row>
    <row r="13" spans="1:3" x14ac:dyDescent="0.15">
      <c r="C13" s="38" t="s">
        <v>544</v>
      </c>
    </row>
    <row r="14" spans="1:3" x14ac:dyDescent="0.15">
      <c r="C14" s="38" t="s">
        <v>545</v>
      </c>
    </row>
    <row r="15" spans="1:3" x14ac:dyDescent="0.15">
      <c r="C15" s="38" t="s">
        <v>546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6.1640625" customWidth="1"/>
    <col min="2" max="2" width="12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14</v>
      </c>
    </row>
    <row r="3" spans="1:3" x14ac:dyDescent="0.15">
      <c r="B3" t="s">
        <v>3</v>
      </c>
      <c r="C3" t="s">
        <v>231</v>
      </c>
    </row>
    <row r="4" spans="1:3" x14ac:dyDescent="0.15">
      <c r="B4" t="s">
        <v>2</v>
      </c>
      <c r="C4" t="s">
        <v>280</v>
      </c>
    </row>
    <row r="5" spans="1:3" x14ac:dyDescent="0.15">
      <c r="B5" t="s">
        <v>92</v>
      </c>
    </row>
    <row r="6" spans="1:3" x14ac:dyDescent="0.15">
      <c r="C6" s="20" t="s">
        <v>232</v>
      </c>
    </row>
    <row r="7" spans="1:3" x14ac:dyDescent="0.15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baseColWidth="10" defaultColWidth="9.1640625" defaultRowHeight="13" x14ac:dyDescent="0.15"/>
  <cols>
    <col min="1" max="1" width="5" style="1" bestFit="1" customWidth="1"/>
    <col min="2" max="2" width="12.33203125" style="1" customWidth="1"/>
    <col min="3" max="16384" width="9.1640625" style="1"/>
  </cols>
  <sheetData>
    <row r="1" spans="1:8" x14ac:dyDescent="0.15">
      <c r="A1" s="15" t="s">
        <v>6</v>
      </c>
    </row>
    <row r="2" spans="1:8" x14ac:dyDescent="0.15">
      <c r="A2" s="15"/>
      <c r="B2" s="1" t="s">
        <v>50</v>
      </c>
      <c r="C2" s="1" t="s">
        <v>15</v>
      </c>
    </row>
    <row r="3" spans="1:8" x14ac:dyDescent="0.15">
      <c r="A3" s="15"/>
    </row>
    <row r="4" spans="1:8" x14ac:dyDescent="0.15">
      <c r="B4" s="1" t="s">
        <v>9</v>
      </c>
    </row>
    <row r="5" spans="1:8" x14ac:dyDescent="0.15">
      <c r="B5" s="1" t="s">
        <v>10</v>
      </c>
    </row>
    <row r="6" spans="1:8" x14ac:dyDescent="0.15">
      <c r="B6" s="1" t="s">
        <v>11</v>
      </c>
    </row>
    <row r="8" spans="1:8" x14ac:dyDescent="0.15">
      <c r="B8" s="1" t="s">
        <v>31</v>
      </c>
    </row>
    <row r="9" spans="1:8" x14ac:dyDescent="0.15">
      <c r="B9" s="1" t="s">
        <v>32</v>
      </c>
    </row>
    <row r="11" spans="1:8" x14ac:dyDescent="0.15">
      <c r="B11" s="29">
        <v>38338</v>
      </c>
    </row>
    <row r="12" spans="1:8" x14ac:dyDescent="0.15">
      <c r="B12" s="1" t="s">
        <v>44</v>
      </c>
    </row>
    <row r="13" spans="1:8" x14ac:dyDescent="0.15">
      <c r="B13" s="1" t="s">
        <v>42</v>
      </c>
    </row>
    <row r="14" spans="1:8" x14ac:dyDescent="0.15">
      <c r="B14" s="1" t="s">
        <v>43</v>
      </c>
    </row>
    <row r="16" spans="1:8" x14ac:dyDescent="0.15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15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15">
      <c r="C18" s="6"/>
      <c r="D18" s="6"/>
      <c r="E18" s="6"/>
      <c r="F18" s="6"/>
      <c r="G18" s="6"/>
      <c r="H18" s="6"/>
    </row>
    <row r="19" spans="2:8" x14ac:dyDescent="0.15">
      <c r="C19" s="6" t="s">
        <v>3</v>
      </c>
      <c r="D19" s="6" t="s">
        <v>89</v>
      </c>
      <c r="E19" s="6"/>
      <c r="F19" s="6"/>
      <c r="G19" s="6"/>
      <c r="H19" s="6"/>
    </row>
    <row r="20" spans="2:8" x14ac:dyDescent="0.15">
      <c r="C20" s="6"/>
      <c r="D20" s="6"/>
      <c r="E20" s="6"/>
      <c r="F20" s="6"/>
      <c r="G20" s="6"/>
      <c r="H20" s="6"/>
    </row>
    <row r="21" spans="2:8" x14ac:dyDescent="0.15">
      <c r="C21" s="6"/>
      <c r="D21" s="6"/>
      <c r="E21" s="6"/>
      <c r="F21" s="6"/>
      <c r="G21" s="6"/>
      <c r="H21" s="6"/>
    </row>
    <row r="22" spans="2:8" x14ac:dyDescent="0.15">
      <c r="C22" s="6"/>
      <c r="D22" s="6"/>
      <c r="E22" s="6"/>
      <c r="F22" s="6"/>
      <c r="G22" s="6"/>
      <c r="H22" s="6"/>
    </row>
    <row r="23" spans="2:8" x14ac:dyDescent="0.15">
      <c r="C23" s="6"/>
      <c r="D23" s="6"/>
      <c r="E23" s="6"/>
      <c r="F23" s="6"/>
      <c r="G23" s="6"/>
      <c r="H23" s="6"/>
    </row>
    <row r="24" spans="2:8" x14ac:dyDescent="0.15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15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15">
      <c r="C26" s="30">
        <f>C25-7</f>
        <v>39227</v>
      </c>
      <c r="D26" s="17">
        <v>69314</v>
      </c>
      <c r="E26" s="17">
        <v>35541</v>
      </c>
      <c r="F26" s="6"/>
    </row>
    <row r="27" spans="2:8" x14ac:dyDescent="0.15">
      <c r="C27" s="30">
        <v>38869</v>
      </c>
      <c r="D27" s="17">
        <v>70448</v>
      </c>
      <c r="E27" s="17">
        <v>34206</v>
      </c>
      <c r="F27" s="6"/>
    </row>
    <row r="28" spans="2:8" x14ac:dyDescent="0.15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13" t="s">
        <v>6</v>
      </c>
    </row>
    <row r="2" spans="1:3" x14ac:dyDescent="0.15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Master</vt:lpstr>
      <vt:lpstr>Main</vt:lpstr>
      <vt:lpstr>Model</vt:lpstr>
      <vt:lpstr>Trulicity</vt:lpstr>
      <vt:lpstr>Mounjaro</vt:lpstr>
      <vt:lpstr>Jayprica</vt:lpstr>
      <vt:lpstr>Cymbalta</vt:lpstr>
      <vt:lpstr>Strattera</vt:lpstr>
      <vt:lpstr>Forteo</vt:lpstr>
      <vt:lpstr>Evista</vt:lpstr>
      <vt:lpstr>Cialis</vt:lpstr>
      <vt:lpstr>Gemzar</vt:lpstr>
      <vt:lpstr>Zyprexa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2024-02-22T18:51:46Z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