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047BF6C3-DC25-43CF-B92E-09A4BEE00865}" xr6:coauthVersionLast="47" xr6:coauthVersionMax="47" xr10:uidLastSave="{00000000-0000-0000-0000-000000000000}"/>
  <bookViews>
    <workbookView xWindow="23265" yWindow="2535" windowWidth="32370" windowHeight="18030" activeTab="1" xr2:uid="{7CBEE6B4-8223-452C-B8C6-1EC2B28F2C97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7" i="2" l="1"/>
  <c r="L62" i="2" s="1"/>
  <c r="L52" i="2"/>
  <c r="L50" i="2"/>
  <c r="L43" i="2"/>
  <c r="M23" i="2"/>
  <c r="M21" i="2"/>
  <c r="N62" i="2"/>
  <c r="N43" i="2"/>
  <c r="N42" i="2" s="1"/>
  <c r="N50" i="2"/>
  <c r="R22" i="2"/>
  <c r="Q22" i="2"/>
  <c r="P22" i="2"/>
  <c r="R21" i="2"/>
  <c r="Q21" i="2"/>
  <c r="P21" i="2"/>
  <c r="P20" i="2"/>
  <c r="Q20" i="2" s="1"/>
  <c r="R20" i="2" s="1"/>
  <c r="Q19" i="2"/>
  <c r="R19" i="2" s="1"/>
  <c r="P19" i="2"/>
  <c r="P14" i="2"/>
  <c r="Q14" i="2" s="1"/>
  <c r="R14" i="2" s="1"/>
  <c r="P13" i="2"/>
  <c r="Q13" i="2" s="1"/>
  <c r="R13" i="2" s="1"/>
  <c r="R12" i="2"/>
  <c r="Q12" i="2"/>
  <c r="P12" i="2"/>
  <c r="R11" i="2"/>
  <c r="Q11" i="2"/>
  <c r="P11" i="2"/>
  <c r="R10" i="2"/>
  <c r="Q10" i="2"/>
  <c r="P10" i="2"/>
  <c r="R9" i="2"/>
  <c r="Q9" i="2"/>
  <c r="P9" i="2"/>
  <c r="P8" i="2"/>
  <c r="Q8" i="2" s="1"/>
  <c r="R8" i="2" s="1"/>
  <c r="R7" i="2"/>
  <c r="Q7" i="2"/>
  <c r="P7" i="2"/>
  <c r="R6" i="2"/>
  <c r="Q6" i="2"/>
  <c r="P6" i="2"/>
  <c r="R5" i="2"/>
  <c r="Q5" i="2"/>
  <c r="P5" i="2"/>
  <c r="R4" i="2"/>
  <c r="Q4" i="2"/>
  <c r="P4" i="2"/>
  <c r="R3" i="2"/>
  <c r="Q3" i="2"/>
  <c r="P3" i="2"/>
  <c r="N21" i="2"/>
  <c r="O62" i="2"/>
  <c r="N52" i="2"/>
  <c r="O50" i="2"/>
  <c r="O43" i="2"/>
  <c r="O52" i="2" s="1"/>
  <c r="O42" i="2"/>
  <c r="R28" i="2"/>
  <c r="Q28" i="2"/>
  <c r="P28" i="2"/>
  <c r="P35" i="2"/>
  <c r="Q35" i="2" s="1"/>
  <c r="R35" i="2" s="1"/>
  <c r="O28" i="2"/>
  <c r="O21" i="2"/>
  <c r="O18" i="2"/>
  <c r="O23" i="2" s="1"/>
  <c r="O25" i="2" s="1"/>
  <c r="AC32" i="2"/>
  <c r="AD32" i="2"/>
  <c r="AD30" i="2"/>
  <c r="AC30" i="2"/>
  <c r="AD28" i="2"/>
  <c r="AC28" i="2"/>
  <c r="AD6" i="2"/>
  <c r="AC6" i="2"/>
  <c r="AD5" i="2"/>
  <c r="AC5" i="2"/>
  <c r="AC3" i="2"/>
  <c r="AD3" i="2"/>
  <c r="M54" i="2"/>
  <c r="M62" i="2" s="1"/>
  <c r="M43" i="2"/>
  <c r="M50" i="2"/>
  <c r="M30" i="2"/>
  <c r="AF19" i="2"/>
  <c r="AG19" i="2" s="1"/>
  <c r="AH19" i="2" s="1"/>
  <c r="AI19" i="2" s="1"/>
  <c r="AJ19" i="2" s="1"/>
  <c r="AK19" i="2" s="1"/>
  <c r="AL19" i="2" s="1"/>
  <c r="AM19" i="2" s="1"/>
  <c r="AN19" i="2" s="1"/>
  <c r="AO19" i="2" s="1"/>
  <c r="AP19" i="2" s="1"/>
  <c r="AQ19" i="2" s="1"/>
  <c r="AR19" i="2" s="1"/>
  <c r="AS19" i="2" s="1"/>
  <c r="AT19" i="2" s="1"/>
  <c r="AU19" i="2" s="1"/>
  <c r="AV19" i="2" s="1"/>
  <c r="AW19" i="2" s="1"/>
  <c r="AX19" i="2" s="1"/>
  <c r="AK16" i="2"/>
  <c r="AL16" i="2" s="1"/>
  <c r="AM16" i="2" s="1"/>
  <c r="AN16" i="2" s="1"/>
  <c r="AO16" i="2" s="1"/>
  <c r="AP16" i="2" s="1"/>
  <c r="AQ16" i="2" s="1"/>
  <c r="AR16" i="2" s="1"/>
  <c r="AS16" i="2" s="1"/>
  <c r="AT16" i="2" s="1"/>
  <c r="AU16" i="2" s="1"/>
  <c r="AV16" i="2" s="1"/>
  <c r="AW16" i="2" s="1"/>
  <c r="AX16" i="2" s="1"/>
  <c r="AI13" i="2"/>
  <c r="AJ13" i="2" s="1"/>
  <c r="AK13" i="2" s="1"/>
  <c r="AL13" i="2" s="1"/>
  <c r="AM13" i="2" s="1"/>
  <c r="AN13" i="2" s="1"/>
  <c r="AO13" i="2" s="1"/>
  <c r="AP13" i="2" s="1"/>
  <c r="AQ13" i="2" s="1"/>
  <c r="AR13" i="2" s="1"/>
  <c r="AS13" i="2" s="1"/>
  <c r="AT13" i="2" s="1"/>
  <c r="AU13" i="2" s="1"/>
  <c r="AV13" i="2" s="1"/>
  <c r="AW13" i="2" s="1"/>
  <c r="AX13" i="2" s="1"/>
  <c r="AE35" i="2"/>
  <c r="AE27" i="2"/>
  <c r="AF26" i="2"/>
  <c r="AE26" i="2"/>
  <c r="AE24" i="2"/>
  <c r="AE22" i="2"/>
  <c r="AE21" i="2"/>
  <c r="AE20" i="2"/>
  <c r="AE19" i="2"/>
  <c r="AE17" i="2"/>
  <c r="AE14" i="2"/>
  <c r="AE13" i="2"/>
  <c r="AE12" i="2"/>
  <c r="AE11" i="2"/>
  <c r="AE10" i="2"/>
  <c r="AE9" i="2"/>
  <c r="AE8" i="2"/>
  <c r="AE7" i="2"/>
  <c r="AE6" i="2"/>
  <c r="AE5" i="2"/>
  <c r="AE4" i="2"/>
  <c r="AE3" i="2"/>
  <c r="AF20" i="2"/>
  <c r="AG20" i="2" s="1"/>
  <c r="AH20" i="2" s="1"/>
  <c r="AI20" i="2" s="1"/>
  <c r="AJ20" i="2" s="1"/>
  <c r="AK20" i="2" s="1"/>
  <c r="AL20" i="2" s="1"/>
  <c r="AM20" i="2" s="1"/>
  <c r="AN20" i="2" s="1"/>
  <c r="AO20" i="2" s="1"/>
  <c r="AP20" i="2" s="1"/>
  <c r="AQ20" i="2" s="1"/>
  <c r="AR20" i="2" s="1"/>
  <c r="AS20" i="2" s="1"/>
  <c r="AT20" i="2" s="1"/>
  <c r="AU20" i="2" s="1"/>
  <c r="AV20" i="2" s="1"/>
  <c r="AW20" i="2" s="1"/>
  <c r="AX20" i="2" s="1"/>
  <c r="U2" i="2"/>
  <c r="V2" i="2" s="1"/>
  <c r="W2" i="2" s="1"/>
  <c r="X2" i="2" s="1"/>
  <c r="Y2" i="2" s="1"/>
  <c r="Z2" i="2" s="1"/>
  <c r="AA2" i="2" s="1"/>
  <c r="AB2" i="2" s="1"/>
  <c r="AC2" i="2" s="1"/>
  <c r="AD2" i="2" s="1"/>
  <c r="AE2" i="2" s="1"/>
  <c r="AF2" i="2" s="1"/>
  <c r="AG2" i="2" s="1"/>
  <c r="AH2" i="2" s="1"/>
  <c r="AI2" i="2" s="1"/>
  <c r="AJ2" i="2" s="1"/>
  <c r="AK2" i="2" s="1"/>
  <c r="AL2" i="2" s="1"/>
  <c r="AM2" i="2" s="1"/>
  <c r="AN2" i="2" s="1"/>
  <c r="AO2" i="2" s="1"/>
  <c r="AP2" i="2" s="1"/>
  <c r="AQ2" i="2" s="1"/>
  <c r="AR2" i="2" s="1"/>
  <c r="AS2" i="2" s="1"/>
  <c r="AT2" i="2" s="1"/>
  <c r="AU2" i="2" s="1"/>
  <c r="AV2" i="2" s="1"/>
  <c r="AW2" i="2" s="1"/>
  <c r="AX2" i="2" s="1"/>
  <c r="AY2" i="2" s="1"/>
  <c r="AZ2" i="2" s="1"/>
  <c r="BA2" i="2" s="1"/>
  <c r="BB2" i="2" s="1"/>
  <c r="BC2" i="2" s="1"/>
  <c r="BD2" i="2" s="1"/>
  <c r="BE2" i="2" s="1"/>
  <c r="BF2" i="2" s="1"/>
  <c r="BG2" i="2" s="1"/>
  <c r="BH2" i="2" s="1"/>
  <c r="BI2" i="2" s="1"/>
  <c r="BJ2" i="2" s="1"/>
  <c r="BK2" i="2" s="1"/>
  <c r="BL2" i="2" s="1"/>
  <c r="BM2" i="2" s="1"/>
  <c r="BN2" i="2" s="1"/>
  <c r="BO2" i="2" s="1"/>
  <c r="BP2" i="2" s="1"/>
  <c r="BQ2" i="2" s="1"/>
  <c r="BR2" i="2" s="1"/>
  <c r="BS2" i="2" s="1"/>
  <c r="BT2" i="2" s="1"/>
  <c r="BU2" i="2" s="1"/>
  <c r="BV2" i="2" s="1"/>
  <c r="BW2" i="2" s="1"/>
  <c r="BX2" i="2" s="1"/>
  <c r="BY2" i="2" s="1"/>
  <c r="M28" i="2"/>
  <c r="AF22" i="2"/>
  <c r="AG22" i="2" s="1"/>
  <c r="AH22" i="2" s="1"/>
  <c r="AI22" i="2" s="1"/>
  <c r="AJ22" i="2" s="1"/>
  <c r="AK22" i="2" s="1"/>
  <c r="AL22" i="2" s="1"/>
  <c r="AM22" i="2" s="1"/>
  <c r="AN22" i="2" s="1"/>
  <c r="AO22" i="2" s="1"/>
  <c r="AP22" i="2" s="1"/>
  <c r="AQ22" i="2" s="1"/>
  <c r="AR22" i="2" s="1"/>
  <c r="AS22" i="2" s="1"/>
  <c r="AT22" i="2" s="1"/>
  <c r="AU22" i="2" s="1"/>
  <c r="AV22" i="2" s="1"/>
  <c r="AW22" i="2" s="1"/>
  <c r="AX22" i="2" s="1"/>
  <c r="AF17" i="2"/>
  <c r="AG17" i="2" s="1"/>
  <c r="AH17" i="2" s="1"/>
  <c r="AI17" i="2" s="1"/>
  <c r="AJ17" i="2" s="1"/>
  <c r="AK17" i="2" s="1"/>
  <c r="AL17" i="2" s="1"/>
  <c r="AM17" i="2" s="1"/>
  <c r="AN17" i="2" s="1"/>
  <c r="AO17" i="2" s="1"/>
  <c r="AP17" i="2" s="1"/>
  <c r="AQ17" i="2" s="1"/>
  <c r="AR17" i="2" s="1"/>
  <c r="AS17" i="2" s="1"/>
  <c r="AT17" i="2" s="1"/>
  <c r="AU17" i="2" s="1"/>
  <c r="AV17" i="2" s="1"/>
  <c r="AW17" i="2" s="1"/>
  <c r="AX17" i="2" s="1"/>
  <c r="AF14" i="2"/>
  <c r="AG14" i="2" s="1"/>
  <c r="AH14" i="2" s="1"/>
  <c r="AI14" i="2" s="1"/>
  <c r="AJ14" i="2" s="1"/>
  <c r="AK14" i="2" s="1"/>
  <c r="AL14" i="2" s="1"/>
  <c r="AM14" i="2" s="1"/>
  <c r="AN14" i="2" s="1"/>
  <c r="AO14" i="2" s="1"/>
  <c r="AP14" i="2" s="1"/>
  <c r="AQ14" i="2" s="1"/>
  <c r="AR14" i="2" s="1"/>
  <c r="AS14" i="2" s="1"/>
  <c r="AT14" i="2" s="1"/>
  <c r="AU14" i="2" s="1"/>
  <c r="AV14" i="2" s="1"/>
  <c r="AW14" i="2" s="1"/>
  <c r="AX14" i="2" s="1"/>
  <c r="AF13" i="2"/>
  <c r="AF10" i="2"/>
  <c r="AG10" i="2" s="1"/>
  <c r="AH10" i="2" s="1"/>
  <c r="AI10" i="2" s="1"/>
  <c r="AJ10" i="2" s="1"/>
  <c r="AK10" i="2" s="1"/>
  <c r="AL10" i="2" s="1"/>
  <c r="AM10" i="2" s="1"/>
  <c r="AN10" i="2" s="1"/>
  <c r="AO10" i="2" s="1"/>
  <c r="AP10" i="2" s="1"/>
  <c r="AQ10" i="2" s="1"/>
  <c r="AR10" i="2" s="1"/>
  <c r="AS10" i="2" s="1"/>
  <c r="AT10" i="2" s="1"/>
  <c r="AU10" i="2" s="1"/>
  <c r="AV10" i="2" s="1"/>
  <c r="AW10" i="2" s="1"/>
  <c r="AX10" i="2" s="1"/>
  <c r="AF9" i="2"/>
  <c r="AG9" i="2" s="1"/>
  <c r="AH9" i="2" s="1"/>
  <c r="AI9" i="2" s="1"/>
  <c r="AJ9" i="2" s="1"/>
  <c r="AK9" i="2" s="1"/>
  <c r="AL9" i="2" s="1"/>
  <c r="AM9" i="2" s="1"/>
  <c r="AN9" i="2" s="1"/>
  <c r="AO9" i="2" s="1"/>
  <c r="AP9" i="2" s="1"/>
  <c r="AQ9" i="2" s="1"/>
  <c r="AR9" i="2" s="1"/>
  <c r="AS9" i="2" s="1"/>
  <c r="AT9" i="2" s="1"/>
  <c r="AU9" i="2" s="1"/>
  <c r="AV9" i="2" s="1"/>
  <c r="AW9" i="2" s="1"/>
  <c r="AX9" i="2" s="1"/>
  <c r="AF7" i="2"/>
  <c r="AG7" i="2" s="1"/>
  <c r="AH7" i="2" s="1"/>
  <c r="AI7" i="2" s="1"/>
  <c r="AJ7" i="2" s="1"/>
  <c r="AK7" i="2" s="1"/>
  <c r="AF5" i="2"/>
  <c r="AG5" i="2" s="1"/>
  <c r="AH5" i="2" s="1"/>
  <c r="AI5" i="2" s="1"/>
  <c r="AJ5" i="2" s="1"/>
  <c r="AK5" i="2" s="1"/>
  <c r="AL5" i="2" s="1"/>
  <c r="AM5" i="2" s="1"/>
  <c r="AN5" i="2" s="1"/>
  <c r="AO5" i="2" s="1"/>
  <c r="AP5" i="2" s="1"/>
  <c r="AQ5" i="2" s="1"/>
  <c r="AR5" i="2" s="1"/>
  <c r="AS5" i="2" s="1"/>
  <c r="AT5" i="2" s="1"/>
  <c r="AU5" i="2" s="1"/>
  <c r="AV5" i="2" s="1"/>
  <c r="AW5" i="2" s="1"/>
  <c r="AX5" i="2" s="1"/>
  <c r="E32" i="2"/>
  <c r="E30" i="2"/>
  <c r="E28" i="2"/>
  <c r="I32" i="2"/>
  <c r="I30" i="2"/>
  <c r="I28" i="2"/>
  <c r="E18" i="2"/>
  <c r="E23" i="2" s="1"/>
  <c r="E25" i="2" s="1"/>
  <c r="E40" i="2" s="1"/>
  <c r="F32" i="2"/>
  <c r="F30" i="2"/>
  <c r="F28" i="2"/>
  <c r="J32" i="2"/>
  <c r="J30" i="2"/>
  <c r="J28" i="2"/>
  <c r="F18" i="2"/>
  <c r="F23" i="2" s="1"/>
  <c r="F25" i="2" s="1"/>
  <c r="G32" i="2"/>
  <c r="G30" i="2"/>
  <c r="G28" i="2"/>
  <c r="K32" i="2"/>
  <c r="K30" i="2"/>
  <c r="K28" i="2"/>
  <c r="G18" i="2"/>
  <c r="H32" i="2"/>
  <c r="L32" i="2"/>
  <c r="H28" i="2"/>
  <c r="L28" i="2"/>
  <c r="L18" i="2"/>
  <c r="L23" i="2" s="1"/>
  <c r="L25" i="2" s="1"/>
  <c r="K18" i="2"/>
  <c r="O39" i="2" s="1"/>
  <c r="J18" i="2"/>
  <c r="J23" i="2" s="1"/>
  <c r="I18" i="2"/>
  <c r="I23" i="2" s="1"/>
  <c r="H18" i="2"/>
  <c r="H23" i="2" s="1"/>
  <c r="H25" i="2" s="1"/>
  <c r="H40" i="2" s="1"/>
  <c r="J4" i="1"/>
  <c r="L42" i="2" l="1"/>
  <c r="Q18" i="2"/>
  <c r="Q23" i="2" s="1"/>
  <c r="Q25" i="2" s="1"/>
  <c r="Q40" i="2" s="1"/>
  <c r="R18" i="2"/>
  <c r="R23" i="2" s="1"/>
  <c r="R25" i="2" s="1"/>
  <c r="R40" i="2" s="1"/>
  <c r="P18" i="2"/>
  <c r="P23" i="2" s="1"/>
  <c r="P25" i="2" s="1"/>
  <c r="P40" i="2" s="1"/>
  <c r="L39" i="2"/>
  <c r="O29" i="2"/>
  <c r="O31" i="2" s="1"/>
  <c r="AC18" i="2"/>
  <c r="AC23" i="2" s="1"/>
  <c r="AC25" i="2" s="1"/>
  <c r="AC40" i="2" s="1"/>
  <c r="K39" i="2"/>
  <c r="J39" i="2"/>
  <c r="M52" i="2"/>
  <c r="M42" i="2"/>
  <c r="AD18" i="2"/>
  <c r="AD23" i="2" s="1"/>
  <c r="AD38" i="2" s="1"/>
  <c r="O40" i="2"/>
  <c r="AC29" i="2"/>
  <c r="AC31" i="2" s="1"/>
  <c r="AC33" i="2" s="1"/>
  <c r="AC34" i="2" s="1"/>
  <c r="AF30" i="2"/>
  <c r="J7" i="1"/>
  <c r="L29" i="2"/>
  <c r="L31" i="2" s="1"/>
  <c r="AE30" i="2"/>
  <c r="AE18" i="2"/>
  <c r="AE23" i="2" s="1"/>
  <c r="AE28" i="2"/>
  <c r="AF11" i="2"/>
  <c r="AG11" i="2" s="1"/>
  <c r="AH11" i="2" s="1"/>
  <c r="AI11" i="2" s="1"/>
  <c r="AJ11" i="2" s="1"/>
  <c r="AK11" i="2" s="1"/>
  <c r="AL11" i="2" s="1"/>
  <c r="AM11" i="2" s="1"/>
  <c r="AN11" i="2" s="1"/>
  <c r="AO11" i="2" s="1"/>
  <c r="AP11" i="2" s="1"/>
  <c r="AQ11" i="2" s="1"/>
  <c r="AR11" i="2" s="1"/>
  <c r="AS11" i="2" s="1"/>
  <c r="AT11" i="2" s="1"/>
  <c r="AU11" i="2" s="1"/>
  <c r="AV11" i="2" s="1"/>
  <c r="AW11" i="2" s="1"/>
  <c r="AX11" i="2" s="1"/>
  <c r="AF12" i="2"/>
  <c r="AG12" i="2" s="1"/>
  <c r="AH12" i="2" s="1"/>
  <c r="AI12" i="2" s="1"/>
  <c r="AJ12" i="2" s="1"/>
  <c r="AK12" i="2" s="1"/>
  <c r="AL12" i="2" s="1"/>
  <c r="AM12" i="2" s="1"/>
  <c r="AN12" i="2" s="1"/>
  <c r="AO12" i="2" s="1"/>
  <c r="AP12" i="2" s="1"/>
  <c r="AQ12" i="2" s="1"/>
  <c r="AR12" i="2" s="1"/>
  <c r="AS12" i="2" s="1"/>
  <c r="AT12" i="2" s="1"/>
  <c r="AU12" i="2" s="1"/>
  <c r="AV12" i="2" s="1"/>
  <c r="AW12" i="2" s="1"/>
  <c r="AX12" i="2" s="1"/>
  <c r="AE32" i="2"/>
  <c r="AL7" i="2"/>
  <c r="F29" i="2"/>
  <c r="F31" i="2" s="1"/>
  <c r="F33" i="2" s="1"/>
  <c r="F34" i="2" s="1"/>
  <c r="F40" i="2"/>
  <c r="I38" i="2"/>
  <c r="J38" i="2"/>
  <c r="J25" i="2"/>
  <c r="N28" i="2"/>
  <c r="AF27" i="2"/>
  <c r="AG27" i="2" s="1"/>
  <c r="M18" i="2"/>
  <c r="AF3" i="2"/>
  <c r="G23" i="2"/>
  <c r="G25" i="2" s="1"/>
  <c r="AF8" i="2"/>
  <c r="AG8" i="2" s="1"/>
  <c r="AH8" i="2" s="1"/>
  <c r="AI8" i="2" s="1"/>
  <c r="AJ8" i="2" s="1"/>
  <c r="AK8" i="2" s="1"/>
  <c r="AL8" i="2" s="1"/>
  <c r="AM8" i="2" s="1"/>
  <c r="AN8" i="2" s="1"/>
  <c r="AO8" i="2" s="1"/>
  <c r="AP8" i="2" s="1"/>
  <c r="AQ8" i="2" s="1"/>
  <c r="AR8" i="2" s="1"/>
  <c r="AS8" i="2" s="1"/>
  <c r="AT8" i="2" s="1"/>
  <c r="AU8" i="2" s="1"/>
  <c r="AV8" i="2" s="1"/>
  <c r="AW8" i="2" s="1"/>
  <c r="AX8" i="2" s="1"/>
  <c r="K23" i="2"/>
  <c r="O38" i="2" s="1"/>
  <c r="AF6" i="2"/>
  <c r="AG6" i="2" s="1"/>
  <c r="AH6" i="2" s="1"/>
  <c r="AI6" i="2" s="1"/>
  <c r="AJ6" i="2" s="1"/>
  <c r="AK6" i="2" s="1"/>
  <c r="AL6" i="2" s="1"/>
  <c r="AM6" i="2" s="1"/>
  <c r="AN6" i="2" s="1"/>
  <c r="AO6" i="2" s="1"/>
  <c r="AP6" i="2" s="1"/>
  <c r="AQ6" i="2" s="1"/>
  <c r="AR6" i="2" s="1"/>
  <c r="AS6" i="2" s="1"/>
  <c r="AT6" i="2" s="1"/>
  <c r="AU6" i="2" s="1"/>
  <c r="AV6" i="2" s="1"/>
  <c r="AW6" i="2" s="1"/>
  <c r="AX6" i="2" s="1"/>
  <c r="AF35" i="2"/>
  <c r="AG35" i="2" s="1"/>
  <c r="AH35" i="2" s="1"/>
  <c r="AI35" i="2" s="1"/>
  <c r="I25" i="2"/>
  <c r="I40" i="2" s="1"/>
  <c r="AF21" i="2"/>
  <c r="AG21" i="2" s="1"/>
  <c r="AH21" i="2" s="1"/>
  <c r="AI21" i="2" s="1"/>
  <c r="AJ21" i="2" s="1"/>
  <c r="AK21" i="2" s="1"/>
  <c r="AL21" i="2" s="1"/>
  <c r="AM21" i="2" s="1"/>
  <c r="AN21" i="2" s="1"/>
  <c r="AO21" i="2" s="1"/>
  <c r="AP21" i="2" s="1"/>
  <c r="AQ21" i="2" s="1"/>
  <c r="AR21" i="2" s="1"/>
  <c r="AS21" i="2" s="1"/>
  <c r="AT21" i="2" s="1"/>
  <c r="AU21" i="2" s="1"/>
  <c r="AV21" i="2" s="1"/>
  <c r="AW21" i="2" s="1"/>
  <c r="AX21" i="2" s="1"/>
  <c r="E29" i="2"/>
  <c r="E31" i="2" s="1"/>
  <c r="E33" i="2" s="1"/>
  <c r="E34" i="2" s="1"/>
  <c r="I29" i="2"/>
  <c r="I31" i="2" s="1"/>
  <c r="I33" i="2" s="1"/>
  <c r="I34" i="2" s="1"/>
  <c r="L38" i="2"/>
  <c r="L40" i="2"/>
  <c r="H29" i="2"/>
  <c r="H31" i="2" s="1"/>
  <c r="H33" i="2" s="1"/>
  <c r="H34" i="2" s="1"/>
  <c r="AD25" i="2" l="1"/>
  <c r="Q39" i="2"/>
  <c r="Q29" i="2"/>
  <c r="Q31" i="2" s="1"/>
  <c r="P38" i="2"/>
  <c r="R29" i="2"/>
  <c r="R31" i="2" s="1"/>
  <c r="P39" i="2"/>
  <c r="P29" i="2"/>
  <c r="P31" i="2" s="1"/>
  <c r="Q38" i="2"/>
  <c r="M39" i="2"/>
  <c r="L33" i="2"/>
  <c r="L34" i="2" s="1"/>
  <c r="AE25" i="2"/>
  <c r="AE38" i="2"/>
  <c r="M25" i="2"/>
  <c r="M38" i="2"/>
  <c r="AF28" i="2"/>
  <c r="AH27" i="2"/>
  <c r="AG28" i="2"/>
  <c r="AG3" i="2"/>
  <c r="N18" i="2"/>
  <c r="AJ35" i="2"/>
  <c r="AM7" i="2"/>
  <c r="G29" i="2"/>
  <c r="G31" i="2" s="1"/>
  <c r="G33" i="2" s="1"/>
  <c r="G34" i="2" s="1"/>
  <c r="G40" i="2"/>
  <c r="AF4" i="2"/>
  <c r="AG4" i="2" s="1"/>
  <c r="AH4" i="2" s="1"/>
  <c r="AI4" i="2" s="1"/>
  <c r="AJ4" i="2" s="1"/>
  <c r="AK4" i="2" s="1"/>
  <c r="AL4" i="2" s="1"/>
  <c r="AM4" i="2" s="1"/>
  <c r="AN4" i="2" s="1"/>
  <c r="AO4" i="2" s="1"/>
  <c r="AP4" i="2" s="1"/>
  <c r="AQ4" i="2" s="1"/>
  <c r="AR4" i="2" s="1"/>
  <c r="AS4" i="2" s="1"/>
  <c r="AT4" i="2" s="1"/>
  <c r="AU4" i="2" s="1"/>
  <c r="AV4" i="2" s="1"/>
  <c r="AW4" i="2" s="1"/>
  <c r="AX4" i="2" s="1"/>
  <c r="J29" i="2"/>
  <c r="J31" i="2" s="1"/>
  <c r="J33" i="2" s="1"/>
  <c r="J34" i="2" s="1"/>
  <c r="J40" i="2"/>
  <c r="K38" i="2"/>
  <c r="K25" i="2"/>
  <c r="N23" i="2" l="1"/>
  <c r="R39" i="2"/>
  <c r="AD40" i="2"/>
  <c r="AD29" i="2"/>
  <c r="AD31" i="2" s="1"/>
  <c r="AD33" i="2" s="1"/>
  <c r="AD34" i="2" s="1"/>
  <c r="N39" i="2"/>
  <c r="O33" i="2"/>
  <c r="O34" i="2" s="1"/>
  <c r="AE29" i="2"/>
  <c r="AE31" i="2" s="1"/>
  <c r="AE33" i="2" s="1"/>
  <c r="AE34" i="2" s="1"/>
  <c r="AE40" i="2"/>
  <c r="AF18" i="2"/>
  <c r="AF23" i="2" s="1"/>
  <c r="AF38" i="2" s="1"/>
  <c r="AH3" i="2"/>
  <c r="AG18" i="2"/>
  <c r="AG23" i="2" s="1"/>
  <c r="AI27" i="2"/>
  <c r="AH28" i="2"/>
  <c r="AK35" i="2"/>
  <c r="AN7" i="2"/>
  <c r="M40" i="2"/>
  <c r="M29" i="2"/>
  <c r="M31" i="2" s="1"/>
  <c r="M33" i="2" s="1"/>
  <c r="M34" i="2" s="1"/>
  <c r="K29" i="2"/>
  <c r="K31" i="2" s="1"/>
  <c r="K33" i="2" s="1"/>
  <c r="K34" i="2" s="1"/>
  <c r="K40" i="2"/>
  <c r="N25" i="2" l="1"/>
  <c r="N40" i="2" s="1"/>
  <c r="R38" i="2"/>
  <c r="N38" i="2"/>
  <c r="P32" i="2"/>
  <c r="P33" i="2" s="1"/>
  <c r="P34" i="2" s="1"/>
  <c r="AG25" i="2"/>
  <c r="AG40" i="2" s="1"/>
  <c r="AG38" i="2"/>
  <c r="AJ27" i="2"/>
  <c r="AI28" i="2"/>
  <c r="AI3" i="2"/>
  <c r="AH18" i="2"/>
  <c r="AH23" i="2" s="1"/>
  <c r="AL35" i="2"/>
  <c r="AO7" i="2"/>
  <c r="AF24" i="2"/>
  <c r="AF25" i="2" s="1"/>
  <c r="N29" i="2" l="1"/>
  <c r="N31" i="2" s="1"/>
  <c r="AF32" i="2" s="1"/>
  <c r="AG29" i="2"/>
  <c r="AG31" i="2" s="1"/>
  <c r="AG32" i="2" s="1"/>
  <c r="AG33" i="2" s="1"/>
  <c r="AG34" i="2" s="1"/>
  <c r="AG24" i="2"/>
  <c r="N33" i="2"/>
  <c r="N34" i="2" s="1"/>
  <c r="R32" i="2"/>
  <c r="R33" i="2" s="1"/>
  <c r="R34" i="2" s="1"/>
  <c r="Q32" i="2"/>
  <c r="Q33" i="2" s="1"/>
  <c r="Q34" i="2" s="1"/>
  <c r="AF29" i="2"/>
  <c r="AF31" i="2" s="1"/>
  <c r="AF33" i="2" s="1"/>
  <c r="AF34" i="2" s="1"/>
  <c r="AF40" i="2"/>
  <c r="AH25" i="2"/>
  <c r="AH40" i="2" s="1"/>
  <c r="AH38" i="2"/>
  <c r="AH24" i="2"/>
  <c r="AH29" i="2"/>
  <c r="AH31" i="2" s="1"/>
  <c r="AH32" i="2" s="1"/>
  <c r="AH33" i="2" s="1"/>
  <c r="AH34" i="2" s="1"/>
  <c r="AJ3" i="2"/>
  <c r="AI18" i="2"/>
  <c r="AI23" i="2" s="1"/>
  <c r="AK27" i="2"/>
  <c r="AJ28" i="2"/>
  <c r="AM35" i="2"/>
  <c r="AP7" i="2"/>
  <c r="AI25" i="2" l="1"/>
  <c r="AI29" i="2" s="1"/>
  <c r="AI31" i="2" s="1"/>
  <c r="AI32" i="2" s="1"/>
  <c r="AI33" i="2" s="1"/>
  <c r="AI34" i="2" s="1"/>
  <c r="AI38" i="2"/>
  <c r="AL27" i="2"/>
  <c r="AK28" i="2"/>
  <c r="AK3" i="2"/>
  <c r="AJ18" i="2"/>
  <c r="AJ23" i="2" s="1"/>
  <c r="AN35" i="2"/>
  <c r="AQ7" i="2"/>
  <c r="AJ25" i="2" l="1"/>
  <c r="AJ38" i="2"/>
  <c r="AI24" i="2"/>
  <c r="AI40" i="2"/>
  <c r="AL3" i="2"/>
  <c r="AK18" i="2"/>
  <c r="AK23" i="2" s="1"/>
  <c r="AM27" i="2"/>
  <c r="AL28" i="2"/>
  <c r="AJ29" i="2"/>
  <c r="AJ31" i="2" s="1"/>
  <c r="AO35" i="2"/>
  <c r="AR7" i="2"/>
  <c r="AK25" i="2" l="1"/>
  <c r="AK38" i="2"/>
  <c r="AJ24" i="2"/>
  <c r="AJ40" i="2"/>
  <c r="AK29" i="2"/>
  <c r="AK31" i="2" s="1"/>
  <c r="AK32" i="2" s="1"/>
  <c r="AK33" i="2" s="1"/>
  <c r="AK34" i="2" s="1"/>
  <c r="AJ32" i="2"/>
  <c r="AJ33" i="2" s="1"/>
  <c r="AJ34" i="2" s="1"/>
  <c r="AM28" i="2"/>
  <c r="AN27" i="2"/>
  <c r="AM3" i="2"/>
  <c r="AL18" i="2"/>
  <c r="AL23" i="2" s="1"/>
  <c r="AP35" i="2"/>
  <c r="AS7" i="2"/>
  <c r="AL25" i="2" l="1"/>
  <c r="AL29" i="2" s="1"/>
  <c r="AL31" i="2" s="1"/>
  <c r="AL32" i="2" s="1"/>
  <c r="AL33" i="2" s="1"/>
  <c r="AL34" i="2" s="1"/>
  <c r="AL38" i="2"/>
  <c r="AK24" i="2"/>
  <c r="AK40" i="2"/>
  <c r="AO27" i="2"/>
  <c r="AN28" i="2"/>
  <c r="AN3" i="2"/>
  <c r="AM18" i="2"/>
  <c r="AM23" i="2" s="1"/>
  <c r="AQ35" i="2"/>
  <c r="AT7" i="2"/>
  <c r="AM25" i="2" l="1"/>
  <c r="AM38" i="2"/>
  <c r="AL24" i="2"/>
  <c r="AL40" i="2"/>
  <c r="AO3" i="2"/>
  <c r="AN18" i="2"/>
  <c r="AN23" i="2" s="1"/>
  <c r="AM29" i="2"/>
  <c r="AM31" i="2" s="1"/>
  <c r="AM32" i="2" s="1"/>
  <c r="AM33" i="2" s="1"/>
  <c r="AM34" i="2" s="1"/>
  <c r="AP27" i="2"/>
  <c r="AO28" i="2"/>
  <c r="AR35" i="2"/>
  <c r="AU7" i="2"/>
  <c r="AN25" i="2" l="1"/>
  <c r="AN38" i="2"/>
  <c r="AM24" i="2"/>
  <c r="AM40" i="2"/>
  <c r="AN29" i="2"/>
  <c r="AN31" i="2" s="1"/>
  <c r="AN32" i="2" s="1"/>
  <c r="AN33" i="2" s="1"/>
  <c r="AN34" i="2" s="1"/>
  <c r="AQ27" i="2"/>
  <c r="AP28" i="2"/>
  <c r="AP3" i="2"/>
  <c r="AO18" i="2"/>
  <c r="AO23" i="2" s="1"/>
  <c r="AS35" i="2"/>
  <c r="AV7" i="2"/>
  <c r="AO25" i="2" l="1"/>
  <c r="AO29" i="2" s="1"/>
  <c r="AO31" i="2" s="1"/>
  <c r="AO32" i="2" s="1"/>
  <c r="AO33" i="2" s="1"/>
  <c r="AO34" i="2" s="1"/>
  <c r="AO38" i="2"/>
  <c r="AN24" i="2"/>
  <c r="AN40" i="2"/>
  <c r="AQ3" i="2"/>
  <c r="AP18" i="2"/>
  <c r="AP23" i="2" s="1"/>
  <c r="AR27" i="2"/>
  <c r="AQ28" i="2"/>
  <c r="AT35" i="2"/>
  <c r="AW7" i="2"/>
  <c r="AP25" i="2" l="1"/>
  <c r="AP38" i="2"/>
  <c r="AO24" i="2"/>
  <c r="AO40" i="2"/>
  <c r="AP29" i="2"/>
  <c r="AP31" i="2" s="1"/>
  <c r="AP32" i="2" s="1"/>
  <c r="AS27" i="2"/>
  <c r="AR28" i="2"/>
  <c r="AR3" i="2"/>
  <c r="AQ18" i="2"/>
  <c r="AQ23" i="2" s="1"/>
  <c r="AU35" i="2"/>
  <c r="AX7" i="2"/>
  <c r="AQ25" i="2" l="1"/>
  <c r="AQ38" i="2"/>
  <c r="AP24" i="2"/>
  <c r="AP40" i="2"/>
  <c r="AP33" i="2"/>
  <c r="AP34" i="2" s="1"/>
  <c r="AS3" i="2"/>
  <c r="AR18" i="2"/>
  <c r="AR23" i="2" s="1"/>
  <c r="AS28" i="2"/>
  <c r="AT27" i="2"/>
  <c r="AQ29" i="2"/>
  <c r="AQ31" i="2" s="1"/>
  <c r="AV35" i="2"/>
  <c r="AR25" i="2" l="1"/>
  <c r="AR29" i="2" s="1"/>
  <c r="AR31" i="2" s="1"/>
  <c r="AR32" i="2" s="1"/>
  <c r="AR33" i="2" s="1"/>
  <c r="AR34" i="2" s="1"/>
  <c r="AR38" i="2"/>
  <c r="AQ24" i="2"/>
  <c r="AQ40" i="2"/>
  <c r="AQ32" i="2"/>
  <c r="AQ33" i="2" s="1"/>
  <c r="AQ34" i="2" s="1"/>
  <c r="AU27" i="2"/>
  <c r="AT28" i="2"/>
  <c r="AT3" i="2"/>
  <c r="AS18" i="2"/>
  <c r="AS23" i="2" s="1"/>
  <c r="AW35" i="2"/>
  <c r="AS25" i="2" l="1"/>
  <c r="AS38" i="2"/>
  <c r="AR24" i="2"/>
  <c r="AR40" i="2"/>
  <c r="AV27" i="2"/>
  <c r="AU28" i="2"/>
  <c r="AU3" i="2"/>
  <c r="AT18" i="2"/>
  <c r="AT23" i="2" s="1"/>
  <c r="AS29" i="2"/>
  <c r="AS31" i="2" s="1"/>
  <c r="AS32" i="2" s="1"/>
  <c r="AS33" i="2" s="1"/>
  <c r="AS34" i="2" s="1"/>
  <c r="AX35" i="2"/>
  <c r="AT25" i="2" l="1"/>
  <c r="AT29" i="2" s="1"/>
  <c r="AT31" i="2" s="1"/>
  <c r="AT32" i="2" s="1"/>
  <c r="AT33" i="2" s="1"/>
  <c r="AT34" i="2" s="1"/>
  <c r="AT38" i="2"/>
  <c r="AS24" i="2"/>
  <c r="AS40" i="2"/>
  <c r="AV3" i="2"/>
  <c r="AU18" i="2"/>
  <c r="AU23" i="2" s="1"/>
  <c r="AU38" i="2" s="1"/>
  <c r="AW27" i="2"/>
  <c r="AV28" i="2"/>
  <c r="AT24" i="2" l="1"/>
  <c r="AT40" i="2"/>
  <c r="AX27" i="2"/>
  <c r="AX28" i="2" s="1"/>
  <c r="AW28" i="2"/>
  <c r="AU25" i="2"/>
  <c r="AW3" i="2"/>
  <c r="AV18" i="2"/>
  <c r="AV23" i="2" s="1"/>
  <c r="AV25" i="2" l="1"/>
  <c r="AV29" i="2" s="1"/>
  <c r="AV31" i="2" s="1"/>
  <c r="AV38" i="2"/>
  <c r="AU29" i="2"/>
  <c r="AU31" i="2" s="1"/>
  <c r="AU32" i="2" s="1"/>
  <c r="AU33" i="2" s="1"/>
  <c r="AU34" i="2" s="1"/>
  <c r="AU40" i="2"/>
  <c r="AU24" i="2"/>
  <c r="AX3" i="2"/>
  <c r="AX18" i="2" s="1"/>
  <c r="AX23" i="2" s="1"/>
  <c r="AW18" i="2"/>
  <c r="AW23" i="2" s="1"/>
  <c r="AW38" i="2" s="1"/>
  <c r="AX25" i="2" l="1"/>
  <c r="AX29" i="2" s="1"/>
  <c r="AX31" i="2" s="1"/>
  <c r="AX32" i="2" s="1"/>
  <c r="AX33" i="2" s="1"/>
  <c r="AX38" i="2"/>
  <c r="AV24" i="2"/>
  <c r="AV40" i="2"/>
  <c r="AV32" i="2"/>
  <c r="AV33" i="2" s="1"/>
  <c r="AV34" i="2" s="1"/>
  <c r="AW25" i="2"/>
  <c r="AW29" i="2" l="1"/>
  <c r="AW31" i="2" s="1"/>
  <c r="AW32" i="2" s="1"/>
  <c r="AW33" i="2" s="1"/>
  <c r="AW40" i="2"/>
  <c r="AX24" i="2"/>
  <c r="AX40" i="2"/>
  <c r="AW24" i="2"/>
  <c r="AX34" i="2"/>
  <c r="AW34" i="2" l="1"/>
  <c r="BA38" i="2"/>
  <c r="BA40" i="2" s="1"/>
</calcChain>
</file>

<file path=xl/sharedStrings.xml><?xml version="1.0" encoding="utf-8"?>
<sst xmlns="http://schemas.openxmlformats.org/spreadsheetml/2006/main" count="152" uniqueCount="129">
  <si>
    <t>Price</t>
  </si>
  <si>
    <t>Shares</t>
  </si>
  <si>
    <t>MC</t>
  </si>
  <si>
    <t>Cash</t>
  </si>
  <si>
    <t>Debt</t>
  </si>
  <si>
    <t>EV</t>
  </si>
  <si>
    <t>Brand</t>
  </si>
  <si>
    <t>Q222</t>
  </si>
  <si>
    <t>Avonex</t>
  </si>
  <si>
    <t>Tecfidera</t>
  </si>
  <si>
    <t>Indication</t>
  </si>
  <si>
    <t>MOA</t>
  </si>
  <si>
    <t>Approval</t>
  </si>
  <si>
    <t>Economics</t>
  </si>
  <si>
    <t>IP</t>
  </si>
  <si>
    <t>Alzheimer's</t>
  </si>
  <si>
    <t>Multiple Sclerosis</t>
  </si>
  <si>
    <t>litifilimab</t>
  </si>
  <si>
    <t>CLE</t>
  </si>
  <si>
    <t>BIIB122</t>
  </si>
  <si>
    <t>Parkinson's</t>
  </si>
  <si>
    <t>DNLI</t>
  </si>
  <si>
    <t>BIIB800 (tocilizumab)</t>
  </si>
  <si>
    <t>zuranolone</t>
  </si>
  <si>
    <t>SAGE</t>
  </si>
  <si>
    <t>ALS</t>
  </si>
  <si>
    <t>Spinraza (nusinersen)</t>
  </si>
  <si>
    <t>SMA</t>
  </si>
  <si>
    <t>IONS</t>
  </si>
  <si>
    <t>AL01811</t>
  </si>
  <si>
    <t>GBA2 inhibitor</t>
  </si>
  <si>
    <t>Aduhelm (aducanumab)</t>
  </si>
  <si>
    <t>Vumerity (diroximel fumarate)</t>
  </si>
  <si>
    <t>Tysabri (natalizumab)</t>
  </si>
  <si>
    <t>Main</t>
  </si>
  <si>
    <t>Revenue</t>
  </si>
  <si>
    <t>Q120</t>
  </si>
  <si>
    <t>Q220</t>
  </si>
  <si>
    <t>Q320</t>
  </si>
  <si>
    <t>Q420</t>
  </si>
  <si>
    <t>Q121</t>
  </si>
  <si>
    <t>Q221</t>
  </si>
  <si>
    <t>Q321</t>
  </si>
  <si>
    <t>Q421</t>
  </si>
  <si>
    <t>Q122</t>
  </si>
  <si>
    <t>Q322</t>
  </si>
  <si>
    <t>Q422</t>
  </si>
  <si>
    <t>Vumerity</t>
  </si>
  <si>
    <t>Plegridy</t>
  </si>
  <si>
    <t>Tysabri</t>
  </si>
  <si>
    <t>Fampyra</t>
  </si>
  <si>
    <t>Spinraza</t>
  </si>
  <si>
    <t>Benepali</t>
  </si>
  <si>
    <t>Imraldi</t>
  </si>
  <si>
    <t>Flixabi</t>
  </si>
  <si>
    <t>Byooviz</t>
  </si>
  <si>
    <t>Fumaderm</t>
  </si>
  <si>
    <t>Aduhelm</t>
  </si>
  <si>
    <t>Product</t>
  </si>
  <si>
    <t>CD20</t>
  </si>
  <si>
    <t>Other</t>
  </si>
  <si>
    <t>COGS</t>
  </si>
  <si>
    <t>Gross Profit</t>
  </si>
  <si>
    <t>R&amp;D</t>
  </si>
  <si>
    <t>SG&amp;A</t>
  </si>
  <si>
    <t>OpEx</t>
  </si>
  <si>
    <t>OpInc</t>
  </si>
  <si>
    <t>Interest Income</t>
  </si>
  <si>
    <t>Pretax Income</t>
  </si>
  <si>
    <t>Taxes</t>
  </si>
  <si>
    <t>Net Income</t>
  </si>
  <si>
    <t>EPS</t>
  </si>
  <si>
    <t>Lunsumio (mosunetuzumab)</t>
  </si>
  <si>
    <t>FL</t>
  </si>
  <si>
    <t>CD20xCD3</t>
  </si>
  <si>
    <t>Ocrevus</t>
  </si>
  <si>
    <t>Rituxan/Gazyva</t>
  </si>
  <si>
    <t>Revenue y/y</t>
  </si>
  <si>
    <t>Gross Margin</t>
  </si>
  <si>
    <t>Terminal</t>
  </si>
  <si>
    <t>Discount</t>
  </si>
  <si>
    <t>NPV</t>
  </si>
  <si>
    <t>Share</t>
  </si>
  <si>
    <t>Q123</t>
  </si>
  <si>
    <t>Q223</t>
  </si>
  <si>
    <t>Q323</t>
  </si>
  <si>
    <t>Q423</t>
  </si>
  <si>
    <t>glofitamab</t>
  </si>
  <si>
    <t>Filed</t>
  </si>
  <si>
    <t>Phase</t>
  </si>
  <si>
    <t>LRRK2</t>
  </si>
  <si>
    <t>Byooviz (ranibizumab)</t>
  </si>
  <si>
    <t>AMD</t>
  </si>
  <si>
    <t>VEGF</t>
  </si>
  <si>
    <t>amyloid-beta mab</t>
  </si>
  <si>
    <t>IFN</t>
  </si>
  <si>
    <t>VLA4</t>
  </si>
  <si>
    <t>III</t>
  </si>
  <si>
    <t>II/III</t>
  </si>
  <si>
    <t>Cambridge, MA</t>
  </si>
  <si>
    <t>L+SE</t>
  </si>
  <si>
    <t>SE</t>
  </si>
  <si>
    <t>AR</t>
  </si>
  <si>
    <t>Inventory</t>
  </si>
  <si>
    <t>OCA</t>
  </si>
  <si>
    <t>PP&amp;E</t>
  </si>
  <si>
    <t>Lease</t>
  </si>
  <si>
    <t>Goodwill</t>
  </si>
  <si>
    <t>DT</t>
  </si>
  <si>
    <t>Assets</t>
  </si>
  <si>
    <t>AP</t>
  </si>
  <si>
    <t>AE</t>
  </si>
  <si>
    <t>Net Debt</t>
  </si>
  <si>
    <t>Leqembi (lecanemab)</t>
  </si>
  <si>
    <t>BIIB080</t>
  </si>
  <si>
    <t>MAPT ASO</t>
  </si>
  <si>
    <t xml:space="preserve">CEO: Chris Viehbacher replaced </t>
  </si>
  <si>
    <t>MDD</t>
  </si>
  <si>
    <t>Leqembi</t>
  </si>
  <si>
    <t>Product y/y</t>
  </si>
  <si>
    <t>OLTL</t>
  </si>
  <si>
    <t>Qalsody (tofersen)</t>
  </si>
  <si>
    <t>Qalsody</t>
  </si>
  <si>
    <t>Rheumatoid Arthritis</t>
  </si>
  <si>
    <t>IL-6</t>
  </si>
  <si>
    <t>7/6/23 full approval PDUFA</t>
  </si>
  <si>
    <t>8/5/23 PDUFA</t>
  </si>
  <si>
    <t>BIIB093 discontinued</t>
  </si>
  <si>
    <t>BIIB132 discontinued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</si>
</sst>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3" fontId="0" fillId="0" borderId="0" xfId="0" applyNumberFormat="1"/>
    <xf numFmtId="0" fontId="0" fillId="0" borderId="0" xfId="0" applyAlignment="1">
      <alignment horizontal="righ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1"/>
    <xf numFmtId="3" fontId="0" fillId="0" borderId="0" xfId="0" applyNumberFormat="1" applyAlignment="1">
      <alignment horizontal="right"/>
    </xf>
    <xf numFmtId="3" fontId="2" fillId="0" borderId="0" xfId="0" applyNumberFormat="1" applyFont="1"/>
    <xf numFmtId="3" fontId="2" fillId="0" borderId="0" xfId="0" applyNumberFormat="1" applyFont="1" applyAlignment="1">
      <alignment horizontal="right"/>
    </xf>
    <xf numFmtId="4" fontId="0" fillId="0" borderId="0" xfId="0" applyNumberFormat="1" applyAlignment="1">
      <alignment horizontal="right"/>
    </xf>
    <xf numFmtId="9" fontId="0" fillId="0" borderId="0" xfId="0" applyNumberFormat="1" applyAlignment="1">
      <alignment horizontal="right"/>
    </xf>
    <xf numFmtId="4" fontId="0" fillId="0" borderId="0" xfId="0" applyNumberFormat="1"/>
    <xf numFmtId="9" fontId="0" fillId="0" borderId="0" xfId="0" applyNumberFormat="1"/>
    <xf numFmtId="14" fontId="0" fillId="0" borderId="0" xfId="0" applyNumberFormat="1"/>
    <xf numFmtId="14" fontId="0" fillId="0" borderId="0" xfId="0" applyNumberFormat="1" applyAlignment="1">
      <alignment horizontal="left"/>
    </xf>
    <xf numFmtId="0" fontId="2" fillId="0" borderId="0" xfId="0" applyFont="1" applyAlignment="1">
      <alignment horizontal="right"/>
    </xf>
    <xf numFmtId="9" fontId="2" fillId="0" borderId="0" xfId="0" applyNumberFormat="1" applyFont="1" applyAlignment="1">
      <alignment horizontal="right"/>
    </xf>
    <xf numFmtId="0" fontId="2" fillId="0" borderId="0" xfId="0" applyFont="1"/>
    <xf numFmtId="9" fontId="2" fillId="0" borderId="0" xfId="0" applyNumberFormat="1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F4031B99-DC9B-4149-BFC4-2899F1BF335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38966</xdr:colOff>
      <xdr:row>0</xdr:row>
      <xdr:rowOff>0</xdr:rowOff>
    </xdr:from>
    <xdr:to>
      <xdr:col>31</xdr:col>
      <xdr:colOff>38966</xdr:colOff>
      <xdr:row>42</xdr:row>
      <xdr:rowOff>43295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AC7A0164-871D-34D0-FCC8-B9AAC596230D}"/>
            </a:ext>
          </a:extLst>
        </xdr:cNvPr>
        <xdr:cNvCxnSpPr/>
      </xdr:nvCxnSpPr>
      <xdr:spPr>
        <a:xfrm>
          <a:off x="17160734" y="0"/>
          <a:ext cx="0" cy="622292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30996</xdr:colOff>
      <xdr:row>0</xdr:row>
      <xdr:rowOff>20052</xdr:rowOff>
    </xdr:from>
    <xdr:to>
      <xdr:col>15</xdr:col>
      <xdr:colOff>30996</xdr:colOff>
      <xdr:row>73</xdr:row>
      <xdr:rowOff>150395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A5D9F34-9F98-4633-80FD-32FC96B7901E}"/>
            </a:ext>
          </a:extLst>
        </xdr:cNvPr>
        <xdr:cNvCxnSpPr/>
      </xdr:nvCxnSpPr>
      <xdr:spPr>
        <a:xfrm>
          <a:off x="9280272" y="20052"/>
          <a:ext cx="0" cy="1168065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06BA9-19F6-4D66-A355-F53C1BBA84BC}">
  <dimension ref="B2:K27"/>
  <sheetViews>
    <sheetView zoomScale="175" zoomScaleNormal="175" workbookViewId="0">
      <selection activeCell="J3" sqref="J3"/>
    </sheetView>
  </sheetViews>
  <sheetFormatPr defaultRowHeight="12.75" x14ac:dyDescent="0.2"/>
  <cols>
    <col min="1" max="1" width="3.140625" customWidth="1"/>
    <col min="2" max="2" width="26.42578125" customWidth="1"/>
    <col min="3" max="3" width="17.5703125" customWidth="1"/>
    <col min="4" max="4" width="16.140625" customWidth="1"/>
    <col min="6" max="6" width="11.42578125" customWidth="1"/>
  </cols>
  <sheetData>
    <row r="2" spans="2:11" x14ac:dyDescent="0.2">
      <c r="B2" s="8" t="s">
        <v>6</v>
      </c>
      <c r="C2" s="9" t="s">
        <v>10</v>
      </c>
      <c r="D2" s="9" t="s">
        <v>11</v>
      </c>
      <c r="E2" s="9" t="s">
        <v>12</v>
      </c>
      <c r="F2" s="9" t="s">
        <v>13</v>
      </c>
      <c r="G2" s="10" t="s">
        <v>14</v>
      </c>
      <c r="I2" t="s">
        <v>0</v>
      </c>
      <c r="J2" s="17">
        <v>294</v>
      </c>
    </row>
    <row r="3" spans="2:11" x14ac:dyDescent="0.2">
      <c r="B3" s="3" t="s">
        <v>33</v>
      </c>
      <c r="C3" t="s">
        <v>16</v>
      </c>
      <c r="D3" t="s">
        <v>96</v>
      </c>
      <c r="G3" s="4"/>
      <c r="I3" t="s">
        <v>1</v>
      </c>
      <c r="J3" s="1">
        <v>145</v>
      </c>
      <c r="K3" s="2" t="s">
        <v>83</v>
      </c>
    </row>
    <row r="4" spans="2:11" x14ac:dyDescent="0.2">
      <c r="B4" s="3" t="s">
        <v>8</v>
      </c>
      <c r="C4" t="s">
        <v>16</v>
      </c>
      <c r="D4" t="s">
        <v>95</v>
      </c>
      <c r="G4" s="4"/>
      <c r="I4" t="s">
        <v>2</v>
      </c>
      <c r="J4" s="1">
        <f>+J2*J3</f>
        <v>42630</v>
      </c>
    </row>
    <row r="5" spans="2:11" x14ac:dyDescent="0.2">
      <c r="B5" s="3" t="s">
        <v>31</v>
      </c>
      <c r="C5" t="s">
        <v>15</v>
      </c>
      <c r="D5" t="s">
        <v>94</v>
      </c>
      <c r="G5" s="4"/>
      <c r="I5" t="s">
        <v>3</v>
      </c>
      <c r="J5" s="1">
        <v>7400</v>
      </c>
      <c r="K5" s="2" t="s">
        <v>83</v>
      </c>
    </row>
    <row r="6" spans="2:11" x14ac:dyDescent="0.2">
      <c r="B6" s="3" t="s">
        <v>9</v>
      </c>
      <c r="C6" t="s">
        <v>16</v>
      </c>
      <c r="G6" s="4"/>
      <c r="I6" t="s">
        <v>4</v>
      </c>
      <c r="J6" s="1">
        <v>6283</v>
      </c>
      <c r="K6" s="2" t="s">
        <v>83</v>
      </c>
    </row>
    <row r="7" spans="2:11" x14ac:dyDescent="0.2">
      <c r="B7" s="3" t="s">
        <v>26</v>
      </c>
      <c r="C7" t="s">
        <v>27</v>
      </c>
      <c r="F7" t="s">
        <v>28</v>
      </c>
      <c r="G7" s="4"/>
      <c r="I7" t="s">
        <v>5</v>
      </c>
      <c r="J7" s="1">
        <f>+J4-J5+J6</f>
        <v>41513</v>
      </c>
    </row>
    <row r="8" spans="2:11" x14ac:dyDescent="0.2">
      <c r="B8" s="3" t="s">
        <v>32</v>
      </c>
      <c r="C8" t="s">
        <v>16</v>
      </c>
      <c r="G8" s="4"/>
      <c r="J8" s="1"/>
    </row>
    <row r="9" spans="2:11" x14ac:dyDescent="0.2">
      <c r="B9" s="3" t="s">
        <v>52</v>
      </c>
      <c r="G9" s="4"/>
      <c r="J9" s="1"/>
    </row>
    <row r="10" spans="2:11" x14ac:dyDescent="0.2">
      <c r="B10" s="3" t="s">
        <v>53</v>
      </c>
      <c r="G10" s="4"/>
      <c r="J10" s="1"/>
    </row>
    <row r="11" spans="2:11" x14ac:dyDescent="0.2">
      <c r="B11" s="3" t="s">
        <v>113</v>
      </c>
      <c r="C11" t="s">
        <v>15</v>
      </c>
      <c r="D11" t="s">
        <v>94</v>
      </c>
      <c r="E11" t="s">
        <v>125</v>
      </c>
      <c r="G11" s="4"/>
      <c r="J11" s="1"/>
    </row>
    <row r="12" spans="2:11" x14ac:dyDescent="0.2">
      <c r="B12" s="3" t="s">
        <v>72</v>
      </c>
      <c r="C12" t="s">
        <v>73</v>
      </c>
      <c r="D12" t="s">
        <v>74</v>
      </c>
      <c r="G12" s="4"/>
    </row>
    <row r="13" spans="2:11" x14ac:dyDescent="0.2">
      <c r="B13" s="3" t="s">
        <v>54</v>
      </c>
      <c r="G13" s="4"/>
      <c r="J13" s="1"/>
    </row>
    <row r="14" spans="2:11" x14ac:dyDescent="0.2">
      <c r="B14" s="3" t="s">
        <v>121</v>
      </c>
      <c r="C14" t="s">
        <v>25</v>
      </c>
      <c r="E14" s="19">
        <v>45041</v>
      </c>
      <c r="F14" t="s">
        <v>28</v>
      </c>
      <c r="G14" s="4"/>
    </row>
    <row r="15" spans="2:11" x14ac:dyDescent="0.2">
      <c r="B15" s="3" t="s">
        <v>91</v>
      </c>
      <c r="C15" t="s">
        <v>92</v>
      </c>
      <c r="D15" t="s">
        <v>93</v>
      </c>
      <c r="G15" s="4"/>
      <c r="I15" t="s">
        <v>99</v>
      </c>
    </row>
    <row r="16" spans="2:11" x14ac:dyDescent="0.2">
      <c r="B16" s="8"/>
      <c r="C16" s="9"/>
      <c r="D16" s="9"/>
      <c r="E16" s="9" t="s">
        <v>89</v>
      </c>
      <c r="F16" s="9"/>
      <c r="G16" s="10"/>
      <c r="I16" t="s">
        <v>116</v>
      </c>
    </row>
    <row r="17" spans="2:7" x14ac:dyDescent="0.2">
      <c r="B17" s="3" t="s">
        <v>17</v>
      </c>
      <c r="C17" t="s">
        <v>18</v>
      </c>
      <c r="E17" t="s">
        <v>98</v>
      </c>
      <c r="G17" s="4"/>
    </row>
    <row r="18" spans="2:7" x14ac:dyDescent="0.2">
      <c r="B18" s="3" t="s">
        <v>19</v>
      </c>
      <c r="C18" t="s">
        <v>20</v>
      </c>
      <c r="D18" t="s">
        <v>90</v>
      </c>
      <c r="E18" t="s">
        <v>97</v>
      </c>
      <c r="F18" t="s">
        <v>21</v>
      </c>
      <c r="G18" s="4"/>
    </row>
    <row r="19" spans="2:7" x14ac:dyDescent="0.2">
      <c r="B19" s="3" t="s">
        <v>22</v>
      </c>
      <c r="C19" t="s">
        <v>123</v>
      </c>
      <c r="D19" t="s">
        <v>124</v>
      </c>
      <c r="E19" t="s">
        <v>88</v>
      </c>
      <c r="G19" s="4"/>
    </row>
    <row r="20" spans="2:7" x14ac:dyDescent="0.2">
      <c r="B20" s="3" t="s">
        <v>23</v>
      </c>
      <c r="C20" t="s">
        <v>117</v>
      </c>
      <c r="D20" s="20">
        <v>45143</v>
      </c>
      <c r="E20" t="s">
        <v>126</v>
      </c>
      <c r="F20" t="s">
        <v>24</v>
      </c>
      <c r="G20" s="4"/>
    </row>
    <row r="21" spans="2:7" x14ac:dyDescent="0.2">
      <c r="B21" s="3" t="s">
        <v>29</v>
      </c>
      <c r="C21" t="s">
        <v>20</v>
      </c>
      <c r="D21" t="s">
        <v>30</v>
      </c>
      <c r="G21" s="4"/>
    </row>
    <row r="22" spans="2:7" x14ac:dyDescent="0.2">
      <c r="B22" s="3" t="s">
        <v>87</v>
      </c>
      <c r="G22" s="4"/>
    </row>
    <row r="23" spans="2:7" x14ac:dyDescent="0.2">
      <c r="B23" s="5" t="s">
        <v>114</v>
      </c>
      <c r="C23" s="6" t="s">
        <v>15</v>
      </c>
      <c r="D23" s="6" t="s">
        <v>115</v>
      </c>
      <c r="E23" s="6"/>
      <c r="F23" s="6"/>
      <c r="G23" s="7"/>
    </row>
    <row r="26" spans="2:7" x14ac:dyDescent="0.2">
      <c r="B26" s="25" t="s">
        <v>127</v>
      </c>
    </row>
    <row r="27" spans="2:7" x14ac:dyDescent="0.2">
      <c r="B27" s="25" t="s">
        <v>128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CEB2B-BE50-4D86-B93D-DDDB8C03F4F9}">
  <dimension ref="A1:BY62"/>
  <sheetViews>
    <sheetView tabSelected="1" zoomScale="190" zoomScaleNormal="190" workbookViewId="0">
      <pane xSplit="2" ySplit="2" topLeftCell="M13" activePane="bottomRight" state="frozen"/>
      <selection pane="topRight" activeCell="C1" sqref="C1"/>
      <selection pane="bottomLeft" activeCell="A3" sqref="A3"/>
      <selection pane="bottomRight" activeCell="O32" sqref="O32"/>
    </sheetView>
  </sheetViews>
  <sheetFormatPr defaultRowHeight="12.75" x14ac:dyDescent="0.2"/>
  <cols>
    <col min="1" max="1" width="5" bestFit="1" customWidth="1"/>
    <col min="2" max="2" width="14.42578125" customWidth="1"/>
    <col min="3" max="17" width="9.140625" style="2"/>
    <col min="53" max="53" width="9" customWidth="1"/>
  </cols>
  <sheetData>
    <row r="1" spans="1:77" x14ac:dyDescent="0.2">
      <c r="A1" s="11" t="s">
        <v>34</v>
      </c>
    </row>
    <row r="2" spans="1:77" x14ac:dyDescent="0.2">
      <c r="C2" s="2" t="s">
        <v>36</v>
      </c>
      <c r="D2" s="2" t="s">
        <v>37</v>
      </c>
      <c r="E2" s="2" t="s">
        <v>38</v>
      </c>
      <c r="F2" s="2" t="s">
        <v>39</v>
      </c>
      <c r="G2" s="2" t="s">
        <v>40</v>
      </c>
      <c r="H2" s="2" t="s">
        <v>41</v>
      </c>
      <c r="I2" s="2" t="s">
        <v>42</v>
      </c>
      <c r="J2" s="2" t="s">
        <v>43</v>
      </c>
      <c r="K2" s="2" t="s">
        <v>44</v>
      </c>
      <c r="L2" s="2" t="s">
        <v>7</v>
      </c>
      <c r="M2" s="2" t="s">
        <v>45</v>
      </c>
      <c r="N2" s="2" t="s">
        <v>46</v>
      </c>
      <c r="O2" s="2" t="s">
        <v>83</v>
      </c>
      <c r="P2" s="2" t="s">
        <v>84</v>
      </c>
      <c r="Q2" s="2" t="s">
        <v>85</v>
      </c>
      <c r="R2" s="2" t="s">
        <v>86</v>
      </c>
      <c r="T2">
        <v>2010</v>
      </c>
      <c r="U2">
        <f>+T2+1</f>
        <v>2011</v>
      </c>
      <c r="V2">
        <f t="shared" ref="V2:BY2" si="0">+U2+1</f>
        <v>2012</v>
      </c>
      <c r="W2">
        <f t="shared" si="0"/>
        <v>2013</v>
      </c>
      <c r="X2">
        <f t="shared" si="0"/>
        <v>2014</v>
      </c>
      <c r="Y2">
        <f t="shared" si="0"/>
        <v>2015</v>
      </c>
      <c r="Z2">
        <f t="shared" si="0"/>
        <v>2016</v>
      </c>
      <c r="AA2">
        <f t="shared" si="0"/>
        <v>2017</v>
      </c>
      <c r="AB2">
        <f t="shared" si="0"/>
        <v>2018</v>
      </c>
      <c r="AC2">
        <f t="shared" si="0"/>
        <v>2019</v>
      </c>
      <c r="AD2">
        <f t="shared" si="0"/>
        <v>2020</v>
      </c>
      <c r="AE2">
        <f t="shared" si="0"/>
        <v>2021</v>
      </c>
      <c r="AF2">
        <f t="shared" si="0"/>
        <v>2022</v>
      </c>
      <c r="AG2">
        <f t="shared" si="0"/>
        <v>2023</v>
      </c>
      <c r="AH2">
        <f t="shared" si="0"/>
        <v>2024</v>
      </c>
      <c r="AI2">
        <f t="shared" si="0"/>
        <v>2025</v>
      </c>
      <c r="AJ2">
        <f t="shared" si="0"/>
        <v>2026</v>
      </c>
      <c r="AK2">
        <f t="shared" si="0"/>
        <v>2027</v>
      </c>
      <c r="AL2">
        <f t="shared" si="0"/>
        <v>2028</v>
      </c>
      <c r="AM2">
        <f t="shared" si="0"/>
        <v>2029</v>
      </c>
      <c r="AN2">
        <f t="shared" si="0"/>
        <v>2030</v>
      </c>
      <c r="AO2">
        <f t="shared" si="0"/>
        <v>2031</v>
      </c>
      <c r="AP2">
        <f t="shared" si="0"/>
        <v>2032</v>
      </c>
      <c r="AQ2">
        <f t="shared" si="0"/>
        <v>2033</v>
      </c>
      <c r="AR2">
        <f t="shared" si="0"/>
        <v>2034</v>
      </c>
      <c r="AS2">
        <f t="shared" si="0"/>
        <v>2035</v>
      </c>
      <c r="AT2">
        <f t="shared" si="0"/>
        <v>2036</v>
      </c>
      <c r="AU2">
        <f t="shared" si="0"/>
        <v>2037</v>
      </c>
      <c r="AV2">
        <f t="shared" si="0"/>
        <v>2038</v>
      </c>
      <c r="AW2">
        <f t="shared" si="0"/>
        <v>2039</v>
      </c>
      <c r="AX2">
        <f t="shared" si="0"/>
        <v>2040</v>
      </c>
      <c r="AY2">
        <f t="shared" si="0"/>
        <v>2041</v>
      </c>
      <c r="AZ2">
        <f t="shared" si="0"/>
        <v>2042</v>
      </c>
      <c r="BA2">
        <f t="shared" si="0"/>
        <v>2043</v>
      </c>
      <c r="BB2">
        <f t="shared" si="0"/>
        <v>2044</v>
      </c>
      <c r="BC2">
        <f t="shared" si="0"/>
        <v>2045</v>
      </c>
      <c r="BD2">
        <f t="shared" si="0"/>
        <v>2046</v>
      </c>
      <c r="BE2">
        <f t="shared" si="0"/>
        <v>2047</v>
      </c>
      <c r="BF2">
        <f t="shared" si="0"/>
        <v>2048</v>
      </c>
      <c r="BG2">
        <f t="shared" si="0"/>
        <v>2049</v>
      </c>
      <c r="BH2">
        <f t="shared" si="0"/>
        <v>2050</v>
      </c>
      <c r="BI2">
        <f t="shared" si="0"/>
        <v>2051</v>
      </c>
      <c r="BJ2">
        <f t="shared" si="0"/>
        <v>2052</v>
      </c>
      <c r="BK2">
        <f t="shared" si="0"/>
        <v>2053</v>
      </c>
      <c r="BL2">
        <f t="shared" si="0"/>
        <v>2054</v>
      </c>
      <c r="BM2">
        <f t="shared" si="0"/>
        <v>2055</v>
      </c>
      <c r="BN2">
        <f t="shared" si="0"/>
        <v>2056</v>
      </c>
      <c r="BO2">
        <f t="shared" si="0"/>
        <v>2057</v>
      </c>
      <c r="BP2">
        <f t="shared" si="0"/>
        <v>2058</v>
      </c>
      <c r="BQ2">
        <f t="shared" si="0"/>
        <v>2059</v>
      </c>
      <c r="BR2">
        <f t="shared" si="0"/>
        <v>2060</v>
      </c>
      <c r="BS2">
        <f t="shared" si="0"/>
        <v>2061</v>
      </c>
      <c r="BT2">
        <f t="shared" si="0"/>
        <v>2062</v>
      </c>
      <c r="BU2">
        <f t="shared" si="0"/>
        <v>2063</v>
      </c>
      <c r="BV2">
        <f t="shared" si="0"/>
        <v>2064</v>
      </c>
      <c r="BW2">
        <f t="shared" si="0"/>
        <v>2065</v>
      </c>
      <c r="BX2">
        <f t="shared" si="0"/>
        <v>2066</v>
      </c>
      <c r="BY2">
        <f t="shared" si="0"/>
        <v>2067</v>
      </c>
    </row>
    <row r="3" spans="1:77" s="1" customFormat="1" x14ac:dyDescent="0.2">
      <c r="B3" s="1" t="s">
        <v>9</v>
      </c>
      <c r="C3" s="12"/>
      <c r="D3" s="12"/>
      <c r="E3" s="12">
        <v>953.1</v>
      </c>
      <c r="F3" s="12">
        <v>607.9</v>
      </c>
      <c r="G3" s="12">
        <v>479.3</v>
      </c>
      <c r="H3" s="12">
        <v>487.6</v>
      </c>
      <c r="I3" s="12">
        <v>498.6</v>
      </c>
      <c r="J3" s="12">
        <v>486.5</v>
      </c>
      <c r="K3" s="12">
        <v>409.9</v>
      </c>
      <c r="L3" s="12">
        <v>397.9</v>
      </c>
      <c r="M3" s="12">
        <v>339</v>
      </c>
      <c r="N3" s="12">
        <v>297.10000000000002</v>
      </c>
      <c r="O3" s="12">
        <v>274.5</v>
      </c>
      <c r="P3" s="12">
        <f>+L3*0.7</f>
        <v>278.52999999999997</v>
      </c>
      <c r="Q3" s="12">
        <f>+M3*0.7</f>
        <v>237.29999999999998</v>
      </c>
      <c r="R3" s="12">
        <f>+N3*0.7</f>
        <v>207.97</v>
      </c>
      <c r="AC3" s="1">
        <f>3306.5+1126.2</f>
        <v>4432.7</v>
      </c>
      <c r="AD3" s="1">
        <f>2677.7+1163.4</f>
        <v>3841.1</v>
      </c>
      <c r="AE3" s="1">
        <f>SUM(G3:J3)</f>
        <v>1952</v>
      </c>
      <c r="AF3" s="1">
        <f>SUM(K3:N3)</f>
        <v>1443.9</v>
      </c>
      <c r="AG3" s="1">
        <f>+AF3*0.8</f>
        <v>1155.1200000000001</v>
      </c>
      <c r="AH3" s="1">
        <f t="shared" ref="AH3:AO3" si="1">+AG3*0.8</f>
        <v>924.09600000000012</v>
      </c>
      <c r="AI3" s="1">
        <f t="shared" si="1"/>
        <v>739.27680000000009</v>
      </c>
      <c r="AJ3" s="1">
        <f t="shared" si="1"/>
        <v>591.42144000000008</v>
      </c>
      <c r="AK3" s="1">
        <f t="shared" si="1"/>
        <v>473.13715200000007</v>
      </c>
      <c r="AL3" s="1">
        <f t="shared" si="1"/>
        <v>378.50972160000009</v>
      </c>
      <c r="AM3" s="1">
        <f t="shared" si="1"/>
        <v>302.8077772800001</v>
      </c>
      <c r="AN3" s="1">
        <f t="shared" si="1"/>
        <v>242.24622182400009</v>
      </c>
      <c r="AO3" s="1">
        <f t="shared" si="1"/>
        <v>193.79697745920009</v>
      </c>
      <c r="AP3" s="1">
        <f t="shared" ref="AP3" si="2">+AO3*0.8</f>
        <v>155.0375819673601</v>
      </c>
      <c r="AQ3" s="1">
        <f t="shared" ref="AQ3:AX3" si="3">+AP3*0.8</f>
        <v>124.03006557388808</v>
      </c>
      <c r="AR3" s="1">
        <f t="shared" si="3"/>
        <v>99.224052459110467</v>
      </c>
      <c r="AS3" s="1">
        <f t="shared" si="3"/>
        <v>79.37924196728838</v>
      </c>
      <c r="AT3" s="1">
        <f t="shared" si="3"/>
        <v>63.503393573830706</v>
      </c>
      <c r="AU3" s="1">
        <f t="shared" si="3"/>
        <v>50.802714859064565</v>
      </c>
      <c r="AV3" s="1">
        <f t="shared" si="3"/>
        <v>40.642171887251656</v>
      </c>
      <c r="AW3" s="1">
        <f t="shared" si="3"/>
        <v>32.513737509801324</v>
      </c>
      <c r="AX3" s="1">
        <f t="shared" si="3"/>
        <v>26.010990007841059</v>
      </c>
    </row>
    <row r="4" spans="1:77" s="1" customFormat="1" x14ac:dyDescent="0.2">
      <c r="B4" s="1" t="s">
        <v>47</v>
      </c>
      <c r="C4" s="12"/>
      <c r="D4" s="12"/>
      <c r="E4" s="12">
        <v>14.4</v>
      </c>
      <c r="F4" s="12">
        <v>38.9</v>
      </c>
      <c r="G4" s="12">
        <v>73.599999999999994</v>
      </c>
      <c r="H4" s="12">
        <v>90.9</v>
      </c>
      <c r="I4" s="12">
        <v>120.9</v>
      </c>
      <c r="J4" s="12">
        <v>124.9</v>
      </c>
      <c r="K4" s="12">
        <v>128</v>
      </c>
      <c r="L4" s="12">
        <v>136.80000000000001</v>
      </c>
      <c r="M4" s="12">
        <v>137.80000000000001</v>
      </c>
      <c r="N4" s="12">
        <v>150.80000000000001</v>
      </c>
      <c r="O4" s="12">
        <v>108.2</v>
      </c>
      <c r="P4" s="12">
        <f>+L4*0.7</f>
        <v>95.76</v>
      </c>
      <c r="Q4" s="12">
        <f>+M4*0.7</f>
        <v>96.460000000000008</v>
      </c>
      <c r="R4" s="12">
        <f>+N4*0.7</f>
        <v>105.56</v>
      </c>
      <c r="AC4" s="1">
        <v>5.5</v>
      </c>
      <c r="AD4" s="1">
        <v>64.3</v>
      </c>
      <c r="AE4" s="1">
        <f t="shared" ref="AE4:AE22" si="4">SUM(G4:J4)</f>
        <v>410.29999999999995</v>
      </c>
      <c r="AF4" s="1">
        <f t="shared" ref="AF4:AF22" si="5">SUM(K4:N4)</f>
        <v>553.40000000000009</v>
      </c>
      <c r="AG4" s="1">
        <f>+AF4*1.1</f>
        <v>608.74000000000012</v>
      </c>
      <c r="AH4" s="1">
        <f t="shared" ref="AH4:AI4" si="6">+AG4*1.1</f>
        <v>669.61400000000015</v>
      </c>
      <c r="AI4" s="1">
        <f t="shared" si="6"/>
        <v>736.57540000000017</v>
      </c>
      <c r="AJ4" s="1">
        <f>+AI4*1.03</f>
        <v>758.67266200000017</v>
      </c>
      <c r="AK4" s="1">
        <f t="shared" ref="AK4:AN4" si="7">+AJ4*1.03</f>
        <v>781.43284186000017</v>
      </c>
      <c r="AL4" s="1">
        <f t="shared" si="7"/>
        <v>804.87582711580023</v>
      </c>
      <c r="AM4" s="1">
        <f t="shared" si="7"/>
        <v>829.0221019292743</v>
      </c>
      <c r="AN4" s="1">
        <f t="shared" si="7"/>
        <v>853.89276498715253</v>
      </c>
      <c r="AO4" s="1">
        <f>+AN4*0.5</f>
        <v>426.94638249357627</v>
      </c>
      <c r="AP4" s="1">
        <f>+AO4*0.8</f>
        <v>341.55710599486105</v>
      </c>
      <c r="AQ4" s="1">
        <f t="shared" ref="AQ4:AX4" si="8">+AP4*0.8</f>
        <v>273.24568479588885</v>
      </c>
      <c r="AR4" s="1">
        <f t="shared" si="8"/>
        <v>218.5965478367111</v>
      </c>
      <c r="AS4" s="1">
        <f t="shared" si="8"/>
        <v>174.87723826936889</v>
      </c>
      <c r="AT4" s="1">
        <f t="shared" si="8"/>
        <v>139.90179061549512</v>
      </c>
      <c r="AU4" s="1">
        <f t="shared" si="8"/>
        <v>111.92143249239609</v>
      </c>
      <c r="AV4" s="1">
        <f t="shared" si="8"/>
        <v>89.53714599391688</v>
      </c>
      <c r="AW4" s="1">
        <f t="shared" si="8"/>
        <v>71.629716795133504</v>
      </c>
      <c r="AX4" s="1">
        <f t="shared" si="8"/>
        <v>57.303773436106809</v>
      </c>
    </row>
    <row r="5" spans="1:77" s="1" customFormat="1" x14ac:dyDescent="0.2">
      <c r="B5" s="1" t="s">
        <v>8</v>
      </c>
      <c r="C5" s="12"/>
      <c r="D5" s="12"/>
      <c r="E5" s="12">
        <v>380.5</v>
      </c>
      <c r="F5" s="12">
        <v>356.4</v>
      </c>
      <c r="G5" s="12">
        <v>311.10000000000002</v>
      </c>
      <c r="H5" s="12">
        <v>310.89999999999998</v>
      </c>
      <c r="I5" s="12">
        <v>301.3</v>
      </c>
      <c r="J5" s="12">
        <v>285.39999999999998</v>
      </c>
      <c r="K5" s="12">
        <v>229.6</v>
      </c>
      <c r="L5" s="12">
        <v>258.7</v>
      </c>
      <c r="M5" s="12">
        <v>255.1</v>
      </c>
      <c r="N5" s="12">
        <v>230.1</v>
      </c>
      <c r="O5" s="12">
        <v>172.4</v>
      </c>
      <c r="P5" s="12">
        <f>+L5*0.8</f>
        <v>206.96</v>
      </c>
      <c r="Q5" s="12">
        <f>+M5*0.8</f>
        <v>204.08</v>
      </c>
      <c r="R5" s="12">
        <f>+N5*0.8</f>
        <v>184.08</v>
      </c>
      <c r="AC5" s="1">
        <f>1202.1+463.8</f>
        <v>1665.8999999999999</v>
      </c>
      <c r="AD5" s="1">
        <f>1083.4+408.5</f>
        <v>1491.9</v>
      </c>
      <c r="AE5" s="1">
        <f t="shared" si="4"/>
        <v>1208.6999999999998</v>
      </c>
      <c r="AF5" s="1">
        <f t="shared" si="5"/>
        <v>973.5</v>
      </c>
      <c r="AG5" s="1">
        <f>+AF5*0.9</f>
        <v>876.15</v>
      </c>
      <c r="AH5" s="1">
        <f t="shared" ref="AH5:AX5" si="9">+AG5*0.9</f>
        <v>788.53499999999997</v>
      </c>
      <c r="AI5" s="1">
        <f t="shared" si="9"/>
        <v>709.68150000000003</v>
      </c>
      <c r="AJ5" s="1">
        <f t="shared" si="9"/>
        <v>638.71334999999999</v>
      </c>
      <c r="AK5" s="1">
        <f t="shared" si="9"/>
        <v>574.84201500000006</v>
      </c>
      <c r="AL5" s="1">
        <f t="shared" si="9"/>
        <v>517.35781350000002</v>
      </c>
      <c r="AM5" s="1">
        <f t="shared" si="9"/>
        <v>465.62203215000005</v>
      </c>
      <c r="AN5" s="1">
        <f t="shared" si="9"/>
        <v>419.05982893500004</v>
      </c>
      <c r="AO5" s="1">
        <f t="shared" si="9"/>
        <v>377.15384604150006</v>
      </c>
      <c r="AP5" s="1">
        <f t="shared" si="9"/>
        <v>339.43846143735004</v>
      </c>
      <c r="AQ5" s="1">
        <f t="shared" si="9"/>
        <v>305.49461529361503</v>
      </c>
      <c r="AR5" s="1">
        <f t="shared" si="9"/>
        <v>274.94515376425352</v>
      </c>
      <c r="AS5" s="1">
        <f t="shared" si="9"/>
        <v>247.45063838782818</v>
      </c>
      <c r="AT5" s="1">
        <f t="shared" si="9"/>
        <v>222.70557454904537</v>
      </c>
      <c r="AU5" s="1">
        <f t="shared" si="9"/>
        <v>200.43501709414085</v>
      </c>
      <c r="AV5" s="1">
        <f t="shared" si="9"/>
        <v>180.39151538472677</v>
      </c>
      <c r="AW5" s="1">
        <f t="shared" si="9"/>
        <v>162.35236384625409</v>
      </c>
      <c r="AX5" s="1">
        <f t="shared" si="9"/>
        <v>146.11712746162868</v>
      </c>
    </row>
    <row r="6" spans="1:77" s="1" customFormat="1" x14ac:dyDescent="0.2">
      <c r="B6" s="1" t="s">
        <v>48</v>
      </c>
      <c r="C6" s="12"/>
      <c r="D6" s="12"/>
      <c r="E6" s="12">
        <v>93.6</v>
      </c>
      <c r="F6" s="12">
        <v>99.6</v>
      </c>
      <c r="G6" s="12">
        <v>89.4</v>
      </c>
      <c r="H6" s="12">
        <v>89.5</v>
      </c>
      <c r="I6" s="12">
        <v>86.2</v>
      </c>
      <c r="J6" s="12">
        <v>92.3</v>
      </c>
      <c r="K6" s="12">
        <v>80</v>
      </c>
      <c r="L6" s="12">
        <v>91.5</v>
      </c>
      <c r="M6" s="12">
        <v>80.900000000000006</v>
      </c>
      <c r="N6" s="12">
        <v>79.5</v>
      </c>
      <c r="O6" s="12">
        <v>73.2</v>
      </c>
      <c r="P6" s="12">
        <f>+L6*0.9</f>
        <v>82.350000000000009</v>
      </c>
      <c r="Q6" s="12">
        <f>+M6*0.9</f>
        <v>72.81</v>
      </c>
      <c r="R6" s="12">
        <f>+N6*0.9</f>
        <v>71.55</v>
      </c>
      <c r="AC6" s="1">
        <f>224.5+211.4</f>
        <v>435.9</v>
      </c>
      <c r="AD6" s="1">
        <f>190.1+195.5</f>
        <v>385.6</v>
      </c>
      <c r="AE6" s="1">
        <f t="shared" si="4"/>
        <v>357.40000000000003</v>
      </c>
      <c r="AF6" s="1">
        <f t="shared" si="5"/>
        <v>331.9</v>
      </c>
      <c r="AG6" s="1">
        <f>+AF6*0.95</f>
        <v>315.30499999999995</v>
      </c>
      <c r="AH6" s="1">
        <f t="shared" ref="AH6:AX6" si="10">+AG6*0.95</f>
        <v>299.53974999999991</v>
      </c>
      <c r="AI6" s="1">
        <f t="shared" si="10"/>
        <v>284.56276249999991</v>
      </c>
      <c r="AJ6" s="1">
        <f t="shared" si="10"/>
        <v>270.33462437499992</v>
      </c>
      <c r="AK6" s="1">
        <f t="shared" si="10"/>
        <v>256.81789315624991</v>
      </c>
      <c r="AL6" s="1">
        <f t="shared" si="10"/>
        <v>243.97699849843741</v>
      </c>
      <c r="AM6" s="1">
        <f t="shared" si="10"/>
        <v>231.77814857351552</v>
      </c>
      <c r="AN6" s="1">
        <f t="shared" si="10"/>
        <v>220.18924114483974</v>
      </c>
      <c r="AO6" s="1">
        <f t="shared" si="10"/>
        <v>209.17977908759775</v>
      </c>
      <c r="AP6" s="1">
        <f t="shared" si="10"/>
        <v>198.72079013321786</v>
      </c>
      <c r="AQ6" s="1">
        <f t="shared" si="10"/>
        <v>188.78475062655696</v>
      </c>
      <c r="AR6" s="1">
        <f t="shared" si="10"/>
        <v>179.34551309522911</v>
      </c>
      <c r="AS6" s="1">
        <f t="shared" si="10"/>
        <v>170.37823744046764</v>
      </c>
      <c r="AT6" s="1">
        <f t="shared" si="10"/>
        <v>161.85932556844426</v>
      </c>
      <c r="AU6" s="1">
        <f t="shared" si="10"/>
        <v>153.76635929002205</v>
      </c>
      <c r="AV6" s="1">
        <f t="shared" si="10"/>
        <v>146.07804132552096</v>
      </c>
      <c r="AW6" s="1">
        <f t="shared" si="10"/>
        <v>138.77413925924489</v>
      </c>
      <c r="AX6" s="1">
        <f t="shared" si="10"/>
        <v>131.83543229628265</v>
      </c>
    </row>
    <row r="7" spans="1:77" s="1" customFormat="1" x14ac:dyDescent="0.2">
      <c r="B7" s="1" t="s">
        <v>49</v>
      </c>
      <c r="C7" s="12"/>
      <c r="D7" s="12"/>
      <c r="E7" s="12">
        <v>516.5</v>
      </c>
      <c r="F7" s="12">
        <v>475.2</v>
      </c>
      <c r="G7" s="12">
        <v>503.3</v>
      </c>
      <c r="H7" s="12">
        <v>524.20000000000005</v>
      </c>
      <c r="I7" s="12">
        <v>522.79999999999995</v>
      </c>
      <c r="J7" s="12">
        <v>512.70000000000005</v>
      </c>
      <c r="K7" s="12">
        <v>520.79999999999995</v>
      </c>
      <c r="L7" s="12">
        <v>516.20000000000005</v>
      </c>
      <c r="M7" s="12">
        <v>505.5</v>
      </c>
      <c r="N7" s="12">
        <v>488.4</v>
      </c>
      <c r="O7" s="12">
        <v>472.8</v>
      </c>
      <c r="P7" s="12">
        <f>+L7*0.9</f>
        <v>464.58000000000004</v>
      </c>
      <c r="Q7" s="12">
        <f>+M7*0.9</f>
        <v>454.95</v>
      </c>
      <c r="R7" s="12">
        <f>+N7*0.9</f>
        <v>439.56</v>
      </c>
      <c r="AC7" s="1">
        <v>1892.2</v>
      </c>
      <c r="AD7" s="1">
        <v>1946.1</v>
      </c>
      <c r="AE7" s="1">
        <f t="shared" si="4"/>
        <v>2063</v>
      </c>
      <c r="AF7" s="1">
        <f t="shared" si="5"/>
        <v>2030.9</v>
      </c>
      <c r="AG7" s="1">
        <f>+AF7*1.01</f>
        <v>2051.2090000000003</v>
      </c>
      <c r="AH7" s="1">
        <f t="shared" ref="AH7" si="11">+AG7*1.01</f>
        <v>2071.7210900000005</v>
      </c>
      <c r="AI7" s="1">
        <f>+AH7*0.85</f>
        <v>1760.9629265000003</v>
      </c>
      <c r="AJ7" s="1">
        <f t="shared" ref="AJ7:AX7" si="12">+AI7*0.85</f>
        <v>1496.8184875250001</v>
      </c>
      <c r="AK7" s="1">
        <f t="shared" si="12"/>
        <v>1272.2957143962501</v>
      </c>
      <c r="AL7" s="1">
        <f t="shared" si="12"/>
        <v>1081.4513572368126</v>
      </c>
      <c r="AM7" s="1">
        <f t="shared" si="12"/>
        <v>919.23365365129064</v>
      </c>
      <c r="AN7" s="1">
        <f t="shared" si="12"/>
        <v>781.34860560359698</v>
      </c>
      <c r="AO7" s="1">
        <f t="shared" si="12"/>
        <v>664.14631476305738</v>
      </c>
      <c r="AP7" s="1">
        <f t="shared" si="12"/>
        <v>564.52436754859878</v>
      </c>
      <c r="AQ7" s="1">
        <f t="shared" si="12"/>
        <v>479.84571241630897</v>
      </c>
      <c r="AR7" s="1">
        <f t="shared" si="12"/>
        <v>407.8688555538626</v>
      </c>
      <c r="AS7" s="1">
        <f t="shared" si="12"/>
        <v>346.68852722078321</v>
      </c>
      <c r="AT7" s="1">
        <f t="shared" si="12"/>
        <v>294.68524813766572</v>
      </c>
      <c r="AU7" s="1">
        <f t="shared" si="12"/>
        <v>250.48246091701586</v>
      </c>
      <c r="AV7" s="1">
        <f t="shared" si="12"/>
        <v>212.91009177946347</v>
      </c>
      <c r="AW7" s="1">
        <f t="shared" si="12"/>
        <v>180.97357801254395</v>
      </c>
      <c r="AX7" s="1">
        <f t="shared" si="12"/>
        <v>153.82754131066235</v>
      </c>
    </row>
    <row r="8" spans="1:77" s="1" customFormat="1" x14ac:dyDescent="0.2">
      <c r="B8" s="1" t="s">
        <v>50</v>
      </c>
      <c r="C8" s="12"/>
      <c r="D8" s="12"/>
      <c r="E8" s="12">
        <v>26.8</v>
      </c>
      <c r="F8" s="12">
        <v>25.1</v>
      </c>
      <c r="G8" s="12">
        <v>26.6</v>
      </c>
      <c r="H8" s="12">
        <v>26.1</v>
      </c>
      <c r="I8" s="12">
        <v>26.2</v>
      </c>
      <c r="J8" s="12">
        <v>26.7</v>
      </c>
      <c r="K8" s="12">
        <v>26.2</v>
      </c>
      <c r="L8" s="12">
        <v>25.5</v>
      </c>
      <c r="M8" s="12">
        <v>22</v>
      </c>
      <c r="N8" s="12">
        <v>22.9</v>
      </c>
      <c r="O8" s="12">
        <v>24.1</v>
      </c>
      <c r="P8" s="12">
        <f>+O8</f>
        <v>24.1</v>
      </c>
      <c r="Q8" s="12">
        <f>+P8</f>
        <v>24.1</v>
      </c>
      <c r="R8" s="12">
        <f>+Q8</f>
        <v>24.1</v>
      </c>
      <c r="AC8" s="1">
        <v>97.1</v>
      </c>
      <c r="AD8" s="1">
        <v>103.1</v>
      </c>
      <c r="AE8" s="1">
        <f t="shared" si="4"/>
        <v>105.60000000000001</v>
      </c>
      <c r="AF8" s="1">
        <f t="shared" si="5"/>
        <v>96.6</v>
      </c>
      <c r="AG8" s="1">
        <f>+AF8*0.9</f>
        <v>86.94</v>
      </c>
      <c r="AH8" s="1">
        <f t="shared" ref="AH8:AX8" si="13">+AG8*0.9</f>
        <v>78.245999999999995</v>
      </c>
      <c r="AI8" s="1">
        <f t="shared" si="13"/>
        <v>70.421399999999991</v>
      </c>
      <c r="AJ8" s="1">
        <f t="shared" si="13"/>
        <v>63.379259999999995</v>
      </c>
      <c r="AK8" s="1">
        <f t="shared" si="13"/>
        <v>57.041333999999999</v>
      </c>
      <c r="AL8" s="1">
        <f t="shared" si="13"/>
        <v>51.337200600000003</v>
      </c>
      <c r="AM8" s="1">
        <f t="shared" si="13"/>
        <v>46.203480540000001</v>
      </c>
      <c r="AN8" s="1">
        <f t="shared" si="13"/>
        <v>41.583132486000004</v>
      </c>
      <c r="AO8" s="1">
        <f t="shared" si="13"/>
        <v>37.424819237400001</v>
      </c>
      <c r="AP8" s="1">
        <f t="shared" si="13"/>
        <v>33.68233731366</v>
      </c>
      <c r="AQ8" s="1">
        <f t="shared" si="13"/>
        <v>30.314103582293999</v>
      </c>
      <c r="AR8" s="1">
        <f t="shared" si="13"/>
        <v>27.282693224064598</v>
      </c>
      <c r="AS8" s="1">
        <f t="shared" si="13"/>
        <v>24.55442390165814</v>
      </c>
      <c r="AT8" s="1">
        <f t="shared" si="13"/>
        <v>22.098981511492326</v>
      </c>
      <c r="AU8" s="1">
        <f t="shared" si="13"/>
        <v>19.889083360343093</v>
      </c>
      <c r="AV8" s="1">
        <f t="shared" si="13"/>
        <v>17.900175024308783</v>
      </c>
      <c r="AW8" s="1">
        <f t="shared" si="13"/>
        <v>16.110157521877905</v>
      </c>
      <c r="AX8" s="1">
        <f t="shared" si="13"/>
        <v>14.499141769690116</v>
      </c>
    </row>
    <row r="9" spans="1:77" s="1" customFormat="1" x14ac:dyDescent="0.2">
      <c r="B9" s="1" t="s">
        <v>51</v>
      </c>
      <c r="C9" s="12"/>
      <c r="D9" s="12"/>
      <c r="E9" s="12">
        <v>494.4</v>
      </c>
      <c r="F9" s="12">
        <v>498</v>
      </c>
      <c r="G9" s="12">
        <v>520.5</v>
      </c>
      <c r="H9" s="12">
        <v>499.7</v>
      </c>
      <c r="I9" s="12">
        <v>444.1</v>
      </c>
      <c r="J9" s="12">
        <v>440.7</v>
      </c>
      <c r="K9" s="12">
        <v>472.5</v>
      </c>
      <c r="L9" s="12">
        <v>431</v>
      </c>
      <c r="M9" s="12">
        <v>431.1</v>
      </c>
      <c r="N9" s="12">
        <v>458.8</v>
      </c>
      <c r="O9" s="12">
        <v>443.3</v>
      </c>
      <c r="P9" s="12">
        <f>+L9</f>
        <v>431</v>
      </c>
      <c r="Q9" s="12">
        <f>+M9</f>
        <v>431.1</v>
      </c>
      <c r="R9" s="12">
        <f>+N9</f>
        <v>458.8</v>
      </c>
      <c r="AC9" s="1">
        <v>2097</v>
      </c>
      <c r="AD9" s="1">
        <v>2052.1</v>
      </c>
      <c r="AE9" s="1">
        <f t="shared" si="4"/>
        <v>1905.0000000000002</v>
      </c>
      <c r="AF9" s="1">
        <f t="shared" si="5"/>
        <v>1793.3999999999999</v>
      </c>
      <c r="AG9" s="1">
        <f t="shared" ref="AG9:AX9" si="14">+AF9*0.9</f>
        <v>1614.06</v>
      </c>
      <c r="AH9" s="1">
        <f t="shared" si="14"/>
        <v>1452.654</v>
      </c>
      <c r="AI9" s="1">
        <f t="shared" si="14"/>
        <v>1307.3886</v>
      </c>
      <c r="AJ9" s="1">
        <f t="shared" si="14"/>
        <v>1176.6497400000001</v>
      </c>
      <c r="AK9" s="1">
        <f t="shared" si="14"/>
        <v>1058.984766</v>
      </c>
      <c r="AL9" s="1">
        <f t="shared" si="14"/>
        <v>953.08628940000006</v>
      </c>
      <c r="AM9" s="1">
        <f t="shared" si="14"/>
        <v>857.77766046000011</v>
      </c>
      <c r="AN9" s="1">
        <f t="shared" si="14"/>
        <v>771.9998944140001</v>
      </c>
      <c r="AO9" s="1">
        <f t="shared" si="14"/>
        <v>694.79990497260007</v>
      </c>
      <c r="AP9" s="1">
        <f t="shared" si="14"/>
        <v>625.31991447534006</v>
      </c>
      <c r="AQ9" s="1">
        <f t="shared" si="14"/>
        <v>562.78792302780607</v>
      </c>
      <c r="AR9" s="1">
        <f t="shared" si="14"/>
        <v>506.5091307250255</v>
      </c>
      <c r="AS9" s="1">
        <f t="shared" si="14"/>
        <v>455.85821765252297</v>
      </c>
      <c r="AT9" s="1">
        <f t="shared" si="14"/>
        <v>410.2723958872707</v>
      </c>
      <c r="AU9" s="1">
        <f t="shared" si="14"/>
        <v>369.24515629854363</v>
      </c>
      <c r="AV9" s="1">
        <f t="shared" si="14"/>
        <v>332.32064066868929</v>
      </c>
      <c r="AW9" s="1">
        <f t="shared" si="14"/>
        <v>299.08857660182036</v>
      </c>
      <c r="AX9" s="1">
        <f t="shared" si="14"/>
        <v>269.17971894163833</v>
      </c>
    </row>
    <row r="10" spans="1:77" s="1" customFormat="1" x14ac:dyDescent="0.2">
      <c r="B10" s="1" t="s">
        <v>52</v>
      </c>
      <c r="C10" s="12"/>
      <c r="D10" s="12"/>
      <c r="E10" s="12">
        <v>124.2</v>
      </c>
      <c r="F10" s="12">
        <v>117.6</v>
      </c>
      <c r="G10" s="12">
        <v>121.7</v>
      </c>
      <c r="H10" s="12">
        <v>121.5</v>
      </c>
      <c r="I10" s="12">
        <v>120.8</v>
      </c>
      <c r="J10" s="12">
        <v>134.4</v>
      </c>
      <c r="K10" s="12">
        <v>114.7</v>
      </c>
      <c r="L10" s="12">
        <v>115.8</v>
      </c>
      <c r="M10" s="12">
        <v>110.2</v>
      </c>
      <c r="N10" s="12">
        <v>100.3</v>
      </c>
      <c r="O10" s="12">
        <v>109</v>
      </c>
      <c r="P10" s="12">
        <f>+L10*0.9</f>
        <v>104.22</v>
      </c>
      <c r="Q10" s="12">
        <f>+M10*0.9</f>
        <v>99.18</v>
      </c>
      <c r="R10" s="12">
        <f>+N10*0.9</f>
        <v>90.27</v>
      </c>
      <c r="AC10" s="1">
        <v>486.2</v>
      </c>
      <c r="AD10" s="1">
        <v>481.6</v>
      </c>
      <c r="AE10" s="1">
        <f t="shared" si="4"/>
        <v>498.4</v>
      </c>
      <c r="AF10" s="1">
        <f t="shared" si="5"/>
        <v>441</v>
      </c>
      <c r="AG10" s="1">
        <f t="shared" ref="AG10:AX10" si="15">+AF10*0.9</f>
        <v>396.90000000000003</v>
      </c>
      <c r="AH10" s="1">
        <f t="shared" si="15"/>
        <v>357.21000000000004</v>
      </c>
      <c r="AI10" s="1">
        <f t="shared" si="15"/>
        <v>321.48900000000003</v>
      </c>
      <c r="AJ10" s="1">
        <f t="shared" si="15"/>
        <v>289.34010000000006</v>
      </c>
      <c r="AK10" s="1">
        <f t="shared" si="15"/>
        <v>260.40609000000006</v>
      </c>
      <c r="AL10" s="1">
        <f t="shared" si="15"/>
        <v>234.36548100000007</v>
      </c>
      <c r="AM10" s="1">
        <f t="shared" si="15"/>
        <v>210.92893290000006</v>
      </c>
      <c r="AN10" s="1">
        <f t="shared" si="15"/>
        <v>189.83603961000006</v>
      </c>
      <c r="AO10" s="1">
        <f t="shared" si="15"/>
        <v>170.85243564900006</v>
      </c>
      <c r="AP10" s="1">
        <f t="shared" si="15"/>
        <v>153.76719208410006</v>
      </c>
      <c r="AQ10" s="1">
        <f t="shared" si="15"/>
        <v>138.39047287569005</v>
      </c>
      <c r="AR10" s="1">
        <f t="shared" si="15"/>
        <v>124.55142558812105</v>
      </c>
      <c r="AS10" s="1">
        <f t="shared" si="15"/>
        <v>112.09628302930895</v>
      </c>
      <c r="AT10" s="1">
        <f t="shared" si="15"/>
        <v>100.88665472637805</v>
      </c>
      <c r="AU10" s="1">
        <f t="shared" si="15"/>
        <v>90.797989253740255</v>
      </c>
      <c r="AV10" s="1">
        <f t="shared" si="15"/>
        <v>81.718190328366234</v>
      </c>
      <c r="AW10" s="1">
        <f t="shared" si="15"/>
        <v>73.54637129552961</v>
      </c>
      <c r="AX10" s="1">
        <f t="shared" si="15"/>
        <v>66.191734165976655</v>
      </c>
    </row>
    <row r="11" spans="1:77" s="1" customFormat="1" x14ac:dyDescent="0.2">
      <c r="B11" s="1" t="s">
        <v>53</v>
      </c>
      <c r="C11" s="12"/>
      <c r="D11" s="12"/>
      <c r="E11" s="12">
        <v>56.2</v>
      </c>
      <c r="F11" s="12">
        <v>53.7</v>
      </c>
      <c r="G11" s="12">
        <v>57.9</v>
      </c>
      <c r="H11" s="12">
        <v>55.6</v>
      </c>
      <c r="I11" s="12">
        <v>57.4</v>
      </c>
      <c r="J11" s="12">
        <v>62.5</v>
      </c>
      <c r="K11" s="12">
        <v>57.1</v>
      </c>
      <c r="L11" s="12">
        <v>57.6</v>
      </c>
      <c r="M11" s="12">
        <v>57.7</v>
      </c>
      <c r="N11" s="12">
        <v>52.1</v>
      </c>
      <c r="O11" s="12">
        <v>54.4</v>
      </c>
      <c r="P11" s="12">
        <f t="shared" ref="P11:P12" si="16">+L11*0.9</f>
        <v>51.84</v>
      </c>
      <c r="Q11" s="12">
        <f t="shared" ref="Q11:Q12" si="17">+M11*0.9</f>
        <v>51.930000000000007</v>
      </c>
      <c r="R11" s="12">
        <f t="shared" ref="R11:R12" si="18">+N11*0.9</f>
        <v>46.89</v>
      </c>
      <c r="AC11" s="1">
        <v>184</v>
      </c>
      <c r="AD11" s="1">
        <v>216.3</v>
      </c>
      <c r="AE11" s="1">
        <f t="shared" si="4"/>
        <v>233.4</v>
      </c>
      <c r="AF11" s="1">
        <f t="shared" si="5"/>
        <v>224.5</v>
      </c>
      <c r="AG11" s="1">
        <f t="shared" ref="AG11:AX11" si="19">+AF11*0.9</f>
        <v>202.05</v>
      </c>
      <c r="AH11" s="1">
        <f t="shared" si="19"/>
        <v>181.84500000000003</v>
      </c>
      <c r="AI11" s="1">
        <f t="shared" si="19"/>
        <v>163.66050000000004</v>
      </c>
      <c r="AJ11" s="1">
        <f t="shared" si="19"/>
        <v>147.29445000000004</v>
      </c>
      <c r="AK11" s="1">
        <f t="shared" si="19"/>
        <v>132.56500500000004</v>
      </c>
      <c r="AL11" s="1">
        <f t="shared" si="19"/>
        <v>119.30850450000004</v>
      </c>
      <c r="AM11" s="1">
        <f t="shared" si="19"/>
        <v>107.37765405000003</v>
      </c>
      <c r="AN11" s="1">
        <f t="shared" si="19"/>
        <v>96.639888645000028</v>
      </c>
      <c r="AO11" s="1">
        <f t="shared" si="19"/>
        <v>86.975899780500029</v>
      </c>
      <c r="AP11" s="1">
        <f t="shared" si="19"/>
        <v>78.278309802450025</v>
      </c>
      <c r="AQ11" s="1">
        <f t="shared" si="19"/>
        <v>70.450478822205028</v>
      </c>
      <c r="AR11" s="1">
        <f t="shared" si="19"/>
        <v>63.405430939984527</v>
      </c>
      <c r="AS11" s="1">
        <f t="shared" si="19"/>
        <v>57.064887845986078</v>
      </c>
      <c r="AT11" s="1">
        <f t="shared" si="19"/>
        <v>51.358399061387473</v>
      </c>
      <c r="AU11" s="1">
        <f t="shared" si="19"/>
        <v>46.222559155248724</v>
      </c>
      <c r="AV11" s="1">
        <f t="shared" si="19"/>
        <v>41.60030323972385</v>
      </c>
      <c r="AW11" s="1">
        <f t="shared" si="19"/>
        <v>37.440272915751464</v>
      </c>
      <c r="AX11" s="1">
        <f t="shared" si="19"/>
        <v>33.696245624176321</v>
      </c>
    </row>
    <row r="12" spans="1:77" s="1" customFormat="1" x14ac:dyDescent="0.2">
      <c r="B12" s="1" t="s">
        <v>54</v>
      </c>
      <c r="C12" s="12"/>
      <c r="D12" s="12"/>
      <c r="E12" s="12">
        <v>27.5</v>
      </c>
      <c r="F12" s="12">
        <v>26.1</v>
      </c>
      <c r="G12" s="12">
        <v>25.5</v>
      </c>
      <c r="H12" s="12">
        <v>25.3</v>
      </c>
      <c r="I12" s="12">
        <v>24.6</v>
      </c>
      <c r="J12" s="12">
        <v>24</v>
      </c>
      <c r="K12" s="12">
        <v>22.5</v>
      </c>
      <c r="L12" s="12">
        <v>20.5</v>
      </c>
      <c r="M12" s="12">
        <v>19</v>
      </c>
      <c r="N12" s="12">
        <v>19.3</v>
      </c>
      <c r="O12" s="12">
        <v>20.399999999999999</v>
      </c>
      <c r="P12" s="12">
        <f t="shared" si="16"/>
        <v>18.45</v>
      </c>
      <c r="Q12" s="12">
        <f t="shared" si="17"/>
        <v>17.100000000000001</v>
      </c>
      <c r="R12" s="12">
        <f t="shared" si="18"/>
        <v>17.37</v>
      </c>
      <c r="AC12" s="1">
        <v>68.099999999999994</v>
      </c>
      <c r="AD12" s="1">
        <v>97.9</v>
      </c>
      <c r="AE12" s="1">
        <f t="shared" si="4"/>
        <v>99.4</v>
      </c>
      <c r="AF12" s="1">
        <f t="shared" si="5"/>
        <v>81.3</v>
      </c>
      <c r="AG12" s="1">
        <f t="shared" ref="AG12:AX12" si="20">+AF12*0.9</f>
        <v>73.17</v>
      </c>
      <c r="AH12" s="1">
        <f t="shared" si="20"/>
        <v>65.853000000000009</v>
      </c>
      <c r="AI12" s="1">
        <f t="shared" si="20"/>
        <v>59.267700000000012</v>
      </c>
      <c r="AJ12" s="1">
        <f t="shared" si="20"/>
        <v>53.340930000000014</v>
      </c>
      <c r="AK12" s="1">
        <f t="shared" si="20"/>
        <v>48.006837000000012</v>
      </c>
      <c r="AL12" s="1">
        <f t="shared" si="20"/>
        <v>43.206153300000011</v>
      </c>
      <c r="AM12" s="1">
        <f t="shared" si="20"/>
        <v>38.885537970000009</v>
      </c>
      <c r="AN12" s="1">
        <f t="shared" si="20"/>
        <v>34.996984173000008</v>
      </c>
      <c r="AO12" s="1">
        <f t="shared" si="20"/>
        <v>31.497285755700009</v>
      </c>
      <c r="AP12" s="1">
        <f t="shared" si="20"/>
        <v>28.347557180130007</v>
      </c>
      <c r="AQ12" s="1">
        <f t="shared" si="20"/>
        <v>25.512801462117007</v>
      </c>
      <c r="AR12" s="1">
        <f t="shared" si="20"/>
        <v>22.961521315905308</v>
      </c>
      <c r="AS12" s="1">
        <f t="shared" si="20"/>
        <v>20.665369184314777</v>
      </c>
      <c r="AT12" s="1">
        <f t="shared" si="20"/>
        <v>18.598832265883299</v>
      </c>
      <c r="AU12" s="1">
        <f t="shared" si="20"/>
        <v>16.738949039294969</v>
      </c>
      <c r="AV12" s="1">
        <f t="shared" si="20"/>
        <v>15.065054135365472</v>
      </c>
      <c r="AW12" s="1">
        <f t="shared" si="20"/>
        <v>13.558548721828926</v>
      </c>
      <c r="AX12" s="1">
        <f t="shared" si="20"/>
        <v>12.202693849646034</v>
      </c>
    </row>
    <row r="13" spans="1:77" s="1" customFormat="1" x14ac:dyDescent="0.2">
      <c r="B13" s="1" t="s">
        <v>55</v>
      </c>
      <c r="C13" s="12"/>
      <c r="D13" s="12"/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0.5</v>
      </c>
      <c r="M13" s="12">
        <v>0.7</v>
      </c>
      <c r="N13" s="12">
        <v>3.1</v>
      </c>
      <c r="O13" s="12">
        <v>8.6</v>
      </c>
      <c r="P13" s="12">
        <f>+O13+4</f>
        <v>12.6</v>
      </c>
      <c r="Q13" s="12">
        <f>+P13+4</f>
        <v>16.600000000000001</v>
      </c>
      <c r="R13" s="12">
        <f>+Q13+4</f>
        <v>20.6</v>
      </c>
      <c r="AC13" s="1">
        <v>0</v>
      </c>
      <c r="AD13" s="1">
        <v>0</v>
      </c>
      <c r="AE13" s="1">
        <f t="shared" si="4"/>
        <v>0</v>
      </c>
      <c r="AF13" s="1">
        <f t="shared" si="5"/>
        <v>4.3</v>
      </c>
      <c r="AG13" s="1">
        <v>50</v>
      </c>
      <c r="AH13" s="1">
        <v>100</v>
      </c>
      <c r="AI13" s="1">
        <f t="shared" ref="AI13:AX13" si="21">+AH13*0.9</f>
        <v>90</v>
      </c>
      <c r="AJ13" s="1">
        <f t="shared" si="21"/>
        <v>81</v>
      </c>
      <c r="AK13" s="1">
        <f t="shared" si="21"/>
        <v>72.900000000000006</v>
      </c>
      <c r="AL13" s="1">
        <f t="shared" si="21"/>
        <v>65.610000000000014</v>
      </c>
      <c r="AM13" s="1">
        <f t="shared" si="21"/>
        <v>59.049000000000014</v>
      </c>
      <c r="AN13" s="1">
        <f t="shared" si="21"/>
        <v>53.144100000000016</v>
      </c>
      <c r="AO13" s="1">
        <f t="shared" si="21"/>
        <v>47.829690000000014</v>
      </c>
      <c r="AP13" s="1">
        <f t="shared" si="21"/>
        <v>43.046721000000012</v>
      </c>
      <c r="AQ13" s="1">
        <f t="shared" si="21"/>
        <v>38.742048900000015</v>
      </c>
      <c r="AR13" s="1">
        <f t="shared" si="21"/>
        <v>34.867844010000013</v>
      </c>
      <c r="AS13" s="1">
        <f t="shared" si="21"/>
        <v>31.381059609000012</v>
      </c>
      <c r="AT13" s="1">
        <f t="shared" si="21"/>
        <v>28.242953648100013</v>
      </c>
      <c r="AU13" s="1">
        <f t="shared" si="21"/>
        <v>25.418658283290011</v>
      </c>
      <c r="AV13" s="1">
        <f t="shared" si="21"/>
        <v>22.876792454961009</v>
      </c>
      <c r="AW13" s="1">
        <f t="shared" si="21"/>
        <v>20.589113209464909</v>
      </c>
      <c r="AX13" s="1">
        <f t="shared" si="21"/>
        <v>18.53020188851842</v>
      </c>
    </row>
    <row r="14" spans="1:77" s="1" customFormat="1" x14ac:dyDescent="0.2">
      <c r="B14" s="1" t="s">
        <v>56</v>
      </c>
      <c r="C14" s="12"/>
      <c r="D14" s="12"/>
      <c r="E14" s="12">
        <v>3.1</v>
      </c>
      <c r="F14" s="12">
        <v>3.1</v>
      </c>
      <c r="G14" s="12">
        <v>2.8</v>
      </c>
      <c r="H14" s="12">
        <v>3.1</v>
      </c>
      <c r="I14" s="12">
        <v>2.5</v>
      </c>
      <c r="J14" s="12">
        <v>2.7</v>
      </c>
      <c r="K14" s="12">
        <v>2.2000000000000002</v>
      </c>
      <c r="L14" s="12">
        <v>2.7</v>
      </c>
      <c r="M14" s="12">
        <v>1.5</v>
      </c>
      <c r="N14" s="12">
        <v>1.8</v>
      </c>
      <c r="O14" s="12">
        <v>2.4</v>
      </c>
      <c r="P14" s="12">
        <f>+O14</f>
        <v>2.4</v>
      </c>
      <c r="Q14" s="12">
        <f>+P14</f>
        <v>2.4</v>
      </c>
      <c r="R14" s="1">
        <f>+Q14</f>
        <v>2.4</v>
      </c>
      <c r="AC14" s="1">
        <v>15.2</v>
      </c>
      <c r="AD14" s="1">
        <v>12.2</v>
      </c>
      <c r="AE14" s="1">
        <f t="shared" si="4"/>
        <v>11.100000000000001</v>
      </c>
      <c r="AF14" s="1">
        <f t="shared" si="5"/>
        <v>8.2000000000000011</v>
      </c>
      <c r="AG14" s="1">
        <f>+AF14*0.9</f>
        <v>7.3800000000000008</v>
      </c>
      <c r="AH14" s="1">
        <f t="shared" ref="AH14:AX14" si="22">+AG14*0.9</f>
        <v>6.6420000000000012</v>
      </c>
      <c r="AI14" s="1">
        <f t="shared" si="22"/>
        <v>5.9778000000000011</v>
      </c>
      <c r="AJ14" s="1">
        <f t="shared" si="22"/>
        <v>5.3800200000000009</v>
      </c>
      <c r="AK14" s="1">
        <f t="shared" si="22"/>
        <v>4.8420180000000013</v>
      </c>
      <c r="AL14" s="1">
        <f t="shared" si="22"/>
        <v>4.3578162000000011</v>
      </c>
      <c r="AM14" s="1">
        <f t="shared" si="22"/>
        <v>3.9220345800000009</v>
      </c>
      <c r="AN14" s="1">
        <f t="shared" si="22"/>
        <v>3.5298311220000009</v>
      </c>
      <c r="AO14" s="1">
        <f t="shared" si="22"/>
        <v>3.1768480098000009</v>
      </c>
      <c r="AP14" s="1">
        <f t="shared" si="22"/>
        <v>2.859163208820001</v>
      </c>
      <c r="AQ14" s="1">
        <f t="shared" si="22"/>
        <v>2.573246887938001</v>
      </c>
      <c r="AR14" s="1">
        <f t="shared" si="22"/>
        <v>2.3159221991442012</v>
      </c>
      <c r="AS14" s="1">
        <f t="shared" si="22"/>
        <v>2.0843299792297811</v>
      </c>
      <c r="AT14" s="1">
        <f t="shared" si="22"/>
        <v>1.8758969813068032</v>
      </c>
      <c r="AU14" s="1">
        <f t="shared" si="22"/>
        <v>1.6883072831761228</v>
      </c>
      <c r="AV14" s="1">
        <f t="shared" si="22"/>
        <v>1.5194765548585105</v>
      </c>
      <c r="AW14" s="1">
        <f t="shared" si="22"/>
        <v>1.3675288993726595</v>
      </c>
      <c r="AX14" s="1">
        <f t="shared" si="22"/>
        <v>1.2307760094353937</v>
      </c>
    </row>
    <row r="15" spans="1:77" s="1" customFormat="1" x14ac:dyDescent="0.2">
      <c r="B15" s="1" t="s">
        <v>122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>
        <v>5</v>
      </c>
      <c r="Q15" s="12">
        <v>20</v>
      </c>
      <c r="R15" s="1">
        <v>25</v>
      </c>
    </row>
    <row r="16" spans="1:77" s="1" customFormat="1" x14ac:dyDescent="0.2">
      <c r="B16" s="1" t="s">
        <v>118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>
        <v>-18.899999999999999</v>
      </c>
      <c r="P16" s="12">
        <v>30</v>
      </c>
      <c r="Q16" s="12">
        <v>300</v>
      </c>
      <c r="R16" s="1">
        <v>500</v>
      </c>
      <c r="AG16" s="1">
        <v>1500</v>
      </c>
      <c r="AH16" s="1">
        <v>4000</v>
      </c>
      <c r="AI16" s="1">
        <v>6000</v>
      </c>
      <c r="AJ16" s="1">
        <v>8000</v>
      </c>
      <c r="AK16" s="1">
        <f>+AJ16*1.05</f>
        <v>8400</v>
      </c>
      <c r="AL16" s="1">
        <f t="shared" ref="AL16:AM16" si="23">+AK16*1.05</f>
        <v>8820</v>
      </c>
      <c r="AM16" s="1">
        <f t="shared" si="23"/>
        <v>9261</v>
      </c>
      <c r="AN16" s="1">
        <f>+AM16*1.02</f>
        <v>9446.2199999999993</v>
      </c>
      <c r="AO16" s="1">
        <f t="shared" ref="AO16:AX16" si="24">+AN16*1.02</f>
        <v>9635.1443999999992</v>
      </c>
      <c r="AP16" s="1">
        <f t="shared" si="24"/>
        <v>9827.847287999999</v>
      </c>
      <c r="AQ16" s="1">
        <f t="shared" si="24"/>
        <v>10024.404233759999</v>
      </c>
      <c r="AR16" s="1">
        <f t="shared" si="24"/>
        <v>10224.892318435199</v>
      </c>
      <c r="AS16" s="1">
        <f t="shared" si="24"/>
        <v>10429.390164803903</v>
      </c>
      <c r="AT16" s="1">
        <f t="shared" si="24"/>
        <v>10637.977968099982</v>
      </c>
      <c r="AU16" s="1">
        <f t="shared" si="24"/>
        <v>10850.737527461981</v>
      </c>
      <c r="AV16" s="1">
        <f t="shared" si="24"/>
        <v>11067.752278011221</v>
      </c>
      <c r="AW16" s="1">
        <f t="shared" si="24"/>
        <v>11289.107323571447</v>
      </c>
      <c r="AX16" s="1">
        <f t="shared" si="24"/>
        <v>11514.889470042875</v>
      </c>
    </row>
    <row r="17" spans="2:50" s="1" customFormat="1" x14ac:dyDescent="0.2">
      <c r="B17" s="1" t="s">
        <v>57</v>
      </c>
      <c r="C17" s="12"/>
      <c r="D17" s="12"/>
      <c r="E17" s="12">
        <v>0</v>
      </c>
      <c r="F17" s="12">
        <v>0</v>
      </c>
      <c r="G17" s="12">
        <v>0</v>
      </c>
      <c r="H17" s="12">
        <v>1.6</v>
      </c>
      <c r="I17" s="12">
        <v>0.3</v>
      </c>
      <c r="J17" s="12">
        <v>1</v>
      </c>
      <c r="K17" s="12">
        <v>2.8</v>
      </c>
      <c r="L17" s="12">
        <v>0.1</v>
      </c>
      <c r="M17" s="12">
        <v>1.6</v>
      </c>
      <c r="N17" s="12">
        <v>0.3</v>
      </c>
      <c r="O17" s="12"/>
      <c r="P17" s="12"/>
      <c r="Q17" s="12"/>
      <c r="AC17" s="1">
        <v>0</v>
      </c>
      <c r="AD17" s="1">
        <v>0</v>
      </c>
      <c r="AE17" s="1">
        <f t="shared" si="4"/>
        <v>2.9000000000000004</v>
      </c>
      <c r="AF17" s="1">
        <f t="shared" si="5"/>
        <v>4.8</v>
      </c>
      <c r="AG17" s="1">
        <f t="shared" ref="AG17:AX17" si="25">+AF17*0.9</f>
        <v>4.32</v>
      </c>
      <c r="AH17" s="1">
        <f t="shared" si="25"/>
        <v>3.8880000000000003</v>
      </c>
      <c r="AI17" s="1">
        <f t="shared" si="25"/>
        <v>3.4992000000000005</v>
      </c>
      <c r="AJ17" s="1">
        <f t="shared" si="25"/>
        <v>3.1492800000000005</v>
      </c>
      <c r="AK17" s="1">
        <f t="shared" si="25"/>
        <v>2.8343520000000004</v>
      </c>
      <c r="AL17" s="1">
        <f t="shared" si="25"/>
        <v>2.5509168000000004</v>
      </c>
      <c r="AM17" s="1">
        <f t="shared" si="25"/>
        <v>2.2958251200000004</v>
      </c>
      <c r="AN17" s="1">
        <f t="shared" si="25"/>
        <v>2.0662426080000005</v>
      </c>
      <c r="AO17" s="1">
        <f t="shared" si="25"/>
        <v>1.8596183472000005</v>
      </c>
      <c r="AP17" s="1">
        <f t="shared" si="25"/>
        <v>1.6736565124800005</v>
      </c>
      <c r="AQ17" s="1">
        <f t="shared" si="25"/>
        <v>1.5062908612320005</v>
      </c>
      <c r="AR17" s="1">
        <f t="shared" si="25"/>
        <v>1.3556617751088005</v>
      </c>
      <c r="AS17" s="1">
        <f t="shared" si="25"/>
        <v>1.2200955975979204</v>
      </c>
      <c r="AT17" s="1">
        <f t="shared" si="25"/>
        <v>1.0980860378381283</v>
      </c>
      <c r="AU17" s="1">
        <f t="shared" si="25"/>
        <v>0.98827743405431545</v>
      </c>
      <c r="AV17" s="1">
        <f t="shared" si="25"/>
        <v>0.88944969064888391</v>
      </c>
      <c r="AW17" s="1">
        <f t="shared" si="25"/>
        <v>0.80050472158399555</v>
      </c>
      <c r="AX17" s="1">
        <f t="shared" si="25"/>
        <v>0.72045424942559599</v>
      </c>
    </row>
    <row r="18" spans="2:50" s="1" customFormat="1" x14ac:dyDescent="0.2">
      <c r="B18" s="1" t="s">
        <v>58</v>
      </c>
      <c r="C18" s="12"/>
      <c r="D18" s="12"/>
      <c r="E18" s="12">
        <f t="shared" ref="E18:G18" si="26">SUM(E3:E17)</f>
        <v>2690.2999999999993</v>
      </c>
      <c r="F18" s="12">
        <f t="shared" si="26"/>
        <v>2301.5999999999995</v>
      </c>
      <c r="G18" s="12">
        <f t="shared" si="26"/>
        <v>2211.7000000000003</v>
      </c>
      <c r="H18" s="12">
        <f>SUM(H3:H17)</f>
        <v>2235.9999999999995</v>
      </c>
      <c r="I18" s="12">
        <f t="shared" ref="I18:L18" si="27">SUM(I3:I17)</f>
        <v>2205.7000000000003</v>
      </c>
      <c r="J18" s="12">
        <f t="shared" si="27"/>
        <v>2193.7999999999997</v>
      </c>
      <c r="K18" s="12">
        <f t="shared" si="27"/>
        <v>2066.3000000000002</v>
      </c>
      <c r="L18" s="12">
        <f t="shared" si="27"/>
        <v>2054.7999999999997</v>
      </c>
      <c r="M18" s="12">
        <f t="shared" ref="M18" si="28">SUM(M3:M17)</f>
        <v>1962.1000000000001</v>
      </c>
      <c r="N18" s="12">
        <f t="shared" ref="N18:R18" si="29">SUM(N3:N17)</f>
        <v>1904.4999999999998</v>
      </c>
      <c r="O18" s="12">
        <f t="shared" si="29"/>
        <v>1744.4</v>
      </c>
      <c r="P18" s="12">
        <f t="shared" si="29"/>
        <v>1807.79</v>
      </c>
      <c r="Q18" s="12">
        <f t="shared" si="29"/>
        <v>2028.0100000000002</v>
      </c>
      <c r="R18" s="12">
        <f t="shared" si="29"/>
        <v>2194.1499999999996</v>
      </c>
      <c r="AC18" s="1">
        <f t="shared" ref="AC18:AD18" si="30">SUM(AC3:AC17)</f>
        <v>11379.800000000001</v>
      </c>
      <c r="AD18" s="1">
        <f t="shared" si="30"/>
        <v>10692.2</v>
      </c>
      <c r="AE18" s="1">
        <f>SUM(AE3:AE17)</f>
        <v>8847.1999999999989</v>
      </c>
      <c r="AF18" s="1">
        <f t="shared" ref="AF18:AX18" si="31">SUM(AF3:AF17)</f>
        <v>7987.7000000000007</v>
      </c>
      <c r="AG18" s="1">
        <f>SUM(AG3:AG17)</f>
        <v>8941.3439999999991</v>
      </c>
      <c r="AH18" s="1">
        <f t="shared" si="31"/>
        <v>10999.843840000003</v>
      </c>
      <c r="AI18" s="1">
        <f t="shared" si="31"/>
        <v>12252.763589</v>
      </c>
      <c r="AJ18" s="1">
        <f t="shared" si="31"/>
        <v>13575.4943439</v>
      </c>
      <c r="AK18" s="1">
        <f t="shared" si="31"/>
        <v>13396.1060184125</v>
      </c>
      <c r="AL18" s="1">
        <f t="shared" si="31"/>
        <v>13319.994079751052</v>
      </c>
      <c r="AM18" s="1">
        <f t="shared" si="31"/>
        <v>13335.90383920408</v>
      </c>
      <c r="AN18" s="1">
        <f t="shared" si="31"/>
        <v>13156.75277555259</v>
      </c>
      <c r="AO18" s="1">
        <f t="shared" si="31"/>
        <v>12580.784201597131</v>
      </c>
      <c r="AP18" s="1">
        <f t="shared" si="31"/>
        <v>12394.100446658367</v>
      </c>
      <c r="AQ18" s="1">
        <f t="shared" si="31"/>
        <v>12266.082428885538</v>
      </c>
      <c r="AR18" s="1">
        <f t="shared" si="31"/>
        <v>12188.12207092172</v>
      </c>
      <c r="AS18" s="1">
        <f t="shared" si="31"/>
        <v>12153.088714889258</v>
      </c>
      <c r="AT18" s="1">
        <f t="shared" si="31"/>
        <v>12155.065500664121</v>
      </c>
      <c r="AU18" s="1">
        <f t="shared" si="31"/>
        <v>12189.134492222312</v>
      </c>
      <c r="AV18" s="1">
        <f t="shared" si="31"/>
        <v>12251.201326479024</v>
      </c>
      <c r="AW18" s="1">
        <f t="shared" si="31"/>
        <v>12337.851932881655</v>
      </c>
      <c r="AX18" s="1">
        <f t="shared" si="31"/>
        <v>12446.235301053905</v>
      </c>
    </row>
    <row r="19" spans="2:50" s="1" customFormat="1" x14ac:dyDescent="0.2">
      <c r="B19" s="1" t="s">
        <v>75</v>
      </c>
      <c r="C19" s="12"/>
      <c r="D19" s="12"/>
      <c r="E19" s="12">
        <v>272.39999999999998</v>
      </c>
      <c r="F19" s="12">
        <v>202.4</v>
      </c>
      <c r="G19" s="12">
        <v>209.3</v>
      </c>
      <c r="H19" s="12"/>
      <c r="I19" s="12">
        <v>264.3</v>
      </c>
      <c r="J19" s="12">
        <v>261.2</v>
      </c>
      <c r="K19" s="12">
        <v>252.3</v>
      </c>
      <c r="L19" s="12"/>
      <c r="M19" s="12">
        <v>281.10000000000002</v>
      </c>
      <c r="N19" s="12">
        <v>311.10000000000002</v>
      </c>
      <c r="O19" s="12">
        <v>283.60000000000002</v>
      </c>
      <c r="P19" s="12">
        <f>+O19</f>
        <v>283.60000000000002</v>
      </c>
      <c r="Q19" s="12">
        <f>+P19</f>
        <v>283.60000000000002</v>
      </c>
      <c r="R19" s="1">
        <f>+Q19</f>
        <v>283.60000000000002</v>
      </c>
      <c r="AC19" s="1">
        <v>748</v>
      </c>
      <c r="AD19" s="1">
        <v>897.6</v>
      </c>
      <c r="AE19" s="1">
        <f t="shared" si="4"/>
        <v>734.8</v>
      </c>
      <c r="AF19" s="1">
        <f>SUM(K19:N19)</f>
        <v>844.50000000000011</v>
      </c>
      <c r="AG19" s="1">
        <f>+AF19*0.9</f>
        <v>760.05000000000007</v>
      </c>
      <c r="AH19" s="1">
        <f t="shared" ref="AH19:AX19" si="32">+AG19*0.9</f>
        <v>684.04500000000007</v>
      </c>
      <c r="AI19" s="1">
        <f t="shared" si="32"/>
        <v>615.64050000000009</v>
      </c>
      <c r="AJ19" s="1">
        <f t="shared" si="32"/>
        <v>554.07645000000014</v>
      </c>
      <c r="AK19" s="1">
        <f t="shared" si="32"/>
        <v>498.66880500000013</v>
      </c>
      <c r="AL19" s="1">
        <f t="shared" si="32"/>
        <v>448.80192450000015</v>
      </c>
      <c r="AM19" s="1">
        <f t="shared" si="32"/>
        <v>403.92173205000017</v>
      </c>
      <c r="AN19" s="1">
        <f t="shared" si="32"/>
        <v>363.52955884500017</v>
      </c>
      <c r="AO19" s="1">
        <f t="shared" si="32"/>
        <v>327.17660296050013</v>
      </c>
      <c r="AP19" s="1">
        <f t="shared" si="32"/>
        <v>294.45894266445015</v>
      </c>
      <c r="AQ19" s="1">
        <f t="shared" si="32"/>
        <v>265.01304839800514</v>
      </c>
      <c r="AR19" s="1">
        <f t="shared" si="32"/>
        <v>238.51174355820464</v>
      </c>
      <c r="AS19" s="1">
        <f t="shared" si="32"/>
        <v>214.66056920238418</v>
      </c>
      <c r="AT19" s="1">
        <f t="shared" si="32"/>
        <v>193.19451228214578</v>
      </c>
      <c r="AU19" s="1">
        <f t="shared" si="32"/>
        <v>173.8750610539312</v>
      </c>
      <c r="AV19" s="1">
        <f t="shared" si="32"/>
        <v>156.48755494853808</v>
      </c>
      <c r="AW19" s="1">
        <f t="shared" si="32"/>
        <v>140.83879945368426</v>
      </c>
      <c r="AX19" s="1">
        <f t="shared" si="32"/>
        <v>126.75491950831584</v>
      </c>
    </row>
    <row r="20" spans="2:50" s="1" customFormat="1" x14ac:dyDescent="0.2">
      <c r="B20" s="1" t="s">
        <v>76</v>
      </c>
      <c r="C20" s="12"/>
      <c r="D20" s="12"/>
      <c r="E20" s="12">
        <v>287.7</v>
      </c>
      <c r="F20" s="12">
        <v>216.6</v>
      </c>
      <c r="G20" s="12">
        <v>179.7</v>
      </c>
      <c r="H20" s="12"/>
      <c r="I20" s="12">
        <v>151.1</v>
      </c>
      <c r="J20" s="12">
        <v>152.9</v>
      </c>
      <c r="K20" s="12">
        <v>147.1</v>
      </c>
      <c r="L20" s="12"/>
      <c r="M20" s="12">
        <v>135.80000000000001</v>
      </c>
      <c r="N20" s="12">
        <v>136.80000000000001</v>
      </c>
      <c r="O20" s="12">
        <v>112.5</v>
      </c>
      <c r="P20" s="12">
        <f t="shared" ref="P20:R20" si="33">+O20</f>
        <v>112.5</v>
      </c>
      <c r="Q20" s="12">
        <f t="shared" si="33"/>
        <v>112.5</v>
      </c>
      <c r="R20" s="1">
        <f t="shared" si="33"/>
        <v>112.5</v>
      </c>
      <c r="AC20" s="1">
        <v>1542.4</v>
      </c>
      <c r="AD20" s="1">
        <v>1080.2</v>
      </c>
      <c r="AE20" s="1">
        <f t="shared" si="4"/>
        <v>483.69999999999993</v>
      </c>
      <c r="AF20" s="1">
        <f t="shared" si="5"/>
        <v>419.7</v>
      </c>
      <c r="AG20" s="1">
        <f t="shared" ref="AG20:AX20" si="34">+AF20*0.9</f>
        <v>377.73</v>
      </c>
      <c r="AH20" s="1">
        <f t="shared" si="34"/>
        <v>339.95700000000005</v>
      </c>
      <c r="AI20" s="1">
        <f t="shared" si="34"/>
        <v>305.96130000000005</v>
      </c>
      <c r="AJ20" s="1">
        <f t="shared" si="34"/>
        <v>275.36517000000003</v>
      </c>
      <c r="AK20" s="1">
        <f t="shared" si="34"/>
        <v>247.82865300000003</v>
      </c>
      <c r="AL20" s="1">
        <f t="shared" si="34"/>
        <v>223.04578770000003</v>
      </c>
      <c r="AM20" s="1">
        <f t="shared" si="34"/>
        <v>200.74120893000003</v>
      </c>
      <c r="AN20" s="1">
        <f t="shared" si="34"/>
        <v>180.66708803700004</v>
      </c>
      <c r="AO20" s="1">
        <f t="shared" si="34"/>
        <v>162.60037923330003</v>
      </c>
      <c r="AP20" s="1">
        <f t="shared" si="34"/>
        <v>146.34034130997003</v>
      </c>
      <c r="AQ20" s="1">
        <f t="shared" si="34"/>
        <v>131.70630717897302</v>
      </c>
      <c r="AR20" s="1">
        <f t="shared" si="34"/>
        <v>118.53567646107572</v>
      </c>
      <c r="AS20" s="1">
        <f t="shared" si="34"/>
        <v>106.68210881496816</v>
      </c>
      <c r="AT20" s="1">
        <f t="shared" si="34"/>
        <v>96.013897933471341</v>
      </c>
      <c r="AU20" s="1">
        <f t="shared" si="34"/>
        <v>86.412508140124203</v>
      </c>
      <c r="AV20" s="1">
        <f t="shared" si="34"/>
        <v>77.77125732611178</v>
      </c>
      <c r="AW20" s="1">
        <f t="shared" si="34"/>
        <v>69.994131593500597</v>
      </c>
      <c r="AX20" s="1">
        <f t="shared" si="34"/>
        <v>62.994718434150542</v>
      </c>
    </row>
    <row r="21" spans="2:50" s="1" customFormat="1" x14ac:dyDescent="0.2">
      <c r="B21" s="1" t="s">
        <v>59</v>
      </c>
      <c r="C21" s="12"/>
      <c r="D21" s="12"/>
      <c r="E21" s="12"/>
      <c r="F21" s="12"/>
      <c r="G21" s="12"/>
      <c r="H21" s="12">
        <v>440</v>
      </c>
      <c r="I21" s="12"/>
      <c r="J21" s="12"/>
      <c r="K21" s="12"/>
      <c r="L21" s="12">
        <v>436.3</v>
      </c>
      <c r="M21" s="12">
        <f>+M19+M20</f>
        <v>416.90000000000003</v>
      </c>
      <c r="N21" s="12">
        <f>+N19+N20</f>
        <v>447.90000000000003</v>
      </c>
      <c r="O21" s="12">
        <f>+O19+O20+3.4</f>
        <v>399.5</v>
      </c>
      <c r="P21" s="12">
        <f t="shared" ref="P21:R21" si="35">+P19+P20+3.4</f>
        <v>399.5</v>
      </c>
      <c r="Q21" s="12">
        <f t="shared" si="35"/>
        <v>399.5</v>
      </c>
      <c r="R21" s="12">
        <f t="shared" si="35"/>
        <v>399.5</v>
      </c>
      <c r="AE21" s="1">
        <f t="shared" si="4"/>
        <v>440</v>
      </c>
      <c r="AF21" s="1">
        <f t="shared" si="5"/>
        <v>1301.1000000000001</v>
      </c>
      <c r="AG21" s="1">
        <f t="shared" ref="AG21:AX21" si="36">+AF21*0.9</f>
        <v>1170.9900000000002</v>
      </c>
      <c r="AH21" s="1">
        <f t="shared" si="36"/>
        <v>1053.8910000000003</v>
      </c>
      <c r="AI21" s="1">
        <f t="shared" si="36"/>
        <v>948.50190000000032</v>
      </c>
      <c r="AJ21" s="1">
        <f t="shared" si="36"/>
        <v>853.65171000000032</v>
      </c>
      <c r="AK21" s="1">
        <f t="shared" si="36"/>
        <v>768.28653900000029</v>
      </c>
      <c r="AL21" s="1">
        <f t="shared" si="36"/>
        <v>691.45788510000023</v>
      </c>
      <c r="AM21" s="1">
        <f t="shared" si="36"/>
        <v>622.31209659000024</v>
      </c>
      <c r="AN21" s="1">
        <f t="shared" si="36"/>
        <v>560.08088693100024</v>
      </c>
      <c r="AO21" s="1">
        <f t="shared" si="36"/>
        <v>504.0727982379002</v>
      </c>
      <c r="AP21" s="1">
        <f t="shared" si="36"/>
        <v>453.66551841411018</v>
      </c>
      <c r="AQ21" s="1">
        <f t="shared" si="36"/>
        <v>408.29896657269916</v>
      </c>
      <c r="AR21" s="1">
        <f t="shared" si="36"/>
        <v>367.46906991542926</v>
      </c>
      <c r="AS21" s="1">
        <f t="shared" si="36"/>
        <v>330.72216292388634</v>
      </c>
      <c r="AT21" s="1">
        <f t="shared" si="36"/>
        <v>297.6499466314977</v>
      </c>
      <c r="AU21" s="1">
        <f t="shared" si="36"/>
        <v>267.88495196834793</v>
      </c>
      <c r="AV21" s="1">
        <f t="shared" si="36"/>
        <v>241.09645677151315</v>
      </c>
      <c r="AW21" s="1">
        <f t="shared" si="36"/>
        <v>216.98681109436183</v>
      </c>
      <c r="AX21" s="1">
        <f t="shared" si="36"/>
        <v>195.28812998492566</v>
      </c>
    </row>
    <row r="22" spans="2:50" s="1" customFormat="1" x14ac:dyDescent="0.2">
      <c r="B22" s="1" t="s">
        <v>60</v>
      </c>
      <c r="C22" s="12"/>
      <c r="D22" s="12"/>
      <c r="E22" s="12">
        <v>125.7</v>
      </c>
      <c r="F22" s="12">
        <v>132</v>
      </c>
      <c r="G22" s="12">
        <v>93.3</v>
      </c>
      <c r="H22" s="12">
        <v>99</v>
      </c>
      <c r="I22" s="12">
        <v>157.80000000000001</v>
      </c>
      <c r="J22" s="12">
        <v>126.2</v>
      </c>
      <c r="K22" s="12">
        <v>66.099999999999994</v>
      </c>
      <c r="L22" s="12">
        <v>98</v>
      </c>
      <c r="M22" s="12">
        <v>129.5</v>
      </c>
      <c r="N22" s="12">
        <v>191.6</v>
      </c>
      <c r="O22" s="12">
        <v>319.10000000000002</v>
      </c>
      <c r="P22" s="12">
        <f>L22</f>
        <v>98</v>
      </c>
      <c r="Q22" s="12">
        <f>M22</f>
        <v>129.5</v>
      </c>
      <c r="R22" s="12">
        <f>N22</f>
        <v>191.6</v>
      </c>
      <c r="AC22" s="1">
        <v>707.7</v>
      </c>
      <c r="AD22" s="1">
        <v>774.6</v>
      </c>
      <c r="AE22" s="1">
        <f t="shared" si="4"/>
        <v>476.3</v>
      </c>
      <c r="AF22" s="1">
        <f t="shared" si="5"/>
        <v>485.20000000000005</v>
      </c>
      <c r="AG22" s="1">
        <f t="shared" ref="AG22:AX22" si="37">+AF22*0.9</f>
        <v>436.68000000000006</v>
      </c>
      <c r="AH22" s="1">
        <f t="shared" si="37"/>
        <v>393.01200000000006</v>
      </c>
      <c r="AI22" s="1">
        <f t="shared" si="37"/>
        <v>353.71080000000006</v>
      </c>
      <c r="AJ22" s="1">
        <f t="shared" si="37"/>
        <v>318.33972000000006</v>
      </c>
      <c r="AK22" s="1">
        <f t="shared" si="37"/>
        <v>286.50574800000004</v>
      </c>
      <c r="AL22" s="1">
        <f t="shared" si="37"/>
        <v>257.85517320000002</v>
      </c>
      <c r="AM22" s="1">
        <f t="shared" si="37"/>
        <v>232.06965588000003</v>
      </c>
      <c r="AN22" s="1">
        <f t="shared" si="37"/>
        <v>208.86269029200002</v>
      </c>
      <c r="AO22" s="1">
        <f t="shared" si="37"/>
        <v>187.97642126280002</v>
      </c>
      <c r="AP22" s="1">
        <f t="shared" si="37"/>
        <v>169.17877913652001</v>
      </c>
      <c r="AQ22" s="1">
        <f t="shared" si="37"/>
        <v>152.260901222868</v>
      </c>
      <c r="AR22" s="1">
        <f t="shared" si="37"/>
        <v>137.03481110058121</v>
      </c>
      <c r="AS22" s="1">
        <f t="shared" si="37"/>
        <v>123.33132999052309</v>
      </c>
      <c r="AT22" s="1">
        <f t="shared" si="37"/>
        <v>110.99819699147078</v>
      </c>
      <c r="AU22" s="1">
        <f t="shared" si="37"/>
        <v>99.898377292323701</v>
      </c>
      <c r="AV22" s="1">
        <f t="shared" si="37"/>
        <v>89.908539563091338</v>
      </c>
      <c r="AW22" s="1">
        <f t="shared" si="37"/>
        <v>80.9176856067822</v>
      </c>
      <c r="AX22" s="1">
        <f t="shared" si="37"/>
        <v>72.825917046103982</v>
      </c>
    </row>
    <row r="23" spans="2:50" s="13" customFormat="1" x14ac:dyDescent="0.2">
      <c r="B23" s="13" t="s">
        <v>35</v>
      </c>
      <c r="C23" s="14"/>
      <c r="D23" s="14"/>
      <c r="E23" s="14">
        <f t="shared" ref="E23:L23" si="38">SUM(E18:E22)</f>
        <v>3376.099999999999</v>
      </c>
      <c r="F23" s="14">
        <f t="shared" si="38"/>
        <v>2852.5999999999995</v>
      </c>
      <c r="G23" s="14">
        <f t="shared" si="38"/>
        <v>2694.0000000000005</v>
      </c>
      <c r="H23" s="14">
        <f t="shared" si="38"/>
        <v>2774.9999999999995</v>
      </c>
      <c r="I23" s="14">
        <f t="shared" si="38"/>
        <v>2778.9000000000005</v>
      </c>
      <c r="J23" s="14">
        <f t="shared" si="38"/>
        <v>2734.0999999999995</v>
      </c>
      <c r="K23" s="14">
        <f t="shared" si="38"/>
        <v>2531.8000000000002</v>
      </c>
      <c r="L23" s="14">
        <f t="shared" si="38"/>
        <v>2589.1</v>
      </c>
      <c r="M23" s="14">
        <f>+M18+M21+M22</f>
        <v>2508.5</v>
      </c>
      <c r="N23" s="14">
        <f>+N18+N21+N22</f>
        <v>2543.9999999999995</v>
      </c>
      <c r="O23" s="14">
        <f>+O18+O21+O22</f>
        <v>2463</v>
      </c>
      <c r="P23" s="14">
        <f t="shared" ref="M23:R23" si="39">SUM(P18:P22)</f>
        <v>2701.39</v>
      </c>
      <c r="Q23" s="14">
        <f t="shared" si="39"/>
        <v>2953.11</v>
      </c>
      <c r="R23" s="14">
        <f t="shared" si="39"/>
        <v>3181.3499999999995</v>
      </c>
      <c r="AC23" s="14">
        <f t="shared" ref="AC23:AE23" si="40">SUM(AC18:AC22)</f>
        <v>14377.900000000001</v>
      </c>
      <c r="AD23" s="14">
        <f t="shared" si="40"/>
        <v>13444.600000000002</v>
      </c>
      <c r="AE23" s="14">
        <f t="shared" si="40"/>
        <v>10981.999999999998</v>
      </c>
      <c r="AF23" s="14">
        <f>SUM(AF18:AF22)</f>
        <v>11038.200000000003</v>
      </c>
      <c r="AG23" s="14">
        <f t="shared" ref="AG23:AX23" si="41">SUM(AG18:AG22)</f>
        <v>11686.793999999998</v>
      </c>
      <c r="AH23" s="14">
        <f t="shared" si="41"/>
        <v>13470.748840000004</v>
      </c>
      <c r="AI23" s="14">
        <f t="shared" si="41"/>
        <v>14476.578089000002</v>
      </c>
      <c r="AJ23" s="14">
        <f t="shared" si="41"/>
        <v>15576.9273939</v>
      </c>
      <c r="AK23" s="14">
        <f t="shared" si="41"/>
        <v>15197.3957634125</v>
      </c>
      <c r="AL23" s="14">
        <f t="shared" si="41"/>
        <v>14941.154850251052</v>
      </c>
      <c r="AM23" s="14">
        <f t="shared" si="41"/>
        <v>14794.948532654082</v>
      </c>
      <c r="AN23" s="14">
        <f t="shared" si="41"/>
        <v>14469.892999657592</v>
      </c>
      <c r="AO23" s="14">
        <f t="shared" si="41"/>
        <v>13762.61040329163</v>
      </c>
      <c r="AP23" s="14">
        <f t="shared" si="41"/>
        <v>13457.744028183419</v>
      </c>
      <c r="AQ23" s="14">
        <f t="shared" si="41"/>
        <v>13223.361652258083</v>
      </c>
      <c r="AR23" s="14">
        <f t="shared" si="41"/>
        <v>13049.673371957009</v>
      </c>
      <c r="AS23" s="14">
        <f t="shared" si="41"/>
        <v>12928.484885821021</v>
      </c>
      <c r="AT23" s="14">
        <f t="shared" si="41"/>
        <v>12852.922054502707</v>
      </c>
      <c r="AU23" s="14">
        <f t="shared" si="41"/>
        <v>12817.20539067704</v>
      </c>
      <c r="AV23" s="14">
        <f t="shared" si="41"/>
        <v>12816.46513508828</v>
      </c>
      <c r="AW23" s="14">
        <f t="shared" si="41"/>
        <v>12846.589360629985</v>
      </c>
      <c r="AX23" s="14">
        <f t="shared" si="41"/>
        <v>12904.0989860274</v>
      </c>
    </row>
    <row r="24" spans="2:50" s="1" customFormat="1" x14ac:dyDescent="0.2">
      <c r="B24" s="1" t="s">
        <v>61</v>
      </c>
      <c r="C24" s="12"/>
      <c r="D24" s="12"/>
      <c r="E24" s="12">
        <v>449.1</v>
      </c>
      <c r="F24" s="12">
        <v>490.6</v>
      </c>
      <c r="G24" s="12">
        <v>478.1</v>
      </c>
      <c r="H24" s="12">
        <v>459.7</v>
      </c>
      <c r="I24" s="12">
        <v>511.8</v>
      </c>
      <c r="J24" s="12">
        <v>660.1</v>
      </c>
      <c r="K24" s="12">
        <v>753.9</v>
      </c>
      <c r="L24" s="12">
        <v>484</v>
      </c>
      <c r="M24" s="12">
        <v>469.5</v>
      </c>
      <c r="N24" s="12">
        <v>570.9</v>
      </c>
      <c r="O24" s="12">
        <v>662.8</v>
      </c>
      <c r="P24" s="12"/>
      <c r="Q24" s="12"/>
      <c r="AC24" s="1">
        <v>1955.4</v>
      </c>
      <c r="AD24" s="1">
        <v>1805.2</v>
      </c>
      <c r="AE24" s="1">
        <f t="shared" ref="AE24" si="42">SUM(G24:J24)</f>
        <v>2109.6999999999998</v>
      </c>
      <c r="AF24" s="1">
        <f t="shared" ref="AF24" si="43">SUM(K24:N24)</f>
        <v>2278.3000000000002</v>
      </c>
      <c r="AG24" s="1">
        <f>+AG23-AG25</f>
        <v>2103.6229199999998</v>
      </c>
      <c r="AH24" s="1">
        <f t="shared" ref="AH24:AX24" si="44">+AH23-AH25</f>
        <v>2424.7347912000005</v>
      </c>
      <c r="AI24" s="1">
        <f t="shared" si="44"/>
        <v>2605.784056020002</v>
      </c>
      <c r="AJ24" s="1">
        <f t="shared" si="44"/>
        <v>2803.8469309020002</v>
      </c>
      <c r="AK24" s="1">
        <f t="shared" si="44"/>
        <v>2735.5312374142504</v>
      </c>
      <c r="AL24" s="1">
        <f t="shared" si="44"/>
        <v>2689.4078730451893</v>
      </c>
      <c r="AM24" s="1">
        <f t="shared" si="44"/>
        <v>2663.0907358777349</v>
      </c>
      <c r="AN24" s="1">
        <f t="shared" si="44"/>
        <v>2604.5807399383666</v>
      </c>
      <c r="AO24" s="1">
        <f t="shared" si="44"/>
        <v>2477.2698725924947</v>
      </c>
      <c r="AP24" s="1">
        <f t="shared" si="44"/>
        <v>2422.3939250730164</v>
      </c>
      <c r="AQ24" s="1">
        <f t="shared" si="44"/>
        <v>2380.205097406455</v>
      </c>
      <c r="AR24" s="1">
        <f t="shared" si="44"/>
        <v>2348.9412069522623</v>
      </c>
      <c r="AS24" s="1">
        <f t="shared" si="44"/>
        <v>2327.1272794477845</v>
      </c>
      <c r="AT24" s="1">
        <f t="shared" si="44"/>
        <v>2313.5259698104874</v>
      </c>
      <c r="AU24" s="1">
        <f t="shared" si="44"/>
        <v>2307.096970321867</v>
      </c>
      <c r="AV24" s="1">
        <f t="shared" si="44"/>
        <v>2306.9637243158904</v>
      </c>
      <c r="AW24" s="1">
        <f t="shared" si="44"/>
        <v>2312.386084913398</v>
      </c>
      <c r="AX24" s="1">
        <f t="shared" si="44"/>
        <v>2322.7378174849327</v>
      </c>
    </row>
    <row r="25" spans="2:50" s="1" customFormat="1" x14ac:dyDescent="0.2">
      <c r="B25" s="1" t="s">
        <v>62</v>
      </c>
      <c r="C25" s="12"/>
      <c r="D25" s="12"/>
      <c r="E25" s="12">
        <f t="shared" ref="E25:L25" si="45">+E23-E24</f>
        <v>2926.9999999999991</v>
      </c>
      <c r="F25" s="12">
        <f t="shared" si="45"/>
        <v>2361.9999999999995</v>
      </c>
      <c r="G25" s="12">
        <f t="shared" si="45"/>
        <v>2215.9000000000005</v>
      </c>
      <c r="H25" s="12">
        <f t="shared" si="45"/>
        <v>2315.2999999999997</v>
      </c>
      <c r="I25" s="12">
        <f t="shared" si="45"/>
        <v>2267.1000000000004</v>
      </c>
      <c r="J25" s="12">
        <f t="shared" si="45"/>
        <v>2073.9999999999995</v>
      </c>
      <c r="K25" s="12">
        <f t="shared" si="45"/>
        <v>1777.9</v>
      </c>
      <c r="L25" s="12">
        <f t="shared" si="45"/>
        <v>2105.1</v>
      </c>
      <c r="M25" s="12">
        <f>+M23-M24</f>
        <v>2039</v>
      </c>
      <c r="N25" s="12">
        <f>+N23-N24</f>
        <v>1973.0999999999995</v>
      </c>
      <c r="O25" s="12">
        <f>+O23-O24</f>
        <v>1800.2</v>
      </c>
      <c r="P25" s="12">
        <f>+P23-P24</f>
        <v>2701.39</v>
      </c>
      <c r="Q25" s="12">
        <f>+Q23-Q24</f>
        <v>2953.11</v>
      </c>
      <c r="R25" s="12">
        <f>+R23-R24</f>
        <v>3181.3499999999995</v>
      </c>
      <c r="AC25" s="1">
        <f>+AC23-AC24</f>
        <v>12422.500000000002</v>
      </c>
      <c r="AD25" s="1">
        <f>+AD23-AD24</f>
        <v>11639.400000000001</v>
      </c>
      <c r="AE25" s="1">
        <f>+AE23-AE24</f>
        <v>8872.2999999999993</v>
      </c>
      <c r="AF25" s="1">
        <f>+AF23-AF24</f>
        <v>8759.9000000000015</v>
      </c>
      <c r="AG25" s="1">
        <f>+AG23*0.82</f>
        <v>9583.1710799999983</v>
      </c>
      <c r="AH25" s="1">
        <f t="shared" ref="AH25:AX25" si="46">+AH23*0.82</f>
        <v>11046.014048800003</v>
      </c>
      <c r="AI25" s="1">
        <f t="shared" si="46"/>
        <v>11870.79403298</v>
      </c>
      <c r="AJ25" s="1">
        <f t="shared" si="46"/>
        <v>12773.080462997999</v>
      </c>
      <c r="AK25" s="1">
        <f t="shared" si="46"/>
        <v>12461.86452599825</v>
      </c>
      <c r="AL25" s="1">
        <f t="shared" si="46"/>
        <v>12251.746977205863</v>
      </c>
      <c r="AM25" s="1">
        <f t="shared" si="46"/>
        <v>12131.857796776347</v>
      </c>
      <c r="AN25" s="1">
        <f t="shared" si="46"/>
        <v>11865.312259719225</v>
      </c>
      <c r="AO25" s="1">
        <f t="shared" si="46"/>
        <v>11285.340530699135</v>
      </c>
      <c r="AP25" s="1">
        <f t="shared" si="46"/>
        <v>11035.350103110402</v>
      </c>
      <c r="AQ25" s="1">
        <f t="shared" si="46"/>
        <v>10843.156554851628</v>
      </c>
      <c r="AR25" s="1">
        <f t="shared" si="46"/>
        <v>10700.732165004747</v>
      </c>
      <c r="AS25" s="1">
        <f t="shared" si="46"/>
        <v>10601.357606373236</v>
      </c>
      <c r="AT25" s="1">
        <f t="shared" si="46"/>
        <v>10539.39608469222</v>
      </c>
      <c r="AU25" s="1">
        <f t="shared" si="46"/>
        <v>10510.108420355173</v>
      </c>
      <c r="AV25" s="1">
        <f t="shared" si="46"/>
        <v>10509.501410772389</v>
      </c>
      <c r="AW25" s="1">
        <f t="shared" si="46"/>
        <v>10534.203275716587</v>
      </c>
      <c r="AX25" s="1">
        <f t="shared" si="46"/>
        <v>10581.361168542468</v>
      </c>
    </row>
    <row r="26" spans="2:50" s="1" customFormat="1" x14ac:dyDescent="0.2">
      <c r="B26" s="1" t="s">
        <v>63</v>
      </c>
      <c r="C26" s="12"/>
      <c r="D26" s="12"/>
      <c r="E26" s="12">
        <v>1140.9000000000001</v>
      </c>
      <c r="F26" s="12">
        <v>1726</v>
      </c>
      <c r="G26" s="12">
        <v>514.20000000000005</v>
      </c>
      <c r="H26" s="12">
        <v>585.1</v>
      </c>
      <c r="I26" s="12">
        <v>702.4</v>
      </c>
      <c r="J26" s="12">
        <v>699.5</v>
      </c>
      <c r="K26" s="12">
        <v>551.70000000000005</v>
      </c>
      <c r="L26" s="12">
        <v>528.6</v>
      </c>
      <c r="M26" s="12">
        <v>549.20000000000005</v>
      </c>
      <c r="N26" s="12">
        <v>601.6</v>
      </c>
      <c r="O26" s="12">
        <v>570.6</v>
      </c>
      <c r="P26" s="12"/>
      <c r="Q26" s="12"/>
      <c r="AC26" s="1">
        <v>2280.6</v>
      </c>
      <c r="AD26" s="1">
        <v>3990.9</v>
      </c>
      <c r="AE26" s="1">
        <f t="shared" ref="AE26:AE27" si="47">SUM(G26:J26)</f>
        <v>2501.2000000000003</v>
      </c>
      <c r="AF26" s="1">
        <f t="shared" ref="AF26:AF27" si="48">SUM(K26:N26)</f>
        <v>2231.1000000000004</v>
      </c>
    </row>
    <row r="27" spans="2:50" s="1" customFormat="1" x14ac:dyDescent="0.2">
      <c r="B27" s="1" t="s">
        <v>64</v>
      </c>
      <c r="C27" s="12"/>
      <c r="D27" s="12"/>
      <c r="E27" s="12">
        <v>573.1</v>
      </c>
      <c r="F27" s="12">
        <v>806.3</v>
      </c>
      <c r="G27" s="12">
        <v>595</v>
      </c>
      <c r="H27" s="12">
        <v>637.29999999999995</v>
      </c>
      <c r="I27" s="12">
        <v>654.1</v>
      </c>
      <c r="J27" s="12">
        <v>787.9</v>
      </c>
      <c r="K27" s="12">
        <v>634.9</v>
      </c>
      <c r="L27" s="12">
        <v>572.6</v>
      </c>
      <c r="M27" s="12">
        <v>563.29999999999995</v>
      </c>
      <c r="N27" s="12">
        <v>632.79999999999995</v>
      </c>
      <c r="O27" s="12">
        <v>605</v>
      </c>
      <c r="P27" s="12"/>
      <c r="Q27" s="12"/>
      <c r="AC27" s="1">
        <v>2374.6999999999998</v>
      </c>
      <c r="AD27" s="1">
        <v>2504.5</v>
      </c>
      <c r="AE27" s="1">
        <f t="shared" si="47"/>
        <v>2674.3</v>
      </c>
      <c r="AF27" s="1">
        <f t="shared" si="48"/>
        <v>2403.6</v>
      </c>
      <c r="AG27" s="1">
        <f>+AF27*0.95</f>
        <v>2283.4199999999996</v>
      </c>
      <c r="AH27" s="1">
        <f t="shared" ref="AH27:AX27" si="49">+AG27*0.95</f>
        <v>2169.2489999999993</v>
      </c>
      <c r="AI27" s="1">
        <f t="shared" si="49"/>
        <v>2060.7865499999994</v>
      </c>
      <c r="AJ27" s="1">
        <f t="shared" si="49"/>
        <v>1957.7472224999992</v>
      </c>
      <c r="AK27" s="1">
        <f t="shared" si="49"/>
        <v>1859.8598613749991</v>
      </c>
      <c r="AL27" s="1">
        <f t="shared" si="49"/>
        <v>1766.866868306249</v>
      </c>
      <c r="AM27" s="1">
        <f t="shared" si="49"/>
        <v>1678.5235248909364</v>
      </c>
      <c r="AN27" s="1">
        <f t="shared" si="49"/>
        <v>1594.5973486463895</v>
      </c>
      <c r="AO27" s="1">
        <f t="shared" si="49"/>
        <v>1514.86748121407</v>
      </c>
      <c r="AP27" s="1">
        <f t="shared" si="49"/>
        <v>1439.1241071533664</v>
      </c>
      <c r="AQ27" s="1">
        <f t="shared" si="49"/>
        <v>1367.1679017956981</v>
      </c>
      <c r="AR27" s="1">
        <f t="shared" si="49"/>
        <v>1298.809506705913</v>
      </c>
      <c r="AS27" s="1">
        <f t="shared" si="49"/>
        <v>1233.8690313706172</v>
      </c>
      <c r="AT27" s="1">
        <f t="shared" si="49"/>
        <v>1172.1755798020863</v>
      </c>
      <c r="AU27" s="1">
        <f t="shared" si="49"/>
        <v>1113.5668008119819</v>
      </c>
      <c r="AV27" s="1">
        <f t="shared" si="49"/>
        <v>1057.8884607713828</v>
      </c>
      <c r="AW27" s="1">
        <f t="shared" si="49"/>
        <v>1004.9940377328136</v>
      </c>
      <c r="AX27" s="1">
        <f t="shared" si="49"/>
        <v>954.74433584617282</v>
      </c>
    </row>
    <row r="28" spans="2:50" s="1" customFormat="1" x14ac:dyDescent="0.2">
      <c r="B28" s="1" t="s">
        <v>65</v>
      </c>
      <c r="C28" s="12"/>
      <c r="D28" s="12"/>
      <c r="E28" s="12">
        <f t="shared" ref="E28:L28" si="50">+E26+E27</f>
        <v>1714</v>
      </c>
      <c r="F28" s="12">
        <f t="shared" si="50"/>
        <v>2532.3000000000002</v>
      </c>
      <c r="G28" s="12">
        <f t="shared" si="50"/>
        <v>1109.2</v>
      </c>
      <c r="H28" s="12">
        <f t="shared" si="50"/>
        <v>1222.4000000000001</v>
      </c>
      <c r="I28" s="12">
        <f t="shared" si="50"/>
        <v>1356.5</v>
      </c>
      <c r="J28" s="12">
        <f t="shared" si="50"/>
        <v>1487.4</v>
      </c>
      <c r="K28" s="12">
        <f t="shared" si="50"/>
        <v>1186.5999999999999</v>
      </c>
      <c r="L28" s="12">
        <f t="shared" si="50"/>
        <v>1101.2</v>
      </c>
      <c r="M28" s="12">
        <f t="shared" ref="M28:N28" si="51">+M26+M27</f>
        <v>1112.5</v>
      </c>
      <c r="N28" s="12">
        <f t="shared" si="51"/>
        <v>1234.4000000000001</v>
      </c>
      <c r="O28" s="12">
        <f t="shared" ref="O28:R28" si="52">+O26+O27</f>
        <v>1175.5999999999999</v>
      </c>
      <c r="P28" s="12">
        <f t="shared" si="52"/>
        <v>0</v>
      </c>
      <c r="Q28" s="12">
        <f t="shared" si="52"/>
        <v>0</v>
      </c>
      <c r="R28" s="12">
        <f t="shared" si="52"/>
        <v>0</v>
      </c>
      <c r="AC28" s="1">
        <f t="shared" ref="AC28:AD28" si="53">+AC26+AC27</f>
        <v>4655.2999999999993</v>
      </c>
      <c r="AD28" s="1">
        <f t="shared" si="53"/>
        <v>6495.4</v>
      </c>
      <c r="AE28" s="1">
        <f>+AE26+AE27</f>
        <v>5175.5</v>
      </c>
      <c r="AF28" s="1">
        <f>+AF26+AF27</f>
        <v>4634.7000000000007</v>
      </c>
      <c r="AG28" s="1">
        <f t="shared" ref="AG28:AX28" si="54">+AG26+AG27</f>
        <v>2283.4199999999996</v>
      </c>
      <c r="AH28" s="1">
        <f t="shared" si="54"/>
        <v>2169.2489999999993</v>
      </c>
      <c r="AI28" s="1">
        <f t="shared" si="54"/>
        <v>2060.7865499999994</v>
      </c>
      <c r="AJ28" s="1">
        <f t="shared" si="54"/>
        <v>1957.7472224999992</v>
      </c>
      <c r="AK28" s="1">
        <f t="shared" si="54"/>
        <v>1859.8598613749991</v>
      </c>
      <c r="AL28" s="1">
        <f t="shared" si="54"/>
        <v>1766.866868306249</v>
      </c>
      <c r="AM28" s="1">
        <f t="shared" si="54"/>
        <v>1678.5235248909364</v>
      </c>
      <c r="AN28" s="1">
        <f t="shared" si="54"/>
        <v>1594.5973486463895</v>
      </c>
      <c r="AO28" s="1">
        <f t="shared" si="54"/>
        <v>1514.86748121407</v>
      </c>
      <c r="AP28" s="1">
        <f t="shared" si="54"/>
        <v>1439.1241071533664</v>
      </c>
      <c r="AQ28" s="1">
        <f t="shared" si="54"/>
        <v>1367.1679017956981</v>
      </c>
      <c r="AR28" s="1">
        <f t="shared" si="54"/>
        <v>1298.809506705913</v>
      </c>
      <c r="AS28" s="1">
        <f t="shared" si="54"/>
        <v>1233.8690313706172</v>
      </c>
      <c r="AT28" s="1">
        <f t="shared" si="54"/>
        <v>1172.1755798020863</v>
      </c>
      <c r="AU28" s="1">
        <f t="shared" si="54"/>
        <v>1113.5668008119819</v>
      </c>
      <c r="AV28" s="1">
        <f t="shared" si="54"/>
        <v>1057.8884607713828</v>
      </c>
      <c r="AW28" s="1">
        <f t="shared" si="54"/>
        <v>1004.9940377328136</v>
      </c>
      <c r="AX28" s="1">
        <f t="shared" si="54"/>
        <v>954.74433584617282</v>
      </c>
    </row>
    <row r="29" spans="2:50" s="1" customFormat="1" x14ac:dyDescent="0.2">
      <c r="B29" s="1" t="s">
        <v>66</v>
      </c>
      <c r="C29" s="12"/>
      <c r="D29" s="12"/>
      <c r="E29" s="12">
        <f t="shared" ref="E29:L29" si="55">+E25-E28</f>
        <v>1212.9999999999991</v>
      </c>
      <c r="F29" s="12">
        <f t="shared" si="55"/>
        <v>-170.30000000000064</v>
      </c>
      <c r="G29" s="12">
        <f t="shared" si="55"/>
        <v>1106.7000000000005</v>
      </c>
      <c r="H29" s="12">
        <f t="shared" si="55"/>
        <v>1092.8999999999996</v>
      </c>
      <c r="I29" s="12">
        <f t="shared" si="55"/>
        <v>910.60000000000036</v>
      </c>
      <c r="J29" s="12">
        <f t="shared" si="55"/>
        <v>586.59999999999945</v>
      </c>
      <c r="K29" s="12">
        <f t="shared" si="55"/>
        <v>591.30000000000018</v>
      </c>
      <c r="L29" s="12">
        <f t="shared" si="55"/>
        <v>1003.8999999999999</v>
      </c>
      <c r="M29" s="12">
        <f t="shared" ref="M29:N29" si="56">+M25-M28</f>
        <v>926.5</v>
      </c>
      <c r="N29" s="12">
        <f t="shared" si="56"/>
        <v>738.69999999999936</v>
      </c>
      <c r="O29" s="12">
        <f t="shared" ref="O29:R29" si="57">+O25-O28</f>
        <v>624.60000000000014</v>
      </c>
      <c r="P29" s="12">
        <f t="shared" si="57"/>
        <v>2701.39</v>
      </c>
      <c r="Q29" s="12">
        <f t="shared" si="57"/>
        <v>2953.11</v>
      </c>
      <c r="R29" s="12">
        <f t="shared" si="57"/>
        <v>3181.3499999999995</v>
      </c>
      <c r="AC29" s="1">
        <f t="shared" ref="AC29:AD29" si="58">+AC25-AC28</f>
        <v>7767.2000000000025</v>
      </c>
      <c r="AD29" s="1">
        <f t="shared" si="58"/>
        <v>5144.0000000000018</v>
      </c>
      <c r="AE29" s="1">
        <f>+AE25-AE28</f>
        <v>3696.7999999999993</v>
      </c>
      <c r="AF29" s="1">
        <f>+AF25-AF28</f>
        <v>4125.2000000000007</v>
      </c>
      <c r="AG29" s="1">
        <f t="shared" ref="AG29:AX29" si="59">+AG25-AG28</f>
        <v>7299.7510799999982</v>
      </c>
      <c r="AH29" s="1">
        <f t="shared" si="59"/>
        <v>8876.7650488000036</v>
      </c>
      <c r="AI29" s="1">
        <f t="shared" si="59"/>
        <v>9810.0074829800014</v>
      </c>
      <c r="AJ29" s="1">
        <f t="shared" si="59"/>
        <v>10815.333240497999</v>
      </c>
      <c r="AK29" s="1">
        <f t="shared" si="59"/>
        <v>10602.004664623251</v>
      </c>
      <c r="AL29" s="1">
        <f t="shared" si="59"/>
        <v>10484.880108899613</v>
      </c>
      <c r="AM29" s="1">
        <f t="shared" si="59"/>
        <v>10453.334271885411</v>
      </c>
      <c r="AN29" s="1">
        <f t="shared" si="59"/>
        <v>10270.714911072835</v>
      </c>
      <c r="AO29" s="1">
        <f t="shared" si="59"/>
        <v>9770.4730494850646</v>
      </c>
      <c r="AP29" s="1">
        <f t="shared" si="59"/>
        <v>9596.2259959570365</v>
      </c>
      <c r="AQ29" s="1">
        <f t="shared" si="59"/>
        <v>9475.9886530559306</v>
      </c>
      <c r="AR29" s="1">
        <f t="shared" si="59"/>
        <v>9401.922658298834</v>
      </c>
      <c r="AS29" s="1">
        <f t="shared" si="59"/>
        <v>9367.4885750026187</v>
      </c>
      <c r="AT29" s="1">
        <f t="shared" si="59"/>
        <v>9367.2205048901342</v>
      </c>
      <c r="AU29" s="1">
        <f t="shared" si="59"/>
        <v>9396.5416195431899</v>
      </c>
      <c r="AV29" s="1">
        <f t="shared" si="59"/>
        <v>9451.6129500010065</v>
      </c>
      <c r="AW29" s="1">
        <f t="shared" si="59"/>
        <v>9529.2092379837741</v>
      </c>
      <c r="AX29" s="1">
        <f t="shared" si="59"/>
        <v>9626.6168326962943</v>
      </c>
    </row>
    <row r="30" spans="2:50" s="1" customFormat="1" x14ac:dyDescent="0.2">
      <c r="B30" s="1" t="s">
        <v>67</v>
      </c>
      <c r="C30" s="12"/>
      <c r="D30" s="12"/>
      <c r="E30" s="12">
        <f>73-128.6</f>
        <v>-55.599999999999994</v>
      </c>
      <c r="F30" s="12">
        <f>66.4+683.5</f>
        <v>749.9</v>
      </c>
      <c r="G30" s="12">
        <f>68.5-506.9</f>
        <v>-438.4</v>
      </c>
      <c r="H30" s="12">
        <v>-15.2</v>
      </c>
      <c r="I30" s="12">
        <f>21.2-502.9</f>
        <v>-481.7</v>
      </c>
      <c r="J30" s="12">
        <f>67.3-182.1</f>
        <v>-114.8</v>
      </c>
      <c r="K30" s="12">
        <f>-117.3-263.3</f>
        <v>-380.6</v>
      </c>
      <c r="L30" s="12">
        <v>29.4</v>
      </c>
      <c r="M30" s="12">
        <f>45.3+56</f>
        <v>101.3</v>
      </c>
      <c r="N30" s="12">
        <v>-113.1</v>
      </c>
      <c r="O30" s="12">
        <v>-69.400000000000006</v>
      </c>
      <c r="P30" s="12"/>
      <c r="Q30" s="12"/>
      <c r="AC30" s="1">
        <f>241.6+83.3</f>
        <v>324.89999999999998</v>
      </c>
      <c r="AD30" s="1">
        <f>232.9+497.4</f>
        <v>730.3</v>
      </c>
      <c r="AE30" s="1">
        <f t="shared" ref="AE30" si="60">SUM(G30:J30)</f>
        <v>-1050.0999999999999</v>
      </c>
      <c r="AF30" s="1">
        <f t="shared" ref="AF30" si="61">SUM(K30:N30)</f>
        <v>-363</v>
      </c>
    </row>
    <row r="31" spans="2:50" s="1" customFormat="1" x14ac:dyDescent="0.2">
      <c r="B31" s="1" t="s">
        <v>68</v>
      </c>
      <c r="C31" s="12"/>
      <c r="D31" s="12"/>
      <c r="E31" s="12">
        <f t="shared" ref="E31:R31" si="62">+E29+E30</f>
        <v>1157.3999999999992</v>
      </c>
      <c r="F31" s="12">
        <f t="shared" si="62"/>
        <v>579.59999999999934</v>
      </c>
      <c r="G31" s="12">
        <f t="shared" si="62"/>
        <v>668.30000000000052</v>
      </c>
      <c r="H31" s="12">
        <f t="shared" si="62"/>
        <v>1077.6999999999996</v>
      </c>
      <c r="I31" s="12">
        <f t="shared" si="62"/>
        <v>428.90000000000038</v>
      </c>
      <c r="J31" s="12">
        <f t="shared" si="62"/>
        <v>471.79999999999944</v>
      </c>
      <c r="K31" s="12">
        <f t="shared" si="62"/>
        <v>210.70000000000016</v>
      </c>
      <c r="L31" s="12">
        <f t="shared" si="62"/>
        <v>1033.3</v>
      </c>
      <c r="M31" s="12">
        <f t="shared" si="62"/>
        <v>1027.8</v>
      </c>
      <c r="N31" s="12">
        <f t="shared" si="62"/>
        <v>625.59999999999934</v>
      </c>
      <c r="O31" s="12">
        <f t="shared" si="62"/>
        <v>555.20000000000016</v>
      </c>
      <c r="P31" s="12">
        <f t="shared" si="62"/>
        <v>2701.39</v>
      </c>
      <c r="Q31" s="12">
        <f t="shared" si="62"/>
        <v>2953.11</v>
      </c>
      <c r="R31" s="12">
        <f t="shared" si="62"/>
        <v>3181.3499999999995</v>
      </c>
      <c r="AC31" s="1">
        <f t="shared" ref="AC31:AD31" si="63">+AC29+AC30</f>
        <v>8092.1000000000022</v>
      </c>
      <c r="AD31" s="1">
        <f t="shared" si="63"/>
        <v>5874.300000000002</v>
      </c>
      <c r="AE31" s="1">
        <f>+AE29+AE30</f>
        <v>2646.6999999999994</v>
      </c>
      <c r="AF31" s="1">
        <f>+AF29+AF30</f>
        <v>3762.2000000000007</v>
      </c>
      <c r="AG31" s="1">
        <f t="shared" ref="AG31:AX31" si="64">+AG29+AG30</f>
        <v>7299.7510799999982</v>
      </c>
      <c r="AH31" s="1">
        <f t="shared" si="64"/>
        <v>8876.7650488000036</v>
      </c>
      <c r="AI31" s="1">
        <f t="shared" si="64"/>
        <v>9810.0074829800014</v>
      </c>
      <c r="AJ31" s="1">
        <f t="shared" si="64"/>
        <v>10815.333240497999</v>
      </c>
      <c r="AK31" s="1">
        <f t="shared" si="64"/>
        <v>10602.004664623251</v>
      </c>
      <c r="AL31" s="1">
        <f t="shared" si="64"/>
        <v>10484.880108899613</v>
      </c>
      <c r="AM31" s="1">
        <f t="shared" si="64"/>
        <v>10453.334271885411</v>
      </c>
      <c r="AN31" s="1">
        <f t="shared" si="64"/>
        <v>10270.714911072835</v>
      </c>
      <c r="AO31" s="1">
        <f t="shared" si="64"/>
        <v>9770.4730494850646</v>
      </c>
      <c r="AP31" s="1">
        <f t="shared" si="64"/>
        <v>9596.2259959570365</v>
      </c>
      <c r="AQ31" s="1">
        <f t="shared" si="64"/>
        <v>9475.9886530559306</v>
      </c>
      <c r="AR31" s="1">
        <f t="shared" si="64"/>
        <v>9401.922658298834</v>
      </c>
      <c r="AS31" s="1">
        <f t="shared" si="64"/>
        <v>9367.4885750026187</v>
      </c>
      <c r="AT31" s="1">
        <f t="shared" si="64"/>
        <v>9367.2205048901342</v>
      </c>
      <c r="AU31" s="1">
        <f t="shared" si="64"/>
        <v>9396.5416195431899</v>
      </c>
      <c r="AV31" s="1">
        <f t="shared" si="64"/>
        <v>9451.6129500010065</v>
      </c>
      <c r="AW31" s="1">
        <f t="shared" si="64"/>
        <v>9529.2092379837741</v>
      </c>
      <c r="AX31" s="1">
        <f t="shared" si="64"/>
        <v>9626.6168326962943</v>
      </c>
    </row>
    <row r="32" spans="2:50" s="1" customFormat="1" x14ac:dyDescent="0.2">
      <c r="B32" s="1" t="s">
        <v>69</v>
      </c>
      <c r="C32" s="12"/>
      <c r="D32" s="12"/>
      <c r="E32" s="12">
        <f>240.8+13.1+2.4</f>
        <v>256.3</v>
      </c>
      <c r="F32" s="12">
        <f>13.3-18-0.3</f>
        <v>-4.9999999999999991</v>
      </c>
      <c r="G32" s="12">
        <f>44.2+18.2-5.6</f>
        <v>56.800000000000004</v>
      </c>
      <c r="H32" s="12">
        <f>409.1-34.3+577</f>
        <v>951.8</v>
      </c>
      <c r="I32" s="12">
        <f>-25.9-1.1-11.1</f>
        <v>-38.1</v>
      </c>
      <c r="J32" s="12">
        <f>443.2-17.7-388.7</f>
        <v>36.800000000000011</v>
      </c>
      <c r="K32" s="12">
        <f>125.6+3.3-85.3</f>
        <v>43.600000000000009</v>
      </c>
      <c r="L32" s="12">
        <f>216.7-5.9</f>
        <v>210.79999999999998</v>
      </c>
      <c r="M32" s="12">
        <v>236.2</v>
      </c>
      <c r="N32" s="12">
        <v>54.3</v>
      </c>
      <c r="O32" s="12">
        <v>50.7</v>
      </c>
      <c r="P32" s="12">
        <f>+P31*0.2</f>
        <v>540.27800000000002</v>
      </c>
      <c r="Q32" s="12">
        <f>+Q31*0.2</f>
        <v>590.62200000000007</v>
      </c>
      <c r="R32" s="12">
        <f>+R31*0.2</f>
        <v>636.27</v>
      </c>
      <c r="AC32" s="1">
        <f>1158+79.4</f>
        <v>1237.4000000000001</v>
      </c>
      <c r="AD32" s="1">
        <f>992.3+59.9</f>
        <v>1052.2</v>
      </c>
      <c r="AE32" s="1">
        <f t="shared" ref="AE32" si="65">SUM(G32:J32)</f>
        <v>1007.3</v>
      </c>
      <c r="AF32" s="1">
        <f t="shared" ref="AF32" si="66">SUM(K32:N32)</f>
        <v>544.9</v>
      </c>
      <c r="AG32" s="1">
        <f>+AG31*0.2</f>
        <v>1459.9502159999997</v>
      </c>
      <c r="AH32" s="1">
        <f t="shared" ref="AH32:AX32" si="67">+AH31*0.2</f>
        <v>1775.3530097600008</v>
      </c>
      <c r="AI32" s="1">
        <f t="shared" si="67"/>
        <v>1962.0014965960004</v>
      </c>
      <c r="AJ32" s="1">
        <f t="shared" si="67"/>
        <v>2163.0666480996001</v>
      </c>
      <c r="AK32" s="1">
        <f t="shared" si="67"/>
        <v>2120.4009329246505</v>
      </c>
      <c r="AL32" s="1">
        <f t="shared" si="67"/>
        <v>2096.9760217799226</v>
      </c>
      <c r="AM32" s="1">
        <f t="shared" si="67"/>
        <v>2090.6668543770825</v>
      </c>
      <c r="AN32" s="1">
        <f t="shared" si="67"/>
        <v>2054.1429822145669</v>
      </c>
      <c r="AO32" s="1">
        <f t="shared" si="67"/>
        <v>1954.094609897013</v>
      </c>
      <c r="AP32" s="1">
        <f t="shared" si="67"/>
        <v>1919.2451991914074</v>
      </c>
      <c r="AQ32" s="1">
        <f t="shared" si="67"/>
        <v>1895.1977306111862</v>
      </c>
      <c r="AR32" s="1">
        <f t="shared" si="67"/>
        <v>1880.3845316597669</v>
      </c>
      <c r="AS32" s="1">
        <f t="shared" si="67"/>
        <v>1873.4977150005238</v>
      </c>
      <c r="AT32" s="1">
        <f t="shared" si="67"/>
        <v>1873.4441009780269</v>
      </c>
      <c r="AU32" s="1">
        <f t="shared" si="67"/>
        <v>1879.3083239086382</v>
      </c>
      <c r="AV32" s="1">
        <f t="shared" si="67"/>
        <v>1890.3225900002014</v>
      </c>
      <c r="AW32" s="1">
        <f t="shared" si="67"/>
        <v>1905.8418475967549</v>
      </c>
      <c r="AX32" s="1">
        <f t="shared" si="67"/>
        <v>1925.323366539259</v>
      </c>
    </row>
    <row r="33" spans="2:53" x14ac:dyDescent="0.2">
      <c r="B33" s="1" t="s">
        <v>70</v>
      </c>
      <c r="E33" s="12">
        <f t="shared" ref="E33:R33" si="68">+E31-E32</f>
        <v>901.09999999999923</v>
      </c>
      <c r="F33" s="12">
        <f t="shared" si="68"/>
        <v>584.59999999999934</v>
      </c>
      <c r="G33" s="12">
        <f t="shared" si="68"/>
        <v>611.50000000000057</v>
      </c>
      <c r="H33" s="12">
        <f t="shared" si="68"/>
        <v>125.89999999999964</v>
      </c>
      <c r="I33" s="12">
        <f t="shared" si="68"/>
        <v>467.0000000000004</v>
      </c>
      <c r="J33" s="12">
        <f t="shared" si="68"/>
        <v>434.99999999999943</v>
      </c>
      <c r="K33" s="12">
        <f t="shared" si="68"/>
        <v>167.10000000000014</v>
      </c>
      <c r="L33" s="12">
        <f t="shared" si="68"/>
        <v>822.5</v>
      </c>
      <c r="M33" s="12">
        <f>+M31-M32</f>
        <v>791.59999999999991</v>
      </c>
      <c r="N33" s="12">
        <f t="shared" si="68"/>
        <v>571.29999999999939</v>
      </c>
      <c r="O33" s="12">
        <f t="shared" si="68"/>
        <v>504.50000000000017</v>
      </c>
      <c r="P33" s="12">
        <f t="shared" si="68"/>
        <v>2161.1120000000001</v>
      </c>
      <c r="Q33" s="12">
        <f t="shared" si="68"/>
        <v>2362.4880000000003</v>
      </c>
      <c r="R33" s="12">
        <f t="shared" si="68"/>
        <v>2545.0799999999995</v>
      </c>
      <c r="S33" s="12"/>
      <c r="AC33" s="1">
        <f>+AC31-AC32</f>
        <v>6854.7000000000025</v>
      </c>
      <c r="AD33" s="1">
        <f>+AD31-AD32</f>
        <v>4822.1000000000022</v>
      </c>
      <c r="AE33" s="1">
        <f>+AE31-AE32</f>
        <v>1639.3999999999994</v>
      </c>
      <c r="AF33" s="1">
        <f>+AF31-AF32</f>
        <v>3217.3000000000006</v>
      </c>
      <c r="AG33" s="1">
        <f>+AG31-AG32</f>
        <v>5839.8008639999989</v>
      </c>
      <c r="AH33" s="1">
        <f t="shared" ref="AH33:AX33" si="69">+AH31-AH32</f>
        <v>7101.412039040003</v>
      </c>
      <c r="AI33" s="1">
        <f t="shared" si="69"/>
        <v>7848.0059863840015</v>
      </c>
      <c r="AJ33" s="1">
        <f t="shared" si="69"/>
        <v>8652.2665923983986</v>
      </c>
      <c r="AK33" s="1">
        <f t="shared" si="69"/>
        <v>8481.6037316986003</v>
      </c>
      <c r="AL33" s="1">
        <f t="shared" si="69"/>
        <v>8387.9040871196903</v>
      </c>
      <c r="AM33" s="1">
        <f t="shared" si="69"/>
        <v>8362.6674175083281</v>
      </c>
      <c r="AN33" s="1">
        <f t="shared" si="69"/>
        <v>8216.5719288582677</v>
      </c>
      <c r="AO33" s="1">
        <f t="shared" si="69"/>
        <v>7816.3784395880521</v>
      </c>
      <c r="AP33" s="1">
        <f t="shared" si="69"/>
        <v>7676.9807967656288</v>
      </c>
      <c r="AQ33" s="1">
        <f t="shared" si="69"/>
        <v>7580.7909224447449</v>
      </c>
      <c r="AR33" s="1">
        <f t="shared" si="69"/>
        <v>7521.5381266390668</v>
      </c>
      <c r="AS33" s="1">
        <f t="shared" si="69"/>
        <v>7493.9908600020954</v>
      </c>
      <c r="AT33" s="1">
        <f t="shared" si="69"/>
        <v>7493.7764039121075</v>
      </c>
      <c r="AU33" s="1">
        <f t="shared" si="69"/>
        <v>7517.2332956345517</v>
      </c>
      <c r="AV33" s="1">
        <f t="shared" si="69"/>
        <v>7561.2903600008049</v>
      </c>
      <c r="AW33" s="1">
        <f t="shared" si="69"/>
        <v>7623.3673903870194</v>
      </c>
      <c r="AX33" s="1">
        <f t="shared" si="69"/>
        <v>7701.2934661570353</v>
      </c>
    </row>
    <row r="34" spans="2:53" x14ac:dyDescent="0.2">
      <c r="B34" s="1" t="s">
        <v>1</v>
      </c>
      <c r="E34" s="15">
        <f t="shared" ref="E34:L34" si="70">+E33/E35</f>
        <v>5.7321882951653897</v>
      </c>
      <c r="F34" s="15">
        <f t="shared" si="70"/>
        <v>3.796103896103892</v>
      </c>
      <c r="G34" s="15">
        <f t="shared" si="70"/>
        <v>4.0151017728168128</v>
      </c>
      <c r="H34" s="15">
        <f t="shared" si="70"/>
        <v>0.83877415056628679</v>
      </c>
      <c r="I34" s="15">
        <f t="shared" si="70"/>
        <v>3.1426648721399757</v>
      </c>
      <c r="J34" s="15">
        <f t="shared" si="70"/>
        <v>2.9491525423728775</v>
      </c>
      <c r="K34" s="15">
        <f t="shared" si="70"/>
        <v>1.1321138211382122</v>
      </c>
      <c r="L34" s="15">
        <f t="shared" si="70"/>
        <v>5.625854993160055</v>
      </c>
      <c r="M34" s="15">
        <f t="shared" ref="M34:R34" si="71">+M33/M35</f>
        <v>5.4668508287292807</v>
      </c>
      <c r="N34" s="15">
        <f t="shared" si="71"/>
        <v>3.9345730027548171</v>
      </c>
      <c r="O34" s="15">
        <f t="shared" si="71"/>
        <v>3.4745179063360898</v>
      </c>
      <c r="P34" s="15">
        <f t="shared" si="71"/>
        <v>14.883691460055099</v>
      </c>
      <c r="Q34" s="15">
        <f t="shared" si="71"/>
        <v>16.270578512396696</v>
      </c>
      <c r="R34" s="15">
        <f t="shared" si="71"/>
        <v>17.528099173553716</v>
      </c>
      <c r="AC34" s="17">
        <f>+AC33/AC35</f>
        <v>36.577908217716129</v>
      </c>
      <c r="AD34" s="17">
        <f>+AD33/AD35</f>
        <v>29.895226286422826</v>
      </c>
      <c r="AE34" s="17">
        <f>+AE33/AE35</f>
        <v>10.956725146198826</v>
      </c>
      <c r="AF34" s="17">
        <f>+AF33/AF35</f>
        <v>22.043850633778696</v>
      </c>
      <c r="AG34" s="17">
        <f>+AG33/AG35</f>
        <v>40.012338910585811</v>
      </c>
      <c r="AH34" s="17">
        <f t="shared" ref="AH34:AX34" si="72">+AH33/AH35</f>
        <v>48.656471661802009</v>
      </c>
      <c r="AI34" s="17">
        <f t="shared" si="72"/>
        <v>53.771880687797207</v>
      </c>
      <c r="AJ34" s="17">
        <f t="shared" si="72"/>
        <v>59.282402140448092</v>
      </c>
      <c r="AK34" s="17">
        <f t="shared" si="72"/>
        <v>58.113077983546425</v>
      </c>
      <c r="AL34" s="17">
        <f t="shared" si="72"/>
        <v>57.471079733605279</v>
      </c>
      <c r="AM34" s="17">
        <f t="shared" si="72"/>
        <v>57.298166615336271</v>
      </c>
      <c r="AN34" s="17">
        <f t="shared" si="72"/>
        <v>56.297169776349904</v>
      </c>
      <c r="AO34" s="17">
        <f t="shared" si="72"/>
        <v>53.555179442192895</v>
      </c>
      <c r="AP34" s="17">
        <f t="shared" si="72"/>
        <v>52.600073975783687</v>
      </c>
      <c r="AQ34" s="17">
        <f t="shared" si="72"/>
        <v>51.941013514523782</v>
      </c>
      <c r="AR34" s="17">
        <f t="shared" si="72"/>
        <v>51.535033413080285</v>
      </c>
      <c r="AS34" s="17">
        <f t="shared" si="72"/>
        <v>51.346288866064377</v>
      </c>
      <c r="AT34" s="17">
        <f t="shared" si="72"/>
        <v>51.344819485523182</v>
      </c>
      <c r="AU34" s="17">
        <f t="shared" si="72"/>
        <v>51.505538168102447</v>
      </c>
      <c r="AV34" s="17">
        <f t="shared" si="72"/>
        <v>51.807402261053824</v>
      </c>
      <c r="AW34" s="17">
        <f t="shared" si="72"/>
        <v>52.232733061918601</v>
      </c>
      <c r="AX34" s="17">
        <f t="shared" si="72"/>
        <v>52.766656157293838</v>
      </c>
    </row>
    <row r="35" spans="2:53" x14ac:dyDescent="0.2">
      <c r="B35" s="1" t="s">
        <v>71</v>
      </c>
      <c r="E35" s="12">
        <v>157.19999999999999</v>
      </c>
      <c r="F35" s="12">
        <v>154</v>
      </c>
      <c r="G35" s="12">
        <v>152.30000000000001</v>
      </c>
      <c r="H35" s="12">
        <v>150.1</v>
      </c>
      <c r="I35" s="12">
        <v>148.6</v>
      </c>
      <c r="J35" s="12">
        <v>147.5</v>
      </c>
      <c r="K35" s="12">
        <v>147.6</v>
      </c>
      <c r="L35" s="12">
        <v>146.19999999999999</v>
      </c>
      <c r="M35" s="12">
        <v>144.80000000000001</v>
      </c>
      <c r="N35" s="12">
        <v>145.19999999999999</v>
      </c>
      <c r="O35" s="12">
        <v>145.19999999999999</v>
      </c>
      <c r="P35" s="12">
        <f>+O35</f>
        <v>145.19999999999999</v>
      </c>
      <c r="Q35" s="12">
        <f>+P35</f>
        <v>145.19999999999999</v>
      </c>
      <c r="R35" s="12">
        <f>+Q35</f>
        <v>145.19999999999999</v>
      </c>
      <c r="AC35" s="1">
        <v>187.4</v>
      </c>
      <c r="AD35" s="1">
        <v>161.30000000000001</v>
      </c>
      <c r="AE35" s="1">
        <f>AVERAGE(G35:J35)</f>
        <v>149.625</v>
      </c>
      <c r="AF35" s="1">
        <f>AVERAGE(K35:N35)</f>
        <v>145.94999999999999</v>
      </c>
      <c r="AG35" s="1">
        <f>+AF35</f>
        <v>145.94999999999999</v>
      </c>
      <c r="AH35" s="1">
        <f t="shared" ref="AH35:AX35" si="73">+AG35</f>
        <v>145.94999999999999</v>
      </c>
      <c r="AI35" s="1">
        <f t="shared" si="73"/>
        <v>145.94999999999999</v>
      </c>
      <c r="AJ35" s="1">
        <f t="shared" si="73"/>
        <v>145.94999999999999</v>
      </c>
      <c r="AK35" s="1">
        <f t="shared" si="73"/>
        <v>145.94999999999999</v>
      </c>
      <c r="AL35" s="1">
        <f t="shared" si="73"/>
        <v>145.94999999999999</v>
      </c>
      <c r="AM35" s="1">
        <f t="shared" si="73"/>
        <v>145.94999999999999</v>
      </c>
      <c r="AN35" s="1">
        <f t="shared" si="73"/>
        <v>145.94999999999999</v>
      </c>
      <c r="AO35" s="1">
        <f t="shared" si="73"/>
        <v>145.94999999999999</v>
      </c>
      <c r="AP35" s="1">
        <f t="shared" si="73"/>
        <v>145.94999999999999</v>
      </c>
      <c r="AQ35" s="1">
        <f t="shared" si="73"/>
        <v>145.94999999999999</v>
      </c>
      <c r="AR35" s="1">
        <f t="shared" si="73"/>
        <v>145.94999999999999</v>
      </c>
      <c r="AS35" s="1">
        <f t="shared" si="73"/>
        <v>145.94999999999999</v>
      </c>
      <c r="AT35" s="1">
        <f t="shared" si="73"/>
        <v>145.94999999999999</v>
      </c>
      <c r="AU35" s="1">
        <f t="shared" si="73"/>
        <v>145.94999999999999</v>
      </c>
      <c r="AV35" s="1">
        <f t="shared" si="73"/>
        <v>145.94999999999999</v>
      </c>
      <c r="AW35" s="1">
        <f t="shared" si="73"/>
        <v>145.94999999999999</v>
      </c>
      <c r="AX35" s="1">
        <f t="shared" si="73"/>
        <v>145.94999999999999</v>
      </c>
    </row>
    <row r="36" spans="2:53" x14ac:dyDescent="0.2">
      <c r="AZ36" t="s">
        <v>79</v>
      </c>
      <c r="BA36" s="18">
        <v>-0.01</v>
      </c>
    </row>
    <row r="37" spans="2:53" x14ac:dyDescent="0.2">
      <c r="AZ37" t="s">
        <v>80</v>
      </c>
      <c r="BA37" s="18">
        <v>0.08</v>
      </c>
    </row>
    <row r="38" spans="2:53" s="23" customFormat="1" x14ac:dyDescent="0.2">
      <c r="B38" s="13" t="s">
        <v>77</v>
      </c>
      <c r="C38" s="21"/>
      <c r="D38" s="21"/>
      <c r="E38" s="21"/>
      <c r="F38" s="21"/>
      <c r="G38" s="21"/>
      <c r="H38" s="21"/>
      <c r="I38" s="22">
        <f>+I23/E23-1</f>
        <v>-0.1768904949497937</v>
      </c>
      <c r="J38" s="22">
        <f>+J23/F23-1</f>
        <v>-4.1541050269929158E-2</v>
      </c>
      <c r="K38" s="22">
        <f>+K23/G23-1</f>
        <v>-6.0207869339272579E-2</v>
      </c>
      <c r="L38" s="22">
        <f>+L23/H23-1</f>
        <v>-6.6990990990990817E-2</v>
      </c>
      <c r="M38" s="22">
        <f>+M23/I23-1</f>
        <v>-9.7304688905682335E-2</v>
      </c>
      <c r="N38" s="22">
        <f>+N23/J23-1</f>
        <v>-6.9529278373139269E-2</v>
      </c>
      <c r="O38" s="22">
        <f>+O23/K23-1</f>
        <v>-2.7174342365115844E-2</v>
      </c>
      <c r="P38" s="22">
        <f t="shared" ref="P38:R38" si="74">+P23/L23-1</f>
        <v>4.3370283109960939E-2</v>
      </c>
      <c r="Q38" s="22">
        <f t="shared" si="74"/>
        <v>0.17724137931034489</v>
      </c>
      <c r="R38" s="22">
        <f t="shared" si="74"/>
        <v>0.25053066037735849</v>
      </c>
      <c r="AD38" s="24">
        <f>+AD23/AC23-1</f>
        <v>-6.4912122076241974E-2</v>
      </c>
      <c r="AE38" s="24">
        <f t="shared" ref="AE38:AX38" si="75">+AE23/AD23-1</f>
        <v>-0.18316647575978484</v>
      </c>
      <c r="AF38" s="24">
        <f t="shared" si="75"/>
        <v>5.1174649426337648E-3</v>
      </c>
      <c r="AG38" s="24">
        <f t="shared" si="75"/>
        <v>5.8759036799477693E-2</v>
      </c>
      <c r="AH38" s="24">
        <f t="shared" si="75"/>
        <v>0.15264706813519657</v>
      </c>
      <c r="AI38" s="24">
        <f t="shared" si="75"/>
        <v>7.4667656634892721E-2</v>
      </c>
      <c r="AJ38" s="24">
        <f t="shared" si="75"/>
        <v>7.6008936513532577E-2</v>
      </c>
      <c r="AK38" s="24">
        <f t="shared" si="75"/>
        <v>-2.4364986809666034E-2</v>
      </c>
      <c r="AL38" s="24">
        <f t="shared" si="75"/>
        <v>-1.6860843604424858E-2</v>
      </c>
      <c r="AM38" s="24">
        <f t="shared" si="75"/>
        <v>-9.7854763612542639E-3</v>
      </c>
      <c r="AN38" s="24">
        <f t="shared" si="75"/>
        <v>-2.1970710629986789E-2</v>
      </c>
      <c r="AO38" s="24">
        <f t="shared" si="75"/>
        <v>-4.8879601002073669E-2</v>
      </c>
      <c r="AP38" s="24">
        <f t="shared" si="75"/>
        <v>-2.2151784158279675E-2</v>
      </c>
      <c r="AQ38" s="24">
        <f t="shared" si="75"/>
        <v>-1.7416171345991494E-2</v>
      </c>
      <c r="AR38" s="24">
        <f t="shared" si="75"/>
        <v>-1.3134956516251184E-2</v>
      </c>
      <c r="AS38" s="24">
        <f t="shared" si="75"/>
        <v>-9.2867064700956625E-3</v>
      </c>
      <c r="AT38" s="24">
        <f t="shared" si="75"/>
        <v>-5.8446780102736628E-3</v>
      </c>
      <c r="AU38" s="24">
        <f t="shared" si="75"/>
        <v>-2.7788750040038668E-3</v>
      </c>
      <c r="AV38" s="24">
        <f t="shared" si="75"/>
        <v>-5.7754835488421641E-5</v>
      </c>
      <c r="AW38" s="24">
        <f t="shared" si="75"/>
        <v>2.3504316692777305E-3</v>
      </c>
      <c r="AX38" s="24">
        <f t="shared" si="75"/>
        <v>4.4766454179394621E-3</v>
      </c>
      <c r="AZ38" s="23" t="s">
        <v>81</v>
      </c>
      <c r="BA38" s="13">
        <f>NPV(BA37,AG33:AX33)+Main!J5-Main!J6</f>
        <v>73154.666167274831</v>
      </c>
    </row>
    <row r="39" spans="2:53" x14ac:dyDescent="0.2">
      <c r="B39" s="1" t="s">
        <v>119</v>
      </c>
      <c r="I39" s="16"/>
      <c r="J39" s="16">
        <f>+J18/F18-1</f>
        <v>-4.6836982968369689E-2</v>
      </c>
      <c r="K39" s="16">
        <f>+K18/G18-1</f>
        <v>-6.5741284984401127E-2</v>
      </c>
      <c r="L39" s="16">
        <f>+L18/H18-1</f>
        <v>-8.103756708407861E-2</v>
      </c>
      <c r="M39" s="16">
        <f>+M18/I18-1</f>
        <v>-0.11044112980006349</v>
      </c>
      <c r="N39" s="16">
        <f>+N18/J18-1</f>
        <v>-0.1318716382532592</v>
      </c>
      <c r="O39" s="16">
        <f>+O18/K18-1</f>
        <v>-0.15578570391521074</v>
      </c>
      <c r="P39" s="16">
        <f t="shared" ref="P39:R39" si="76">+P18/L18-1</f>
        <v>-0.12021121277009916</v>
      </c>
      <c r="Q39" s="16">
        <f t="shared" si="76"/>
        <v>3.3591560063197523E-2</v>
      </c>
      <c r="R39" s="16">
        <f t="shared" si="76"/>
        <v>0.15208716198477279</v>
      </c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BA39" s="1"/>
    </row>
    <row r="40" spans="2:53" x14ac:dyDescent="0.2">
      <c r="B40" s="1" t="s">
        <v>78</v>
      </c>
      <c r="E40" s="16">
        <f>+E25/E23</f>
        <v>0.86697668907911496</v>
      </c>
      <c r="F40" s="16">
        <f>+F25/F23</f>
        <v>0.82801654630863075</v>
      </c>
      <c r="G40" s="16">
        <f>+G25/G23</f>
        <v>0.82253155159613967</v>
      </c>
      <c r="H40" s="16">
        <f t="shared" ref="H40" si="77">+H25/H23</f>
        <v>0.83434234234234239</v>
      </c>
      <c r="I40" s="16">
        <f t="shared" ref="I40:J40" si="78">+I25/I23</f>
        <v>0.8158264061319227</v>
      </c>
      <c r="J40" s="16">
        <f t="shared" si="78"/>
        <v>0.7585677188105775</v>
      </c>
      <c r="K40" s="16">
        <f t="shared" ref="K40:O40" si="79">+K25/K23</f>
        <v>0.70222766411248916</v>
      </c>
      <c r="L40" s="16">
        <f t="shared" si="79"/>
        <v>0.8130624541346414</v>
      </c>
      <c r="M40" s="16">
        <f t="shared" si="79"/>
        <v>0.81283635638827989</v>
      </c>
      <c r="N40" s="16">
        <f t="shared" si="79"/>
        <v>0.77558962264150932</v>
      </c>
      <c r="O40" s="16">
        <f t="shared" si="79"/>
        <v>0.73089727974015428</v>
      </c>
      <c r="P40" s="16">
        <f t="shared" ref="P40:R40" si="80">+P25/P23</f>
        <v>1</v>
      </c>
      <c r="Q40" s="16">
        <f t="shared" si="80"/>
        <v>1</v>
      </c>
      <c r="R40" s="16">
        <f t="shared" si="80"/>
        <v>1</v>
      </c>
      <c r="AC40" s="18">
        <f t="shared" ref="AC40:AD40" si="81">+AC25/AC23</f>
        <v>0.86399961051335739</v>
      </c>
      <c r="AD40" s="18">
        <f t="shared" si="81"/>
        <v>0.86573047915148083</v>
      </c>
      <c r="AE40" s="18">
        <f>+AE25/AE23</f>
        <v>0.80789473684210533</v>
      </c>
      <c r="AF40" s="18">
        <f t="shared" ref="AF40:AX40" si="82">+AF25/AF23</f>
        <v>0.79359859397365506</v>
      </c>
      <c r="AG40" s="18">
        <f t="shared" si="82"/>
        <v>0.82</v>
      </c>
      <c r="AH40" s="18">
        <f t="shared" si="82"/>
        <v>0.82000000000000006</v>
      </c>
      <c r="AI40" s="18">
        <f t="shared" si="82"/>
        <v>0.81999999999999984</v>
      </c>
      <c r="AJ40" s="18">
        <f t="shared" si="82"/>
        <v>0.82</v>
      </c>
      <c r="AK40" s="18">
        <f t="shared" si="82"/>
        <v>0.82</v>
      </c>
      <c r="AL40" s="18">
        <f t="shared" si="82"/>
        <v>0.82000000000000006</v>
      </c>
      <c r="AM40" s="18">
        <f t="shared" si="82"/>
        <v>0.82</v>
      </c>
      <c r="AN40" s="18">
        <f t="shared" si="82"/>
        <v>0.82</v>
      </c>
      <c r="AO40" s="18">
        <f t="shared" si="82"/>
        <v>0.82</v>
      </c>
      <c r="AP40" s="18">
        <f t="shared" si="82"/>
        <v>0.82</v>
      </c>
      <c r="AQ40" s="18">
        <f t="shared" si="82"/>
        <v>0.82</v>
      </c>
      <c r="AR40" s="18">
        <f t="shared" si="82"/>
        <v>0.82</v>
      </c>
      <c r="AS40" s="18">
        <f t="shared" si="82"/>
        <v>0.82</v>
      </c>
      <c r="AT40" s="18">
        <f t="shared" si="82"/>
        <v>0.82</v>
      </c>
      <c r="AU40" s="18">
        <f t="shared" si="82"/>
        <v>0.82000000000000006</v>
      </c>
      <c r="AV40" s="18">
        <f t="shared" si="82"/>
        <v>0.82</v>
      </c>
      <c r="AW40" s="18">
        <f t="shared" si="82"/>
        <v>0.82</v>
      </c>
      <c r="AX40" s="18">
        <f t="shared" si="82"/>
        <v>0.82</v>
      </c>
      <c r="AZ40" t="s">
        <v>82</v>
      </c>
      <c r="BA40" s="17">
        <f>BA38/Main!J3</f>
        <v>504.51493908465403</v>
      </c>
    </row>
    <row r="42" spans="2:53" x14ac:dyDescent="0.2">
      <c r="B42" t="s">
        <v>112</v>
      </c>
      <c r="L42" s="12">
        <f>L43-L57</f>
        <v>124.39999999999964</v>
      </c>
      <c r="M42" s="12">
        <f>M43-M57</f>
        <v>1104.8000000000002</v>
      </c>
      <c r="N42" s="12">
        <f>N43-N57</f>
        <v>846.69999999999982</v>
      </c>
      <c r="O42" s="12">
        <f>O43-O57</f>
        <v>1117.5999999999995</v>
      </c>
    </row>
    <row r="43" spans="2:53" s="1" customFormat="1" x14ac:dyDescent="0.2">
      <c r="B43" s="1" t="s">
        <v>3</v>
      </c>
      <c r="C43" s="12"/>
      <c r="D43" s="12"/>
      <c r="E43" s="12"/>
      <c r="F43" s="12"/>
      <c r="G43" s="12"/>
      <c r="H43" s="12"/>
      <c r="I43" s="12"/>
      <c r="J43" s="12"/>
      <c r="K43" s="12"/>
      <c r="L43" s="12">
        <f>4797.9+1102.9+1500.8</f>
        <v>7401.5999999999995</v>
      </c>
      <c r="M43" s="12">
        <f>3675.6+1235.5+860.3+1612.6</f>
        <v>7384</v>
      </c>
      <c r="N43" s="12">
        <f>3419.3+1473.5+705.7+1529.2</f>
        <v>7127.7</v>
      </c>
      <c r="O43" s="12">
        <f>2898.2+2143.1+978.2+1380.8</f>
        <v>7400.2999999999993</v>
      </c>
      <c r="P43" s="12"/>
      <c r="Q43" s="12"/>
    </row>
    <row r="44" spans="2:53" s="1" customFormat="1" x14ac:dyDescent="0.2">
      <c r="B44" s="1" t="s">
        <v>102</v>
      </c>
      <c r="C44" s="12"/>
      <c r="D44" s="12"/>
      <c r="E44" s="12"/>
      <c r="F44" s="12"/>
      <c r="G44" s="12"/>
      <c r="H44" s="12"/>
      <c r="I44" s="12"/>
      <c r="J44" s="12"/>
      <c r="K44" s="12"/>
      <c r="L44" s="12">
        <v>1567.6</v>
      </c>
      <c r="M44" s="12">
        <v>1568.8</v>
      </c>
      <c r="N44" s="12">
        <v>1705</v>
      </c>
      <c r="O44" s="12">
        <v>1634.4</v>
      </c>
      <c r="P44" s="12"/>
      <c r="Q44" s="12"/>
    </row>
    <row r="45" spans="2:53" s="1" customFormat="1" x14ac:dyDescent="0.2">
      <c r="B45" s="1" t="s">
        <v>59</v>
      </c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>
        <v>415.4</v>
      </c>
      <c r="N45" s="12">
        <v>431.4</v>
      </c>
      <c r="O45" s="12">
        <v>393.8</v>
      </c>
      <c r="P45" s="12"/>
      <c r="Q45" s="12"/>
    </row>
    <row r="46" spans="2:53" s="1" customFormat="1" x14ac:dyDescent="0.2">
      <c r="B46" s="1" t="s">
        <v>103</v>
      </c>
      <c r="C46" s="12"/>
      <c r="D46" s="12"/>
      <c r="E46" s="12"/>
      <c r="F46" s="12"/>
      <c r="G46" s="12"/>
      <c r="H46" s="12"/>
      <c r="I46" s="12"/>
      <c r="J46" s="12"/>
      <c r="K46" s="12"/>
      <c r="L46" s="12">
        <v>1294.2</v>
      </c>
      <c r="M46" s="12">
        <v>1375</v>
      </c>
      <c r="N46" s="12">
        <v>1344.4</v>
      </c>
      <c r="O46" s="12">
        <v>1281</v>
      </c>
      <c r="P46" s="12"/>
      <c r="Q46" s="12"/>
    </row>
    <row r="47" spans="2:53" s="1" customFormat="1" x14ac:dyDescent="0.2">
      <c r="B47" s="1" t="s">
        <v>104</v>
      </c>
      <c r="C47" s="12"/>
      <c r="D47" s="12"/>
      <c r="E47" s="12"/>
      <c r="F47" s="12"/>
      <c r="G47" s="12"/>
      <c r="H47" s="12"/>
      <c r="I47" s="12"/>
      <c r="J47" s="12"/>
      <c r="K47" s="12"/>
      <c r="L47" s="12">
        <v>2081.1999999999998</v>
      </c>
      <c r="M47" s="12">
        <v>1495.5</v>
      </c>
      <c r="N47" s="12">
        <v>1417.6</v>
      </c>
      <c r="O47" s="12">
        <v>1412</v>
      </c>
      <c r="P47" s="12"/>
      <c r="Q47" s="12"/>
    </row>
    <row r="48" spans="2:53" s="1" customFormat="1" x14ac:dyDescent="0.2">
      <c r="B48" s="1" t="s">
        <v>105</v>
      </c>
      <c r="C48" s="12"/>
      <c r="D48" s="12"/>
      <c r="E48" s="12"/>
      <c r="F48" s="12"/>
      <c r="G48" s="12"/>
      <c r="H48" s="12"/>
      <c r="I48" s="12"/>
      <c r="J48" s="12"/>
      <c r="K48" s="12"/>
      <c r="L48" s="12">
        <v>3355.1</v>
      </c>
      <c r="M48" s="12">
        <v>3266.4</v>
      </c>
      <c r="N48" s="12">
        <v>3298.6</v>
      </c>
      <c r="O48" s="12">
        <v>3300.9</v>
      </c>
      <c r="P48" s="12"/>
      <c r="Q48" s="12"/>
    </row>
    <row r="49" spans="2:17" s="1" customFormat="1" x14ac:dyDescent="0.2">
      <c r="B49" s="1" t="s">
        <v>106</v>
      </c>
      <c r="C49" s="12"/>
      <c r="D49" s="12"/>
      <c r="E49" s="12"/>
      <c r="F49" s="12"/>
      <c r="G49" s="12"/>
      <c r="H49" s="12"/>
      <c r="I49" s="12"/>
      <c r="J49" s="12"/>
      <c r="K49" s="12"/>
      <c r="L49" s="12">
        <v>321.10000000000002</v>
      </c>
      <c r="M49" s="12">
        <v>424.5</v>
      </c>
      <c r="N49" s="12">
        <v>403.9</v>
      </c>
      <c r="O49" s="12">
        <v>399.1</v>
      </c>
      <c r="P49" s="12"/>
      <c r="Q49" s="12"/>
    </row>
    <row r="50" spans="2:17" s="1" customFormat="1" x14ac:dyDescent="0.2">
      <c r="B50" s="1" t="s">
        <v>107</v>
      </c>
      <c r="C50" s="12"/>
      <c r="D50" s="12"/>
      <c r="E50" s="12"/>
      <c r="F50" s="12"/>
      <c r="G50" s="12"/>
      <c r="H50" s="12"/>
      <c r="I50" s="12"/>
      <c r="J50" s="12"/>
      <c r="K50" s="12"/>
      <c r="L50" s="12">
        <f>2075.3+5749.6</f>
        <v>7824.9000000000005</v>
      </c>
      <c r="M50" s="12">
        <f>5741.2+2008.9</f>
        <v>7750.1</v>
      </c>
      <c r="N50" s="12">
        <f>1850.1+5749</f>
        <v>7599.1</v>
      </c>
      <c r="O50" s="12">
        <f>1813.3+5751.8</f>
        <v>7565.1</v>
      </c>
      <c r="P50" s="12"/>
      <c r="Q50" s="12"/>
    </row>
    <row r="51" spans="2:17" s="1" customFormat="1" x14ac:dyDescent="0.2">
      <c r="B51" s="1" t="s">
        <v>108</v>
      </c>
      <c r="C51" s="12"/>
      <c r="D51" s="12"/>
      <c r="E51" s="12"/>
      <c r="F51" s="12"/>
      <c r="G51" s="12"/>
      <c r="H51" s="12"/>
      <c r="I51" s="12"/>
      <c r="J51" s="12"/>
      <c r="K51" s="12"/>
      <c r="L51" s="12">
        <v>1235.7</v>
      </c>
      <c r="M51" s="12">
        <v>1174.5</v>
      </c>
      <c r="N51" s="12">
        <v>1226.4000000000001</v>
      </c>
      <c r="O51" s="12">
        <v>1211.8</v>
      </c>
      <c r="P51" s="12"/>
      <c r="Q51" s="12"/>
    </row>
    <row r="52" spans="2:17" x14ac:dyDescent="0.2">
      <c r="B52" s="1" t="s">
        <v>109</v>
      </c>
      <c r="L52" s="12">
        <f>SUM(L43:L51)</f>
        <v>25081.4</v>
      </c>
      <c r="M52" s="12">
        <f>SUM(M43:M51)</f>
        <v>24854.199999999997</v>
      </c>
      <c r="N52" s="12">
        <f>SUM(N43:N51)</f>
        <v>24554.100000000002</v>
      </c>
      <c r="O52" s="12">
        <f>SUM(O43:O51)</f>
        <v>24598.399999999998</v>
      </c>
    </row>
    <row r="54" spans="2:17" s="1" customFormat="1" x14ac:dyDescent="0.2">
      <c r="B54" s="1" t="s">
        <v>69</v>
      </c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>
        <f>237.3+328.9</f>
        <v>566.20000000000005</v>
      </c>
      <c r="N54" s="12">
        <v>259.89999999999998</v>
      </c>
      <c r="O54" s="12">
        <v>235.5</v>
      </c>
      <c r="P54" s="12"/>
      <c r="Q54" s="12"/>
    </row>
    <row r="55" spans="2:17" s="1" customFormat="1" x14ac:dyDescent="0.2">
      <c r="B55" s="1" t="s">
        <v>110</v>
      </c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>
        <v>383.2</v>
      </c>
      <c r="N55" s="12">
        <v>491.5</v>
      </c>
      <c r="O55" s="12">
        <v>491.2</v>
      </c>
      <c r="P55" s="12"/>
      <c r="Q55" s="12"/>
    </row>
    <row r="56" spans="2:17" s="1" customFormat="1" x14ac:dyDescent="0.2">
      <c r="B56" s="1" t="s">
        <v>111</v>
      </c>
      <c r="C56" s="12"/>
      <c r="D56" s="12"/>
      <c r="E56" s="12"/>
      <c r="F56" s="12"/>
      <c r="G56" s="12"/>
      <c r="H56" s="12"/>
      <c r="I56" s="12"/>
      <c r="J56" s="12"/>
      <c r="K56" s="12"/>
      <c r="L56" s="12">
        <v>4018.2</v>
      </c>
      <c r="M56" s="12">
        <v>3305.9</v>
      </c>
      <c r="N56" s="12">
        <v>2521.4</v>
      </c>
      <c r="O56" s="12">
        <v>2288.1999999999998</v>
      </c>
      <c r="P56" s="12"/>
      <c r="Q56" s="12"/>
    </row>
    <row r="57" spans="2:17" s="1" customFormat="1" x14ac:dyDescent="0.2">
      <c r="B57" s="1" t="s">
        <v>4</v>
      </c>
      <c r="C57" s="12"/>
      <c r="D57" s="12"/>
      <c r="E57" s="12"/>
      <c r="F57" s="12"/>
      <c r="G57" s="12"/>
      <c r="H57" s="12"/>
      <c r="I57" s="12"/>
      <c r="J57" s="12"/>
      <c r="K57" s="12"/>
      <c r="L57" s="12">
        <f>999.8+6277.4</f>
        <v>7277.2</v>
      </c>
      <c r="M57" s="12">
        <v>6279.2</v>
      </c>
      <c r="N57" s="12">
        <v>6281</v>
      </c>
      <c r="O57" s="12">
        <v>6282.7</v>
      </c>
      <c r="P57" s="12"/>
      <c r="Q57" s="12"/>
    </row>
    <row r="58" spans="2:17" s="1" customFormat="1" x14ac:dyDescent="0.2">
      <c r="B58" s="1" t="s">
        <v>108</v>
      </c>
      <c r="C58" s="12"/>
      <c r="D58" s="12"/>
      <c r="E58" s="12"/>
      <c r="F58" s="12"/>
      <c r="G58" s="12"/>
      <c r="H58" s="12"/>
      <c r="I58" s="12"/>
      <c r="J58" s="12"/>
      <c r="K58" s="12"/>
      <c r="L58" s="12">
        <v>480.6</v>
      </c>
      <c r="M58" s="12">
        <v>354.8</v>
      </c>
      <c r="N58" s="12">
        <v>334.7</v>
      </c>
      <c r="O58" s="12">
        <v>251.3</v>
      </c>
      <c r="P58" s="12"/>
      <c r="Q58" s="12"/>
    </row>
    <row r="59" spans="2:17" s="1" customFormat="1" x14ac:dyDescent="0.2">
      <c r="B59" s="1" t="s">
        <v>106</v>
      </c>
      <c r="C59" s="12"/>
      <c r="D59" s="12"/>
      <c r="E59" s="12"/>
      <c r="F59" s="12"/>
      <c r="G59" s="12"/>
      <c r="H59" s="12"/>
      <c r="I59" s="12"/>
      <c r="J59" s="12"/>
      <c r="K59" s="12"/>
      <c r="L59" s="12">
        <v>274.2</v>
      </c>
      <c r="M59" s="12">
        <v>1198.0999999999999</v>
      </c>
      <c r="N59" s="12">
        <v>333</v>
      </c>
      <c r="O59" s="12">
        <v>327</v>
      </c>
      <c r="P59" s="12"/>
      <c r="Q59" s="12"/>
    </row>
    <row r="60" spans="2:17" s="1" customFormat="1" x14ac:dyDescent="0.2">
      <c r="B60" s="1" t="s">
        <v>120</v>
      </c>
      <c r="C60" s="12"/>
      <c r="D60" s="12"/>
      <c r="E60" s="12"/>
      <c r="F60" s="12"/>
      <c r="G60" s="12"/>
      <c r="H60" s="12"/>
      <c r="I60" s="12"/>
      <c r="J60" s="12"/>
      <c r="K60" s="12"/>
      <c r="L60" s="12">
        <v>1167.8</v>
      </c>
      <c r="M60" s="12"/>
      <c r="N60" s="12">
        <v>944.2</v>
      </c>
      <c r="O60" s="12">
        <v>935.5</v>
      </c>
      <c r="P60" s="12"/>
      <c r="Q60" s="12"/>
    </row>
    <row r="61" spans="2:17" s="1" customFormat="1" x14ac:dyDescent="0.2">
      <c r="B61" s="1" t="s">
        <v>101</v>
      </c>
      <c r="C61" s="12"/>
      <c r="D61" s="12"/>
      <c r="E61" s="12"/>
      <c r="F61" s="12"/>
      <c r="G61" s="12"/>
      <c r="H61" s="12"/>
      <c r="I61" s="12"/>
      <c r="J61" s="12"/>
      <c r="K61" s="12"/>
      <c r="L61" s="12">
        <v>11863.4</v>
      </c>
      <c r="M61" s="12">
        <v>12766.8</v>
      </c>
      <c r="N61" s="12">
        <v>13388.4</v>
      </c>
      <c r="O61" s="12">
        <v>13787</v>
      </c>
      <c r="P61" s="12"/>
      <c r="Q61" s="12"/>
    </row>
    <row r="62" spans="2:17" s="1" customFormat="1" x14ac:dyDescent="0.2">
      <c r="B62" s="1" t="s">
        <v>100</v>
      </c>
      <c r="C62" s="12"/>
      <c r="D62" s="12"/>
      <c r="E62" s="12"/>
      <c r="F62" s="12"/>
      <c r="G62" s="12"/>
      <c r="H62" s="12"/>
      <c r="I62" s="12"/>
      <c r="J62" s="12"/>
      <c r="K62" s="12"/>
      <c r="L62" s="12">
        <f>SUM(L54:L61)</f>
        <v>25081.4</v>
      </c>
      <c r="M62" s="12">
        <f>SUM(M54:M61)</f>
        <v>24854.199999999997</v>
      </c>
      <c r="N62" s="12">
        <f>SUM(N54:N61)</f>
        <v>24554.1</v>
      </c>
      <c r="O62" s="12">
        <f>SUM(O54:O61)</f>
        <v>24598.399999999998</v>
      </c>
      <c r="P62" s="12"/>
      <c r="Q62" s="12"/>
    </row>
  </sheetData>
  <hyperlinks>
    <hyperlink ref="A1" location="Main!A1" display="Main" xr:uid="{B820F574-645F-4D74-9059-6520877C6957}"/>
  </hyperlinks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2022-10-12T00:37:40Z</dcterms:created>
  <dcterms:modified xsi:type="dcterms:W3CDTF">2023-06-21T21:45:02Z</dcterms:modified>
</cp:coreProperties>
</file>