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xl/externalLinks/externalLink27.xml" ContentType="application/vnd.openxmlformats-officedocument.spreadsheetml.externalLink+xml"/>
  <Override PartName="/xl/externalLinks/externalLink28.xml" ContentType="application/vnd.openxmlformats-officedocument.spreadsheetml.externalLink+xml"/>
  <Override PartName="/xl/externalLinks/externalLink29.xml" ContentType="application/vnd.openxmlformats-officedocument.spreadsheetml.externalLink+xml"/>
  <Override PartName="/xl/externalLinks/externalLink30.xml" ContentType="application/vnd.openxmlformats-officedocument.spreadsheetml.externalLink+xml"/>
  <Override PartName="/xl/externalLinks/externalLink31.xml" ContentType="application/vnd.openxmlformats-officedocument.spreadsheetml.externalLink+xml"/>
  <Override PartName="/xl/externalLinks/externalLink32.xml" ContentType="application/vnd.openxmlformats-officedocument.spreadsheetml.externalLink+xml"/>
  <Override PartName="/xl/externalLinks/externalLink33.xml" ContentType="application/vnd.openxmlformats-officedocument.spreadsheetml.externalLink+xml"/>
  <Override PartName="/xl/externalLinks/externalLink34.xml" ContentType="application/vnd.openxmlformats-officedocument.spreadsheetml.externalLink+xml"/>
  <Override PartName="/xl/externalLinks/externalLink35.xml" ContentType="application/vnd.openxmlformats-officedocument.spreadsheetml.externalLink+xml"/>
  <Override PartName="/xl/externalLinks/externalLink36.xml" ContentType="application/vnd.openxmlformats-officedocument.spreadsheetml.externalLink+xml"/>
  <Override PartName="/xl/externalLinks/externalLink37.xml" ContentType="application/vnd.openxmlformats-officedocument.spreadsheetml.externalLink+xml"/>
  <Override PartName="/xl/externalLinks/externalLink38.xml" ContentType="application/vnd.openxmlformats-officedocument.spreadsheetml.externalLink+xml"/>
  <Override PartName="/xl/externalLinks/externalLink39.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filterPrivacy="1" showInkAnnotation="0" defaultThemeVersion="166925"/>
  <xr:revisionPtr revIDLastSave="0" documentId="13_ncr:1_{E4480583-1509-4FD8-9EE9-1599C6BDE721}" xr6:coauthVersionLast="47" xr6:coauthVersionMax="47" xr10:uidLastSave="{00000000-0000-0000-0000-000000000000}"/>
  <bookViews>
    <workbookView xWindow="-50640" yWindow="1845" windowWidth="32370" windowHeight="18030" firstSheet="4" activeTab="8" xr2:uid="{00000000-000D-0000-FFFF-FFFF00000000}"/>
  </bookViews>
  <sheets>
    <sheet name="People" sheetId="14" r:id="rId1"/>
    <sheet name="Glossary" sheetId="13" r:id="rId2"/>
    <sheet name="Historical" sheetId="12" r:id="rId3"/>
    <sheet name="Main" sheetId="1" r:id="rId4"/>
    <sheet name="Enterprise-Cloud" sheetId="10" r:id="rId5"/>
    <sheet name="Social-Dating" sheetId="9" r:id="rId6"/>
    <sheet name="Simulation-Technical Design" sheetId="11" r:id="rId7"/>
    <sheet name="AI Investors" sheetId="17" r:id="rId8"/>
    <sheet name="AI" sheetId="15" r:id="rId9"/>
    <sheet name="Revenue" sheetId="16" r:id="rId10"/>
    <sheet name="Media-Games-Design" sheetId="8" r:id="rId11"/>
    <sheet name="Fintech" sheetId="7" r:id="rId12"/>
    <sheet name="Ecommerce" sheetId="5" r:id="rId13"/>
    <sheet name="Security" sheetId="4" r:id="rId14"/>
    <sheet name="FX" sheetId="3" r:id="rId15"/>
    <sheet name="Private" sheetId="2" r:id="rId16"/>
  </sheets>
  <externalReferences>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 r:id="rId31"/>
    <externalReference r:id="rId32"/>
    <externalReference r:id="rId33"/>
    <externalReference r:id="rId34"/>
    <externalReference r:id="rId35"/>
    <externalReference r:id="rId36"/>
    <externalReference r:id="rId37"/>
    <externalReference r:id="rId38"/>
    <externalReference r:id="rId39"/>
    <externalReference r:id="rId40"/>
    <externalReference r:id="rId41"/>
    <externalReference r:id="rId42"/>
    <externalReference r:id="rId43"/>
    <externalReference r:id="rId44"/>
    <externalReference r:id="rId45"/>
    <externalReference r:id="rId46"/>
    <externalReference r:id="rId47"/>
    <externalReference r:id="rId48"/>
    <externalReference r:id="rId49"/>
    <externalReference r:id="rId50"/>
    <externalReference r:id="rId51"/>
    <externalReference r:id="rId52"/>
    <externalReference r:id="rId53"/>
    <externalReference r:id="rId54"/>
    <externalReference r:id="rId55"/>
  </externalReferences>
  <definedNames>
    <definedName name="_xlnm._FilterDatabase" localSheetId="8" hidden="1">AI!$A$2:$L$203</definedName>
    <definedName name="CAD">FX!$C$7</definedName>
    <definedName name="EUR">FX!$C$4</definedName>
    <definedName name="HKD">FX!$C$2</definedName>
    <definedName name="JPY">FX!$C$6</definedName>
    <definedName name="RMB">FX!$C$3</definedName>
    <definedName name="SEK">FX!$C$5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447" i="17" l="1"/>
  <c r="G414" i="17"/>
  <c r="F414" i="17"/>
  <c r="G347" i="17"/>
  <c r="F347" i="17"/>
  <c r="G492" i="17"/>
  <c r="G379" i="17"/>
  <c r="F967" i="17"/>
  <c r="F966" i="17"/>
  <c r="G282" i="17"/>
  <c r="F282" i="17"/>
  <c r="F86" i="15"/>
  <c r="F23" i="17"/>
  <c r="F57" i="17"/>
  <c r="F959" i="17"/>
  <c r="F958" i="17"/>
  <c r="F957" i="17"/>
  <c r="F956" i="17"/>
  <c r="F955" i="17"/>
  <c r="F954" i="17"/>
  <c r="F951" i="17"/>
  <c r="F823" i="17"/>
  <c r="F950" i="17"/>
  <c r="F949" i="17"/>
  <c r="G159" i="17"/>
  <c r="F946" i="17"/>
  <c r="G307" i="17"/>
  <c r="F307" i="17"/>
  <c r="G487" i="17"/>
  <c r="F487" i="17"/>
  <c r="G505" i="17"/>
  <c r="G440" i="17"/>
  <c r="G373" i="17"/>
  <c r="G483" i="17"/>
  <c r="G472" i="17"/>
  <c r="F923" i="17"/>
  <c r="F922" i="17"/>
  <c r="F921" i="17"/>
  <c r="F920" i="17"/>
  <c r="F919" i="17"/>
  <c r="F918" i="17"/>
  <c r="F917" i="17"/>
  <c r="F914" i="17"/>
  <c r="F913" i="17"/>
  <c r="G501" i="17"/>
  <c r="F501" i="17"/>
  <c r="G510" i="17"/>
  <c r="F463" i="17"/>
  <c r="G463" i="17"/>
  <c r="G352" i="17"/>
  <c r="G410" i="17"/>
  <c r="G74" i="17"/>
  <c r="G82" i="17"/>
  <c r="G43" i="17"/>
  <c r="G78" i="17"/>
  <c r="G47" i="17"/>
  <c r="G70" i="17"/>
  <c r="G39" i="17"/>
  <c r="G130" i="17"/>
  <c r="G66" i="17"/>
  <c r="G496" i="17"/>
  <c r="F514" i="17"/>
  <c r="G514" i="17"/>
  <c r="F418" i="17"/>
  <c r="G418" i="17"/>
  <c r="G429" i="17"/>
  <c r="F429" i="17"/>
  <c r="G311" i="17"/>
  <c r="G249" i="17"/>
  <c r="F328" i="17"/>
  <c r="F271" i="17"/>
  <c r="F225" i="17"/>
  <c r="F179" i="17"/>
  <c r="F173" i="17"/>
  <c r="F148" i="17"/>
  <c r="F125" i="17"/>
  <c r="A97" i="15"/>
  <c r="A98" i="15" s="1"/>
  <c r="A99" i="15" s="1"/>
  <c r="A100" i="15" s="1"/>
  <c r="A101" i="15" s="1"/>
  <c r="A102" i="15" s="1"/>
  <c r="A103" i="15" s="1"/>
  <c r="A104" i="15" s="1"/>
  <c r="A105" i="15" s="1"/>
  <c r="A106" i="15" s="1"/>
  <c r="A107" i="15" s="1"/>
  <c r="A108" i="15" s="1"/>
  <c r="A109" i="15" s="1"/>
  <c r="A110" i="15" s="1"/>
  <c r="A111" i="15" s="1"/>
  <c r="A112" i="15" s="1"/>
  <c r="A113" i="15" s="1"/>
  <c r="A114" i="15" s="1"/>
  <c r="A115" i="15" s="1"/>
  <c r="F806" i="17"/>
  <c r="F805" i="17"/>
  <c r="F804" i="17"/>
  <c r="F803" i="17"/>
  <c r="F521" i="17"/>
  <c r="F835" i="17"/>
  <c r="F834" i="17"/>
  <c r="F833" i="17"/>
  <c r="F832" i="17"/>
  <c r="F831" i="17"/>
  <c r="F830" i="17"/>
  <c r="F763" i="17" l="1"/>
  <c r="F860" i="17"/>
  <c r="F760" i="17"/>
  <c r="F863" i="17"/>
  <c r="F862" i="17"/>
  <c r="F698" i="17"/>
  <c r="F757" i="17"/>
  <c r="F873" i="17"/>
  <c r="F872" i="17"/>
  <c r="F753" i="17"/>
  <c r="F750" i="17"/>
  <c r="F747" i="17"/>
  <c r="F899" i="17"/>
  <c r="F743" i="17"/>
  <c r="F741" i="17"/>
  <c r="F925" i="17"/>
  <c r="F738" i="17"/>
  <c r="F343" i="17"/>
  <c r="F737" i="17"/>
  <c r="F728" i="17"/>
  <c r="F732" i="17"/>
  <c r="F723" i="17"/>
  <c r="F725" i="17"/>
  <c r="F734" i="17"/>
  <c r="F733" i="17"/>
  <c r="F731" i="17"/>
  <c r="F730" i="17"/>
  <c r="F727" i="17"/>
  <c r="F724" i="17"/>
  <c r="F722" i="17"/>
  <c r="F720" i="17"/>
  <c r="F718" i="17"/>
  <c r="G51" i="17"/>
  <c r="F444" i="17"/>
  <c r="F440" i="17" s="1"/>
  <c r="F394" i="17"/>
  <c r="F34" i="17"/>
  <c r="G399" i="17"/>
  <c r="F404" i="17"/>
  <c r="F896" i="17"/>
  <c r="F895" i="17"/>
  <c r="F894" i="17"/>
  <c r="F893" i="17"/>
  <c r="F303" i="17"/>
  <c r="F370" i="17"/>
  <c r="F365" i="17" s="1"/>
  <c r="F104" i="17"/>
  <c r="F403" i="17"/>
  <c r="F891" i="17"/>
  <c r="F892" i="17"/>
  <c r="G294" i="17"/>
  <c r="G86" i="17"/>
  <c r="F890" i="17"/>
  <c r="F889" i="17"/>
  <c r="F888" i="17"/>
  <c r="F695" i="17"/>
  <c r="F692" i="17"/>
  <c r="F689" i="17"/>
  <c r="F869" i="17"/>
  <c r="F868" i="17"/>
  <c r="F867" i="17"/>
  <c r="F866" i="17"/>
  <c r="F865" i="17"/>
  <c r="F313" i="17"/>
  <c r="F311" i="17" s="1"/>
  <c r="F616" i="17"/>
  <c r="F506" i="17"/>
  <c r="F505" i="17" s="1"/>
  <c r="F668" i="17"/>
  <c r="F907" i="17"/>
  <c r="F213" i="17"/>
  <c r="F102" i="17"/>
  <c r="F906" i="17"/>
  <c r="F663" i="17"/>
  <c r="F302" i="17"/>
  <c r="G191" i="17"/>
  <c r="G479" i="17"/>
  <c r="G317" i="17"/>
  <c r="F660" i="17"/>
  <c r="F657" i="17"/>
  <c r="F654" i="17"/>
  <c r="F294" i="17" l="1"/>
  <c r="F399" i="17"/>
  <c r="F259" i="17"/>
  <c r="F648" i="17"/>
  <c r="F603" i="17"/>
  <c r="F621" i="17"/>
  <c r="F643" i="17"/>
  <c r="F211" i="17"/>
  <c r="F474" i="17"/>
  <c r="F875" i="17"/>
  <c r="F645" i="17"/>
  <c r="F473" i="17"/>
  <c r="F826" i="17"/>
  <c r="F825" i="17"/>
  <c r="F210" i="17"/>
  <c r="F321" i="17"/>
  <c r="F317" i="17" s="1"/>
  <c r="F822" i="17"/>
  <c r="F964" i="17"/>
  <c r="F963" i="17"/>
  <c r="F962" i="17"/>
  <c r="F642" i="17"/>
  <c r="F266" i="17"/>
  <c r="F263" i="17" s="1"/>
  <c r="G287" i="17"/>
  <c r="F630" i="17"/>
  <c r="F625" i="17"/>
  <c r="F633" i="17"/>
  <c r="F629" i="17"/>
  <c r="F624" i="17"/>
  <c r="G173" i="17"/>
  <c r="G19" i="17"/>
  <c r="F594" i="17"/>
  <c r="F620" i="17"/>
  <c r="F615" i="17"/>
  <c r="F618" i="17"/>
  <c r="F593" i="17"/>
  <c r="G134" i="17"/>
  <c r="F355" i="17"/>
  <c r="F352" i="17" s="1"/>
  <c r="F610" i="17"/>
  <c r="F607" i="17"/>
  <c r="F116" i="17"/>
  <c r="F393" i="17"/>
  <c r="F389" i="17" s="1"/>
  <c r="F579" i="17"/>
  <c r="F578" i="17"/>
  <c r="F577" i="17"/>
  <c r="F243" i="17"/>
  <c r="F448" i="17"/>
  <c r="F447" i="17" s="1"/>
  <c r="F567" i="17"/>
  <c r="F493" i="17"/>
  <c r="F492" i="17" s="1"/>
  <c r="F484" i="17"/>
  <c r="F483" i="17" s="1"/>
  <c r="F568" i="17"/>
  <c r="G238" i="17"/>
  <c r="F140" i="17"/>
  <c r="F134" i="17" s="1"/>
  <c r="F511" i="17"/>
  <c r="F510" i="17" s="1"/>
  <c r="F565" i="17"/>
  <c r="F564" i="17"/>
  <c r="F291" i="17"/>
  <c r="F241" i="17"/>
  <c r="F290" i="17"/>
  <c r="F257" i="17"/>
  <c r="F289" i="17"/>
  <c r="F239" i="17"/>
  <c r="G406" i="17"/>
  <c r="G253" i="17"/>
  <c r="G148" i="17"/>
  <c r="F195" i="17"/>
  <c r="F191" i="17" s="1"/>
  <c r="F25" i="17"/>
  <c r="F19" i="17" s="1"/>
  <c r="G206" i="17"/>
  <c r="F164" i="17"/>
  <c r="F159" i="17" s="1"/>
  <c r="F412" i="17"/>
  <c r="F410" i="17" s="1"/>
  <c r="F208" i="17"/>
  <c r="F12" i="17"/>
  <c r="F84" i="17"/>
  <c r="F80" i="17"/>
  <c r="F51" i="17"/>
  <c r="F75" i="17"/>
  <c r="F74" i="17" s="1"/>
  <c r="F83" i="17"/>
  <c r="F44" i="17"/>
  <c r="F43" i="17" s="1"/>
  <c r="F79" i="17"/>
  <c r="F48" i="17"/>
  <c r="F47" i="17" s="1"/>
  <c r="F71" i="17"/>
  <c r="F70" i="17" s="1"/>
  <c r="F40" i="17"/>
  <c r="F39" i="17" s="1"/>
  <c r="F131" i="17"/>
  <c r="F130" i="17" s="1"/>
  <c r="F67" i="17"/>
  <c r="F66" i="17" s="1"/>
  <c r="F408" i="17"/>
  <c r="F406" i="17" s="1"/>
  <c r="F8" i="17"/>
  <c r="F112" i="17"/>
  <c r="F561" i="17"/>
  <c r="F497" i="17"/>
  <c r="F496" i="17" s="1"/>
  <c r="F481" i="17"/>
  <c r="F479" i="17" s="1"/>
  <c r="F559" i="17"/>
  <c r="G389" i="17"/>
  <c r="G218" i="17"/>
  <c r="G518" i="17"/>
  <c r="F518" i="17"/>
  <c r="G467" i="17"/>
  <c r="F467" i="17"/>
  <c r="G328" i="17"/>
  <c r="F380" i="17"/>
  <c r="F379" i="17" s="1"/>
  <c r="G324" i="17"/>
  <c r="F324" i="17"/>
  <c r="G107" i="17"/>
  <c r="G452" i="17"/>
  <c r="F452" i="17"/>
  <c r="G457" i="17"/>
  <c r="F457" i="17"/>
  <c r="G179" i="17"/>
  <c r="G225" i="17"/>
  <c r="G422" i="17"/>
  <c r="G271" i="17"/>
  <c r="F424" i="17"/>
  <c r="F422" i="17" s="1"/>
  <c r="G360" i="17"/>
  <c r="G339" i="17"/>
  <c r="F361" i="17"/>
  <c r="F360" i="17" s="1"/>
  <c r="F340" i="17"/>
  <c r="F339" i="17" s="1"/>
  <c r="G234" i="17"/>
  <c r="F236" i="17"/>
  <c r="G3" i="17"/>
  <c r="F4" i="17"/>
  <c r="F219" i="17"/>
  <c r="F218" i="17" s="1"/>
  <c r="F235" i="17"/>
  <c r="F528" i="17"/>
  <c r="F527" i="17"/>
  <c r="G125" i="17"/>
  <c r="F437" i="17"/>
  <c r="F434" i="17" s="1"/>
  <c r="G434" i="17"/>
  <c r="G365" i="17"/>
  <c r="F88" i="17"/>
  <c r="F86" i="17" s="1"/>
  <c r="G263" i="17"/>
  <c r="F250" i="17"/>
  <c r="F249" i="17" s="1"/>
  <c r="A69" i="15"/>
  <c r="A70" i="15" s="1"/>
  <c r="A71" i="15" s="1"/>
  <c r="A72" i="15" s="1"/>
  <c r="A73" i="15" s="1"/>
  <c r="A74" i="15" s="1"/>
  <c r="A75" i="15" s="1"/>
  <c r="F206" i="17" l="1"/>
  <c r="F472" i="17"/>
  <c r="F82" i="17"/>
  <c r="F78" i="17"/>
  <c r="F253" i="17"/>
  <c r="F107" i="17"/>
  <c r="F287" i="17"/>
  <c r="F238" i="17"/>
  <c r="F3" i="17"/>
  <c r="F234" i="17"/>
  <c r="A61" i="15"/>
  <c r="A36" i="15"/>
  <c r="A37" i="15" s="1"/>
  <c r="A38" i="15" s="1"/>
  <c r="A39" i="15" s="1"/>
  <c r="A44" i="15" s="1"/>
  <c r="A62" i="15" l="1"/>
  <c r="A45" i="15"/>
  <c r="A47" i="15" s="1"/>
  <c r="A49" i="15" s="1"/>
  <c r="A51" i="15" s="1"/>
  <c r="A53" i="15" s="1"/>
  <c r="A41" i="15" s="1"/>
  <c r="A54" i="15" s="1"/>
  <c r="A16" i="15"/>
  <c r="A22" i="15" s="1"/>
  <c r="A23" i="15" s="1"/>
  <c r="A24" i="15" s="1"/>
  <c r="A25" i="15" s="1"/>
  <c r="A26" i="15" s="1"/>
  <c r="A27" i="15" s="1"/>
  <c r="A30" i="15" s="1"/>
  <c r="F5" i="10"/>
  <c r="H5" i="10"/>
  <c r="E5" i="10" s="1"/>
  <c r="F7" i="1"/>
  <c r="H7" i="1"/>
  <c r="E7" i="1" s="1"/>
  <c r="E17" i="10"/>
  <c r="F17" i="10"/>
  <c r="A55" i="15" l="1"/>
  <c r="A56" i="15" s="1"/>
  <c r="A57" i="15" s="1"/>
  <c r="A58" i="15" s="1"/>
  <c r="G5" i="10"/>
  <c r="G7" i="1"/>
  <c r="G17" i="10"/>
  <c r="G8" i="8"/>
  <c r="G24" i="8"/>
  <c r="Z24" i="8"/>
  <c r="F8" i="7" l="1"/>
  <c r="H8" i="7"/>
  <c r="E8" i="7" s="1"/>
  <c r="G8" i="7" l="1"/>
  <c r="O3" i="16"/>
  <c r="N3" i="16"/>
  <c r="M3" i="16"/>
  <c r="L3" i="16"/>
  <c r="K3" i="16"/>
  <c r="J3" i="16"/>
  <c r="I3" i="16"/>
  <c r="H3" i="16"/>
  <c r="G3" i="16"/>
  <c r="F3" i="16"/>
  <c r="E3" i="16"/>
  <c r="D3" i="16"/>
  <c r="C3" i="16"/>
  <c r="F6" i="1" l="1"/>
  <c r="W5" i="1" l="1"/>
  <c r="V5" i="1"/>
  <c r="U5" i="1"/>
  <c r="T5" i="1"/>
  <c r="O5" i="1"/>
  <c r="N5" i="1"/>
  <c r="M5" i="1"/>
  <c r="K5" i="1"/>
  <c r="L5" i="1" s="1"/>
  <c r="O12" i="16" l="1"/>
  <c r="O10" i="16" l="1"/>
  <c r="D2" i="16" l="1"/>
  <c r="E2" i="16" s="1"/>
  <c r="F2" i="16" s="1"/>
  <c r="G2" i="16" s="1"/>
  <c r="H2" i="16" s="1"/>
  <c r="I2" i="16" s="1"/>
  <c r="J2" i="16" s="1"/>
  <c r="K2" i="16" s="1"/>
  <c r="L2" i="16" s="1"/>
  <c r="M2" i="16" s="1"/>
  <c r="N2" i="16" s="1"/>
  <c r="O2" i="16" s="1"/>
  <c r="K4" i="1" l="1"/>
  <c r="F4" i="1" l="1"/>
  <c r="F11" i="10" l="1"/>
  <c r="F7" i="8" l="1"/>
  <c r="F6" i="8"/>
  <c r="H7" i="8"/>
  <c r="E7" i="8" s="1"/>
  <c r="H6" i="8"/>
  <c r="E6" i="8" s="1"/>
  <c r="G6" i="8" l="1"/>
  <c r="G7" i="8"/>
  <c r="H14" i="8"/>
  <c r="E14" i="8" s="1"/>
  <c r="F14" i="8"/>
  <c r="F9" i="5"/>
  <c r="H9" i="5"/>
  <c r="E9" i="5" s="1"/>
  <c r="G9" i="5" l="1"/>
  <c r="H3" i="5"/>
  <c r="E3" i="5" s="1"/>
  <c r="F24" i="5" l="1"/>
  <c r="H24" i="5"/>
  <c r="E24" i="5" s="1"/>
  <c r="G24" i="5" l="1"/>
  <c r="F8" i="9"/>
  <c r="H8" i="9"/>
  <c r="E8" i="9" s="1"/>
  <c r="G8" i="9" l="1"/>
  <c r="Z8" i="9" s="1"/>
  <c r="H6" i="10"/>
  <c r="N6" i="10"/>
  <c r="M6" i="10"/>
  <c r="K6" i="10"/>
  <c r="L6" i="10" s="1"/>
  <c r="H9" i="8"/>
  <c r="E9" i="8" s="1"/>
  <c r="F9" i="8"/>
  <c r="W4" i="1"/>
  <c r="V4" i="1"/>
  <c r="U4" i="1"/>
  <c r="T4" i="1"/>
  <c r="G9" i="8" l="1"/>
  <c r="G7" i="9"/>
  <c r="H4" i="10"/>
  <c r="E3" i="9" l="1"/>
  <c r="F3" i="9"/>
  <c r="F7" i="7" l="1"/>
  <c r="H7" i="7"/>
  <c r="E7" i="7" s="1"/>
  <c r="W3" i="10"/>
  <c r="V3" i="10"/>
  <c r="U3" i="10"/>
  <c r="T3" i="10"/>
  <c r="O3" i="10"/>
  <c r="N3" i="10"/>
  <c r="M3" i="10"/>
  <c r="K3" i="10"/>
  <c r="L3" i="10" s="1"/>
  <c r="H3" i="10"/>
  <c r="F3" i="10"/>
  <c r="E3" i="10"/>
  <c r="H4" i="9"/>
  <c r="F19" i="8"/>
  <c r="E19" i="8"/>
  <c r="G3" i="10" l="1"/>
  <c r="S3" i="10" s="1"/>
  <c r="G7" i="7"/>
  <c r="G19" i="8"/>
  <c r="Q3" i="10" l="1"/>
  <c r="P3" i="10"/>
  <c r="R3" i="10"/>
  <c r="H7" i="11"/>
  <c r="E7" i="11" s="1"/>
  <c r="F7" i="11"/>
  <c r="H6" i="11"/>
  <c r="E6" i="11" s="1"/>
  <c r="F6" i="11"/>
  <c r="H5" i="11"/>
  <c r="E5" i="11" s="1"/>
  <c r="F5" i="11"/>
  <c r="F4" i="11"/>
  <c r="E4" i="11"/>
  <c r="H3" i="11"/>
  <c r="E3" i="11" s="1"/>
  <c r="F3" i="11"/>
  <c r="H5" i="8"/>
  <c r="G7" i="11" l="1"/>
  <c r="G3" i="11"/>
  <c r="G5" i="11"/>
  <c r="G6" i="11"/>
  <c r="G4" i="11"/>
  <c r="F13" i="10"/>
  <c r="H13" i="10"/>
  <c r="E13" i="10" s="1"/>
  <c r="G13" i="10" l="1"/>
  <c r="F15" i="10"/>
  <c r="H15" i="10"/>
  <c r="E15" i="10" s="1"/>
  <c r="F20" i="10"/>
  <c r="H20" i="10"/>
  <c r="E20" i="10" s="1"/>
  <c r="G20" i="10" l="1"/>
  <c r="G15" i="10"/>
  <c r="H12" i="10"/>
  <c r="F12" i="10"/>
  <c r="E12" i="10"/>
  <c r="H11" i="10"/>
  <c r="E11" i="10" s="1"/>
  <c r="H10" i="10"/>
  <c r="F10" i="10"/>
  <c r="E10" i="10"/>
  <c r="G12" i="10" l="1"/>
  <c r="G10" i="10"/>
  <c r="G11" i="10"/>
  <c r="F5" i="8" l="1"/>
  <c r="E5" i="8"/>
  <c r="H9" i="10"/>
  <c r="E9" i="10" s="1"/>
  <c r="F9" i="10"/>
  <c r="F8" i="10"/>
  <c r="E8" i="10"/>
  <c r="F7" i="10"/>
  <c r="E7" i="10"/>
  <c r="F6" i="10"/>
  <c r="E6" i="10"/>
  <c r="F4" i="10"/>
  <c r="E4" i="10"/>
  <c r="G6" i="10" l="1"/>
  <c r="G7" i="10"/>
  <c r="G8" i="10"/>
  <c r="G9" i="10"/>
  <c r="G5" i="8"/>
  <c r="G4" i="10"/>
  <c r="F13" i="8" l="1"/>
  <c r="H13" i="8"/>
  <c r="E13" i="8" s="1"/>
  <c r="G13" i="8" l="1"/>
  <c r="F4" i="9"/>
  <c r="E4" i="9"/>
  <c r="O3" i="9"/>
  <c r="N3" i="9"/>
  <c r="M3" i="9"/>
  <c r="K3" i="9"/>
  <c r="L3" i="9" s="1"/>
  <c r="H3" i="9"/>
  <c r="G3" i="9" l="1"/>
  <c r="Z3" i="9" s="1"/>
  <c r="G4" i="9"/>
  <c r="F4" i="5" l="1" a="1"/>
  <c r="F4" i="5" s="1"/>
  <c r="E4" i="5"/>
  <c r="F13" i="5"/>
  <c r="E13" i="5"/>
  <c r="H6" i="1"/>
  <c r="E6" i="1" s="1"/>
  <c r="G6" i="1" s="1"/>
  <c r="E10" i="8" a="1"/>
  <c r="E10" i="8" s="1"/>
  <c r="F4" i="8"/>
  <c r="E4" i="8"/>
  <c r="H3" i="8"/>
  <c r="F3" i="8"/>
  <c r="E3" i="8"/>
  <c r="G4" i="5" l="1"/>
  <c r="G13" i="5"/>
  <c r="G4" i="8"/>
  <c r="G3" i="8"/>
  <c r="H8" i="1" l="1"/>
  <c r="F8" i="1"/>
  <c r="E8" i="1"/>
  <c r="O4" i="1"/>
  <c r="N4" i="1"/>
  <c r="M4" i="1"/>
  <c r="L4" i="1"/>
  <c r="H4" i="1"/>
  <c r="G8" i="1" l="1"/>
  <c r="H5" i="1"/>
  <c r="L2" i="1"/>
  <c r="F3" i="5" l="1"/>
  <c r="G3" i="5" s="1"/>
  <c r="F5" i="5" a="1"/>
  <c r="F5" i="5" s="1"/>
  <c r="E5" i="5"/>
  <c r="G5" i="5" l="1"/>
  <c r="G14" i="8"/>
  <c r="Z14" i="8" s="1"/>
  <c r="F5" i="1"/>
  <c r="E5" i="1"/>
  <c r="G5" i="1" l="1"/>
  <c r="E4" i="1"/>
  <c r="S5" i="1" l="1"/>
  <c r="P5" i="1"/>
  <c r="Q5" i="1"/>
  <c r="R5" i="1"/>
  <c r="G4" i="1"/>
  <c r="Q4" i="1" l="1"/>
  <c r="Q2" i="1" s="1"/>
  <c r="R4" i="1"/>
  <c r="R2" i="1" s="1"/>
  <c r="S4" i="1"/>
  <c r="S2" i="1" s="1"/>
  <c r="P4" i="1"/>
  <c r="P2"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tc={8D32030C-E7C6-654F-8763-F83B4645B655}</author>
    <author>tc={31E15604-D972-2C48-8C95-6B04D469FE75}</author>
  </authors>
  <commentList>
    <comment ref="I16" authorId="0" shapeId="0" xr:uid="{8D32030C-E7C6-654F-8763-F83B4645B655}">
      <text>
        <t>[Threaded comment]
Your version of Excel allows you to read this threaded comment; however, any edits to it will get removed if the file is opened in a newer version of Excel. Learn more: https://go.microsoft.com/fwlink/?linkid=870924
Comment:
    Tom Built GPT-3</t>
      </text>
    </comment>
    <comment ref="D77" authorId="1" shapeId="0" xr:uid="{31E15604-D972-2C48-8C95-6B04D469FE75}">
      <text>
        <t>[Threaded comment]
Your version of Excel allows you to read this threaded comment; however, any edits to it will get removed if the file is opened in a newer version of Excel. Learn more: https://go.microsoft.com/fwlink/?linkid=870924
Comment:
    https://techcrunch.com/2022/11/10/ai-powered-note-taking-app-mem-raises-23-5m-openai/</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tc={9A7BDD87-4728-4B2C-A2F9-F452DF1FAEF5}</author>
  </authors>
  <commentList>
    <comment ref="E30" authorId="0" shapeId="0" xr:uid="{9A7BDD87-4728-4B2C-A2F9-F452DF1FAEF5}">
      <text>
        <t>[Threaded comment]
Your version of Excel allows you to read this threaded comment; however, any edits to it will get removed if the file is opened in a newer version of Excel. Learn more: https://go.microsoft.com/fwlink/?linkid=870924
Comment:
    Series A with ARod, Thrive, Tiger, Marc Lore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<sst xmlns="http://schemas.openxmlformats.org/spreadsheetml/2006/main" count="5721" uniqueCount="1770">
  <si>
    <t>Name</t>
  </si>
  <si>
    <t>Ticker</t>
  </si>
  <si>
    <t>Price</t>
  </si>
  <si>
    <t>MC</t>
  </si>
  <si>
    <t>Net Cash</t>
  </si>
  <si>
    <t>EV</t>
  </si>
  <si>
    <t>Update</t>
  </si>
  <si>
    <t>Microsoft</t>
  </si>
  <si>
    <t>MSFT</t>
  </si>
  <si>
    <t>Google</t>
  </si>
  <si>
    <t>GOOG</t>
  </si>
  <si>
    <t>Amazon</t>
  </si>
  <si>
    <t>AMZN</t>
  </si>
  <si>
    <t>Meta</t>
  </si>
  <si>
    <t>Q122</t>
  </si>
  <si>
    <t>TenCent</t>
  </si>
  <si>
    <t>700 HK</t>
  </si>
  <si>
    <t>Alibaba</t>
  </si>
  <si>
    <t>BABA</t>
  </si>
  <si>
    <t>Adobe</t>
  </si>
  <si>
    <t>ADBE</t>
  </si>
  <si>
    <t>Salesforce</t>
  </si>
  <si>
    <t>CRM</t>
  </si>
  <si>
    <t>Oracle</t>
  </si>
  <si>
    <t>ORCL</t>
  </si>
  <si>
    <t>SAP</t>
  </si>
  <si>
    <t>Intuit</t>
  </si>
  <si>
    <t>INTU</t>
  </si>
  <si>
    <t>JD</t>
  </si>
  <si>
    <t>ServiceNow</t>
  </si>
  <si>
    <t>NOW</t>
  </si>
  <si>
    <t>Paypal</t>
  </si>
  <si>
    <t>PYPL</t>
  </si>
  <si>
    <t>Stripe</t>
  </si>
  <si>
    <t>AirBnB</t>
  </si>
  <si>
    <t>ABNB</t>
  </si>
  <si>
    <t>Shopify</t>
  </si>
  <si>
    <t>SHOP</t>
  </si>
  <si>
    <t>Baidu</t>
  </si>
  <si>
    <t>BIDU</t>
  </si>
  <si>
    <t>Atlassian</t>
  </si>
  <si>
    <t>TEAM</t>
  </si>
  <si>
    <t>Uber</t>
  </si>
  <si>
    <t>UBER</t>
  </si>
  <si>
    <t>Snowflake</t>
  </si>
  <si>
    <t>SNOW</t>
  </si>
  <si>
    <t>Autodesk</t>
  </si>
  <si>
    <t>ADSK</t>
  </si>
  <si>
    <t>Cadence Design</t>
  </si>
  <si>
    <t>CDNS</t>
  </si>
  <si>
    <t>Workday</t>
  </si>
  <si>
    <t>WDAY</t>
  </si>
  <si>
    <t>Datadog</t>
  </si>
  <si>
    <t>DDOG</t>
  </si>
  <si>
    <t>Epic Games</t>
  </si>
  <si>
    <t>Klarna</t>
  </si>
  <si>
    <t>The Trade Desk</t>
  </si>
  <si>
    <t>TDD</t>
  </si>
  <si>
    <t>Canva</t>
  </si>
  <si>
    <t>FTX</t>
  </si>
  <si>
    <t>DoorDash</t>
  </si>
  <si>
    <t>DASH</t>
  </si>
  <si>
    <t>ANSYS</t>
  </si>
  <si>
    <t>ANSS</t>
  </si>
  <si>
    <t>Instacart</t>
  </si>
  <si>
    <t>Paycom</t>
  </si>
  <si>
    <t>PAYC</t>
  </si>
  <si>
    <t>DocuSign</t>
  </si>
  <si>
    <t>DOCU</t>
  </si>
  <si>
    <t>HubSpot</t>
  </si>
  <si>
    <t>HUBS</t>
  </si>
  <si>
    <t>Coinbase</t>
  </si>
  <si>
    <t>COIN</t>
  </si>
  <si>
    <t>AppLovin</t>
  </si>
  <si>
    <t>APP</t>
  </si>
  <si>
    <t>Spotify</t>
  </si>
  <si>
    <t>SPOT</t>
  </si>
  <si>
    <t>Roblox</t>
  </si>
  <si>
    <t>RBLX</t>
  </si>
  <si>
    <t>ZoomInfo</t>
  </si>
  <si>
    <t>ZI</t>
  </si>
  <si>
    <t>Check Point</t>
  </si>
  <si>
    <t>CHKP</t>
  </si>
  <si>
    <t>SS&amp;C</t>
  </si>
  <si>
    <t>SSNC</t>
  </si>
  <si>
    <t>Tyler Technologies</t>
  </si>
  <si>
    <t>TYL</t>
  </si>
  <si>
    <t>Chime</t>
  </si>
  <si>
    <t>Unity Software</t>
  </si>
  <si>
    <t>U</t>
  </si>
  <si>
    <t>BILL</t>
  </si>
  <si>
    <t>Aspen Technology</t>
  </si>
  <si>
    <t>AZPN</t>
  </si>
  <si>
    <t>PTC</t>
  </si>
  <si>
    <t>NICE</t>
  </si>
  <si>
    <t>Dynatrace</t>
  </si>
  <si>
    <t>DT</t>
  </si>
  <si>
    <t>DiDi</t>
  </si>
  <si>
    <t>DIDI</t>
  </si>
  <si>
    <t>Citrix</t>
  </si>
  <si>
    <t>Open Text</t>
  </si>
  <si>
    <t>OTEX</t>
  </si>
  <si>
    <t>Fair Isaac</t>
  </si>
  <si>
    <t>FICO</t>
  </si>
  <si>
    <t>Paylocity</t>
  </si>
  <si>
    <t>PCTY</t>
  </si>
  <si>
    <t>Zendesk</t>
  </si>
  <si>
    <t>ZEN</t>
  </si>
  <si>
    <t>Bentley</t>
  </si>
  <si>
    <t>BSY</t>
  </si>
  <si>
    <t>Figma</t>
  </si>
  <si>
    <t>Full Truck Alliance</t>
  </si>
  <si>
    <t>YMM</t>
  </si>
  <si>
    <t>Qualtrics</t>
  </si>
  <si>
    <t>XM</t>
  </si>
  <si>
    <t>Ceridian</t>
  </si>
  <si>
    <t>CDAY</t>
  </si>
  <si>
    <t>Globant</t>
  </si>
  <si>
    <t>GLOB</t>
  </si>
  <si>
    <t>GoPuff</t>
  </si>
  <si>
    <t>Manhattan Associates</t>
  </si>
  <si>
    <t>MANH</t>
  </si>
  <si>
    <t>Gitlab</t>
  </si>
  <si>
    <t>GTLB</t>
  </si>
  <si>
    <t>Flexport</t>
  </si>
  <si>
    <t>Avalara</t>
  </si>
  <si>
    <t>AVLR</t>
  </si>
  <si>
    <t>Elastic</t>
  </si>
  <si>
    <t>ESTC</t>
  </si>
  <si>
    <t>ProCore</t>
  </si>
  <si>
    <t>PCOR</t>
  </si>
  <si>
    <t>GuideWire</t>
  </si>
  <si>
    <t>GWRE</t>
  </si>
  <si>
    <t>Bumble</t>
  </si>
  <si>
    <t>BMBL</t>
  </si>
  <si>
    <t>Lyft</t>
  </si>
  <si>
    <t>LYFT</t>
  </si>
  <si>
    <t>CDK Global</t>
  </si>
  <si>
    <t>CDK</t>
  </si>
  <si>
    <t>RingCentral</t>
  </si>
  <si>
    <t>RNG</t>
  </si>
  <si>
    <t>WIX</t>
  </si>
  <si>
    <t>SquareSpace</t>
  </si>
  <si>
    <t>SQSP</t>
  </si>
  <si>
    <t>Anthropic</t>
  </si>
  <si>
    <t>Conjecture</t>
  </si>
  <si>
    <t>Main</t>
  </si>
  <si>
    <t>Phreesia</t>
  </si>
  <si>
    <t>PHR</t>
  </si>
  <si>
    <t>Valuation</t>
  </si>
  <si>
    <t>USDHKD</t>
  </si>
  <si>
    <t>USDRMB</t>
  </si>
  <si>
    <t>Palantir</t>
  </si>
  <si>
    <t>PLTR</t>
  </si>
  <si>
    <t>None</t>
  </si>
  <si>
    <t>Palo Alto Networks</t>
  </si>
  <si>
    <t>PANW</t>
  </si>
  <si>
    <t>CrowdStrike</t>
  </si>
  <si>
    <t>CRWD</t>
  </si>
  <si>
    <t>FTNT</t>
  </si>
  <si>
    <t>Fortinet</t>
  </si>
  <si>
    <t>Ebay</t>
  </si>
  <si>
    <t>EBAY</t>
  </si>
  <si>
    <t>Etsy</t>
  </si>
  <si>
    <t>ETSY</t>
  </si>
  <si>
    <t>SQ</t>
  </si>
  <si>
    <t>Visa</t>
  </si>
  <si>
    <t>V</t>
  </si>
  <si>
    <t>Mastercard</t>
  </si>
  <si>
    <t>Twitter</t>
  </si>
  <si>
    <t>TWTR</t>
  </si>
  <si>
    <t>Electronic Arts</t>
  </si>
  <si>
    <t>EA</t>
  </si>
  <si>
    <t>Take-Two</t>
  </si>
  <si>
    <t>TTWO</t>
  </si>
  <si>
    <t>Activision</t>
  </si>
  <si>
    <t>ATVI</t>
  </si>
  <si>
    <t>Nintendo</t>
  </si>
  <si>
    <t>Veeva</t>
  </si>
  <si>
    <t>VEEV</t>
  </si>
  <si>
    <t>Constellation</t>
  </si>
  <si>
    <t>CSU CN</t>
  </si>
  <si>
    <t>ZM</t>
  </si>
  <si>
    <t>Dassault</t>
  </si>
  <si>
    <t>DSY FP</t>
  </si>
  <si>
    <t>VMWare</t>
  </si>
  <si>
    <t>VMW</t>
  </si>
  <si>
    <t>Synopsys</t>
  </si>
  <si>
    <t>SNPS</t>
  </si>
  <si>
    <t>Zscaler</t>
  </si>
  <si>
    <t>ZS</t>
  </si>
  <si>
    <t>MongoDB</t>
  </si>
  <si>
    <t>MDB</t>
  </si>
  <si>
    <t>Splunk</t>
  </si>
  <si>
    <t>SPLK</t>
  </si>
  <si>
    <t>Twilio</t>
  </si>
  <si>
    <t>TWLO</t>
  </si>
  <si>
    <t>Cloudflare</t>
  </si>
  <si>
    <t>NET</t>
  </si>
  <si>
    <t>Okta</t>
  </si>
  <si>
    <t>OKTA</t>
  </si>
  <si>
    <t>Akamai</t>
  </si>
  <si>
    <t>AKAM</t>
  </si>
  <si>
    <t>META</t>
  </si>
  <si>
    <t>Booking</t>
  </si>
  <si>
    <t>BKNG</t>
  </si>
  <si>
    <t>Pinduoduo</t>
  </si>
  <si>
    <t>PDD</t>
  </si>
  <si>
    <t>Q222</t>
  </si>
  <si>
    <t>Global Shop Solutions</t>
  </si>
  <si>
    <t>ERP</t>
  </si>
  <si>
    <t>Description</t>
  </si>
  <si>
    <t>Fintech</t>
  </si>
  <si>
    <t>Supply Chain</t>
  </si>
  <si>
    <t>AI</t>
  </si>
  <si>
    <t>EURUSD</t>
  </si>
  <si>
    <t>NPV</t>
  </si>
  <si>
    <t>Discount</t>
  </si>
  <si>
    <t>Terminal</t>
  </si>
  <si>
    <t>ROIC</t>
  </si>
  <si>
    <t>Upside</t>
  </si>
  <si>
    <t>S/O</t>
  </si>
  <si>
    <t>Founded</t>
  </si>
  <si>
    <t>Coursera</t>
  </si>
  <si>
    <t>COUR</t>
  </si>
  <si>
    <t>Upwork</t>
  </si>
  <si>
    <t>UPWK</t>
  </si>
  <si>
    <t>Hexagon</t>
  </si>
  <si>
    <t>HEXA.B SS</t>
  </si>
  <si>
    <t>Q421</t>
  </si>
  <si>
    <t>Schrodinger</t>
  </si>
  <si>
    <t>SDGR</t>
  </si>
  <si>
    <t>Last</t>
  </si>
  <si>
    <t>USDSEK</t>
  </si>
  <si>
    <t>Matterport</t>
  </si>
  <si>
    <t>MTTR</t>
  </si>
  <si>
    <t>EPS 22</t>
  </si>
  <si>
    <t>EV/E 22</t>
  </si>
  <si>
    <t>EV/E 23</t>
  </si>
  <si>
    <t>EV/E 24</t>
  </si>
  <si>
    <t>7974 JP</t>
  </si>
  <si>
    <t>USDJPY</t>
  </si>
  <si>
    <t>USDCAD</t>
  </si>
  <si>
    <t>Jar</t>
  </si>
  <si>
    <t>Funding</t>
  </si>
  <si>
    <t>112m</t>
  </si>
  <si>
    <t>Lysto</t>
  </si>
  <si>
    <t>Gaming</t>
  </si>
  <si>
    <t>Investors</t>
  </si>
  <si>
    <t>Tiger</t>
  </si>
  <si>
    <t>Mojo</t>
  </si>
  <si>
    <t>Block</t>
  </si>
  <si>
    <t>Stake</t>
  </si>
  <si>
    <t>peach.cool</t>
  </si>
  <si>
    <t>BeReal</t>
  </si>
  <si>
    <t>Onlyfans</t>
  </si>
  <si>
    <t>Private</t>
  </si>
  <si>
    <t>Games24x7</t>
  </si>
  <si>
    <t>CD Projekt</t>
  </si>
  <si>
    <t>Ubisoft</t>
  </si>
  <si>
    <t>UBI FP</t>
  </si>
  <si>
    <t>x</t>
  </si>
  <si>
    <t>Meituan</t>
  </si>
  <si>
    <t>3690 HK</t>
  </si>
  <si>
    <t>IBM</t>
  </si>
  <si>
    <t>S&amp;P Global</t>
  </si>
  <si>
    <t>SPGI</t>
  </si>
  <si>
    <t>Sony</t>
  </si>
  <si>
    <t>6758 JP</t>
  </si>
  <si>
    <t>Automatic Data Processing</t>
  </si>
  <si>
    <t>ADP</t>
  </si>
  <si>
    <t>Netflix</t>
  </si>
  <si>
    <t>NFLX</t>
  </si>
  <si>
    <t>Fiserv</t>
  </si>
  <si>
    <t>FISV</t>
  </si>
  <si>
    <t>Netease</t>
  </si>
  <si>
    <t>NTES</t>
  </si>
  <si>
    <t>Intercontinental</t>
  </si>
  <si>
    <t>ICE</t>
  </si>
  <si>
    <t>Paychex</t>
  </si>
  <si>
    <t>PAYX</t>
  </si>
  <si>
    <t>Adyen</t>
  </si>
  <si>
    <t>ADYEN NA</t>
  </si>
  <si>
    <t>Gemini</t>
  </si>
  <si>
    <t>Drift</t>
  </si>
  <si>
    <t>Magic Eden</t>
  </si>
  <si>
    <t>ByteDance</t>
  </si>
  <si>
    <t>Pinterest</t>
  </si>
  <si>
    <t>PINS</t>
  </si>
  <si>
    <t>Kuaishou</t>
  </si>
  <si>
    <t>1024 HK</t>
  </si>
  <si>
    <t>Weibo</t>
  </si>
  <si>
    <t>WB</t>
  </si>
  <si>
    <t>Sea</t>
  </si>
  <si>
    <t>SE</t>
  </si>
  <si>
    <t>Mercadolibre</t>
  </si>
  <si>
    <t>MELI</t>
  </si>
  <si>
    <t>MSCI</t>
  </si>
  <si>
    <t>Global Payments</t>
  </si>
  <si>
    <t>GPN</t>
  </si>
  <si>
    <t>Arista</t>
  </si>
  <si>
    <t>ANET</t>
  </si>
  <si>
    <t>Experian</t>
  </si>
  <si>
    <t>EXPN LN</t>
  </si>
  <si>
    <t>Zoom</t>
  </si>
  <si>
    <t>Discover</t>
  </si>
  <si>
    <t>DFS</t>
  </si>
  <si>
    <t>Naver</t>
  </si>
  <si>
    <t>035420 KS</t>
  </si>
  <si>
    <t>Verisk</t>
  </si>
  <si>
    <t>VRSK</t>
  </si>
  <si>
    <t>Coupang</t>
  </si>
  <si>
    <t>CPNG</t>
  </si>
  <si>
    <t>Copart</t>
  </si>
  <si>
    <t>CPRT</t>
  </si>
  <si>
    <t>Nasdaq</t>
  </si>
  <si>
    <t>NDAQ</t>
  </si>
  <si>
    <t>Goto Gojek Tokopedia</t>
  </si>
  <si>
    <t>GOTO IJ</t>
  </si>
  <si>
    <t>JD Health</t>
  </si>
  <si>
    <t>6618 HK</t>
  </si>
  <si>
    <t>Amadeus</t>
  </si>
  <si>
    <t>AMS SM</t>
  </si>
  <si>
    <t>MA</t>
  </si>
  <si>
    <t>Simulations Plus</t>
  </si>
  <si>
    <t>Certera</t>
  </si>
  <si>
    <t>Discord</t>
  </si>
  <si>
    <t>Match</t>
  </si>
  <si>
    <t>MTCH</t>
  </si>
  <si>
    <t>Hinge</t>
  </si>
  <si>
    <t>Reddit</t>
  </si>
  <si>
    <t>Signal</t>
  </si>
  <si>
    <t>Truth Social</t>
  </si>
  <si>
    <t>DWAC</t>
  </si>
  <si>
    <t>Quora</t>
  </si>
  <si>
    <t>Telegram</t>
  </si>
  <si>
    <t>SecondLife</t>
  </si>
  <si>
    <t>Hashicorp</t>
  </si>
  <si>
    <t>Kakao</t>
  </si>
  <si>
    <t>035720 KS</t>
  </si>
  <si>
    <t>Z Holdings</t>
  </si>
  <si>
    <t>4689 JP</t>
  </si>
  <si>
    <t>Mozilla</t>
  </si>
  <si>
    <t>Opera</t>
  </si>
  <si>
    <t>Javascript</t>
  </si>
  <si>
    <t>WebGL</t>
  </si>
  <si>
    <t>OpenGL</t>
  </si>
  <si>
    <t>API</t>
  </si>
  <si>
    <t>application programming interface</t>
  </si>
  <si>
    <t>canvas</t>
  </si>
  <si>
    <t>HTML object</t>
  </si>
  <si>
    <t>DirectX</t>
  </si>
  <si>
    <t>Three.js</t>
  </si>
  <si>
    <t>Unity</t>
  </si>
  <si>
    <t>DOS</t>
  </si>
  <si>
    <t>FAT</t>
  </si>
  <si>
    <t>File Allocation Table</t>
  </si>
  <si>
    <t>MySpace</t>
  </si>
  <si>
    <t>BASIC</t>
  </si>
  <si>
    <t>Q322</t>
  </si>
  <si>
    <t>Hive Social</t>
  </si>
  <si>
    <t>Wizz</t>
  </si>
  <si>
    <t>Life360</t>
  </si>
  <si>
    <t>Google Meet</t>
  </si>
  <si>
    <t>Mastodon</t>
  </si>
  <si>
    <t>Plenty of Fish</t>
  </si>
  <si>
    <t>Tumblr?</t>
  </si>
  <si>
    <t>Wink</t>
  </si>
  <si>
    <t>Grindr</t>
  </si>
  <si>
    <t>Hily</t>
  </si>
  <si>
    <t>Kik</t>
  </si>
  <si>
    <t>Yubo</t>
  </si>
  <si>
    <t>Monkey Run</t>
  </si>
  <si>
    <t>WooPlus</t>
  </si>
  <si>
    <t>CougarD</t>
  </si>
  <si>
    <t>Fizz</t>
  </si>
  <si>
    <t>Glow</t>
  </si>
  <si>
    <t>Ashley Madison</t>
  </si>
  <si>
    <t>Stir</t>
  </si>
  <si>
    <t>Zoosk</t>
  </si>
  <si>
    <t>3Fun</t>
  </si>
  <si>
    <t>Upward</t>
  </si>
  <si>
    <t>SLP</t>
  </si>
  <si>
    <t>SideFX</t>
  </si>
  <si>
    <t>HCP</t>
  </si>
  <si>
    <t>Snap</t>
  </si>
  <si>
    <t>SNAP</t>
  </si>
  <si>
    <t>Redfin</t>
  </si>
  <si>
    <t>RDFN</t>
  </si>
  <si>
    <t>Opendoor</t>
  </si>
  <si>
    <t>Q422</t>
  </si>
  <si>
    <t>SONY</t>
  </si>
  <si>
    <t>Replit</t>
  </si>
  <si>
    <t>NowCoder</t>
  </si>
  <si>
    <t>Turing</t>
  </si>
  <si>
    <t>NC</t>
  </si>
  <si>
    <t>Q</t>
  </si>
  <si>
    <t>Sprinklr</t>
  </si>
  <si>
    <t>CXM</t>
  </si>
  <si>
    <t>MathWorks</t>
  </si>
  <si>
    <t>Matlab</t>
  </si>
  <si>
    <t>OpenAI</t>
  </si>
  <si>
    <t>Series B</t>
  </si>
  <si>
    <t>Claude</t>
  </si>
  <si>
    <t>Cohere</t>
  </si>
  <si>
    <t>AI21 Labs</t>
  </si>
  <si>
    <t>Doximity</t>
  </si>
  <si>
    <t>Nextracker</t>
  </si>
  <si>
    <t>Confluent</t>
  </si>
  <si>
    <t>Pinecone</t>
  </si>
  <si>
    <t>Langchain</t>
  </si>
  <si>
    <t>Last Round</t>
  </si>
  <si>
    <t>Size</t>
  </si>
  <si>
    <t>Product</t>
  </si>
  <si>
    <t>People</t>
  </si>
  <si>
    <t>Stability AI</t>
  </si>
  <si>
    <t>C3</t>
  </si>
  <si>
    <t>Perplexity AI</t>
  </si>
  <si>
    <t>Character AI</t>
  </si>
  <si>
    <t>Hugging Face</t>
  </si>
  <si>
    <t>Jasper</t>
  </si>
  <si>
    <t>Fetch.ai</t>
  </si>
  <si>
    <t>Weights and Biases</t>
  </si>
  <si>
    <t>Glean</t>
  </si>
  <si>
    <t>Typeface</t>
  </si>
  <si>
    <t>Cruise</t>
  </si>
  <si>
    <t>Databricks</t>
  </si>
  <si>
    <t>Tesla</t>
  </si>
  <si>
    <t>Olive</t>
  </si>
  <si>
    <t>Notes</t>
  </si>
  <si>
    <t>Healthcare</t>
  </si>
  <si>
    <t>Adept AI</t>
  </si>
  <si>
    <t>Inflection AI</t>
  </si>
  <si>
    <t>Moveworks</t>
  </si>
  <si>
    <t>Zoovu</t>
  </si>
  <si>
    <t>Nauto</t>
  </si>
  <si>
    <t>Element AI</t>
  </si>
  <si>
    <t>Concert AI</t>
  </si>
  <si>
    <t>Clarify Health</t>
  </si>
  <si>
    <t>Innovaccer</t>
  </si>
  <si>
    <t>Jumio</t>
  </si>
  <si>
    <t>Verbit</t>
  </si>
  <si>
    <t>Yi+</t>
  </si>
  <si>
    <t>Xiaoice</t>
  </si>
  <si>
    <t>K Health</t>
  </si>
  <si>
    <t>Observe.AI</t>
  </si>
  <si>
    <t>Climavision</t>
  </si>
  <si>
    <t>Parametrix AI</t>
  </si>
  <si>
    <t>People.ai</t>
  </si>
  <si>
    <t>Game, NPC world</t>
  </si>
  <si>
    <t>Ascertain</t>
  </si>
  <si>
    <t>Noam Shazeer</t>
  </si>
  <si>
    <t>Inworld</t>
  </si>
  <si>
    <t>Wizard</t>
  </si>
  <si>
    <t>Ecommerce</t>
  </si>
  <si>
    <t>The Applied AI Company</t>
  </si>
  <si>
    <t>Irreverant Labs</t>
  </si>
  <si>
    <t>Modular</t>
  </si>
  <si>
    <t>Neo Cybernetica</t>
  </si>
  <si>
    <t>Stealth</t>
  </si>
  <si>
    <t>AXON Networks</t>
  </si>
  <si>
    <t>Orchestration</t>
  </si>
  <si>
    <t>Search</t>
  </si>
  <si>
    <t>Magic</t>
  </si>
  <si>
    <t>Programming</t>
  </si>
  <si>
    <t>Exafunction</t>
  </si>
  <si>
    <t>EnCharge AI</t>
  </si>
  <si>
    <t>Generally Intelligent</t>
  </si>
  <si>
    <t>Fixie.ai</t>
  </si>
  <si>
    <t>Enchanted Tools</t>
  </si>
  <si>
    <t>Tenyx</t>
  </si>
  <si>
    <t>Haiper</t>
  </si>
  <si>
    <t>Notion</t>
  </si>
  <si>
    <t>Sequoia, Coatue, Shine</t>
  </si>
  <si>
    <t>275 Series C 10/8/2021</t>
  </si>
  <si>
    <t>50m Series B 4/2/2020 at 2B</t>
  </si>
  <si>
    <t>Niantic</t>
  </si>
  <si>
    <t>Paddle</t>
  </si>
  <si>
    <t>Benchling</t>
  </si>
  <si>
    <t>Vercel</t>
  </si>
  <si>
    <t>BlueSky</t>
  </si>
  <si>
    <t>AWS</t>
  </si>
  <si>
    <t>TikTok</t>
  </si>
  <si>
    <t>Cadence</t>
  </si>
  <si>
    <t>MicroPro</t>
  </si>
  <si>
    <t>Fielded WordStar, first word processor</t>
  </si>
  <si>
    <t>VisiCalc</t>
  </si>
  <si>
    <t>Q123</t>
  </si>
  <si>
    <t>Cerner</t>
  </si>
  <si>
    <t>PeopleSoft</t>
  </si>
  <si>
    <t>Siebel</t>
  </si>
  <si>
    <t>Instagram</t>
  </si>
  <si>
    <t>Aquantive</t>
  </si>
  <si>
    <t>Red Hat</t>
  </si>
  <si>
    <t>Total</t>
  </si>
  <si>
    <t>FSD</t>
  </si>
  <si>
    <t>Command</t>
  </si>
  <si>
    <t>TSLA</t>
  </si>
  <si>
    <t>Midjourney</t>
  </si>
  <si>
    <t>N/A</t>
  </si>
  <si>
    <t>FB</t>
  </si>
  <si>
    <t>Llama</t>
  </si>
  <si>
    <t>Yann Le Cun</t>
  </si>
  <si>
    <t>Ilya Sustkever, Andrej Karpathy</t>
  </si>
  <si>
    <t>GPT4, ChatGPT</t>
  </si>
  <si>
    <t>Self-Funded</t>
  </si>
  <si>
    <t>GPT4All</t>
  </si>
  <si>
    <t>GPT-J</t>
  </si>
  <si>
    <t>Yuvanesh Anand, Zach Nussbaum, Brandon Duderstadt, Benjamin Schmidt, Andriy Mulyar</t>
  </si>
  <si>
    <t>Paperspace</t>
  </si>
  <si>
    <t>Nomic</t>
  </si>
  <si>
    <t>Chroma</t>
  </si>
  <si>
    <t>https://github.com/tloen/alpaca-lora</t>
  </si>
  <si>
    <t>Repos/Projects</t>
  </si>
  <si>
    <t>Alpaca-Lora</t>
  </si>
  <si>
    <t>Jurassic-2</t>
  </si>
  <si>
    <t>Docs</t>
  </si>
  <si>
    <t>https://huggingface.co/datasets/nomic-ai/gpt4all-j-prompt-generations/tree/main/data</t>
  </si>
  <si>
    <t>https://huggingface.co/chansung/alpaca-lora-65b/tree/main</t>
  </si>
  <si>
    <t>Alpaca-Lora-65B</t>
  </si>
  <si>
    <t>H2O GPT</t>
  </si>
  <si>
    <t>https://github.com/h2oai/h2ogpt</t>
  </si>
  <si>
    <t>HuggingChat</t>
  </si>
  <si>
    <t>Clement Delangue</t>
  </si>
  <si>
    <t>OpenAssistant</t>
  </si>
  <si>
    <t>Trainium, Bedrock, Infernium</t>
  </si>
  <si>
    <t>MAUs</t>
  </si>
  <si>
    <t>MC/MAU</t>
  </si>
  <si>
    <t>MAU</t>
  </si>
  <si>
    <t>Essential AI</t>
  </si>
  <si>
    <t>Roper</t>
  </si>
  <si>
    <t>ROP</t>
  </si>
  <si>
    <t>Beijing Kingsoft</t>
  </si>
  <si>
    <t>688111 CH</t>
  </si>
  <si>
    <t>iFlyTek</t>
  </si>
  <si>
    <t>002230 CH</t>
  </si>
  <si>
    <t>Kaspi</t>
  </si>
  <si>
    <t>KSPI KZ</t>
  </si>
  <si>
    <t>Obic</t>
  </si>
  <si>
    <t>4684 JP</t>
  </si>
  <si>
    <t>Wisetech</t>
  </si>
  <si>
    <t>WTC AU</t>
  </si>
  <si>
    <t>Hundsun</t>
  </si>
  <si>
    <t>600570 CH</t>
  </si>
  <si>
    <t>20 HK</t>
  </si>
  <si>
    <t>SenseTime</t>
  </si>
  <si>
    <t>Gen Digital</t>
  </si>
  <si>
    <t>GEN</t>
  </si>
  <si>
    <t>Sage</t>
  </si>
  <si>
    <t>SGE LN</t>
  </si>
  <si>
    <t>YonYou</t>
  </si>
  <si>
    <t>600588 CH</t>
  </si>
  <si>
    <t>Bill Holdings</t>
  </si>
  <si>
    <t>002410 CH Equity</t>
  </si>
  <si>
    <t>Glodon</t>
  </si>
  <si>
    <t>Samsara</t>
  </si>
  <si>
    <t>IOT</t>
  </si>
  <si>
    <t>HarveyAI</t>
  </si>
  <si>
    <t>Legal</t>
  </si>
  <si>
    <t>Series A</t>
  </si>
  <si>
    <t>Descript</t>
  </si>
  <si>
    <t>Mem</t>
  </si>
  <si>
    <t>Speak</t>
  </si>
  <si>
    <t>Email</t>
  </si>
  <si>
    <t>Seed</t>
  </si>
  <si>
    <t>HyperWrite</t>
  </si>
  <si>
    <t>OthersideAI</t>
  </si>
  <si>
    <t>Vista, Base 10</t>
  </si>
  <si>
    <t>Stable Diffusion</t>
  </si>
  <si>
    <t>Emad Mostaque</t>
  </si>
  <si>
    <t>Aidan Gomez, Nick Frosst</t>
  </si>
  <si>
    <t>Blockchain Dev Platform</t>
  </si>
  <si>
    <t>DWF Labs</t>
  </si>
  <si>
    <t>Lightspeed, GV, M12, Menlo Ventures</t>
  </si>
  <si>
    <t>Vector Store</t>
  </si>
  <si>
    <t>Assistant</t>
  </si>
  <si>
    <t>Pi</t>
  </si>
  <si>
    <t>Chatbot</t>
  </si>
  <si>
    <t>Ashish Vaswani, Niki Parmar</t>
  </si>
  <si>
    <t>Elad Gil, Thrive Capital</t>
  </si>
  <si>
    <t>Wysa</t>
  </si>
  <si>
    <t>Series C</t>
  </si>
  <si>
    <t>Andrew Mason</t>
  </si>
  <si>
    <t>Health</t>
  </si>
  <si>
    <t>Spellbook</t>
  </si>
  <si>
    <t>Voice AI</t>
  </si>
  <si>
    <t>Hippocratic</t>
  </si>
  <si>
    <t>Gan.ai</t>
  </si>
  <si>
    <t>ElevenLabs</t>
  </si>
  <si>
    <t>Writesonic</t>
  </si>
  <si>
    <t>Workhack</t>
  </si>
  <si>
    <t>Orby AI</t>
  </si>
  <si>
    <t>Consensus</t>
  </si>
  <si>
    <t>Kumo.AI</t>
  </si>
  <si>
    <t>Hume AI</t>
  </si>
  <si>
    <t>SapientAI</t>
  </si>
  <si>
    <t>Autonomize AI</t>
  </si>
  <si>
    <t>Predibase</t>
  </si>
  <si>
    <t>Fabi.ai</t>
  </si>
  <si>
    <t>MURF.AI</t>
  </si>
  <si>
    <t>CodiumAI</t>
  </si>
  <si>
    <t>Wispr</t>
  </si>
  <si>
    <t>Yoodli</t>
  </si>
  <si>
    <t>prezent.ai</t>
  </si>
  <si>
    <t>Artera</t>
  </si>
  <si>
    <t>Booth AI</t>
  </si>
  <si>
    <t>Xerataus IQX</t>
  </si>
  <si>
    <t>Kognitos</t>
  </si>
  <si>
    <t>Kubiya.ai</t>
  </si>
  <si>
    <t>Protex AI</t>
  </si>
  <si>
    <t>Mana</t>
  </si>
  <si>
    <t>One AI</t>
  </si>
  <si>
    <t>Capitol</t>
  </si>
  <si>
    <t>Ask-AI</t>
  </si>
  <si>
    <t>NinaTech AI</t>
  </si>
  <si>
    <t>Immutable</t>
  </si>
  <si>
    <t>$15m Series A</t>
  </si>
  <si>
    <t>Prior Round</t>
  </si>
  <si>
    <t>Character.ai</t>
  </si>
  <si>
    <t>Northwell</t>
  </si>
  <si>
    <t>Nvidia</t>
  </si>
  <si>
    <t>NVDA</t>
  </si>
  <si>
    <t>Deeproute</t>
  </si>
  <si>
    <t>Self-Driving Car</t>
  </si>
  <si>
    <t>Chinese</t>
  </si>
  <si>
    <t>Glance</t>
  </si>
  <si>
    <t>Trading around 8000 in secondary markets</t>
  </si>
  <si>
    <t>200m Series D</t>
  </si>
  <si>
    <t>Vianai</t>
  </si>
  <si>
    <t>Tecton</t>
  </si>
  <si>
    <t>Platform?</t>
  </si>
  <si>
    <t>Subtype</t>
  </si>
  <si>
    <t>Consumer</t>
  </si>
  <si>
    <t>Enterprise</t>
  </si>
  <si>
    <t>Tool</t>
  </si>
  <si>
    <t>Anyscale</t>
  </si>
  <si>
    <t>OctoML</t>
  </si>
  <si>
    <t>Snorkel AI</t>
  </si>
  <si>
    <t>Vcat.ai</t>
  </si>
  <si>
    <t>Content</t>
  </si>
  <si>
    <t>Figure</t>
  </si>
  <si>
    <t>Supremind</t>
  </si>
  <si>
    <t>Big Surveillance</t>
  </si>
  <si>
    <t>Weaviate</t>
  </si>
  <si>
    <t>2019</t>
  </si>
  <si>
    <t>2022</t>
  </si>
  <si>
    <t>Abacus.AI</t>
  </si>
  <si>
    <t>Datagen</t>
  </si>
  <si>
    <t>Avatars</t>
  </si>
  <si>
    <t>2018</t>
  </si>
  <si>
    <t>AI Rudder</t>
  </si>
  <si>
    <t>Call Center</t>
  </si>
  <si>
    <t>d-Matrix</t>
  </si>
  <si>
    <t>Compute</t>
  </si>
  <si>
    <t>Lambda Labs</t>
  </si>
  <si>
    <t>Vedrai</t>
  </si>
  <si>
    <t>MLOps</t>
  </si>
  <si>
    <t>Agents</t>
  </si>
  <si>
    <t>Prompt</t>
  </si>
  <si>
    <t>Video</t>
  </si>
  <si>
    <t>Business Intelligence</t>
  </si>
  <si>
    <t>Sub-Subtype</t>
  </si>
  <si>
    <t>Language Model</t>
  </si>
  <si>
    <t>Surveillance</t>
  </si>
  <si>
    <t>Voice</t>
  </si>
  <si>
    <t>Automotive</t>
  </si>
  <si>
    <t>Hardware</t>
  </si>
  <si>
    <t>Tome</t>
  </si>
  <si>
    <t>2020</t>
  </si>
  <si>
    <t>Lightning AI</t>
  </si>
  <si>
    <t>Skan.ai</t>
  </si>
  <si>
    <t>Games</t>
  </si>
  <si>
    <t>Arize AI</t>
  </si>
  <si>
    <t>Sima.AI</t>
  </si>
  <si>
    <t>V7</t>
  </si>
  <si>
    <t>Robust Intelligence</t>
  </si>
  <si>
    <t>Imagen</t>
  </si>
  <si>
    <t>Photos</t>
  </si>
  <si>
    <t>Robotics</t>
  </si>
  <si>
    <t>Jina AI</t>
  </si>
  <si>
    <t>Nr2</t>
  </si>
  <si>
    <t>Searching for investments for investors</t>
  </si>
  <si>
    <t>Merlyn Mind</t>
  </si>
  <si>
    <t>Upstage AI</t>
  </si>
  <si>
    <t>ExpressSteuer</t>
  </si>
  <si>
    <t>Taxes</t>
  </si>
  <si>
    <t>Aleph Alpha</t>
  </si>
  <si>
    <t>Surge AI</t>
  </si>
  <si>
    <t>Heartex</t>
  </si>
  <si>
    <t>Pre-Seed</t>
  </si>
  <si>
    <t>Stealthy</t>
  </si>
  <si>
    <t>Aiola</t>
  </si>
  <si>
    <t>TruEra</t>
  </si>
  <si>
    <t>Aporia</t>
  </si>
  <si>
    <t>Deci AI</t>
  </si>
  <si>
    <t>Phaidra</t>
  </si>
  <si>
    <t>Plant</t>
  </si>
  <si>
    <t>Waymo</t>
  </si>
  <si>
    <t>Scale</t>
  </si>
  <si>
    <t>Nabla</t>
  </si>
  <si>
    <t>Hour One</t>
  </si>
  <si>
    <t>Pactum</t>
  </si>
  <si>
    <t>Procurement</t>
  </si>
  <si>
    <t>Wiz.ai</t>
  </si>
  <si>
    <t>Deepdub</t>
  </si>
  <si>
    <t>Daloopa</t>
  </si>
  <si>
    <t>Finance</t>
  </si>
  <si>
    <t>Axios HQ</t>
  </si>
  <si>
    <t>Artificial Reality</t>
  </si>
  <si>
    <t>Roboflow</t>
  </si>
  <si>
    <t>Computer Vision</t>
  </si>
  <si>
    <t>Rasgo</t>
  </si>
  <si>
    <t>TruLens</t>
  </si>
  <si>
    <t>Synthesis AI</t>
  </si>
  <si>
    <t>Torre</t>
  </si>
  <si>
    <t>Recruiting</t>
  </si>
  <si>
    <t>Alethea AI</t>
  </si>
  <si>
    <t>Zuva</t>
  </si>
  <si>
    <t>Xembly</t>
  </si>
  <si>
    <t>Customer Service</t>
  </si>
  <si>
    <t>Encord</t>
  </si>
  <si>
    <t>SuperAnnotate</t>
  </si>
  <si>
    <t>Graft</t>
  </si>
  <si>
    <t>Zowie</t>
  </si>
  <si>
    <t>Text-to-3D</t>
  </si>
  <si>
    <t>Bridgewise</t>
  </si>
  <si>
    <t>Numbers Station</t>
  </si>
  <si>
    <t>Replicate</t>
  </si>
  <si>
    <t>Vectice</t>
  </si>
  <si>
    <t>Autism</t>
  </si>
  <si>
    <t>Datarobot</t>
  </si>
  <si>
    <t>hOS</t>
  </si>
  <si>
    <t>Credo AI</t>
  </si>
  <si>
    <t>Synthetaic</t>
  </si>
  <si>
    <t>Voxel51</t>
  </si>
  <si>
    <t>Faros AI</t>
  </si>
  <si>
    <t>Launchable model repository</t>
  </si>
  <si>
    <t>Baseten</t>
  </si>
  <si>
    <t>LatticeFlow</t>
  </si>
  <si>
    <t>Lavender</t>
  </si>
  <si>
    <t>Rewrite cold emails</t>
  </si>
  <si>
    <t>CopyAI</t>
  </si>
  <si>
    <t>Marketing copy</t>
  </si>
  <si>
    <t>Sales</t>
  </si>
  <si>
    <t>Rephrase.ai</t>
  </si>
  <si>
    <t>Generative video</t>
  </si>
  <si>
    <t>Test Suites</t>
  </si>
  <si>
    <t>Robin AI</t>
  </si>
  <si>
    <t>Contracts</t>
  </si>
  <si>
    <t>Got It AI</t>
  </si>
  <si>
    <t>Koxy AI</t>
  </si>
  <si>
    <t>Auto</t>
  </si>
  <si>
    <t>Driver assistance</t>
  </si>
  <si>
    <t>Acquired</t>
  </si>
  <si>
    <t>Insurance</t>
  </si>
  <si>
    <t>RWD</t>
  </si>
  <si>
    <t>Personal Computing</t>
  </si>
  <si>
    <t>Supernormal</t>
  </si>
  <si>
    <t>Meetings</t>
  </si>
  <si>
    <t>Satya Nadella</t>
  </si>
  <si>
    <t>Jeff Dean</t>
  </si>
  <si>
    <t>Series E</t>
  </si>
  <si>
    <t>Labeling</t>
  </si>
  <si>
    <t>Y Combinator</t>
  </si>
  <si>
    <t>Wellington</t>
  </si>
  <si>
    <t>Human Capital</t>
  </si>
  <si>
    <t>Greenoaks</t>
  </si>
  <si>
    <t>Founders Fund</t>
  </si>
  <si>
    <t>Durable Capital Partners</t>
  </si>
  <si>
    <t>Dragoneer Investment Group</t>
  </si>
  <si>
    <t>Coatue</t>
  </si>
  <si>
    <t>Fund</t>
  </si>
  <si>
    <t>Round</t>
  </si>
  <si>
    <t>Company</t>
  </si>
  <si>
    <t>Scale.ai</t>
  </si>
  <si>
    <t>Raised</t>
  </si>
  <si>
    <t>Date</t>
  </si>
  <si>
    <t>Alexandr Wang</t>
  </si>
  <si>
    <t>Series D</t>
  </si>
  <si>
    <t>Tiger, Bradley Horowitz</t>
  </si>
  <si>
    <t>Lucy Guo co-founder</t>
  </si>
  <si>
    <t>Series D: 3.5B valuation</t>
  </si>
  <si>
    <t>All</t>
  </si>
  <si>
    <t>Unspecified</t>
  </si>
  <si>
    <t>Founders Fund, Thrive, Spark, Next Play, Index, Mike Krieger, Kevin Systrom, Coatue, Adam D'Angelo, Accel</t>
  </si>
  <si>
    <t>Thrive Capital</t>
  </si>
  <si>
    <t>Spark Capital</t>
  </si>
  <si>
    <t>Next Play Ventures</t>
  </si>
  <si>
    <t>Index Ventures</t>
  </si>
  <si>
    <t>Accel</t>
  </si>
  <si>
    <t>Y Combinator, Justin Kan, Index, Drew Houston, Accel</t>
  </si>
  <si>
    <t>Y Combinator, Outlander Fund I, Nat Friedman, Ilya Sukhar, Guillermo Rauch, Greg Brockman, Charlie Cheever, Accel</t>
  </si>
  <si>
    <t>Outlander Fund</t>
  </si>
  <si>
    <t>Spark, Zoom, Sound, Salesforce, Menlo, Google</t>
  </si>
  <si>
    <t>Zoom Ventures</t>
  </si>
  <si>
    <t>Sound Ventures</t>
  </si>
  <si>
    <t>Salesforce Ventures</t>
  </si>
  <si>
    <t>Menlo Ventures</t>
  </si>
  <si>
    <t>One-Off</t>
  </si>
  <si>
    <t>ChatGPT, Bing, Co-Pilot</t>
  </si>
  <si>
    <t>Bard, TensorFlow</t>
  </si>
  <si>
    <t>James McClave, Jaan Tallinn, Eric Schmidt, Dustin Moskovitz, CERR</t>
  </si>
  <si>
    <t>Coatue, Fourth Revolution, Kadmos, Lightspeed, O'Shaughnessy</t>
  </si>
  <si>
    <t>CEO is sketchy</t>
  </si>
  <si>
    <t>O'Shaughnessy</t>
  </si>
  <si>
    <t>Lightspeed Venture Partners</t>
  </si>
  <si>
    <t>Kadmos</t>
  </si>
  <si>
    <t>Fourth Revolution</t>
  </si>
  <si>
    <t>Inovia, Thomvest, SentinelOne, Schroders, Salesforce, Oracle, Nvidia, Mirae, Index, DTCP</t>
  </si>
  <si>
    <t>Inovia</t>
  </si>
  <si>
    <t>SentinelOne</t>
  </si>
  <si>
    <t>Schroders</t>
  </si>
  <si>
    <t>Mirae</t>
  </si>
  <si>
    <t>DTCP</t>
  </si>
  <si>
    <t>Tiger, Section32, Radical Ventures, Index Ventures, Geoff Hinton, Raqel Urtasun, Fei-Fei Li, Pieter Abbeel</t>
  </si>
  <si>
    <t>Section 32</t>
  </si>
  <si>
    <t>Radical Ventures</t>
  </si>
  <si>
    <t>Section 32, Raqel Urtasun, Radical Ventures, Pieter Abebeel, Index Ventures, Geoff Hinton, Fei-Fei Li</t>
  </si>
  <si>
    <t>Tiger, Coatue, Y Combinator, Wellington, Index, Human Capital, Greenoaks, Founders Fund, Durable Capital, Dragoneer</t>
  </si>
  <si>
    <t>Lux Capital, Thirty Five Ventures, SVA, Sequoia Capital, Cygni Capital, Coatue, Betaworks, Rich Kleiman, Olivier Pomel, Kevin Durant, AIX Ventures, Addition, A.Capital</t>
  </si>
  <si>
    <t>Lux Capital</t>
  </si>
  <si>
    <t>Huggingface</t>
  </si>
  <si>
    <t>Thirty Five Ventures</t>
  </si>
  <si>
    <t>SVA</t>
  </si>
  <si>
    <t>Sequoia</t>
  </si>
  <si>
    <t>Cygni Capital</t>
  </si>
  <si>
    <t>Betaworks</t>
  </si>
  <si>
    <t>AIX Ventures</t>
  </si>
  <si>
    <t>Addition</t>
  </si>
  <si>
    <t>A.Capital</t>
  </si>
  <si>
    <t>Addition, Rich Kleiman, Richard Socher, Paul St. John, Olivier Pomel, Lux Capital, Kevin Durant, Florian Douetteau, Dev Ittycheria, Betaworks, Augusto Marietti, Alex Wang, A. Capital</t>
  </si>
  <si>
    <t>Lux Capital, Thirty Five Ventures, Betaworks, A. Capital, Greg Brockman, Richard Socher, Charles Zedlewski, Augusto Marietti</t>
  </si>
  <si>
    <t>Thirty Five Ventures, Kevin Durant, Betaworks, A. Capital, Ronny Conway</t>
  </si>
  <si>
    <t>Thibaud Elziere, Terrence Rohan, SVA, Richard Socher, Clement Benoit, Betaworks</t>
  </si>
  <si>
    <t>Angel</t>
  </si>
  <si>
    <t>IPO</t>
  </si>
  <si>
    <t>Thomas Siebel</t>
  </si>
  <si>
    <t>Series F</t>
  </si>
  <si>
    <t>TPG Growth, Sutter Hill Ventures, The Rise Fund, Breyer Capital</t>
  </si>
  <si>
    <t>John Morgan, Dave Rogenmoser</t>
  </si>
  <si>
    <t>Coatue, Insight Partners, Foundation Capital, Bessemer, IVP, HubSpot, Founders Circle</t>
  </si>
  <si>
    <t>Quarry, Bossanova</t>
  </si>
  <si>
    <t>AAF, Foundation, Four Cities</t>
  </si>
  <si>
    <t>Quebec</t>
  </si>
  <si>
    <t>HQ</t>
  </si>
  <si>
    <t>Writing</t>
  </si>
  <si>
    <t>Insight Partners</t>
  </si>
  <si>
    <t>IVP</t>
  </si>
  <si>
    <t>HubSpot Ventures</t>
  </si>
  <si>
    <t>Founders Circle Capital</t>
  </si>
  <si>
    <t>Foundation Capital</t>
  </si>
  <si>
    <t>Bessemer Venture Partners</t>
  </si>
  <si>
    <t>Quarry</t>
  </si>
  <si>
    <t>Bossanova</t>
  </si>
  <si>
    <t>Four Cities</t>
  </si>
  <si>
    <t>AAF Management</t>
  </si>
  <si>
    <t>Toronto</t>
  </si>
  <si>
    <t>London</t>
  </si>
  <si>
    <t>San Francisco</t>
  </si>
  <si>
    <t>Hong Kong</t>
  </si>
  <si>
    <t>Anhui, China</t>
  </si>
  <si>
    <t>Mountain View, CA</t>
  </si>
  <si>
    <t>Redwood City, CA</t>
  </si>
  <si>
    <t>Menlo Park, CA</t>
  </si>
  <si>
    <t>Santa Clara, CA</t>
  </si>
  <si>
    <t>Seattle</t>
  </si>
  <si>
    <t>Austin</t>
  </si>
  <si>
    <t>Redmond, WA</t>
  </si>
  <si>
    <t>Palo Alto, CA</t>
  </si>
  <si>
    <t>Reid Hoffman, Mustafa Suleyman</t>
  </si>
  <si>
    <t>Greylock</t>
  </si>
  <si>
    <t>Said they wanted to raise $600m in March 2023, hasn’t materialized</t>
  </si>
  <si>
    <t>Model Tool Platform</t>
  </si>
  <si>
    <t>Nvidia, Coatue, Bond, Insight Partners, Felicis</t>
  </si>
  <si>
    <t>Weights &amp; Biases</t>
  </si>
  <si>
    <t>Bond</t>
  </si>
  <si>
    <t>Felicis</t>
  </si>
  <si>
    <t>Insight Partners, Bloomberg Beta, Richard Socher, Jeff Hammerbacher, Nat Friedman, Trinity Ventures, Pieter Abbeel, Coatue, Tom Preston-Werner</t>
  </si>
  <si>
    <t>Trinity Ventures</t>
  </si>
  <si>
    <t>Bloomberg Beta</t>
  </si>
  <si>
    <t>Trinity Ventures, Hack VC, Gaingels, Bloomberg Beta</t>
  </si>
  <si>
    <t>Hack VC</t>
  </si>
  <si>
    <t>Gaingels</t>
  </si>
  <si>
    <t>Lukas Biewald, Chris Pelt, Shawn Lewis</t>
  </si>
  <si>
    <t>OpenAI is a customer</t>
  </si>
  <si>
    <t>Uses GPT3.5</t>
  </si>
  <si>
    <t>Public benefit corp, EA-coded</t>
  </si>
  <si>
    <t>Wanted higher valuation</t>
  </si>
  <si>
    <t>Runway</t>
  </si>
  <si>
    <t>Text-to-Video</t>
  </si>
  <si>
    <t>Andreessen Horowitz, A.Capital, Elad Gil, Nat Friedman, SVA</t>
  </si>
  <si>
    <t>Noam invented transformers</t>
  </si>
  <si>
    <t>a16z</t>
  </si>
  <si>
    <t>Elad Gil</t>
  </si>
  <si>
    <t>Nat Friedman</t>
  </si>
  <si>
    <t>A.Capital, SVA, Paul Buchheit, Nat Friedman, Elad Gil</t>
  </si>
  <si>
    <t>David Luan</t>
  </si>
  <si>
    <t>Pre-product…</t>
  </si>
  <si>
    <t>Greylock, Andrej Karpathy, Addition, Chris Re, Howie Liu, Joe Morrissey, Root Ventures, Sarah Meyohas, Scott Belsky</t>
  </si>
  <si>
    <t>Spark Capital, General Catalyst, PSP Growth, NVDA, MSFT, Greylock, Frontiers Capital, Caterina Fake, Atlassian, Addition, A.Capital, SVA, Workday</t>
  </si>
  <si>
    <t>General Catalyst</t>
  </si>
  <si>
    <t>PSP Growth</t>
  </si>
  <si>
    <t>Frontiers Capital</t>
  </si>
  <si>
    <t>Discord Bot</t>
  </si>
  <si>
    <t>David Holz</t>
  </si>
  <si>
    <t>No outside investors, only 9 employees</t>
  </si>
  <si>
    <t>South SF, CA</t>
  </si>
  <si>
    <t>Softbank</t>
  </si>
  <si>
    <t>Series D: 5B valuation</t>
  </si>
  <si>
    <t>Series C: 3.9B valuation</t>
  </si>
  <si>
    <t>Tiger, Silver Lake, Fidelity, HOPU, Qualcomm, 5Y, Singtel Innov8</t>
  </si>
  <si>
    <t>Alibaba, Temasek, Suning</t>
  </si>
  <si>
    <t>Zhongping, WANDA, TCL, CDH, Sailing, StarVC, Infore, Huarong, Everbright</t>
  </si>
  <si>
    <t>Li Xu, Xiagang Wang, Bing Xu</t>
  </si>
  <si>
    <t>Rogue VC, Google</t>
  </si>
  <si>
    <t>Rogue</t>
  </si>
  <si>
    <t>Madrona</t>
  </si>
  <si>
    <t>Compound</t>
  </si>
  <si>
    <t>Amplify</t>
  </si>
  <si>
    <t>Lux, Madrona, Felicis, Compound, Coatue, Amplify</t>
  </si>
  <si>
    <t>Coatue, Amplify, Compound, Lux</t>
  </si>
  <si>
    <t>Lux</t>
  </si>
  <si>
    <t>Amplify, Lux, Compound, Bossanova</t>
  </si>
  <si>
    <t>Cristobal Valenzuela, Anastasis Germanidis</t>
  </si>
  <si>
    <t>Text-to-video, text-to-speech</t>
  </si>
  <si>
    <t>Alibaba, Glory Ventures, Jeneration Capital, Geely, Fosun, Yunqi</t>
  </si>
  <si>
    <t>Shenzhen</t>
  </si>
  <si>
    <t>Maxwell Zhou</t>
  </si>
  <si>
    <t>Speech</t>
  </si>
  <si>
    <t>Qingfeng Lu</t>
  </si>
  <si>
    <t>Vector Database</t>
  </si>
  <si>
    <t>Edo Liberty</t>
  </si>
  <si>
    <t>Popular VectorDB</t>
  </si>
  <si>
    <t>a16z, ICONIQ, Menlo, Wing Venture</t>
  </si>
  <si>
    <t>Wing Venture</t>
  </si>
  <si>
    <t>Wing, Tiger, Menlo</t>
  </si>
  <si>
    <t>Wing</t>
  </si>
  <si>
    <t>Tiger, Madrona, Amplify, Addition</t>
  </si>
  <si>
    <t>Luis Ceze</t>
  </si>
  <si>
    <t>Built on Apache TVM</t>
  </si>
  <si>
    <t>ML Platform</t>
  </si>
  <si>
    <t>Addition, Amplify, Madrona</t>
  </si>
  <si>
    <t>Amplify, Madrona</t>
  </si>
  <si>
    <t>Madrona, Amplify</t>
  </si>
  <si>
    <t>BlackRock, Addition, Lightspeed, Greylock, Google Ventures, Nepenthe, Stonebridge, Walden</t>
  </si>
  <si>
    <t>Lee Fixel</t>
  </si>
  <si>
    <t>Quiet</t>
  </si>
  <si>
    <t>Snorkel Flow: Data Labeling</t>
  </si>
  <si>
    <t>Blackrock</t>
  </si>
  <si>
    <t>Walden International</t>
  </si>
  <si>
    <t>Stonebridge Ventures</t>
  </si>
  <si>
    <t>Nepenthe Capital</t>
  </si>
  <si>
    <t>Lightspeed, Nepenthe, In-Q-Tel, Greylock, Google, Boston Trust Walden, Blackrock</t>
  </si>
  <si>
    <t>In-Q-Tel</t>
  </si>
  <si>
    <t>Boston Trust Walden Company</t>
  </si>
  <si>
    <t>Greylock, In-Q-Tel, Google</t>
  </si>
  <si>
    <t>SVA, Greylock, Google, Accel, In-Q-Tel</t>
  </si>
  <si>
    <t>Tel Aviv, Israel</t>
  </si>
  <si>
    <t>Ori Goshen</t>
  </si>
  <si>
    <t>Ahren Innovation, Pitango VC, TPY Capital, Walden Catalyst</t>
  </si>
  <si>
    <t>Walden Catalyst</t>
  </si>
  <si>
    <t>Pitango VC, TPY Capital</t>
  </si>
  <si>
    <t>T. Rowe Price, Tiger, Temasek, Silver Lake, PerryCreek, Mubadala, Magna, Fidelity, CPPIB, AutoNation, a16z, Alphabet</t>
  </si>
  <si>
    <t>T. Rowe Price</t>
  </si>
  <si>
    <t>Temasek</t>
  </si>
  <si>
    <t>Silver Lake</t>
  </si>
  <si>
    <t>Perry Creek</t>
  </si>
  <si>
    <t>Mubadala</t>
  </si>
  <si>
    <t>Magna</t>
  </si>
  <si>
    <t>CPPIB</t>
  </si>
  <si>
    <t>AutoNation</t>
  </si>
  <si>
    <t>Fidelity</t>
  </si>
  <si>
    <t>Originally a Google division</t>
  </si>
  <si>
    <t>Silver Lake, CPPIB, Mubadala, Magna, AutoNation, a16z, Alphabet</t>
  </si>
  <si>
    <t>Tekedra Mawakana, Dmitri Dolgov</t>
  </si>
  <si>
    <t>Video Editor</t>
  </si>
  <si>
    <t>OpenAI, Spark, Redpoint, Daniel Gross, a16z</t>
  </si>
  <si>
    <t>Spark Capital, Redpoint, a16z, HubSpot Ventures</t>
  </si>
  <si>
    <t>a16z, Redpoint</t>
  </si>
  <si>
    <t>VianOps, ML Monitoring</t>
  </si>
  <si>
    <t>Vishal Sikka</t>
  </si>
  <si>
    <t>Softbank, Jim Davidson, Jerry Yang, Henry Kravis, George Roberts</t>
  </si>
  <si>
    <t>Seems like a zero</t>
  </si>
  <si>
    <t>Enterprise Search</t>
  </si>
  <si>
    <t>Sequoia, Slack Fund, Lightspeed, Kleiner Perkins, General Catalyst</t>
  </si>
  <si>
    <t>Arvind Jain</t>
  </si>
  <si>
    <t>Slack</t>
  </si>
  <si>
    <t>Kleiner Perkins</t>
  </si>
  <si>
    <t>General Catalyst, Slack, Lightpseed, Kleiner Perkins</t>
  </si>
  <si>
    <t>Lightspeed, Kleiner Perkins, Slack</t>
  </si>
  <si>
    <t>Not an AI company</t>
  </si>
  <si>
    <t>Seems overhyped</t>
  </si>
  <si>
    <t>Feature Store</t>
  </si>
  <si>
    <t>Kleiner Perkins, Tiger, Snowflake, Sequoia, Databricks, Bain, a16z</t>
  </si>
  <si>
    <t>Original Uber AI team</t>
  </si>
  <si>
    <t>Bain</t>
  </si>
  <si>
    <t>Sequoia, a16z</t>
  </si>
  <si>
    <t>Sequoia, a16z, Lux</t>
  </si>
  <si>
    <t>Sequoia, a16z, SVA, Lux</t>
  </si>
  <si>
    <t>Sequoia China, Gaorong, 5Y</t>
  </si>
  <si>
    <t>5Y, Gaorong</t>
  </si>
  <si>
    <t>Crazy video game NPC thingy</t>
  </si>
  <si>
    <t>Liu Yongsheng</t>
  </si>
  <si>
    <t>Michael Del Balso, Kevin Stumpf</t>
  </si>
  <si>
    <t>Series C-2</t>
  </si>
  <si>
    <t>Intel Capital</t>
  </si>
  <si>
    <t>Sancus</t>
  </si>
  <si>
    <t>Series C-1</t>
  </si>
  <si>
    <t>NEA</t>
  </si>
  <si>
    <t>Team who created Ray</t>
  </si>
  <si>
    <t>Ion Stoica, Michael Jordan, Philipp Moritz, Robert Nishihara</t>
  </si>
  <si>
    <t>Intel, Addition, Foundation, Sancus</t>
  </si>
  <si>
    <t>a16z, Addition, NEA, Intel, Foundation</t>
  </si>
  <si>
    <t>NEA, Intel, Foundation, a16z</t>
  </si>
  <si>
    <t>a16z, The House Fund, NEA, Intel, Dwight Crow, Ant Group, Amplify, 11.2 Capital</t>
  </si>
  <si>
    <t>Ant Group</t>
  </si>
  <si>
    <t>11.2 Capital</t>
  </si>
  <si>
    <t>The House Fund</t>
  </si>
  <si>
    <t>Benchmark</t>
  </si>
  <si>
    <t>Raising $20m from Sequoia</t>
  </si>
  <si>
    <t>Harrison Chase</t>
  </si>
  <si>
    <t>Arvind Sundararajan</t>
  </si>
  <si>
    <t>Tiger, Index, Coatue, Alkeon</t>
  </si>
  <si>
    <t>Alkeon</t>
  </si>
  <si>
    <t>Index, Decibel, Coatue</t>
  </si>
  <si>
    <t>Decibel</t>
  </si>
  <si>
    <t>Series A: $45m valuation</t>
  </si>
  <si>
    <t>Index Ventures, Eric Schmidt, Decibel Partners, Erica Schultz, Jeannette Furstenberg, Jerry Yang, Mariam Naficy, Ram Shriram</t>
  </si>
  <si>
    <t>Seed: 18m valuation</t>
  </si>
  <si>
    <t>Eric Schmidt, Ram Shriram, Paul Buchheit, Kkosla Ventures, Keval Desai, Elad Gil, Don Burnette, Deep Nishar, Avichal Garg</t>
  </si>
  <si>
    <t>Enterprise focus</t>
  </si>
  <si>
    <t>Popular tool</t>
  </si>
  <si>
    <t>Platform</t>
  </si>
  <si>
    <t>Koshla Ventures</t>
  </si>
  <si>
    <t>Italian company</t>
  </si>
  <si>
    <t>Italy</t>
  </si>
  <si>
    <t>Not disclosed</t>
  </si>
  <si>
    <t>Pietro Giuliani, Giorgio Chiellini, Andrea Bocelli</t>
  </si>
  <si>
    <t>Andy Konwinski</t>
  </si>
  <si>
    <t>Search engine</t>
  </si>
  <si>
    <t>Susan Wojcicki, Soleio Cuervo, Paul Buchheit, NEA, Nat Friedman, Jeff Dean, Elad Gil, Databricks, Bob Muglia</t>
  </si>
  <si>
    <t>Perplexity</t>
  </si>
  <si>
    <t>Elad Gil, Yann LeCun, Pieter Abbeel, Oriol Vinyals, Nat Friedman, Clement Delangue, Ashish Vaswani, Andrej Karpathy, Amjad Masad</t>
  </si>
  <si>
    <t>Singaporean GPT call centers</t>
  </si>
  <si>
    <t>VenturesLab, Tiger, Peak XV, Huashan Capital, First Plus, Coatue, Cathay Innovation</t>
  </si>
  <si>
    <t>VenturesLab</t>
  </si>
  <si>
    <t>Peak XV Partners</t>
  </si>
  <si>
    <t>Huashan Capital</t>
  </si>
  <si>
    <t>First Plus</t>
  </si>
  <si>
    <t>Cathay Innovation</t>
  </si>
  <si>
    <t>Sequoia Capital China, Peak XV, Zizhu Xiaomiao Fund, ZhenFund, IMO Ventures, Huashan Capital</t>
  </si>
  <si>
    <t>Sequoia Capital China</t>
  </si>
  <si>
    <t>IMO Ventures</t>
  </si>
  <si>
    <t>ZhenFund</t>
  </si>
  <si>
    <t>Zizhu Xiaomiao Fund</t>
  </si>
  <si>
    <t>Zizhu Xiaomiao Fund, Huashan Capital, ZhenFund, IMO Ventures</t>
  </si>
  <si>
    <t>Singapore</t>
  </si>
  <si>
    <t>Abhay Parasnis</t>
  </si>
  <si>
    <t>Microsoft, M12</t>
  </si>
  <si>
    <t>Seekr Technologies</t>
  </si>
  <si>
    <t>Virginia</t>
  </si>
  <si>
    <t>Pat Condo</t>
  </si>
  <si>
    <t>Netherlands</t>
  </si>
  <si>
    <t>Index Ventures, NEA, Battery Ventures, Cortical Ventures, ING Ventures, Zetta Venture Partners</t>
  </si>
  <si>
    <t>ING Ventures</t>
  </si>
  <si>
    <t>Zetta Venture Partners</t>
  </si>
  <si>
    <t>Cortical Ventures</t>
  </si>
  <si>
    <t>Battery Ventures</t>
  </si>
  <si>
    <t>NEA, Cortical Ventures, Zetta, SAV, ING Ventures, GTMfund</t>
  </si>
  <si>
    <t>SAV</t>
  </si>
  <si>
    <t>GTMfund</t>
  </si>
  <si>
    <t>Zetta Venture Partners, ING Ventures, Alex van Leeuwen</t>
  </si>
  <si>
    <t>SK Hynix, Playground Global, Microsoft, Nautilus Venture Partners, Marvell, Entrada Ventures</t>
  </si>
  <si>
    <t>Playground Global</t>
  </si>
  <si>
    <t>SK Hynix</t>
  </si>
  <si>
    <t>Nautilus Venture Partners</t>
  </si>
  <si>
    <t>Marvell</t>
  </si>
  <si>
    <t>Entrada Ventures</t>
  </si>
  <si>
    <t>Note</t>
  </si>
  <si>
    <t>TSVC</t>
  </si>
  <si>
    <t>AI Chip</t>
  </si>
  <si>
    <t>Sid Sheth</t>
  </si>
  <si>
    <t>Lightspeed, Greylock, Coatue, Wing Venture Capital, Eric Schmidt, Emad Mostaque, David Luan, Bipul Sinha, Audacious Ventures, 8VC</t>
  </si>
  <si>
    <t>8VC</t>
  </si>
  <si>
    <t>Audacious Ventures</t>
  </si>
  <si>
    <t>Coatue, Greylock, Audacious Ventures</t>
  </si>
  <si>
    <t>500 Global, Greylock</t>
  </si>
  <si>
    <t>Powerpoint</t>
  </si>
  <si>
    <t>PyTorch Lightning</t>
  </si>
  <si>
    <t>Coatue, Mantis, Index, Firstminute, Bain</t>
  </si>
  <si>
    <t>Mantis Venture Capital</t>
  </si>
  <si>
    <t>Firstminute Capital</t>
  </si>
  <si>
    <t>Index, Firstminute, Bain</t>
  </si>
  <si>
    <t>SVA, Bain</t>
  </si>
  <si>
    <t>Dell, Zetta, Liberty Global Ventures, GSR Ventures, Firebolt Ventures, Citi Ventures, Cathay Innovation</t>
  </si>
  <si>
    <t>Dell</t>
  </si>
  <si>
    <t>Liberty Global Ventures</t>
  </si>
  <si>
    <t>GSR Ventures</t>
  </si>
  <si>
    <t>Firebolt Ventures</t>
  </si>
  <si>
    <t>Citi Ventures</t>
  </si>
  <si>
    <t>Cathay Innovation, Zetta, Plug and Play, Firebolt, Citi, Bloomberg Beta</t>
  </si>
  <si>
    <t>Plug and Play</t>
  </si>
  <si>
    <t>Healthcare LLM</t>
  </si>
  <si>
    <t>Alex Miller, Munjal Shah, Vishal Parikh</t>
  </si>
  <si>
    <t>General Analyst, a16z</t>
  </si>
  <si>
    <t>Maryland</t>
  </si>
  <si>
    <t>Hippocratic AI</t>
  </si>
  <si>
    <t>Scale Venture Partners, Viola Ventures, TLV Partners, Spider Capital</t>
  </si>
  <si>
    <t>Scale Venture Partners</t>
  </si>
  <si>
    <t>Datagen Technologies</t>
  </si>
  <si>
    <t>TLV Partners</t>
  </si>
  <si>
    <t>Spider Capital</t>
  </si>
  <si>
    <t>Viola Ventures, TLV Partners, Spider Capital, Operator Partners, Matias Ventures, Michael Black</t>
  </si>
  <si>
    <t>Viola Ventures</t>
  </si>
  <si>
    <t>Operator Partners</t>
  </si>
  <si>
    <t>Matias Ventures</t>
  </si>
  <si>
    <t>TLV Partners, Spider Capital, Philippe Suchet</t>
  </si>
  <si>
    <t>Gil Elbaz</t>
  </si>
  <si>
    <t>Ilya Gelfenbeyn, Kylan Gibbs, Michael Ermolenko</t>
  </si>
  <si>
    <t>Synthetic character library, mainly enterprise but very cool</t>
  </si>
  <si>
    <t>Inworld AI</t>
  </si>
  <si>
    <t>The Venture Reality Fund</t>
  </si>
  <si>
    <t>SK Inc</t>
  </si>
  <si>
    <t>Micron Ventures</t>
  </si>
  <si>
    <t>NTT Docomo Ventures</t>
  </si>
  <si>
    <t>LG Technology Ventures</t>
  </si>
  <si>
    <t>HTC</t>
  </si>
  <si>
    <t>First Spark Ventures</t>
  </si>
  <si>
    <t>CRV</t>
  </si>
  <si>
    <t>Bitkraft Ventures</t>
  </si>
  <si>
    <t>Intel Capital, Section 32, The Venture Reality Fund, SK, NTT Docomo Ventures, Micron Ventures, Microsoft, LG Technology Ventures, Kleiner Perkins, HTC, Founders Fund, First Spark Ventures, CRV, Bitkraft Ventures</t>
  </si>
  <si>
    <t>Bitkraft Ventures, Disney, The Venture Reality Fund, Nate Mitchell, NaHC03, Microsoft, Kleiner Perkins, CRV</t>
  </si>
  <si>
    <t>NaHCO3</t>
  </si>
  <si>
    <t>Kleiner Perkins, CRV, The.AI Ventures, Sequoia, Meta</t>
  </si>
  <si>
    <t>The.AI Ventures</t>
  </si>
  <si>
    <t>Character templates for NPCs</t>
  </si>
  <si>
    <t>NEA, Marc Lore, Accel</t>
  </si>
  <si>
    <t>New York, NY</t>
  </si>
  <si>
    <t>Marc Lore, Melissa Bridgeford</t>
  </si>
  <si>
    <t>G42, Plug and Play, HCS, ARM, Arya Bolurfrushan, Price Stefan</t>
  </si>
  <si>
    <t>G42</t>
  </si>
  <si>
    <t>UAE based</t>
  </si>
  <si>
    <t>ARM Holding</t>
  </si>
  <si>
    <t>HCS Beteiligungsgesellschaft</t>
  </si>
  <si>
    <t>DeepDoc, Insurance</t>
  </si>
  <si>
    <t>David Raskino, Rahul Sood</t>
  </si>
  <si>
    <t>a16z, Keen Crypto, Mantis Venture Capital, Solana Ventures, Unlock Venture Partners, Sonam Kapoor Ahuja, Michael Ovitz, Keen Crypto, Infinity Ventures Crypto, Advancit Capital, Capitoria</t>
  </si>
  <si>
    <t>MechaFightClub fail, pivot from crypto</t>
  </si>
  <si>
    <t>Seed: $25m valuation</t>
  </si>
  <si>
    <t>a16z, Unlock Venture Partners, Mantis Venture Capital, Advancit, Keen Crypto</t>
  </si>
  <si>
    <t>Berkeley, CA</t>
  </si>
  <si>
    <t>Aparna Dhinakaran, Jason Lopatecki</t>
  </si>
  <si>
    <t>TCV</t>
  </si>
  <si>
    <t>Swift Ventures</t>
  </si>
  <si>
    <t>Battery Ventures, Trinity Ventures, The House Fund, Swift Ventures, Foundation Capital</t>
  </si>
  <si>
    <t>TCV, Swift Ventures, Foundation Capital, Battery Ventures</t>
  </si>
  <si>
    <t>Trinity Ventures, Foundation Capital, Brett Wilson</t>
  </si>
  <si>
    <t>Observability &amp; Monitoring</t>
  </si>
  <si>
    <t>Palette, semiconductors</t>
  </si>
  <si>
    <t>Temasek, Radical Ventures, Partech, Oriol Vinyals, Jose Valim, Francois Collet, Ashish Vaswani, Amadeus Capital, Air Street Capital</t>
  </si>
  <si>
    <t>Alberto Rizzoli</t>
  </si>
  <si>
    <t>Air Street Capital</t>
  </si>
  <si>
    <t>Partech</t>
  </si>
  <si>
    <t>Amadeus Capital</t>
  </si>
  <si>
    <t>Amadeus, Partech, Miele Venture, Air Street</t>
  </si>
  <si>
    <t>Pre Seed</t>
  </si>
  <si>
    <t>Miele Venture</t>
  </si>
  <si>
    <t>Ecommerce BS</t>
  </si>
  <si>
    <t>Magic (magic.dev)</t>
  </si>
  <si>
    <t>10x Founders</t>
  </si>
  <si>
    <t>Auto-programmer</t>
  </si>
  <si>
    <t>Capital G, Xavier Sarras, Roland Boubela, Noam Brown, Nat Friedman, Mehdi Ghissassi, Klaudius Kalcher, Fredrik Hjelm, Florian Huber, Elad Gil, Daniel Dippold, Bryan Pellegrino, Arthur Breitman, Amplify Partners, Adam Jafer, 10x Founders</t>
  </si>
  <si>
    <t>GPT Lawyer</t>
  </si>
  <si>
    <t>Facet.ai</t>
  </si>
  <si>
    <t>Resemble.ai</t>
  </si>
  <si>
    <t>craiyon AI</t>
  </si>
  <si>
    <t>sudowrite</t>
  </si>
  <si>
    <t>Visual Electric</t>
  </si>
  <si>
    <t>Steve AI</t>
  </si>
  <si>
    <t>INnerWorld</t>
  </si>
  <si>
    <t>Mistral AI</t>
  </si>
  <si>
    <t>Google, Greylock, SVA, Factory</t>
  </si>
  <si>
    <t>Google (Capital G, GV)</t>
  </si>
  <si>
    <t>Factory</t>
  </si>
  <si>
    <t>Chris Lattner, Tim Davis</t>
  </si>
  <si>
    <t>Gabriel Pereyra, Winston Weinberg</t>
  </si>
  <si>
    <t>Sequoia, OpenAI, Conviction VC, SVA, Elad Gil</t>
  </si>
  <si>
    <t>15000 waiting list</t>
  </si>
  <si>
    <t>Harvey</t>
  </si>
  <si>
    <t>Conviction VC</t>
  </si>
  <si>
    <t>Infinitus Systems (infinitus.ai)</t>
  </si>
  <si>
    <t>Clinical call automation</t>
  </si>
  <si>
    <t>Google Ventures, Kleiner Perkins, Operator Partners, Coatue, Aashima Gupta</t>
  </si>
  <si>
    <t>Infinitus Systems</t>
  </si>
  <si>
    <t>Coatue, Kleiner Perkins, Tau Ventures, Quiet Capital, Qasar Younis, Ian Goodfellow, Gradient Ventures, Gokul Rajaram, Firebolt Ventures, Aparna Chennapragada</t>
  </si>
  <si>
    <t>Keen Technologies</t>
  </si>
  <si>
    <t>AGI</t>
  </si>
  <si>
    <t>Tau Ventures</t>
  </si>
  <si>
    <t>Quiet Capital</t>
  </si>
  <si>
    <t>Gradient Ventures</t>
  </si>
  <si>
    <t>Seed Round</t>
  </si>
  <si>
    <t>OpenAI, Jeff Dean, Elad Gil</t>
  </si>
  <si>
    <t>Yaron Singer</t>
  </si>
  <si>
    <t>Tiger, Sequoia, Harpoon, Engineering Capital</t>
  </si>
  <si>
    <t>Stress Test AI Models</t>
  </si>
  <si>
    <t>Harpoon</t>
  </si>
  <si>
    <t>Engineering Capital</t>
  </si>
  <si>
    <t>Sequoia, Ram Shriram, Harpoon, Engineering Capital, Alex Balkanski</t>
  </si>
  <si>
    <t>Sequoia, Engineering</t>
  </si>
  <si>
    <t>Ron Oren, Yoav Chai, Yotam Gil</t>
  </si>
  <si>
    <t>Lightroom editing assistant</t>
  </si>
  <si>
    <t>Summit, NFX</t>
  </si>
  <si>
    <t>NFX</t>
  </si>
  <si>
    <t>Berlin</t>
  </si>
  <si>
    <t>Han Xiao, Xuanbin He</t>
  </si>
  <si>
    <t>Canaan, Yunqi Partners, SAP.iO, Mango Capital, GGV Capital</t>
  </si>
  <si>
    <t>GGV Capital, SAP.iO, Yunqi Partners</t>
  </si>
  <si>
    <t>Yunqi Partners</t>
  </si>
  <si>
    <t>Multimodal LLM? LLMops</t>
  </si>
  <si>
    <t>Canaan</t>
  </si>
  <si>
    <t>SAP.iO</t>
  </si>
  <si>
    <t>Mango Capital</t>
  </si>
  <si>
    <t>GGV Capital</t>
  </si>
  <si>
    <t>Noogata</t>
  </si>
  <si>
    <t>Play.HT</t>
  </si>
  <si>
    <t>Matt Staniszewski, Piotr Dawbowski</t>
  </si>
  <si>
    <t>Dust</t>
  </si>
  <si>
    <t>Credo Ventures, Concept Ventures</t>
  </si>
  <si>
    <t>Nat Friedman, Daniel Gross</t>
  </si>
  <si>
    <t>Voice API</t>
  </si>
  <si>
    <t>a16z, Nat Friedman, Daniel Gross (unofficial)</t>
  </si>
  <si>
    <t>Eleven Labs</t>
  </si>
  <si>
    <t>LLM tools</t>
  </si>
  <si>
    <t>Tabnine</t>
  </si>
  <si>
    <t>ZeroEyes</t>
  </si>
  <si>
    <t>Moxxie Ventures, Thomson Reuters Ventures, Bling Capital, Concrete Ventures, BDC Venture Capital, Good News Ventures, Inovia Capital, N49P, The LegalTech Fund</t>
  </si>
  <si>
    <t>Moxxie Ventures</t>
  </si>
  <si>
    <t>Thomson Reuters Ventures</t>
  </si>
  <si>
    <t>The LegalTech Fund</t>
  </si>
  <si>
    <t>N49P</t>
  </si>
  <si>
    <t>Concere Ventures</t>
  </si>
  <si>
    <t>Bling Capital</t>
  </si>
  <si>
    <t>BDC Venture Capital</t>
  </si>
  <si>
    <t>Good News Ventures</t>
  </si>
  <si>
    <t>Path Ventures</t>
  </si>
  <si>
    <t>Genesis, Pelorus Venture Capital, Killick Capital, Good News Ventures, Concrete Ventures</t>
  </si>
  <si>
    <t>Los Angeles</t>
  </si>
  <si>
    <t>Heath Ahrens</t>
  </si>
  <si>
    <t>Consumer Voice UGC</t>
  </si>
  <si>
    <t>Pieces</t>
  </si>
  <si>
    <t>Jason Kuperberg, Matt Shumer, Miles Feldstein</t>
  </si>
  <si>
    <t>Active Capital, Cortical Ventures, Siqi Chen, Nick Frosst, Madrona, Ivan Zhang, Furqan Rydhan, Aidan Gomez</t>
  </si>
  <si>
    <t>Otherside AI</t>
  </si>
  <si>
    <t>Active Capital</t>
  </si>
  <si>
    <t>Madrona, New York Venture Partners, Hustle Fund, Chapter One Ventures, Active Capital, Matt Gibstein</t>
  </si>
  <si>
    <t>Hustle Fund</t>
  </si>
  <si>
    <t>Chapter One Ventures</t>
  </si>
  <si>
    <t>New York Venture Partners</t>
  </si>
  <si>
    <t>Mimica Automation</t>
  </si>
  <si>
    <t>Percepta</t>
  </si>
  <si>
    <t>Grit</t>
  </si>
  <si>
    <t>Stephen Balaban</t>
  </si>
  <si>
    <t>GPU Cluster</t>
  </si>
  <si>
    <t>Mercato Partners, Gradient Ventures, Bloomberg Beta, Crescent Cove Advisors, 1517 Fund, Lukas Biewald, Jeff Hammerbacher, Greg Brockman, Georges Harik, Garry Tan, Adam D'Angelo</t>
  </si>
  <si>
    <t>Razer, Gradient Ventures, Bloomberg Beta, Georges Harik, 1517 Fund</t>
  </si>
  <si>
    <t>Gradient Ventures, Bloomberg Beta, 1517 Fund</t>
  </si>
  <si>
    <t>Quantiphi</t>
  </si>
  <si>
    <t>Redpanda Data</t>
  </si>
  <si>
    <t>Utilidata</t>
  </si>
  <si>
    <t>Amjad Massad</t>
  </si>
  <si>
    <t>a16z, Y Combinator, SVA, Khosla Ventures, Coatue, Bloomberg Beta, ARK Ventures, Naval Ravikant, Hamilton Helmer</t>
  </si>
  <si>
    <t>IDE</t>
  </si>
  <si>
    <t>Khosla Ventures</t>
  </si>
  <si>
    <t>ARK Ventures</t>
  </si>
  <si>
    <t>Series B: 720m valuation</t>
  </si>
  <si>
    <t>Coatue, a16z, Bloomberg Beta, Fifth Down Capital, Not Boring, Reach Capital, Volt Capital, Vinay Hiremath, Mattia Astori</t>
  </si>
  <si>
    <t>Volt Capital</t>
  </si>
  <si>
    <t>Not Boring</t>
  </si>
  <si>
    <t>Reach Capital</t>
  </si>
  <si>
    <t>Fifth Down Capital</t>
  </si>
  <si>
    <t>A.Capital, SVA</t>
  </si>
  <si>
    <t>a16z, Amino Capital</t>
  </si>
  <si>
    <t>Ycombinator, Amino Capital, Reach Capital, Bloomberg Beta</t>
  </si>
  <si>
    <t>Salem, New Hampshire</t>
  </si>
  <si>
    <t>Jeremy Achin, Dmytro Zahanych</t>
  </si>
  <si>
    <t>NEA, Open Field Capital, B5 Capital, Cortical Ventures</t>
  </si>
  <si>
    <t>Open Field Capital</t>
  </si>
  <si>
    <t>B5 Capital</t>
  </si>
  <si>
    <t>Satya Nitta</t>
  </si>
  <si>
    <t>Aisera</t>
  </si>
  <si>
    <t>Learn Capital</t>
  </si>
  <si>
    <t>Robots for teachers</t>
  </si>
  <si>
    <t>South Korea</t>
  </si>
  <si>
    <t>Consumer AI</t>
  </si>
  <si>
    <t>Diverse</t>
  </si>
  <si>
    <t>Softbank Ventures Asia, Company K Partners, Stonebridge Capital, TBT, Primer Sazze Partners, Premier Partners</t>
  </si>
  <si>
    <t>German Tax returns</t>
  </si>
  <si>
    <t>CLARA Analytics</t>
  </si>
  <si>
    <t>Project A Ventures, Insight Partners, Mountain Partners, Feliks Eyser</t>
  </si>
  <si>
    <t>ExpressSteur</t>
  </si>
  <si>
    <t>Mountain Partners</t>
  </si>
  <si>
    <t>Tim Stracke, Kai Hansen, Christian Wenger, Aurelia Ventures</t>
  </si>
  <si>
    <t>True Growth Capital</t>
  </si>
  <si>
    <t>Jale Beteiligungs</t>
  </si>
  <si>
    <t>Hamburg</t>
  </si>
  <si>
    <t>John Carmack</t>
  </si>
  <si>
    <t>2019?</t>
  </si>
  <si>
    <t>Nat Friedman, Daniel Gross, Patrick Collison, Tobi Lutke, Sequoia, Capital Factory, Jim Keller</t>
  </si>
  <si>
    <t>No official announcement</t>
  </si>
  <si>
    <t>Dallas</t>
  </si>
  <si>
    <t>Jonas Andrulis, Samuel Weinbach</t>
  </si>
  <si>
    <t>Heidelberg</t>
  </si>
  <si>
    <t>LLMs</t>
  </si>
  <si>
    <t>UVC Partners, Earlybird Venture Capital, Lakestar, LEA Partners, Cavalry Ventures, 468 Capital</t>
  </si>
  <si>
    <t>LEA Partners, Cavalry Ventures, 468 Capital, Public</t>
  </si>
  <si>
    <t>Aible</t>
  </si>
  <si>
    <t>Enterprise Analytics</t>
  </si>
  <si>
    <t>Edwin Chen</t>
  </si>
  <si>
    <t>Birdie</t>
  </si>
  <si>
    <t>Mason</t>
  </si>
  <si>
    <t>Zegami</t>
  </si>
  <si>
    <t>Irvine, CA</t>
  </si>
  <si>
    <t>Pachama</t>
  </si>
  <si>
    <t>Networking</t>
  </si>
  <si>
    <t>Michael Malyuk</t>
  </si>
  <si>
    <t>Fathom Radiant</t>
  </si>
  <si>
    <t>Cognitive Operational System</t>
  </si>
  <si>
    <t>John Snow Labs</t>
  </si>
  <si>
    <t>Redpoint, Swift Ventures, Bow Capital, Unusual Ventures</t>
  </si>
  <si>
    <t>Unusual Ventures</t>
  </si>
  <si>
    <t>Redpoint</t>
  </si>
  <si>
    <t>Bow Capital</t>
  </si>
  <si>
    <t>San Jose</t>
  </si>
  <si>
    <t>Varun Mohan</t>
  </si>
  <si>
    <t>GPUs</t>
  </si>
  <si>
    <t>Greenoaks, Founders Fund</t>
  </si>
  <si>
    <t>Greenoaks, Carlos Delatorre, Howie Liu, Nitesh Banta, Richard Socher, Sahir Azam, Spencer Kimball</t>
  </si>
  <si>
    <t>Kili Technology</t>
  </si>
  <si>
    <t>Paris</t>
  </si>
  <si>
    <t>Data Cleaning</t>
  </si>
  <si>
    <t>Francois-Xavier Leduc</t>
  </si>
  <si>
    <t>Balderton Capital, Serena, Headline, Chris Schagen, Dimitri Sirota, Financiere Saint James, Olivier Pailhes</t>
  </si>
  <si>
    <t>Headline, Stanislas de Bentzmann, Gus Robertson, Financiere Saint James, Olivier Pomel, Serena</t>
  </si>
  <si>
    <t>Guy Ernest</t>
  </si>
  <si>
    <t>Algo</t>
  </si>
  <si>
    <t>Quarrio</t>
  </si>
  <si>
    <t>New Era Capital, Hamilton Lane</t>
  </si>
  <si>
    <t>Manufacturing NLP</t>
  </si>
  <si>
    <t>New Era Capital Partners</t>
  </si>
  <si>
    <t>Hamilton Lane</t>
  </si>
  <si>
    <t>Anupam Datta, Shayak Sen, Will Uppington</t>
  </si>
  <si>
    <t>Menlo Ventures, Wing Venture Capital, Harpoon, Greylock, Forgepoint Capital, Data Community Fund, Conversion Capital, B Capital Group</t>
  </si>
  <si>
    <t>Forgepoint</t>
  </si>
  <si>
    <t>Data Community Fund</t>
  </si>
  <si>
    <t>Conversion Capital</t>
  </si>
  <si>
    <t>B Capital Group</t>
  </si>
  <si>
    <t>Wing Venture Capital, Harpoon, Greylock, Data Community Fund, Conversion Capital, B Capital Group</t>
  </si>
  <si>
    <t>Greylock, Wing Venture Capital, Conversion Capital, Aaref Hilaly</t>
  </si>
  <si>
    <t>Alon Gubkin, Liran Hason</t>
  </si>
  <si>
    <t>Tiger, Vertex Ventures, TLV Partners, Tal Ventures, Samsung NEXT</t>
  </si>
  <si>
    <t>Vertex Ventures</t>
  </si>
  <si>
    <t>Tal Ventures</t>
  </si>
  <si>
    <t>Samsung NEXT</t>
  </si>
  <si>
    <t>Vertex Ventures, TLV Partners, Yevgeny Dibrov, Nadir Izrael, Gili Raanan</t>
  </si>
  <si>
    <t>Hardware Platform</t>
  </si>
  <si>
    <t>Jonathan Elial, Ran El-Yaniv, Yonatan Geifman</t>
  </si>
  <si>
    <t>Petuum</t>
  </si>
  <si>
    <t>CloudFactory</t>
  </si>
  <si>
    <t>Square Peg Capital, Jibe Ventures, Insight Partners, ICON - Israel Collaboration Network, Fort Ross Ventures, Emerge</t>
  </si>
  <si>
    <t>Square Peg</t>
  </si>
  <si>
    <t>Emerge</t>
  </si>
  <si>
    <t>Jibe Ventures</t>
  </si>
  <si>
    <t>Fort Ross Ventures</t>
  </si>
  <si>
    <t>ICON - Israel</t>
  </si>
  <si>
    <t>Insight Partners, Vintage Investment Partners, Square Peg Capital, Samsung NEXT, Fort Ross Ventures, Emerge</t>
  </si>
  <si>
    <t>Vintage Investment Partners</t>
  </si>
  <si>
    <t>Square Peg, Emerge, Danny Hadar</t>
  </si>
  <si>
    <t>Starshot Capital, Vela Partners, Section 32, Root and Shoot Ventures, Mustafa Suleyman, Helena, Flying Fish Partners, Character, Ahren Innovation Capital</t>
  </si>
  <si>
    <t>Starshot Capital</t>
  </si>
  <si>
    <t>Vela Partners</t>
  </si>
  <si>
    <t>Root and Shoot Ventures</t>
  </si>
  <si>
    <t>Helena</t>
  </si>
  <si>
    <t>Character</t>
  </si>
  <si>
    <t>Flying Fish Partners</t>
  </si>
  <si>
    <t>Ahren Innovation Capital</t>
  </si>
  <si>
    <t>Flying Fish Partners, Starshot Capital, Section 32, Root and Shoot Partners, Outcomes Fund, Mark Cuban, Character</t>
  </si>
  <si>
    <t>Outcomes Fund</t>
  </si>
  <si>
    <t>Flying Fish Partners, U Washington, Section 32, NJF Capital, Firstminute Capital</t>
  </si>
  <si>
    <t>NJF</t>
  </si>
  <si>
    <t>Industrial</t>
  </si>
  <si>
    <t>Sweetch</t>
  </si>
  <si>
    <t>Navina</t>
  </si>
  <si>
    <t>Curai Health</t>
  </si>
  <si>
    <t>GPT-3, patient conversations</t>
  </si>
  <si>
    <t>Julien Codorniou</t>
  </si>
  <si>
    <t>Alexandre Lebrun, Delphine Groll, Martin Raison</t>
  </si>
  <si>
    <t>Virtual Presenters</t>
  </si>
  <si>
    <t>Insight Partners, Remagine Ventures, Kindred Ventures, Galaxy Interactive, Eynat Guez, Digital Horizon, Cerca Partners, Amaranthine</t>
  </si>
  <si>
    <t>Remagine Ventures</t>
  </si>
  <si>
    <t>Kindred Ventures</t>
  </si>
  <si>
    <t>Galaxy Interactive</t>
  </si>
  <si>
    <t>Digital Horizon</t>
  </si>
  <si>
    <t>Cerca Partners</t>
  </si>
  <si>
    <t>Amaranthine</t>
  </si>
  <si>
    <t>Reimagine Ventures, Kindred Ventures, Galaxy Interactive, Amaranthine</t>
  </si>
  <si>
    <t>Reimagine Ventures</t>
  </si>
  <si>
    <t>togetherAI</t>
  </si>
  <si>
    <t>Automated Contract Negotiation</t>
  </si>
  <si>
    <t>Kaspar Korjus, Kristjan Korjus, Martin Rand</t>
  </si>
  <si>
    <t>3VC, Taavet+Sten, Project A Ventures, NordicNinja VC, Metaplanet Holdings, Maersk Growth, Atomico</t>
  </si>
  <si>
    <t>3VC</t>
  </si>
  <si>
    <t>Taavet+Sten</t>
  </si>
  <si>
    <t>Project A Ventures</t>
  </si>
  <si>
    <t>NordicNinjaVC</t>
  </si>
  <si>
    <t>Metaplanet Holdings</t>
  </si>
  <si>
    <t>Maersk Growth</t>
  </si>
  <si>
    <t>Atomico</t>
  </si>
  <si>
    <t>Atomico, Taavet Hinrikus, Sten Tamkivi, Project A Ventures, Ott Kaukver, Metaplanet Holdings</t>
  </si>
  <si>
    <t>Chub.ai (chub.ai)</t>
  </si>
  <si>
    <t>Spicychat.ai</t>
  </si>
  <si>
    <t>Crushon.ai</t>
  </si>
  <si>
    <t>RizzGPT</t>
  </si>
  <si>
    <t>Faraday.dev</t>
  </si>
  <si>
    <t>Poe.com (Quora)</t>
  </si>
  <si>
    <t>Pirr.app</t>
  </si>
  <si>
    <t>Replika</t>
  </si>
  <si>
    <t>Janitor AI</t>
  </si>
  <si>
    <t>Nastia ai</t>
  </si>
  <si>
    <t>Anima ai (myanima.ai)</t>
  </si>
  <si>
    <t>Agnaistic</t>
  </si>
  <si>
    <t>GooseAI</t>
  </si>
  <si>
    <t>NovelAI</t>
  </si>
  <si>
    <t>InferKit</t>
  </si>
  <si>
    <t>TextSynth</t>
  </si>
  <si>
    <t>Dreamily</t>
  </si>
  <si>
    <t>KoboldAI (Github)</t>
  </si>
  <si>
    <t>Chatfai</t>
  </si>
  <si>
    <t>Chai.ml</t>
  </si>
  <si>
    <t>Chai (app, Chai Research Corp)</t>
  </si>
  <si>
    <t>Holo</t>
  </si>
  <si>
    <t>Project A Ventures, Producement, DocuSign</t>
  </si>
  <si>
    <t>Waymark</t>
  </si>
  <si>
    <t>Docusign</t>
  </si>
  <si>
    <t>Producement</t>
  </si>
  <si>
    <t>Taavet Hinrikus, Sten Tamkivi, Ott Kaukver, Jaan Tallinn</t>
  </si>
  <si>
    <t>Crackhead stuff, I love it</t>
  </si>
  <si>
    <t>Kanjun Qiu, Josh Albrecht</t>
  </si>
  <si>
    <t>Arithmer</t>
  </si>
  <si>
    <t>Lightspeed, YC, Threshold Ventures, Tom Brown, Jonas Schneider, Drew Houston, Astera Institute, Arash Ferdowsi</t>
  </si>
  <si>
    <t>Dario Amodei, Tom Brown</t>
  </si>
  <si>
    <t>YC</t>
  </si>
  <si>
    <t>Samanyou Garg</t>
  </si>
  <si>
    <t>HOF Capital, Soma Capital, Rebel Fund, Broom Ventures, BluePointe Ventures, Atlas Pacific Capital, Amino Capital</t>
  </si>
  <si>
    <t>Sourceress</t>
  </si>
  <si>
    <t>HOF Capital</t>
  </si>
  <si>
    <t>Soma Capital</t>
  </si>
  <si>
    <t>Rebel Fund</t>
  </si>
  <si>
    <t>Broom Ventures</t>
  </si>
  <si>
    <t>BluePointe Ventures</t>
  </si>
  <si>
    <t>Atlas Pacific Capital</t>
  </si>
  <si>
    <t>Amino Capital</t>
  </si>
  <si>
    <t>GPT-generated content</t>
  </si>
  <si>
    <t>Los Altos Hills, CA</t>
  </si>
  <si>
    <t>Dennis Xu, Kevin Moody</t>
  </si>
  <si>
    <t>Productivity tool, note-taking</t>
  </si>
  <si>
    <t>OpenAI, Oana Olteanu, Firestream Ventures, Material V</t>
  </si>
  <si>
    <t xml:space="preserve">a16z, Unusual Ventures, The Todd &amp; Rahul Angel Fund, Shrug Capital, Floodgate, Dreamers VC, a16z Cultural Leadership Fund, Tony Liu, Todd Goldberg, Rahul Vohra, Lenny Rachitsky, Julia Lipton, Harry Stebbings, </t>
  </si>
  <si>
    <t>Unusual Ventures, Floodgate</t>
  </si>
  <si>
    <t>Material V</t>
  </si>
  <si>
    <t>Shrug Capital</t>
  </si>
  <si>
    <t>Floodgate</t>
  </si>
  <si>
    <t>The Todd &amp; Rahul Angel Fund</t>
  </si>
  <si>
    <t>Dreamers VC</t>
  </si>
  <si>
    <t>Tokyo</t>
  </si>
  <si>
    <t>Tokushima Taisho Bank, Pegasus Tech Ventures</t>
  </si>
  <si>
    <t>Toyota Tsusho, Sumitomo Mitsui Trust Bank, Mitsui Sumitomo Insurance VC, Japan Investment Adviser, JAFCO</t>
  </si>
  <si>
    <t>Mitsui Sumitomo Insurance VC, Tokushima Taisho Bank</t>
  </si>
  <si>
    <t>Mitsui Sumitomo Insurance Venture Capital</t>
  </si>
  <si>
    <t>Japanese and weird</t>
  </si>
  <si>
    <t>Hillhouse, Gaorong Capital, Yunqi Partners, Wavemaker Partners, Singtel Innov8, K3 Ventures, Insignia Venture Partners, GGV Capital</t>
  </si>
  <si>
    <t>ZWC Partners, GGV Capital, Insignia Ventures Partners, Wavemaker Partners</t>
  </si>
  <si>
    <t>ZWC Partners</t>
  </si>
  <si>
    <t>Customer Service bots</t>
  </si>
  <si>
    <t>Dubbing</t>
  </si>
  <si>
    <t>Nir Krakowski, Ofir Krakowski</t>
  </si>
  <si>
    <t>Insight Partners, Swift Ventures, Stardom Ventures, Matias Ventures, Booster Ventures Roi Tiger, Kevin Reilly, Gideon Marks, Emiliano Calemzuk, Danny Grander, Daniel Chadash</t>
  </si>
  <si>
    <t>deepdub</t>
  </si>
  <si>
    <t>Booster Ventures</t>
  </si>
  <si>
    <t>Stardom Ventures</t>
  </si>
  <si>
    <t>Hillhouse</t>
  </si>
  <si>
    <t>wiz.ai</t>
  </si>
  <si>
    <t>Gaorang</t>
  </si>
  <si>
    <t>Wavemaker</t>
  </si>
  <si>
    <t>Singtel Innov8</t>
  </si>
  <si>
    <t>K3 Ventures</t>
  </si>
  <si>
    <t>Insignia Venture Partners</t>
  </si>
  <si>
    <t>Daniel Chen, Jeremy Huang, Thomas Li</t>
  </si>
  <si>
    <t>Document retrieval, data extraction</t>
  </si>
  <si>
    <t>Credit Suisse NEXT Investors, Hack VC, Uncorrelated Ventures, Nexus Venture Partners, Bossanova Investimentos</t>
  </si>
  <si>
    <t>Nexus Venture Partners</t>
  </si>
  <si>
    <t>Credit Suisse NEXT Partners</t>
  </si>
  <si>
    <t>Uncorrelated Ventures</t>
  </si>
  <si>
    <t>Rossum</t>
  </si>
  <si>
    <t>Former Axios, communications software</t>
  </si>
  <si>
    <t>Roy Schwartz, Jim VandeHei</t>
  </si>
  <si>
    <t>Greycroft, Glade Brook, Cox Enterprises</t>
  </si>
  <si>
    <t>Glade Brook</t>
  </si>
  <si>
    <t>Cox Enterprises</t>
  </si>
  <si>
    <t>Campbell, CA</t>
  </si>
  <si>
    <t>Reliance Jio, Naver</t>
  </si>
  <si>
    <t>Two Platforms (two.ai)</t>
  </si>
  <si>
    <t>AutoCameo, video</t>
  </si>
  <si>
    <t>Reliance Jio</t>
  </si>
  <si>
    <t>Two.ai</t>
  </si>
  <si>
    <t>Conversational Bots</t>
  </si>
  <si>
    <t>Bots</t>
  </si>
  <si>
    <t>Together Fund, Nexus Venture Partners, The New Normal Fund</t>
  </si>
  <si>
    <t>Abridge</t>
  </si>
  <si>
    <t>Delaware</t>
  </si>
  <si>
    <t>Akshat Tyagi</t>
  </si>
  <si>
    <t>Des Moines, Iowa</t>
  </si>
  <si>
    <t>Brad Dwyer, Joseph Nelson</t>
  </si>
  <si>
    <t>Craft Ventures, Sam Altman, Quiet Capital, Mike Maples Jr, Max Altman, Lachy Groom, Joe Morrissey, Jack Altman, Harry Hurst, Greg Brockman, DJ Patil, Cassidy Williams</t>
  </si>
  <si>
    <t>Computer vision models, dev tools</t>
  </si>
  <si>
    <t>Craft Ventures</t>
  </si>
  <si>
    <t>Craft Ventures, Next Level Ventures, Lachy Groom, Leore Avidar, Kevin Liu, James Tamplin, Elizabeth Caven, Calvin French-Owen, Aston Motes</t>
  </si>
  <si>
    <t>Next Level Ventures</t>
  </si>
  <si>
    <t>Pittsburgh</t>
  </si>
  <si>
    <t>Wittington Ventures, Whistler Capital Partners, UPMC Enterprises, Union Square Ventures, Pillar VC, Bessemer Venture Partners</t>
  </si>
  <si>
    <t>Doctor notes</t>
  </si>
  <si>
    <t>Florian Metze, Sandeep Konam, Shivdev Rao</t>
  </si>
  <si>
    <t>Wittington Ventures</t>
  </si>
  <si>
    <t>Union Square Ventures</t>
  </si>
  <si>
    <t>Whistler Capital Partners</t>
  </si>
  <si>
    <t>Pillar VC</t>
  </si>
  <si>
    <t>Union Square Ventures, UPMC, Zen Chu, Pillar VC, KdT Ventures, Bessemer Venture Partners, Esther Dyson, Aneesh Chopra</t>
  </si>
  <si>
    <t>KdT Ventures</t>
  </si>
  <si>
    <t>Bessemer Venture partners</t>
  </si>
  <si>
    <t>Pillar VC, KdT Ventures</t>
  </si>
  <si>
    <t>Data inconsistency</t>
  </si>
  <si>
    <t>Jared Parker, Patrick Dougherty</t>
  </si>
  <si>
    <t>Insight Partners, Unusual Ventures</t>
  </si>
  <si>
    <t>Data generation, synthetic data</t>
  </si>
  <si>
    <t>Yashar Behzadi</t>
  </si>
  <si>
    <t>468 Capital, Strawberry Creek Ventures, Sorenson Ventures, PJC, Kubera Venture Capital, iRobot Ventures, Boom Capital, Bee Partners</t>
  </si>
  <si>
    <t>468 Capital</t>
  </si>
  <si>
    <t>Sorenson Ventures</t>
  </si>
  <si>
    <t>PJC</t>
  </si>
  <si>
    <t>Kubera Venture Capital</t>
  </si>
  <si>
    <t>iRobot Ventures</t>
  </si>
  <si>
    <t>Boom Capital</t>
  </si>
  <si>
    <t>Bee Partners</t>
  </si>
  <si>
    <t>Strawberry Creek Ventures</t>
  </si>
  <si>
    <t>Swift Ventures, PJC, LETA Capital, Kubera Venture Capital, iRobot Ventures, Bossanova Investimentos, Boom Capital, Bee Capital</t>
  </si>
  <si>
    <t>LETA Capital</t>
  </si>
  <si>
    <t>Hemison.ai</t>
  </si>
  <si>
    <t>Tempus</t>
  </si>
  <si>
    <t>Hyro</t>
  </si>
  <si>
    <t>AIRS Medical</t>
  </si>
  <si>
    <t>Woebot Health</t>
  </si>
  <si>
    <t>Yembo</t>
  </si>
  <si>
    <t>Ada</t>
  </si>
  <si>
    <t>DataVisor</t>
  </si>
  <si>
    <t>Mind Foundry</t>
  </si>
  <si>
    <t>Arago</t>
  </si>
  <si>
    <t>PolyAI</t>
  </si>
  <si>
    <t>SandboxAQ</t>
  </si>
  <si>
    <t>Jacada</t>
  </si>
  <si>
    <t>AssemblyAI</t>
  </si>
  <si>
    <t>ElevateAI</t>
  </si>
  <si>
    <t>Plotly</t>
  </si>
  <si>
    <t>Armorblox</t>
  </si>
  <si>
    <t>Mighty AI (Uber)</t>
  </si>
  <si>
    <t>Paravision</t>
  </si>
  <si>
    <t>Telmai</t>
  </si>
  <si>
    <t>Observability</t>
  </si>
  <si>
    <t>Productivity</t>
  </si>
  <si>
    <t>NEA, Pear VC, Wing Venture Capital</t>
  </si>
  <si>
    <t>Bella Liu, Will Lu</t>
  </si>
  <si>
    <t>Pear VC</t>
  </si>
  <si>
    <t>Automates by watching you work</t>
  </si>
  <si>
    <t>Glasswing Ventures, .406 Ventures, Zetta Venture Partners, Y Combinator</t>
  </si>
  <si>
    <t>Glasswing Ventures</t>
  </si>
  <si>
    <t>.406 Ventures</t>
  </si>
  <si>
    <t>norby.io</t>
  </si>
  <si>
    <t>Estonia</t>
  </si>
  <si>
    <t>IntelliAgent</t>
  </si>
  <si>
    <t>Verticalls.ai</t>
  </si>
  <si>
    <t>Capacity</t>
  </si>
  <si>
    <t>Retrocausal</t>
  </si>
  <si>
    <t>Cognitive Space</t>
  </si>
  <si>
    <t>Twosense.ai</t>
  </si>
  <si>
    <t>Paper Crane</t>
  </si>
  <si>
    <t>Common Sense Machines</t>
  </si>
  <si>
    <t>BotChain</t>
  </si>
  <si>
    <t>Alexander Torrenegra, Andres Cajiao</t>
  </si>
  <si>
    <t>Emma Group, TBD Angels, Simma Capital, Salkantay Ventures, MatterScale Ventures, Rodrigo Schmidt, Mike Shoemaker, Michael Lazerow, Kass Lazerow, Haiping Zhao, Diego Piacentini, Brian Requarth</t>
  </si>
  <si>
    <t>Emma Group</t>
  </si>
  <si>
    <t>TBD Angels</t>
  </si>
  <si>
    <t>Simma Capital</t>
  </si>
  <si>
    <t>Salkantay Ventures</t>
  </si>
  <si>
    <t>MatterScale Ventures</t>
  </si>
  <si>
    <t>Beta Ventures, The Ark Fund</t>
  </si>
  <si>
    <t>Interactive NFTs</t>
  </si>
  <si>
    <t>Arif Khan</t>
  </si>
  <si>
    <t>Kid Venture Capital</t>
  </si>
  <si>
    <t>Multicoin Capital, Mark Cuban, IOSG Ventures, Crypto.com, Bitkraft Ventures, Alameda Ventures, 6th Man Ventures</t>
  </si>
  <si>
    <t>Insight Partners, Alexander Hudek, Noah Waisberg</t>
  </si>
  <si>
    <t>Document AI</t>
  </si>
  <si>
    <t>Visceral</t>
  </si>
  <si>
    <t>2023</t>
  </si>
  <si>
    <t>LLM</t>
  </si>
  <si>
    <t>Lightspeed, Index Ventures, Sofina, Redpoint, Motier Ventures, LocalGlobe, La Famiglia, JCDecaux Holding SA, Headline, Firstminute, Exor, Bpifrance, Eric Schmidt, Xavier Niel, Rodolphe Saade</t>
  </si>
  <si>
    <t>Peltarion</t>
  </si>
  <si>
    <t>Timothee Lacroix, Guillaume Lample, Arthur Mensch</t>
  </si>
  <si>
    <t>Worked on Llama at META</t>
  </si>
  <si>
    <t>Sofina</t>
  </si>
  <si>
    <t>Motier Ventures</t>
  </si>
  <si>
    <t>LocalGlobe</t>
  </si>
  <si>
    <t>La Famiglia</t>
  </si>
  <si>
    <t>JCDeaux</t>
  </si>
  <si>
    <t>Headline</t>
  </si>
  <si>
    <t>Exor</t>
  </si>
  <si>
    <t>BPI France</t>
  </si>
  <si>
    <t>DarwinAI</t>
  </si>
  <si>
    <t>Ontario</t>
  </si>
  <si>
    <t>Covariant</t>
  </si>
  <si>
    <t>BDC Venture Capital, Obvious Ventures, Inovia Capital, Honeywell</t>
  </si>
  <si>
    <t>Manufacturing</t>
  </si>
  <si>
    <t>Quality control, efficiency for electronics manufacturing</t>
  </si>
  <si>
    <t>Obvious Ventures</t>
  </si>
  <si>
    <t>Honeywell</t>
  </si>
  <si>
    <t>Honeywell, ACVC Partners</t>
  </si>
  <si>
    <t>ACVC</t>
  </si>
  <si>
    <t>Wharton Alumni Angels, The Archangel Fund, REDDS Capital, Honeywell, Guindy Alumni Angels</t>
  </si>
  <si>
    <t>Obvious Ventures, Inovia Capital</t>
  </si>
  <si>
    <t>"Chief of staff"</t>
  </si>
  <si>
    <t>Jason Flaks</t>
  </si>
  <si>
    <t>Norwest Venture Partners, Seven Peaks Ventures, Lightspeed, Ascend</t>
  </si>
  <si>
    <t>Norwest</t>
  </si>
  <si>
    <t>Seven Peaks Ventures</t>
  </si>
  <si>
    <t>Ascend</t>
  </si>
  <si>
    <t>Ohio</t>
  </si>
  <si>
    <t>Suvrat Bhooshan</t>
  </si>
  <si>
    <t>Personalized Videos</t>
  </si>
  <si>
    <t>Surge, Emergent Ventures</t>
  </si>
  <si>
    <t>Surge</t>
  </si>
  <si>
    <t>Emergent Ventures</t>
  </si>
  <si>
    <t>XpertSea</t>
  </si>
  <si>
    <t>Itamer Arel, Ron Chrisley</t>
  </si>
  <si>
    <t>AMP Robotics</t>
  </si>
  <si>
    <t>doc.ai</t>
  </si>
  <si>
    <t>StageOne Ventures, Point72 Ventures, Pathbreaker Ventures, Morado Ventures, Cota Capital, Coelius Capital, AME Cloud Ventures, Zach Coelius, John Lilly, Jaan Tallinn, Georges Harik</t>
  </si>
  <si>
    <t>StageOne Ventures</t>
  </si>
  <si>
    <t>Point72 Ventures</t>
  </si>
  <si>
    <t>Pathbreaker Ventures</t>
  </si>
  <si>
    <t>Morado Ventures</t>
  </si>
  <si>
    <t>Cota Capital</t>
  </si>
  <si>
    <t>Coelius Capital</t>
  </si>
  <si>
    <t>AME Cloud Ventures</t>
  </si>
  <si>
    <t>Eric Landau</t>
  </si>
  <si>
    <t>Landing AI</t>
  </si>
  <si>
    <t>CRV, Y Combinator, Harpoon, Crane</t>
  </si>
  <si>
    <t>Computer Vision, Annotation</t>
  </si>
  <si>
    <t>CRV, Y Combinator, WndrCo, Harvard, Des Traynor, Crane Venture</t>
  </si>
  <si>
    <t>Crane</t>
  </si>
  <si>
    <t>Harvard Management</t>
  </si>
  <si>
    <t>WndrCo</t>
  </si>
  <si>
    <t>Davit Badalyan, Tigran Petrosyan</t>
  </si>
  <si>
    <t>Base10 Partners, Runa Capital, Point Nine, Plug and Play, Fathom Capital</t>
  </si>
  <si>
    <t>Training Data platform, CV pipeline</t>
  </si>
  <si>
    <t>Base10 Partners</t>
  </si>
  <si>
    <t>Runa Capital</t>
  </si>
  <si>
    <t>Point Nine</t>
  </si>
  <si>
    <t>Fathom Capital</t>
  </si>
  <si>
    <t>SmartGateVC</t>
  </si>
  <si>
    <t>Granatus Ventures</t>
  </si>
  <si>
    <t>Berkeley SkyDeck Fund</t>
  </si>
  <si>
    <t>Point Nine, SmartGateVC, Runa Capital, Point Nine, Granatus Ventures, Fathom Capital, Berkeley SkyDeck Fund</t>
  </si>
  <si>
    <t>SmartGateVC, Granatus Ventures</t>
  </si>
  <si>
    <t>Primer</t>
  </si>
  <si>
    <t>Google Ventures, SVA, NEA, Formula Ventures, Essence VC</t>
  </si>
  <si>
    <t>Formula</t>
  </si>
  <si>
    <t>Essence VC</t>
  </si>
  <si>
    <t>Adam Oliner</t>
  </si>
  <si>
    <t>Former head of ML at Slack</t>
  </si>
  <si>
    <t>Maja Schaefer, Matt Ciolek</t>
  </si>
  <si>
    <t>Tiger, Inovo VC, Gradient Ventures, 10x Founders, Jack Altman</t>
  </si>
  <si>
    <t>Inovo</t>
  </si>
  <si>
    <t>Gradient Ventures, 10x Founders, Pascal Weinberger, Jack Altman</t>
  </si>
  <si>
    <t>Inovo VC</t>
  </si>
  <si>
    <t>Verse.io</t>
  </si>
  <si>
    <t>Speak (usespeak.com)</t>
  </si>
  <si>
    <t>Connor Zwick</t>
  </si>
  <si>
    <t>Education</t>
  </si>
  <si>
    <t>Squirrel AI Learning</t>
  </si>
  <si>
    <t>Ava</t>
  </si>
  <si>
    <t>OpenAI, Lachy Groom, Justin Mateen, Josh Buckley, Gokul Rajaram, Buckley Ventures, Founders Fund</t>
  </si>
  <si>
    <t>English teacher</t>
  </si>
  <si>
    <t>Buckley Ventures</t>
  </si>
  <si>
    <t>Justin Mateen, JAM Fund</t>
  </si>
  <si>
    <t>JAM Fund</t>
  </si>
  <si>
    <t>Khosla Ventures, Y Combinator, Investo, Justin Mateen</t>
  </si>
  <si>
    <t>Bhavin Shah</t>
  </si>
  <si>
    <t>Botpress</t>
  </si>
  <si>
    <t>Almotive</t>
  </si>
  <si>
    <t>Tiger, Alkeon</t>
  </si>
  <si>
    <t>Sapphire Ventures</t>
  </si>
  <si>
    <t>Sapphire Ventures, Kleiner Perkins, ICONIQ Capital, Lightspeed, Comerica Bank's Technology, Bain, John Thompson</t>
  </si>
  <si>
    <t>Comerica</t>
  </si>
  <si>
    <t>Lightspeed, Bain</t>
  </si>
  <si>
    <t>Employee Experience</t>
  </si>
  <si>
    <t>Alan Cowen</t>
  </si>
  <si>
    <t>Neural Magic</t>
  </si>
  <si>
    <t>Union Square Ventures, Wisdom Ventures, Northwell Holdings, LG Technology Ventures, Comcast Ventures, Evan Sharp</t>
  </si>
  <si>
    <t>Wisdom Ventures</t>
  </si>
  <si>
    <t>Northwell Holdings</t>
  </si>
  <si>
    <t>Comcast</t>
  </si>
  <si>
    <t>Aegis Ventures</t>
  </si>
  <si>
    <t>Emotion analysis</t>
  </si>
  <si>
    <t>Brett Adcock</t>
  </si>
  <si>
    <t>SiHub</t>
  </si>
  <si>
    <t>BroadMind</t>
  </si>
  <si>
    <t>Sunnyvale, CA</t>
  </si>
  <si>
    <t>Crazy killer robots</t>
  </si>
  <si>
    <t>Parkway Venture Capital, Tamarack Global, Moving Capital, Habitat Partners, FJ Labs, BOLD Ventures, Aliya Capital partners, Till Reuter</t>
  </si>
  <si>
    <t>Parkway Venture Capital</t>
  </si>
  <si>
    <t>Tamarack Global</t>
  </si>
  <si>
    <t>Moving Capital</t>
  </si>
  <si>
    <t>Habitat Partners</t>
  </si>
  <si>
    <t>FJ Labs</t>
  </si>
  <si>
    <t>BOLD Ventures</t>
  </si>
  <si>
    <t>Aliya Capital</t>
  </si>
  <si>
    <t>Blueshift</t>
  </si>
  <si>
    <t>Detroit</t>
  </si>
  <si>
    <t>Pivoted to AI</t>
  </si>
  <si>
    <t>Shanghai</t>
  </si>
  <si>
    <t>Senseforth</t>
  </si>
  <si>
    <t>ZJ Innopark, Linear Capital, Guochuang Zhongding</t>
  </si>
  <si>
    <t>Creo Capital, Redpoint Ventures China, Linear Venture, Peihua Capital</t>
  </si>
  <si>
    <t>Linear Venture, Shanghai International, Redpoint Ventures China</t>
  </si>
  <si>
    <t>Unimpressive</t>
  </si>
  <si>
    <t>Ziyu Wang</t>
  </si>
  <si>
    <t>Zhipu</t>
  </si>
  <si>
    <t>"Alternative to AutoML", low-code declarative ML platform</t>
  </si>
  <si>
    <t>Devvret Rishi</t>
  </si>
  <si>
    <t>Felicis, Sancus Ventures, Greylock, Factory, Zoubin Gharamani, Yi Wang, Varun Badhwar, Remi El-Ouazzane, Ben Hamner, Anthony Goldbloomb</t>
  </si>
  <si>
    <t>Tel Aviv</t>
  </si>
  <si>
    <t>Dor Eligula, Gabriel Diamant, Or Eligula</t>
  </si>
  <si>
    <t>Unsupervised</t>
  </si>
  <si>
    <t>Group 11, L4 Venture Builder, Mangrove</t>
  </si>
  <si>
    <t>Finance research</t>
  </si>
  <si>
    <t>Group 11</t>
  </si>
  <si>
    <t>L4 Venture Builder</t>
  </si>
  <si>
    <t>Mangrove VC</t>
  </si>
  <si>
    <t>Construct AI</t>
  </si>
  <si>
    <t>Intrinsic</t>
  </si>
  <si>
    <t>Alisio Computing</t>
  </si>
  <si>
    <t>Austin, TX</t>
  </si>
  <si>
    <t>Madrona, Norwest Venture Partners, Factory, Jeff Hammerbacher, Charles Zedlewski</t>
  </si>
  <si>
    <t>Data stack automation</t>
  </si>
  <si>
    <t>ICONIQ</t>
  </si>
  <si>
    <t>Firestreak</t>
  </si>
  <si>
    <t>Ben Firshman</t>
  </si>
  <si>
    <t>GreyOrange</t>
  </si>
  <si>
    <t>a16z, Sequoia Capital, SVA, YC, Guillermo Rauch, Dylan Field, Lachy Groom, Andrej Karpathy</t>
  </si>
  <si>
    <t>Hosting Models</t>
  </si>
  <si>
    <t>Lei Tang, Marc Dupuis</t>
  </si>
  <si>
    <t>English-to-SQL</t>
  </si>
  <si>
    <t>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</si>
</sst>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0\x"/>
    <numFmt numFmtId="165" formatCode="[$¥-411]#,##0"/>
  </numFmts>
  <fonts count="104">
    <font>
      <sz val="11"/>
      <color theme="1"/>
      <name val="Calibri"/>
      <family val="2"/>
      <scheme val="minor"/>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2"/>
    </font>
    <font>
      <sz val="10"/>
      <color theme="1"/>
      <name val="Arial"/>
      <family val="18"/>
    </font>
    <font>
      <u/>
      <sz val="11"/>
      <color theme="10"/>
      <name val="Calibri"/>
      <family val="2"/>
      <scheme val="minor"/>
    </font>
    <font>
      <u/>
      <sz val="10"/>
      <color theme="10"/>
      <name val="Arial"/>
      <family val="2"/>
    </font>
    <font>
      <i/>
      <sz val="10"/>
      <color theme="1"/>
      <name val="Arial"/>
      <family val="2"/>
    </font>
    <font>
      <b/>
      <sz val="10"/>
      <color theme="1"/>
      <name val="Arial"/>
      <family val="2"/>
    </font>
    <font>
      <b/>
      <u/>
      <sz val="10"/>
      <color theme="1"/>
      <name val="Arial"/>
      <family val="2"/>
    </font>
    <font>
      <sz val="10"/>
      <name val="Arial"/>
      <family val="2"/>
    </font>
    <font>
      <strike/>
      <sz val="10"/>
      <color theme="1"/>
      <name val="Arial"/>
      <family val="2"/>
    </font>
    <font>
      <i/>
      <strike/>
      <sz val="10"/>
      <color theme="1"/>
      <name val="Arial"/>
      <family val="2"/>
    </font>
    <font>
      <u/>
      <sz val="10"/>
      <color theme="10"/>
      <name val="Ariai"/>
    </font>
    <font>
      <sz val="10"/>
      <color rgb="FFFF0000"/>
      <name val="Arial"/>
      <family val="2"/>
    </font>
    <font>
      <b/>
      <sz val="10"/>
      <color rgb="FFFF0000"/>
      <name val="Arial"/>
      <family val="2"/>
    </font>
    <font>
      <sz val="10"/>
      <color rgb="FF000000"/>
      <name val="Arial"/>
      <family val="2"/>
    </font>
    <font>
      <b/>
      <i/>
      <sz val="10"/>
      <color theme="1"/>
      <name val="Arial"/>
      <family val="2"/>
    </font>
    <font>
      <b/>
      <sz val="10"/>
      <color rgb="FF000000"/>
      <name val="Arial"/>
      <family val="2"/>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90" fillId="0" borderId="0" applyNumberFormat="0" applyFill="0" applyBorder="0" applyAlignment="0" applyProtection="0"/>
  </cellStyleXfs>
  <cellXfs count="274">
    <xf numFmtId="0" fontId="0" fillId="0" borderId="0" xfId="0"/>
    <xf numFmtId="0" fontId="89" fillId="0" borderId="0" xfId="0" applyFont="1"/>
    <xf numFmtId="2" fontId="89" fillId="0" borderId="0" xfId="0" applyNumberFormat="1" applyFont="1" applyAlignment="1">
      <alignment horizontal="right"/>
    </xf>
    <xf numFmtId="3" fontId="89" fillId="0" borderId="0" xfId="0" applyNumberFormat="1" applyFont="1" applyAlignment="1">
      <alignment horizontal="right"/>
    </xf>
    <xf numFmtId="0" fontId="89" fillId="0" borderId="0" xfId="0" applyFont="1" applyAlignment="1">
      <alignment horizontal="right"/>
    </xf>
    <xf numFmtId="0" fontId="91" fillId="0" borderId="0" xfId="1" applyFont="1"/>
    <xf numFmtId="0" fontId="88" fillId="0" borderId="0" xfId="0" applyFont="1"/>
    <xf numFmtId="3" fontId="88" fillId="0" borderId="0" xfId="0" applyNumberFormat="1" applyFont="1" applyAlignment="1">
      <alignment horizontal="right"/>
    </xf>
    <xf numFmtId="0" fontId="87" fillId="0" borderId="0" xfId="0" applyFont="1"/>
    <xf numFmtId="3" fontId="92" fillId="0" borderId="0" xfId="0" applyNumberFormat="1" applyFont="1" applyAlignment="1">
      <alignment horizontal="right"/>
    </xf>
    <xf numFmtId="0" fontId="86" fillId="0" borderId="0" xfId="0" applyFont="1"/>
    <xf numFmtId="0" fontId="85" fillId="0" borderId="0" xfId="0" applyFont="1"/>
    <xf numFmtId="0" fontId="84" fillId="0" borderId="0" xfId="0" applyFont="1"/>
    <xf numFmtId="0" fontId="83" fillId="0" borderId="3" xfId="0" applyFont="1" applyBorder="1"/>
    <xf numFmtId="0" fontId="83" fillId="0" borderId="4" xfId="0" applyFont="1" applyBorder="1"/>
    <xf numFmtId="2" fontId="83" fillId="0" borderId="4" xfId="0" applyNumberFormat="1" applyFont="1" applyBorder="1" applyAlignment="1">
      <alignment horizontal="right"/>
    </xf>
    <xf numFmtId="3" fontId="83" fillId="0" borderId="4" xfId="0" applyNumberFormat="1" applyFont="1" applyBorder="1" applyAlignment="1">
      <alignment horizontal="right"/>
    </xf>
    <xf numFmtId="0" fontId="83" fillId="0" borderId="4" xfId="0" applyFont="1" applyBorder="1" applyAlignment="1">
      <alignment horizontal="right"/>
    </xf>
    <xf numFmtId="0" fontId="83" fillId="0" borderId="4" xfId="0" applyFont="1" applyBorder="1" applyAlignment="1">
      <alignment horizontal="center"/>
    </xf>
    <xf numFmtId="0" fontId="83" fillId="0" borderId="5" xfId="0" applyFont="1" applyBorder="1" applyAlignment="1">
      <alignment horizontal="center"/>
    </xf>
    <xf numFmtId="0" fontId="83" fillId="0" borderId="0" xfId="0" applyFont="1"/>
    <xf numFmtId="2" fontId="83" fillId="0" borderId="0" xfId="0" applyNumberFormat="1" applyFont="1" applyAlignment="1">
      <alignment horizontal="right"/>
    </xf>
    <xf numFmtId="3" fontId="83" fillId="0" borderId="0" xfId="0" applyNumberFormat="1" applyFont="1" applyAlignment="1">
      <alignment horizontal="right"/>
    </xf>
    <xf numFmtId="0" fontId="83" fillId="0" borderId="0" xfId="0" applyFont="1" applyAlignment="1">
      <alignment horizontal="right"/>
    </xf>
    <xf numFmtId="0" fontId="83" fillId="0" borderId="0" xfId="0" applyFont="1" applyAlignment="1">
      <alignment horizontal="center"/>
    </xf>
    <xf numFmtId="0" fontId="83" fillId="0" borderId="1" xfId="0" applyFont="1" applyBorder="1" applyAlignment="1">
      <alignment horizontal="center"/>
    </xf>
    <xf numFmtId="0" fontId="83" fillId="0" borderId="2" xfId="0" applyFont="1" applyBorder="1" applyAlignment="1">
      <alignment horizontal="center"/>
    </xf>
    <xf numFmtId="4" fontId="83" fillId="0" borderId="0" xfId="0" applyNumberFormat="1" applyFont="1" applyAlignment="1">
      <alignment horizontal="center"/>
    </xf>
    <xf numFmtId="9" fontId="83" fillId="0" borderId="0" xfId="0" applyNumberFormat="1" applyFont="1" applyAlignment="1">
      <alignment horizontal="center"/>
    </xf>
    <xf numFmtId="164" fontId="83" fillId="0" borderId="1" xfId="0" applyNumberFormat="1" applyFont="1" applyBorder="1" applyAlignment="1">
      <alignment horizontal="center"/>
    </xf>
    <xf numFmtId="164" fontId="83" fillId="0" borderId="0" xfId="0" applyNumberFormat="1" applyFont="1" applyAlignment="1">
      <alignment horizontal="center"/>
    </xf>
    <xf numFmtId="164" fontId="83" fillId="0" borderId="2" xfId="0" applyNumberFormat="1" applyFont="1" applyBorder="1" applyAlignment="1">
      <alignment horizontal="center"/>
    </xf>
    <xf numFmtId="4" fontId="83" fillId="0" borderId="1" xfId="0" applyNumberFormat="1" applyFont="1" applyBorder="1" applyAlignment="1">
      <alignment horizontal="center"/>
    </xf>
    <xf numFmtId="4" fontId="83" fillId="0" borderId="2" xfId="0" applyNumberFormat="1" applyFont="1" applyBorder="1" applyAlignment="1">
      <alignment horizontal="center"/>
    </xf>
    <xf numFmtId="0" fontId="82" fillId="0" borderId="0" xfId="0" applyFont="1" applyAlignment="1">
      <alignment horizontal="right"/>
    </xf>
    <xf numFmtId="0" fontId="81" fillId="0" borderId="0" xfId="0" applyFont="1" applyAlignment="1">
      <alignment horizontal="right"/>
    </xf>
    <xf numFmtId="9" fontId="81" fillId="0" borderId="0" xfId="0" applyNumberFormat="1" applyFont="1" applyAlignment="1">
      <alignment horizontal="center"/>
    </xf>
    <xf numFmtId="164" fontId="83" fillId="0" borderId="6" xfId="0" applyNumberFormat="1" applyFont="1" applyBorder="1" applyAlignment="1">
      <alignment horizontal="center"/>
    </xf>
    <xf numFmtId="0" fontId="80" fillId="0" borderId="0" xfId="0" applyFont="1" applyAlignment="1">
      <alignment horizontal="right"/>
    </xf>
    <xf numFmtId="0" fontId="79" fillId="0" borderId="0" xfId="0" applyFont="1" applyAlignment="1">
      <alignment horizontal="right"/>
    </xf>
    <xf numFmtId="0" fontId="78" fillId="0" borderId="0" xfId="0" applyFont="1"/>
    <xf numFmtId="4" fontId="83" fillId="0" borderId="0" xfId="0" applyNumberFormat="1" applyFont="1" applyAlignment="1">
      <alignment horizontal="right"/>
    </xf>
    <xf numFmtId="0" fontId="77" fillId="0" borderId="4" xfId="0" applyFont="1" applyBorder="1" applyAlignment="1">
      <alignment horizontal="right"/>
    </xf>
    <xf numFmtId="14" fontId="83" fillId="0" borderId="0" xfId="0" applyNumberFormat="1" applyFont="1" applyAlignment="1">
      <alignment horizontal="right"/>
    </xf>
    <xf numFmtId="0" fontId="77" fillId="0" borderId="0" xfId="0" applyFont="1" applyAlignment="1">
      <alignment horizontal="right"/>
    </xf>
    <xf numFmtId="0" fontId="77" fillId="0" borderId="0" xfId="0" applyFont="1"/>
    <xf numFmtId="0" fontId="76" fillId="0" borderId="0" xfId="0" applyFont="1"/>
    <xf numFmtId="0" fontId="76" fillId="0" borderId="0" xfId="0" applyFont="1" applyAlignment="1">
      <alignment horizontal="right"/>
    </xf>
    <xf numFmtId="0" fontId="76" fillId="0" borderId="3" xfId="0" applyFont="1" applyBorder="1" applyAlignment="1">
      <alignment horizontal="center"/>
    </xf>
    <xf numFmtId="0" fontId="76" fillId="0" borderId="6" xfId="0" applyFont="1" applyBorder="1" applyAlignment="1">
      <alignment horizontal="center"/>
    </xf>
    <xf numFmtId="0" fontId="76" fillId="0" borderId="4" xfId="0" applyFont="1" applyBorder="1" applyAlignment="1">
      <alignment horizontal="center"/>
    </xf>
    <xf numFmtId="0" fontId="83" fillId="0" borderId="5" xfId="0" applyFont="1" applyBorder="1"/>
    <xf numFmtId="3" fontId="86" fillId="0" borderId="0" xfId="0" applyNumberFormat="1" applyFont="1"/>
    <xf numFmtId="0" fontId="75" fillId="0" borderId="0" xfId="0" applyFont="1"/>
    <xf numFmtId="0" fontId="74" fillId="0" borderId="0" xfId="0" applyFont="1" applyAlignment="1">
      <alignment horizontal="right"/>
    </xf>
    <xf numFmtId="0" fontId="73" fillId="0" borderId="0" xfId="0" applyFont="1" applyAlignment="1">
      <alignment horizontal="right"/>
    </xf>
    <xf numFmtId="0" fontId="73" fillId="0" borderId="0" xfId="0" applyFont="1"/>
    <xf numFmtId="3" fontId="89" fillId="0" borderId="0" xfId="0" applyNumberFormat="1" applyFont="1"/>
    <xf numFmtId="3" fontId="92" fillId="0" borderId="0" xfId="0" applyNumberFormat="1" applyFont="1"/>
    <xf numFmtId="3" fontId="73" fillId="0" borderId="0" xfId="0" applyNumberFormat="1" applyFont="1"/>
    <xf numFmtId="4" fontId="89" fillId="0" borderId="0" xfId="0" applyNumberFormat="1" applyFont="1" applyAlignment="1">
      <alignment horizontal="right"/>
    </xf>
    <xf numFmtId="4" fontId="92" fillId="0" borderId="0" xfId="0" applyNumberFormat="1" applyFont="1" applyAlignment="1">
      <alignment horizontal="right"/>
    </xf>
    <xf numFmtId="0" fontId="72" fillId="0" borderId="0" xfId="0" applyFont="1"/>
    <xf numFmtId="0" fontId="71" fillId="0" borderId="0" xfId="0" applyFont="1"/>
    <xf numFmtId="0" fontId="93" fillId="0" borderId="0" xfId="0" applyFont="1"/>
    <xf numFmtId="0" fontId="70" fillId="0" borderId="0" xfId="0" applyFont="1"/>
    <xf numFmtId="0" fontId="70" fillId="0" borderId="0" xfId="0" applyFont="1" applyAlignment="1">
      <alignment horizontal="right"/>
    </xf>
    <xf numFmtId="14" fontId="86" fillId="0" borderId="0" xfId="0" applyNumberFormat="1" applyFont="1"/>
    <xf numFmtId="0" fontId="86" fillId="0" borderId="0" xfId="0" applyFont="1" applyAlignment="1">
      <alignment horizontal="right"/>
    </xf>
    <xf numFmtId="4" fontId="86" fillId="0" borderId="0" xfId="0" applyNumberFormat="1" applyFont="1" applyAlignment="1">
      <alignment horizontal="right"/>
    </xf>
    <xf numFmtId="3" fontId="86" fillId="0" borderId="0" xfId="0" applyNumberFormat="1" applyFont="1" applyAlignment="1">
      <alignment horizontal="right"/>
    </xf>
    <xf numFmtId="3" fontId="69" fillId="0" borderId="0" xfId="0" applyNumberFormat="1" applyFont="1"/>
    <xf numFmtId="0" fontId="69" fillId="0" borderId="0" xfId="0" applyFont="1"/>
    <xf numFmtId="0" fontId="69" fillId="0" borderId="3" xfId="0" applyFont="1" applyBorder="1"/>
    <xf numFmtId="0" fontId="69" fillId="0" borderId="4" xfId="0" applyFont="1" applyBorder="1"/>
    <xf numFmtId="2" fontId="69" fillId="0" borderId="4" xfId="0" applyNumberFormat="1" applyFont="1" applyBorder="1" applyAlignment="1">
      <alignment horizontal="right"/>
    </xf>
    <xf numFmtId="3" fontId="69" fillId="0" borderId="4" xfId="0" applyNumberFormat="1" applyFont="1" applyBorder="1" applyAlignment="1">
      <alignment horizontal="right"/>
    </xf>
    <xf numFmtId="0" fontId="69" fillId="0" borderId="4" xfId="0" applyFont="1" applyBorder="1" applyAlignment="1">
      <alignment horizontal="right"/>
    </xf>
    <xf numFmtId="0" fontId="69" fillId="0" borderId="4" xfId="0" applyFont="1" applyBorder="1" applyAlignment="1">
      <alignment horizontal="center"/>
    </xf>
    <xf numFmtId="0" fontId="69" fillId="0" borderId="5" xfId="0" applyFont="1" applyBorder="1" applyAlignment="1">
      <alignment horizontal="center"/>
    </xf>
    <xf numFmtId="0" fontId="69" fillId="0" borderId="3" xfId="0" applyFont="1" applyBorder="1" applyAlignment="1">
      <alignment horizontal="center"/>
    </xf>
    <xf numFmtId="0" fontId="69" fillId="0" borderId="6" xfId="0" applyFont="1" applyBorder="1" applyAlignment="1">
      <alignment horizontal="center"/>
    </xf>
    <xf numFmtId="0" fontId="68" fillId="0" borderId="0" xfId="0" applyFont="1"/>
    <xf numFmtId="3" fontId="68" fillId="0" borderId="0" xfId="0" applyNumberFormat="1" applyFont="1"/>
    <xf numFmtId="3" fontId="67" fillId="0" borderId="0" xfId="0" applyNumberFormat="1" applyFont="1"/>
    <xf numFmtId="0" fontId="66" fillId="0" borderId="0" xfId="0" applyFont="1"/>
    <xf numFmtId="0" fontId="65" fillId="0" borderId="0" xfId="0" applyFont="1"/>
    <xf numFmtId="0" fontId="64" fillId="0" borderId="0" xfId="0" applyFont="1"/>
    <xf numFmtId="0" fontId="63" fillId="0" borderId="0" xfId="0" applyFont="1"/>
    <xf numFmtId="0" fontId="62" fillId="0" borderId="0" xfId="0" applyFont="1"/>
    <xf numFmtId="0" fontId="61" fillId="0" borderId="0" xfId="0" applyFont="1"/>
    <xf numFmtId="3" fontId="60" fillId="0" borderId="0" xfId="0" applyNumberFormat="1" applyFont="1"/>
    <xf numFmtId="0" fontId="60" fillId="0" borderId="0" xfId="0" applyFont="1"/>
    <xf numFmtId="3" fontId="59" fillId="0" borderId="0" xfId="0" applyNumberFormat="1" applyFont="1"/>
    <xf numFmtId="0" fontId="58" fillId="0" borderId="0" xfId="0" applyFont="1"/>
    <xf numFmtId="0" fontId="94" fillId="0" borderId="0" xfId="0" applyFont="1"/>
    <xf numFmtId="0" fontId="57" fillId="0" borderId="0" xfId="0" applyFont="1"/>
    <xf numFmtId="0" fontId="95" fillId="0" borderId="0" xfId="1" applyFont="1"/>
    <xf numFmtId="0" fontId="56" fillId="0" borderId="0" xfId="0" applyFont="1"/>
    <xf numFmtId="3" fontId="56" fillId="0" borderId="0" xfId="0" applyNumberFormat="1" applyFont="1"/>
    <xf numFmtId="0" fontId="55" fillId="0" borderId="0" xfId="0" applyFont="1" applyAlignment="1">
      <alignment horizontal="right"/>
    </xf>
    <xf numFmtId="0" fontId="54" fillId="0" borderId="0" xfId="0" applyFont="1"/>
    <xf numFmtId="0" fontId="54" fillId="0" borderId="0" xfId="0" applyFont="1" applyAlignment="1">
      <alignment horizontal="right"/>
    </xf>
    <xf numFmtId="14" fontId="69" fillId="0" borderId="0" xfId="0" applyNumberFormat="1" applyFont="1"/>
    <xf numFmtId="3" fontId="53" fillId="0" borderId="0" xfId="0" applyNumberFormat="1" applyFont="1"/>
    <xf numFmtId="0" fontId="52" fillId="0" borderId="0" xfId="0" applyFont="1"/>
    <xf numFmtId="3" fontId="52" fillId="0" borderId="0" xfId="0" applyNumberFormat="1" applyFont="1"/>
    <xf numFmtId="0" fontId="51" fillId="0" borderId="0" xfId="0" applyFont="1"/>
    <xf numFmtId="0" fontId="50" fillId="0" borderId="0" xfId="0" applyFont="1"/>
    <xf numFmtId="3" fontId="49" fillId="0" borderId="0" xfId="0" applyNumberFormat="1" applyFont="1"/>
    <xf numFmtId="0" fontId="48" fillId="0" borderId="0" xfId="0" applyFont="1"/>
    <xf numFmtId="0" fontId="47" fillId="0" borderId="0" xfId="0" applyFont="1"/>
    <xf numFmtId="3" fontId="46" fillId="0" borderId="0" xfId="0" applyNumberFormat="1" applyFont="1"/>
    <xf numFmtId="0" fontId="45" fillId="0" borderId="0" xfId="0" applyFont="1"/>
    <xf numFmtId="0" fontId="91" fillId="0" borderId="1" xfId="1" applyFont="1" applyBorder="1"/>
    <xf numFmtId="9" fontId="83" fillId="0" borderId="2" xfId="0" applyNumberFormat="1" applyFont="1" applyBorder="1" applyAlignment="1">
      <alignment horizontal="center"/>
    </xf>
    <xf numFmtId="0" fontId="58" fillId="0" borderId="0" xfId="0" applyFont="1" applyAlignment="1">
      <alignment horizontal="right"/>
    </xf>
    <xf numFmtId="0" fontId="50" fillId="0" borderId="1" xfId="0" applyFont="1" applyBorder="1"/>
    <xf numFmtId="0" fontId="80" fillId="0" borderId="0" xfId="0" applyFont="1"/>
    <xf numFmtId="0" fontId="47" fillId="0" borderId="1" xfId="0" applyFont="1" applyBorder="1"/>
    <xf numFmtId="0" fontId="83" fillId="0" borderId="1" xfId="0" applyFont="1" applyBorder="1"/>
    <xf numFmtId="0" fontId="81" fillId="0" borderId="1" xfId="0" applyFont="1" applyBorder="1"/>
    <xf numFmtId="0" fontId="81" fillId="0" borderId="0" xfId="0" applyFont="1"/>
    <xf numFmtId="0" fontId="76" fillId="0" borderId="1" xfId="0" applyFont="1" applyBorder="1"/>
    <xf numFmtId="0" fontId="83" fillId="0" borderId="7" xfId="0" applyFont="1" applyBorder="1"/>
    <xf numFmtId="0" fontId="83" fillId="0" borderId="6" xfId="0" applyFont="1" applyBorder="1"/>
    <xf numFmtId="2" fontId="83" fillId="0" borderId="6" xfId="0" applyNumberFormat="1" applyFont="1" applyBorder="1" applyAlignment="1">
      <alignment horizontal="right"/>
    </xf>
    <xf numFmtId="3" fontId="83" fillId="0" borderId="6" xfId="0" applyNumberFormat="1" applyFont="1" applyBorder="1" applyAlignment="1">
      <alignment horizontal="right"/>
    </xf>
    <xf numFmtId="0" fontId="83" fillId="0" borderId="6" xfId="0" applyFont="1" applyBorder="1" applyAlignment="1">
      <alignment horizontal="right"/>
    </xf>
    <xf numFmtId="0" fontId="83" fillId="0" borderId="6" xfId="0" applyFont="1" applyBorder="1" applyAlignment="1">
      <alignment horizontal="center"/>
    </xf>
    <xf numFmtId="0" fontId="83" fillId="0" borderId="8" xfId="0" applyFont="1" applyBorder="1" applyAlignment="1">
      <alignment horizontal="center"/>
    </xf>
    <xf numFmtId="0" fontId="45" fillId="0" borderId="0" xfId="0" applyFont="1" applyAlignment="1">
      <alignment horizontal="right"/>
    </xf>
    <xf numFmtId="0" fontId="44" fillId="0" borderId="0" xfId="0" applyFont="1"/>
    <xf numFmtId="0" fontId="43" fillId="0" borderId="0" xfId="0" applyFont="1"/>
    <xf numFmtId="0" fontId="42" fillId="0" borderId="0" xfId="0" applyFont="1"/>
    <xf numFmtId="0" fontId="41" fillId="0" borderId="0" xfId="0" applyFont="1"/>
    <xf numFmtId="0" fontId="40" fillId="0" borderId="0" xfId="0" applyFont="1"/>
    <xf numFmtId="0" fontId="39" fillId="0" borderId="0" xfId="0" applyFont="1"/>
    <xf numFmtId="0" fontId="38" fillId="0" borderId="0" xfId="0" applyFont="1" applyAlignment="1">
      <alignment horizontal="right"/>
    </xf>
    <xf numFmtId="0" fontId="38" fillId="0" borderId="0" xfId="0" applyFont="1"/>
    <xf numFmtId="0" fontId="37" fillId="0" borderId="0" xfId="0" applyFont="1" applyAlignment="1">
      <alignment horizontal="right"/>
    </xf>
    <xf numFmtId="0" fontId="36" fillId="0" borderId="0" xfId="0" applyFont="1"/>
    <xf numFmtId="0" fontId="91" fillId="0" borderId="0" xfId="1" applyFont="1" applyBorder="1"/>
    <xf numFmtId="0" fontId="35" fillId="0" borderId="0" xfId="0" applyFont="1"/>
    <xf numFmtId="0" fontId="34" fillId="0" borderId="0" xfId="0" applyFont="1" applyAlignment="1">
      <alignment horizontal="right"/>
    </xf>
    <xf numFmtId="0" fontId="33" fillId="0" borderId="0" xfId="0" applyFont="1" applyAlignment="1">
      <alignment horizontal="right"/>
    </xf>
    <xf numFmtId="0" fontId="32" fillId="0" borderId="0" xfId="0" applyFont="1"/>
    <xf numFmtId="0" fontId="32" fillId="0" borderId="0" xfId="0" applyFont="1" applyAlignment="1">
      <alignment horizontal="right"/>
    </xf>
    <xf numFmtId="3" fontId="32" fillId="0" borderId="0" xfId="0" applyNumberFormat="1" applyFont="1" applyAlignment="1">
      <alignment horizontal="right"/>
    </xf>
    <xf numFmtId="0" fontId="31" fillId="0" borderId="0" xfId="0" applyFont="1"/>
    <xf numFmtId="14" fontId="31" fillId="0" borderId="0" xfId="0" applyNumberFormat="1" applyFont="1" applyAlignment="1">
      <alignment horizontal="right"/>
    </xf>
    <xf numFmtId="0" fontId="30" fillId="0" borderId="0" xfId="0" applyFont="1" applyAlignment="1">
      <alignment horizontal="right"/>
    </xf>
    <xf numFmtId="14" fontId="89" fillId="0" borderId="0" xfId="0" applyNumberFormat="1" applyFont="1"/>
    <xf numFmtId="0" fontId="29" fillId="0" borderId="0" xfId="0" applyFont="1"/>
    <xf numFmtId="165" fontId="83" fillId="0" borderId="0" xfId="0" applyNumberFormat="1" applyFont="1" applyAlignment="1">
      <alignment horizontal="right"/>
    </xf>
    <xf numFmtId="0" fontId="29" fillId="0" borderId="0" xfId="0" applyFont="1" applyAlignment="1">
      <alignment horizontal="right"/>
    </xf>
    <xf numFmtId="0" fontId="28" fillId="0" borderId="0" xfId="0" applyFont="1" applyAlignment="1">
      <alignment horizontal="right"/>
    </xf>
    <xf numFmtId="0" fontId="27" fillId="0" borderId="0" xfId="0" applyFont="1"/>
    <xf numFmtId="0" fontId="27" fillId="0" borderId="0" xfId="0" applyFont="1" applyAlignment="1">
      <alignment horizontal="right"/>
    </xf>
    <xf numFmtId="3" fontId="27" fillId="0" borderId="0" xfId="0" applyNumberFormat="1" applyFont="1" applyAlignment="1">
      <alignment horizontal="right"/>
    </xf>
    <xf numFmtId="0" fontId="26" fillId="0" borderId="0" xfId="0" applyFont="1"/>
    <xf numFmtId="4" fontId="69" fillId="0" borderId="0" xfId="0" applyNumberFormat="1" applyFont="1"/>
    <xf numFmtId="0" fontId="25" fillId="0" borderId="0" xfId="0" applyFont="1"/>
    <xf numFmtId="0" fontId="24" fillId="0" borderId="1" xfId="0" applyFont="1" applyBorder="1"/>
    <xf numFmtId="0" fontId="24" fillId="0" borderId="0" xfId="0" applyFont="1"/>
    <xf numFmtId="0" fontId="23" fillId="0" borderId="0" xfId="0" applyFont="1"/>
    <xf numFmtId="3" fontId="96" fillId="0" borderId="0" xfId="0" applyNumberFormat="1" applyFont="1"/>
    <xf numFmtId="4" fontId="97" fillId="0" borderId="0" xfId="0" applyNumberFormat="1" applyFont="1" applyAlignment="1">
      <alignment horizontal="right"/>
    </xf>
    <xf numFmtId="3" fontId="96" fillId="0" borderId="0" xfId="0" applyNumberFormat="1" applyFont="1" applyAlignment="1">
      <alignment horizontal="right"/>
    </xf>
    <xf numFmtId="14" fontId="23" fillId="0" borderId="0" xfId="0" applyNumberFormat="1" applyFont="1" applyAlignment="1">
      <alignment horizontal="right"/>
    </xf>
    <xf numFmtId="3" fontId="71" fillId="0" borderId="0" xfId="0" applyNumberFormat="1" applyFont="1"/>
    <xf numFmtId="0" fontId="22" fillId="0" borderId="0" xfId="0" applyFont="1"/>
    <xf numFmtId="0" fontId="21" fillId="0" borderId="0" xfId="0" applyFont="1"/>
    <xf numFmtId="3" fontId="21" fillId="0" borderId="0" xfId="0" applyNumberFormat="1" applyFont="1"/>
    <xf numFmtId="3" fontId="21" fillId="2" borderId="0" xfId="0" applyNumberFormat="1" applyFont="1" applyFill="1"/>
    <xf numFmtId="0" fontId="20" fillId="0" borderId="0" xfId="0" applyFont="1" applyAlignment="1">
      <alignment horizontal="right"/>
    </xf>
    <xf numFmtId="0" fontId="20" fillId="0" borderId="0" xfId="0" applyFont="1"/>
    <xf numFmtId="3" fontId="20" fillId="0" borderId="0" xfId="0" applyNumberFormat="1" applyFont="1"/>
    <xf numFmtId="0" fontId="19" fillId="0" borderId="0" xfId="0" applyFont="1"/>
    <xf numFmtId="0" fontId="19" fillId="0" borderId="0" xfId="0" applyFont="1" applyAlignment="1">
      <alignment horizontal="right"/>
    </xf>
    <xf numFmtId="17" fontId="19" fillId="0" borderId="0" xfId="0" applyNumberFormat="1" applyFont="1"/>
    <xf numFmtId="0" fontId="19" fillId="0" borderId="0" xfId="0" applyFont="1" applyAlignment="1">
      <alignment horizontal="center"/>
    </xf>
    <xf numFmtId="0" fontId="91" fillId="0" borderId="0" xfId="1" applyFont="1" applyAlignment="1"/>
    <xf numFmtId="0" fontId="98" fillId="0" borderId="0" xfId="1" applyFont="1"/>
    <xf numFmtId="0" fontId="18" fillId="0" borderId="0" xfId="0" applyFont="1"/>
    <xf numFmtId="0" fontId="18" fillId="0" borderId="0" xfId="0" applyFont="1" applyAlignment="1">
      <alignment horizontal="center"/>
    </xf>
    <xf numFmtId="3" fontId="91" fillId="0" borderId="0" xfId="1" applyNumberFormat="1" applyFont="1"/>
    <xf numFmtId="3" fontId="17" fillId="0" borderId="0" xfId="0" applyNumberFormat="1" applyFont="1" applyAlignment="1">
      <alignment horizontal="right"/>
    </xf>
    <xf numFmtId="0" fontId="16" fillId="0" borderId="0" xfId="0" applyFont="1"/>
    <xf numFmtId="4" fontId="83" fillId="0" borderId="0" xfId="0" applyNumberFormat="1" applyFont="1"/>
    <xf numFmtId="4" fontId="89" fillId="0" borderId="0" xfId="0" applyNumberFormat="1" applyFont="1"/>
    <xf numFmtId="0" fontId="15" fillId="0" borderId="0" xfId="0" applyFont="1"/>
    <xf numFmtId="0" fontId="15" fillId="0" borderId="0" xfId="0" applyFont="1" applyAlignment="1">
      <alignment horizontal="center"/>
    </xf>
    <xf numFmtId="0" fontId="14" fillId="0" borderId="1" xfId="0" applyFont="1" applyBorder="1"/>
    <xf numFmtId="0" fontId="14" fillId="0" borderId="0" xfId="0" applyFont="1"/>
    <xf numFmtId="0" fontId="93" fillId="0" borderId="1" xfId="0" applyFont="1" applyBorder="1"/>
    <xf numFmtId="2" fontId="93" fillId="0" borderId="0" xfId="0" applyNumberFormat="1" applyFont="1" applyAlignment="1">
      <alignment horizontal="right"/>
    </xf>
    <xf numFmtId="3" fontId="93" fillId="0" borderId="0" xfId="0" applyNumberFormat="1" applyFont="1" applyAlignment="1">
      <alignment horizontal="right"/>
    </xf>
    <xf numFmtId="0" fontId="14" fillId="0" borderId="0" xfId="0" applyFont="1" applyAlignment="1">
      <alignment horizontal="center"/>
    </xf>
    <xf numFmtId="0" fontId="13" fillId="0" borderId="0" xfId="0" applyFont="1" applyAlignment="1">
      <alignment horizontal="right"/>
    </xf>
    <xf numFmtId="0" fontId="93" fillId="0" borderId="0" xfId="0" applyFont="1" applyAlignment="1">
      <alignment horizontal="center"/>
    </xf>
    <xf numFmtId="0" fontId="93" fillId="0" borderId="0" xfId="0" applyFont="1" applyAlignment="1">
      <alignment horizontal="right"/>
    </xf>
    <xf numFmtId="0" fontId="13" fillId="0" borderId="0" xfId="0" applyFont="1"/>
    <xf numFmtId="0" fontId="13" fillId="0" borderId="0" xfId="0" applyFont="1" applyAlignment="1">
      <alignment horizontal="center"/>
    </xf>
    <xf numFmtId="0" fontId="12" fillId="0" borderId="0" xfId="0" applyFont="1"/>
    <xf numFmtId="0" fontId="12" fillId="0" borderId="0" xfId="0" applyFont="1" applyAlignment="1">
      <alignment horizontal="center"/>
    </xf>
    <xf numFmtId="0" fontId="11" fillId="0" borderId="0" xfId="0" applyFont="1"/>
    <xf numFmtId="0" fontId="11" fillId="0" borderId="0" xfId="0" applyFont="1" applyAlignment="1">
      <alignment horizontal="center"/>
    </xf>
    <xf numFmtId="0" fontId="94" fillId="0" borderId="0" xfId="0" applyFont="1" applyAlignment="1">
      <alignment horizontal="right"/>
    </xf>
    <xf numFmtId="17" fontId="11" fillId="0" borderId="0" xfId="0" quotePrefix="1" applyNumberFormat="1" applyFont="1" applyAlignment="1">
      <alignment horizontal="right"/>
    </xf>
    <xf numFmtId="0" fontId="11" fillId="0" borderId="0" xfId="0" quotePrefix="1" applyFont="1" applyAlignment="1">
      <alignment horizontal="right"/>
    </xf>
    <xf numFmtId="17" fontId="93" fillId="0" borderId="0" xfId="0" applyNumberFormat="1" applyFont="1"/>
    <xf numFmtId="17" fontId="93" fillId="0" borderId="0" xfId="0" quotePrefix="1" applyNumberFormat="1" applyFont="1" applyAlignment="1">
      <alignment horizontal="right"/>
    </xf>
    <xf numFmtId="0" fontId="10" fillId="0" borderId="0" xfId="0" applyFont="1"/>
    <xf numFmtId="0" fontId="99" fillId="0" borderId="0" xfId="0" applyFont="1"/>
    <xf numFmtId="0" fontId="100" fillId="0" borderId="0" xfId="0" applyFont="1"/>
    <xf numFmtId="17" fontId="99" fillId="0" borderId="0" xfId="0" applyNumberFormat="1" applyFont="1"/>
    <xf numFmtId="0" fontId="9" fillId="0" borderId="0" xfId="0" applyFont="1"/>
    <xf numFmtId="0" fontId="9" fillId="0" borderId="0" xfId="0" applyFont="1" applyAlignment="1">
      <alignment horizontal="center"/>
    </xf>
    <xf numFmtId="17" fontId="9" fillId="0" borderId="0" xfId="0" quotePrefix="1" applyNumberFormat="1" applyFont="1" applyAlignment="1">
      <alignment horizontal="right"/>
    </xf>
    <xf numFmtId="0" fontId="9" fillId="0" borderId="0" xfId="0" quotePrefix="1" applyFont="1" applyAlignment="1">
      <alignment horizontal="right"/>
    </xf>
    <xf numFmtId="0" fontId="8" fillId="0" borderId="0" xfId="0" applyFont="1"/>
    <xf numFmtId="0" fontId="8" fillId="0" borderId="0" xfId="0" applyFont="1" applyAlignment="1">
      <alignment horizontal="center"/>
    </xf>
    <xf numFmtId="0" fontId="7" fillId="0" borderId="0" xfId="0" applyFont="1"/>
    <xf numFmtId="0" fontId="7" fillId="0" borderId="0" xfId="0" applyFont="1" applyAlignment="1">
      <alignment horizontal="center"/>
    </xf>
    <xf numFmtId="0" fontId="6" fillId="0" borderId="0" xfId="0" applyFont="1"/>
    <xf numFmtId="0" fontId="6" fillId="0" borderId="0" xfId="0" applyFont="1" applyAlignment="1">
      <alignment horizontal="center"/>
    </xf>
    <xf numFmtId="0" fontId="5" fillId="0" borderId="0" xfId="0" applyFont="1"/>
    <xf numFmtId="0" fontId="5" fillId="0" borderId="0" xfId="0" applyFont="1" applyAlignment="1">
      <alignment horizontal="center"/>
    </xf>
    <xf numFmtId="0" fontId="5" fillId="0" borderId="0" xfId="0" applyFont="1" applyAlignment="1">
      <alignment horizontal="right"/>
    </xf>
    <xf numFmtId="0" fontId="4" fillId="0" borderId="0" xfId="0" applyFont="1"/>
    <xf numFmtId="14" fontId="19" fillId="0" borderId="0" xfId="0" applyNumberFormat="1" applyFont="1"/>
    <xf numFmtId="0" fontId="4" fillId="0" borderId="0" xfId="0" applyFont="1" applyAlignment="1">
      <alignment horizontal="right"/>
    </xf>
    <xf numFmtId="3" fontId="4" fillId="0" borderId="0" xfId="0" applyNumberFormat="1" applyFont="1" applyAlignment="1">
      <alignment horizontal="right"/>
    </xf>
    <xf numFmtId="14" fontId="93" fillId="0" borderId="0" xfId="0" applyNumberFormat="1" applyFont="1" applyAlignment="1">
      <alignment horizontal="right"/>
    </xf>
    <xf numFmtId="14" fontId="4" fillId="0" borderId="0" xfId="0" applyNumberFormat="1" applyFont="1" applyAlignment="1">
      <alignment horizontal="right"/>
    </xf>
    <xf numFmtId="14" fontId="19" fillId="0" borderId="0" xfId="0" applyNumberFormat="1" applyFont="1" applyAlignment="1">
      <alignment horizontal="right"/>
    </xf>
    <xf numFmtId="14" fontId="9" fillId="0" borderId="0" xfId="0" applyNumberFormat="1" applyFont="1" applyAlignment="1">
      <alignment horizontal="right"/>
    </xf>
    <xf numFmtId="0" fontId="4" fillId="0" borderId="0" xfId="0" applyFont="1" applyAlignment="1">
      <alignment horizontal="center"/>
    </xf>
    <xf numFmtId="0" fontId="19" fillId="0" borderId="0" xfId="0" applyFont="1" applyAlignment="1">
      <alignment horizontal="left"/>
    </xf>
    <xf numFmtId="0" fontId="11" fillId="0" borderId="0" xfId="0" applyFont="1" applyAlignment="1">
      <alignment horizontal="left"/>
    </xf>
    <xf numFmtId="0" fontId="4" fillId="0" borderId="0" xfId="0" applyFont="1" applyAlignment="1">
      <alignment horizontal="left"/>
    </xf>
    <xf numFmtId="0" fontId="9" fillId="0" borderId="0" xfId="0" applyFont="1" applyAlignment="1">
      <alignment horizontal="left"/>
    </xf>
    <xf numFmtId="0" fontId="93" fillId="0" borderId="0" xfId="0" applyFont="1" applyAlignment="1">
      <alignment horizontal="left"/>
    </xf>
    <xf numFmtId="0" fontId="5" fillId="0" borderId="0" xfId="0" applyFont="1" applyAlignment="1">
      <alignment horizontal="left"/>
    </xf>
    <xf numFmtId="14" fontId="92" fillId="0" borderId="0" xfId="0" applyNumberFormat="1" applyFont="1" applyAlignment="1">
      <alignment horizontal="right"/>
    </xf>
    <xf numFmtId="0" fontId="4" fillId="0" borderId="0" xfId="0" quotePrefix="1" applyFont="1" applyAlignment="1">
      <alignment horizontal="right"/>
    </xf>
    <xf numFmtId="0" fontId="101" fillId="0" borderId="0" xfId="0" applyFont="1" applyAlignment="1">
      <alignment horizontal="right"/>
    </xf>
    <xf numFmtId="3" fontId="101" fillId="0" borderId="0" xfId="0" applyNumberFormat="1" applyFont="1" applyAlignment="1">
      <alignment horizontal="right"/>
    </xf>
    <xf numFmtId="14" fontId="101" fillId="0" borderId="0" xfId="0" applyNumberFormat="1" applyFont="1" applyAlignment="1">
      <alignment horizontal="right"/>
    </xf>
    <xf numFmtId="17" fontId="4" fillId="0" borderId="0" xfId="0" quotePrefix="1" applyNumberFormat="1" applyFont="1" applyAlignment="1">
      <alignment horizontal="right"/>
    </xf>
    <xf numFmtId="3" fontId="19" fillId="0" borderId="0" xfId="0" applyNumberFormat="1" applyFont="1" applyAlignment="1">
      <alignment horizontal="right"/>
    </xf>
    <xf numFmtId="3" fontId="9" fillId="0" borderId="0" xfId="0" applyNumberFormat="1" applyFont="1" applyAlignment="1">
      <alignment horizontal="right"/>
    </xf>
    <xf numFmtId="3" fontId="5" fillId="0" borderId="0" xfId="0" applyNumberFormat="1" applyFont="1" applyAlignment="1">
      <alignment horizontal="right"/>
    </xf>
    <xf numFmtId="3" fontId="6" fillId="0" borderId="0" xfId="0" applyNumberFormat="1" applyFont="1" applyAlignment="1">
      <alignment horizontal="right"/>
    </xf>
    <xf numFmtId="3" fontId="11" fillId="0" borderId="0" xfId="0" applyNumberFormat="1" applyFont="1" applyAlignment="1">
      <alignment horizontal="right"/>
    </xf>
    <xf numFmtId="14" fontId="102" fillId="0" borderId="0" xfId="0" applyNumberFormat="1" applyFont="1" applyAlignment="1">
      <alignment horizontal="right"/>
    </xf>
    <xf numFmtId="0" fontId="3" fillId="0" borderId="0" xfId="0" applyFont="1"/>
    <xf numFmtId="14" fontId="3" fillId="0" borderId="0" xfId="0" quotePrefix="1" applyNumberFormat="1" applyFont="1" applyAlignment="1">
      <alignment horizontal="right"/>
    </xf>
    <xf numFmtId="0" fontId="2" fillId="0" borderId="0" xfId="0" applyFont="1"/>
    <xf numFmtId="0" fontId="2" fillId="0" borderId="0" xfId="0" applyFont="1" applyAlignment="1">
      <alignment horizontal="right"/>
    </xf>
    <xf numFmtId="3" fontId="4" fillId="0" borderId="0" xfId="0" applyNumberFormat="1" applyFont="1"/>
    <xf numFmtId="0" fontId="2" fillId="0" borderId="0" xfId="0" applyFont="1" applyAlignment="1">
      <alignment horizontal="left"/>
    </xf>
    <xf numFmtId="3" fontId="2" fillId="0" borderId="0" xfId="0" applyNumberFormat="1" applyFont="1" applyAlignment="1">
      <alignment horizontal="right"/>
    </xf>
    <xf numFmtId="0" fontId="2" fillId="0" borderId="0" xfId="0" applyFont="1" applyAlignment="1">
      <alignment horizontal="center"/>
    </xf>
    <xf numFmtId="14" fontId="2" fillId="0" borderId="0" xfId="0" applyNumberFormat="1" applyFont="1" applyAlignment="1">
      <alignment horizontal="right"/>
    </xf>
    <xf numFmtId="0" fontId="103" fillId="0" borderId="0" xfId="0" applyFont="1" applyAlignment="1">
      <alignment horizontal="right"/>
    </xf>
    <xf numFmtId="3" fontId="103" fillId="0" borderId="0" xfId="0" applyNumberFormat="1" applyFont="1" applyAlignment="1">
      <alignment horizontal="right"/>
    </xf>
    <xf numFmtId="14" fontId="103" fillId="0" borderId="0" xfId="0" applyNumberFormat="1" applyFont="1" applyAlignment="1">
      <alignment horizontal="right"/>
    </xf>
    <xf numFmtId="0" fontId="92" fillId="0" borderId="0" xfId="0" applyFont="1" applyAlignment="1">
      <alignment horizontal="right"/>
    </xf>
    <xf numFmtId="0" fontId="1" fillId="0" borderId="0" xfId="0" applyFont="1"/>
    <xf numFmtId="0" fontId="1" fillId="0" borderId="0" xfId="0" applyFont="1" applyAlignment="1">
      <alignment horizontal="left"/>
    </xf>
    <xf numFmtId="0" fontId="1" fillId="0" borderId="0" xfId="0" applyFont="1" applyAlignment="1">
      <alignment horizontal="right"/>
    </xf>
    <xf numFmtId="0" fontId="1" fillId="0" borderId="0" xfId="0" applyFont="1" applyAlignment="1">
      <alignment horizontal="center"/>
    </xf>
  </cellXfs>
  <cellStyles count="2">
    <cellStyle name="Hyperlink" xfId="1" builtinId="8"/>
    <cellStyle name="Normal" xfId="0" builtinId="0"/>
  </cellStyles>
  <dxfs count="0"/>
  <tableStyles count="1" defaultTableStyle="TableStyleMedium2" defaultPivotStyle="PivotStyleLight16">
    <tableStyle name="Invisible" pivot="0" table="0" count="0" xr9:uid="{606D2300-39C7-400B-8CBC-8FACFEDD77C1}"/>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2.xml"/><Relationship Id="rId26" Type="http://schemas.openxmlformats.org/officeDocument/2006/relationships/externalLink" Target="externalLinks/externalLink10.xml"/><Relationship Id="rId39" Type="http://schemas.openxmlformats.org/officeDocument/2006/relationships/externalLink" Target="externalLinks/externalLink23.xml"/><Relationship Id="rId21" Type="http://schemas.openxmlformats.org/officeDocument/2006/relationships/externalLink" Target="externalLinks/externalLink5.xml"/><Relationship Id="rId34" Type="http://schemas.openxmlformats.org/officeDocument/2006/relationships/externalLink" Target="externalLinks/externalLink18.xml"/><Relationship Id="rId42" Type="http://schemas.openxmlformats.org/officeDocument/2006/relationships/externalLink" Target="externalLinks/externalLink26.xml"/><Relationship Id="rId47" Type="http://schemas.openxmlformats.org/officeDocument/2006/relationships/externalLink" Target="externalLinks/externalLink31.xml"/><Relationship Id="rId50" Type="http://schemas.openxmlformats.org/officeDocument/2006/relationships/externalLink" Target="externalLinks/externalLink34.xml"/><Relationship Id="rId55" Type="http://schemas.openxmlformats.org/officeDocument/2006/relationships/externalLink" Target="externalLinks/externalLink39.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externalLink" Target="externalLinks/externalLink13.xml"/><Relationship Id="rId11" Type="http://schemas.openxmlformats.org/officeDocument/2006/relationships/worksheet" Target="worksheets/sheet11.xml"/><Relationship Id="rId24" Type="http://schemas.openxmlformats.org/officeDocument/2006/relationships/externalLink" Target="externalLinks/externalLink8.xml"/><Relationship Id="rId32" Type="http://schemas.openxmlformats.org/officeDocument/2006/relationships/externalLink" Target="externalLinks/externalLink16.xml"/><Relationship Id="rId37" Type="http://schemas.openxmlformats.org/officeDocument/2006/relationships/externalLink" Target="externalLinks/externalLink21.xml"/><Relationship Id="rId40" Type="http://schemas.openxmlformats.org/officeDocument/2006/relationships/externalLink" Target="externalLinks/externalLink24.xml"/><Relationship Id="rId45" Type="http://schemas.openxmlformats.org/officeDocument/2006/relationships/externalLink" Target="externalLinks/externalLink29.xml"/><Relationship Id="rId53" Type="http://schemas.openxmlformats.org/officeDocument/2006/relationships/externalLink" Target="externalLinks/externalLink37.xml"/><Relationship Id="rId58" Type="http://schemas.openxmlformats.org/officeDocument/2006/relationships/sharedStrings" Target="sharedStrings.xml"/><Relationship Id="rId5" Type="http://schemas.openxmlformats.org/officeDocument/2006/relationships/worksheet" Target="worksheets/sheet5.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6.xml"/><Relationship Id="rId27" Type="http://schemas.openxmlformats.org/officeDocument/2006/relationships/externalLink" Target="externalLinks/externalLink11.xml"/><Relationship Id="rId30" Type="http://schemas.openxmlformats.org/officeDocument/2006/relationships/externalLink" Target="externalLinks/externalLink14.xml"/><Relationship Id="rId35" Type="http://schemas.openxmlformats.org/officeDocument/2006/relationships/externalLink" Target="externalLinks/externalLink19.xml"/><Relationship Id="rId43" Type="http://schemas.openxmlformats.org/officeDocument/2006/relationships/externalLink" Target="externalLinks/externalLink27.xml"/><Relationship Id="rId48" Type="http://schemas.openxmlformats.org/officeDocument/2006/relationships/externalLink" Target="externalLinks/externalLink32.xml"/><Relationship Id="rId56" Type="http://schemas.openxmlformats.org/officeDocument/2006/relationships/theme" Target="theme/theme1.xml"/><Relationship Id="rId8" Type="http://schemas.openxmlformats.org/officeDocument/2006/relationships/worksheet" Target="worksheets/sheet8.xml"/><Relationship Id="rId51" Type="http://schemas.openxmlformats.org/officeDocument/2006/relationships/externalLink" Target="externalLinks/externalLink3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externalLink" Target="externalLinks/externalLink1.xml"/><Relationship Id="rId25" Type="http://schemas.openxmlformats.org/officeDocument/2006/relationships/externalLink" Target="externalLinks/externalLink9.xml"/><Relationship Id="rId33" Type="http://schemas.openxmlformats.org/officeDocument/2006/relationships/externalLink" Target="externalLinks/externalLink17.xml"/><Relationship Id="rId38" Type="http://schemas.openxmlformats.org/officeDocument/2006/relationships/externalLink" Target="externalLinks/externalLink22.xml"/><Relationship Id="rId46" Type="http://schemas.openxmlformats.org/officeDocument/2006/relationships/externalLink" Target="externalLinks/externalLink30.xml"/><Relationship Id="rId59" Type="http://schemas.openxmlformats.org/officeDocument/2006/relationships/sheetMetadata" Target="metadata.xml"/><Relationship Id="rId20" Type="http://schemas.openxmlformats.org/officeDocument/2006/relationships/externalLink" Target="externalLinks/externalLink4.xml"/><Relationship Id="rId41" Type="http://schemas.openxmlformats.org/officeDocument/2006/relationships/externalLink" Target="externalLinks/externalLink25.xml"/><Relationship Id="rId54" Type="http://schemas.openxmlformats.org/officeDocument/2006/relationships/externalLink" Target="externalLinks/externalLink38.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externalLink" Target="externalLinks/externalLink7.xml"/><Relationship Id="rId28" Type="http://schemas.openxmlformats.org/officeDocument/2006/relationships/externalLink" Target="externalLinks/externalLink12.xml"/><Relationship Id="rId36" Type="http://schemas.openxmlformats.org/officeDocument/2006/relationships/externalLink" Target="externalLinks/externalLink20.xml"/><Relationship Id="rId49" Type="http://schemas.openxmlformats.org/officeDocument/2006/relationships/externalLink" Target="externalLinks/externalLink33.xml"/><Relationship Id="rId57" Type="http://schemas.openxmlformats.org/officeDocument/2006/relationships/styles" Target="styles.xml"/><Relationship Id="rId10" Type="http://schemas.openxmlformats.org/officeDocument/2006/relationships/worksheet" Target="worksheets/sheet10.xml"/><Relationship Id="rId31" Type="http://schemas.openxmlformats.org/officeDocument/2006/relationships/externalLink" Target="externalLinks/externalLink15.xml"/><Relationship Id="rId44" Type="http://schemas.openxmlformats.org/officeDocument/2006/relationships/externalLink" Target="externalLinks/externalLink28.xml"/><Relationship Id="rId52" Type="http://schemas.openxmlformats.org/officeDocument/2006/relationships/externalLink" Target="externalLinks/externalLink36.xml"/><Relationship Id="rId60"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shkre\code\models\MSFT.xlsx" TargetMode="External"/><Relationship Id="rId1" Type="http://schemas.openxmlformats.org/officeDocument/2006/relationships/externalLinkPath" Target="MSFT.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shkre\code\models\GOOG.xlsx" TargetMode="External"/><Relationship Id="rId1" Type="http://schemas.openxmlformats.org/officeDocument/2006/relationships/externalLinkPath" Target="GOOG.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shkre\code\models\CSU%20CN.xlsx" TargetMode="External"/><Relationship Id="rId1" Type="http://schemas.openxmlformats.org/officeDocument/2006/relationships/externalLinkPath" Target="CSU%20CN.xlsx" TargetMode="External"/></Relationships>
</file>

<file path=xl/externalLinks/_rels/externalLink4.xml.rels><?xml version="1.0" encoding="UTF-8" standalone="yes"?>
<Relationships xmlns="http://schemas.openxmlformats.org/package/2006/relationships"><Relationship Id="rId2" Type="http://schemas.openxmlformats.org/officeDocument/2006/relationships/externalLinkPath" Target="file:///C:\Users\shkre\code\models\HEXA.xlsx" TargetMode="External"/><Relationship Id="rId1" Type="http://schemas.openxmlformats.org/officeDocument/2006/relationships/externalLinkPath" Target="HEXA.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BIDU.xlsx" TargetMode="External"/></Relationships>
</file>

<file path=xl/externalLinks/_rels/externalLink6.xml.rels><?xml version="1.0" encoding="UTF-8" standalone="yes"?>
<Relationships xmlns="http://schemas.openxmlformats.org/package/2006/relationships"><Relationship Id="rId2" Type="http://schemas.openxmlformats.org/officeDocument/2006/relationships/externalLinkPath" Target="file:///C:\Users\shkre\code\models\AMZN.xlsx" TargetMode="External"/><Relationship Id="rId1" Type="http://schemas.openxmlformats.org/officeDocument/2006/relationships/externalLinkPath" Target="AMZN.xlsx" TargetMode="External"/></Relationships>
</file>

<file path=xl/externalLinks/_rels/externalLink7.xml.rels><?xml version="1.0" encoding="UTF-8" standalone="yes"?>
<Relationships xmlns="http://schemas.openxmlformats.org/package/2006/relationships"><Relationship Id="rId2" Type="http://schemas.openxmlformats.org/officeDocument/2006/relationships/externalLinkPath" Target="file:///C:\Users\shkre\code\models\ORCL.xlsx" TargetMode="External"/><Relationship Id="rId1" Type="http://schemas.openxmlformats.org/officeDocument/2006/relationships/externalLinkPath" Target="ORCL.xlsx" TargetMode="External"/></Relationships>
</file>

<file path=xl/externalLinks/_rels/externalLink8.xml.rels><?xml version="1.0" encoding="UTF-8" standalone="yes"?>
<Relationships xmlns="http://schemas.openxmlformats.org/package/2006/relationships"><Relationship Id="rId2" Type="http://schemas.openxmlformats.org/officeDocument/2006/relationships/externalLinkPath" Target="file:///C:\Users\shkre\code\models\IBM.xlsx" TargetMode="External"/><Relationship Id="rId1" Type="http://schemas.openxmlformats.org/officeDocument/2006/relationships/externalLinkPath" Target="IBM.xlsx" TargetMode="External"/></Relationships>
</file>

<file path=xl/externalLinks/_rels/externalLink9.xml.rels><?xml version="1.0" encoding="UTF-8" standalone="yes"?>
<Relationships xmlns="http://schemas.openxmlformats.org/package/2006/relationships"><Relationship Id="rId2" Type="http://schemas.openxmlformats.org/officeDocument/2006/relationships/externalLinkPath" Target="file:///C:\Users\shkre\code\models\CRM.xlsx" TargetMode="External"/><Relationship Id="rId1" Type="http://schemas.openxmlformats.org/officeDocument/2006/relationships/externalLinkPath" Target="CRM.xlsx" TargetMode="External"/></Relationships>
</file>

<file path=xl/externalLinks/_rels/externalLink10.xml.rels><?xml version="1.0" encoding="UTF-8" standalone="yes"?>
<Relationships xmlns="http://schemas.openxmlformats.org/package/2006/relationships"><Relationship Id="rId2" Type="http://schemas.openxmlformats.org/officeDocument/2006/relationships/externalLinkPath" Target="file:///C:\Users\shkre\code\models\SAP.xlsx" TargetMode="External"/><Relationship Id="rId1" Type="http://schemas.openxmlformats.org/officeDocument/2006/relationships/externalLinkPath" Target="SAP.xlsx"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NOW.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VMW.xlsx" TargetMode="External"/></Relationships>
</file>

<file path=xl/externalLinks/_rels/externalLink13.xml.rels><?xml version="1.0" encoding="UTF-8" standalone="yes"?>
<Relationships xmlns="http://schemas.openxmlformats.org/package/2006/relationships"><Relationship Id="rId2" Type="http://schemas.openxmlformats.org/officeDocument/2006/relationships/externalLinkPath" Target="file:///C:\Users\shkre\code\models\TEAM.xlsx" TargetMode="External"/><Relationship Id="rId1" Type="http://schemas.openxmlformats.org/officeDocument/2006/relationships/externalLinkPath" Target="TEAM.xlsx" TargetMode="External"/></Relationships>
</file>

<file path=xl/externalLinks/_rels/externalLink14.xml.rels><?xml version="1.0" encoding="UTF-8" standalone="yes"?>
<Relationships xmlns="http://schemas.openxmlformats.org/package/2006/relationships"><Relationship Id="rId2" Type="http://schemas.openxmlformats.org/officeDocument/2006/relationships/externalLinkPath" Target="file:///C:\Users\shkre\code\models\WDAY.xlsx" TargetMode="External"/><Relationship Id="rId1" Type="http://schemas.openxmlformats.org/officeDocument/2006/relationships/externalLinkPath" Target="WDAY.xlsx"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SNOW.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VEEV.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DDOG.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PLTR.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OKTA.xlsx" TargetMode="External"/></Relationships>
</file>

<file path=xl/externalLinks/_rels/externalLink20.xml.rels><?xml version="1.0" encoding="UTF-8" standalone="yes"?>
<Relationships xmlns="http://schemas.openxmlformats.org/package/2006/relationships"><Relationship Id="rId2" Type="http://schemas.openxmlformats.org/officeDocument/2006/relationships/externalLinkPath" Target="file:///C:\Users\shkre\code\models\FB.xlsx" TargetMode="External"/><Relationship Id="rId1" Type="http://schemas.openxmlformats.org/officeDocument/2006/relationships/externalLinkPath" Target="FB.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700%20HK.xlsx" TargetMode="External"/></Relationships>
</file>

<file path=xl/externalLinks/_rels/externalLink22.xml.rels><?xml version="1.0" encoding="UTF-8" standalone="yes"?>
<Relationships xmlns="http://schemas.openxmlformats.org/package/2006/relationships"><Relationship Id="rId2" Type="http://schemas.openxmlformats.org/officeDocument/2006/relationships/externalLinkPath" Target="file:///C:\Users\shkre\code\models\SNAP.xlsx" TargetMode="External"/><Relationship Id="rId1" Type="http://schemas.openxmlformats.org/officeDocument/2006/relationships/externalLinkPath" Target="SNAP.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SNPS.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DSY%20FP.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CDNS.xlsx"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ADSK.xlsx" TargetMode="External"/></Relationships>
</file>

<file path=xl/externalLinks/_rels/externalLink27.xml.rels><?xml version="1.0" encoding="UTF-8" standalone="yes"?>
<Relationships xmlns="http://schemas.openxmlformats.org/package/2006/relationships"><Relationship Id="rId1" Type="http://schemas.openxmlformats.org/officeDocument/2006/relationships/externalLinkPath" Target="ANSS.xlsx" TargetMode="External"/></Relationships>
</file>

<file path=xl/externalLinks/_rels/externalLink28.xml.rels><?xml version="1.0" encoding="UTF-8" standalone="yes"?>
<Relationships xmlns="http://schemas.openxmlformats.org/package/2006/relationships"><Relationship Id="rId2" Type="http://schemas.openxmlformats.org/officeDocument/2006/relationships/externalLinkPath" Target="file:///C:\Users\shkre\code\models\ADBE.xlsx" TargetMode="External"/><Relationship Id="rId1" Type="http://schemas.openxmlformats.org/officeDocument/2006/relationships/externalLinkPath" Target="ADBE.xlsx" TargetMode="External"/></Relationships>
</file>

<file path=xl/externalLinks/_rels/externalLink29.xml.rels><?xml version="1.0" encoding="UTF-8" standalone="yes"?>
<Relationships xmlns="http://schemas.openxmlformats.org/package/2006/relationships"><Relationship Id="rId2" Type="http://schemas.openxmlformats.org/officeDocument/2006/relationships/externalLinkPath" Target="file:///C:\Users\shkre\code\models\SONY.xlsx" TargetMode="External"/><Relationship Id="rId1" Type="http://schemas.openxmlformats.org/officeDocument/2006/relationships/externalLinkPath" Target="SONY.xlsx" TargetMode="External"/></Relationships>
</file>

<file path=xl/externalLinks/_rels/externalLink30.xml.rels><?xml version="1.0" encoding="UTF-8" standalone="yes"?>
<Relationships xmlns="http://schemas.openxmlformats.org/package/2006/relationships"><Relationship Id="rId2" Type="http://schemas.openxmlformats.org/officeDocument/2006/relationships/externalLinkPath" Target="file:///C:\Users\shkre\code\models\ATVI.xlsx" TargetMode="External"/><Relationship Id="rId1" Type="http://schemas.openxmlformats.org/officeDocument/2006/relationships/externalLinkPath" Target="ATVI.xlsx" TargetMode="External"/></Relationships>
</file>

<file path=xl/externalLinks/_rels/externalLink31.xml.rels><?xml version="1.0" encoding="UTF-8" standalone="yes"?>
<Relationships xmlns="http://schemas.openxmlformats.org/package/2006/relationships"><Relationship Id="rId1" Type="http://schemas.openxmlformats.org/officeDocument/2006/relationships/externalLinkPath" Target="EA.xlsx" TargetMode="External"/></Relationships>
</file>

<file path=xl/externalLinks/_rels/externalLink32.xml.rels><?xml version="1.0" encoding="UTF-8" standalone="yes"?>
<Relationships xmlns="http://schemas.openxmlformats.org/package/2006/relationships"><Relationship Id="rId2" Type="http://schemas.openxmlformats.org/officeDocument/2006/relationships/externalLinkPath" Target="file:///C:\Users\shkre\code\models\RBLX.xlsx" TargetMode="External"/><Relationship Id="rId1" Type="http://schemas.openxmlformats.org/officeDocument/2006/relationships/externalLinkPath" Target="RBLX.xlsx" TargetMode="External"/></Relationships>
</file>

<file path=xl/externalLinks/_rels/externalLink33.xml.rels><?xml version="1.0" encoding="UTF-8" standalone="yes"?>
<Relationships xmlns="http://schemas.openxmlformats.org/package/2006/relationships"><Relationship Id="rId1" Type="http://schemas.openxmlformats.org/officeDocument/2006/relationships/externalLinkPath" Target="https://d.docs.live.net/9ffda80931a57275/Models%20Backup/SPOT.xlsx" TargetMode="External"/></Relationships>
</file>

<file path=xl/externalLinks/_rels/externalLink34.xml.rels><?xml version="1.0" encoding="UTF-8" standalone="yes"?>
<Relationships xmlns="http://schemas.openxmlformats.org/package/2006/relationships"><Relationship Id="rId1" Type="http://schemas.openxmlformats.org/officeDocument/2006/relationships/externalLinkPath" Target="INTU.xlsx" TargetMode="External"/></Relationships>
</file>

<file path=xl/externalLinks/_rels/externalLink35.xml.rels><?xml version="1.0" encoding="UTF-8" standalone="yes"?>
<Relationships xmlns="http://schemas.openxmlformats.org/package/2006/relationships"><Relationship Id="rId2" Type="http://schemas.openxmlformats.org/officeDocument/2006/relationships/externalLinkPath" Target="file:///C:\Users\shkre\code\models\PYPL.xlsx" TargetMode="External"/><Relationship Id="rId1" Type="http://schemas.openxmlformats.org/officeDocument/2006/relationships/externalLinkPath" Target="PYPL.xlsx" TargetMode="External"/></Relationships>
</file>

<file path=xl/externalLinks/_rels/externalLink36.xml.rels><?xml version="1.0" encoding="UTF-8" standalone="yes"?>
<Relationships xmlns="http://schemas.openxmlformats.org/package/2006/relationships"><Relationship Id="rId1" Type="http://schemas.openxmlformats.org/officeDocument/2006/relationships/externalLinkPath" Target="BABA.xlsx" TargetMode="External"/></Relationships>
</file>

<file path=xl/externalLinks/_rels/externalLink37.xml.rels><?xml version="1.0" encoding="UTF-8" standalone="yes"?>
<Relationships xmlns="http://schemas.openxmlformats.org/package/2006/relationships"><Relationship Id="rId2" Type="http://schemas.openxmlformats.org/officeDocument/2006/relationships/externalLinkPath" Target="file:///C:\Users\shkre\code\models\ABNB.xlsx" TargetMode="External"/><Relationship Id="rId1" Type="http://schemas.openxmlformats.org/officeDocument/2006/relationships/externalLinkPath" Target="ABNB.xlsx" TargetMode="External"/></Relationships>
</file>

<file path=xl/externalLinks/_rels/externalLink38.xml.rels><?xml version="1.0" encoding="UTF-8" standalone="yes"?>
<Relationships xmlns="http://schemas.openxmlformats.org/package/2006/relationships"><Relationship Id="rId1" Type="http://schemas.openxmlformats.org/officeDocument/2006/relationships/externalLinkPath" Target="SHOP.xlsx" TargetMode="External"/></Relationships>
</file>

<file path=xl/externalLinks/_rels/externalLink39.xml.rels><?xml version="1.0" encoding="UTF-8" standalone="yes"?>
<Relationships xmlns="http://schemas.openxmlformats.org/package/2006/relationships"><Relationship Id="rId2" Type="http://schemas.openxmlformats.org/officeDocument/2006/relationships/externalLinkPath" Target="file:///C:\Users\shkre\code\models\RDFN.xlsx" TargetMode="External"/><Relationship Id="rId1" Type="http://schemas.openxmlformats.org/officeDocument/2006/relationships/externalLinkPath" Target="RDF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Legacy"/>
    </sheetNames>
    <sheetDataSet>
      <sheetData sheetId="0">
        <row r="3">
          <cell r="L3">
            <v>7473</v>
          </cell>
        </row>
        <row r="5">
          <cell r="L5">
            <v>106605</v>
          </cell>
        </row>
        <row r="6">
          <cell r="L6">
            <v>48116</v>
          </cell>
        </row>
      </sheetData>
      <sheetData sheetId="1">
        <row r="32">
          <cell r="BE32">
            <v>9.6463099263974534</v>
          </cell>
          <cell r="BF32">
            <v>9.8726994311717835</v>
          </cell>
          <cell r="BG32">
            <v>11.225772564777602</v>
          </cell>
          <cell r="BH32">
            <v>12.540877369501043</v>
          </cell>
        </row>
        <row r="34">
          <cell r="BP34">
            <v>0</v>
          </cell>
        </row>
        <row r="35">
          <cell r="BP35">
            <v>7.0000000000000007E-2</v>
          </cell>
        </row>
        <row r="36">
          <cell r="BP36">
            <v>0.01</v>
          </cell>
        </row>
        <row r="39">
          <cell r="BP39">
            <v>269.58547667575527</v>
          </cell>
        </row>
      </sheetData>
      <sheetData sheetId="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12947</v>
          </cell>
        </row>
        <row r="5">
          <cell r="L5">
            <v>144254</v>
          </cell>
        </row>
        <row r="6">
          <cell r="L6">
            <v>14701</v>
          </cell>
        </row>
      </sheetData>
      <sheetData sheetId="1">
        <row r="24">
          <cell r="AJ24">
            <v>4.5799964361174039</v>
          </cell>
          <cell r="AK24">
            <v>5.6080380594150139</v>
          </cell>
          <cell r="AL24">
            <v>6.6491005248224839</v>
          </cell>
          <cell r="AM24">
            <v>7.778431207897734</v>
          </cell>
        </row>
        <row r="27">
          <cell r="AU27">
            <v>-0.01</v>
          </cell>
        </row>
        <row r="28">
          <cell r="AU28">
            <v>0.08</v>
          </cell>
        </row>
        <row r="29">
          <cell r="AU29">
            <v>0.01</v>
          </cell>
        </row>
        <row r="31">
          <cell r="AU31">
            <v>164.8676811657561</v>
          </cell>
        </row>
      </sheetData>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O3">
            <v>21.19153</v>
          </cell>
        </row>
        <row r="5">
          <cell r="O5">
            <v>811</v>
          </cell>
        </row>
        <row r="6">
          <cell r="O6">
            <v>1974</v>
          </cell>
        </row>
      </sheetData>
      <sheetData sheetId="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s"/>
    </sheetNames>
    <sheetDataSet>
      <sheetData sheetId="0">
        <row r="3">
          <cell r="L3">
            <v>2706.2939999999999</v>
          </cell>
        </row>
        <row r="5">
          <cell r="L5">
            <v>486.29999999999995</v>
          </cell>
        </row>
        <row r="6">
          <cell r="L6">
            <v>3842.6</v>
          </cell>
        </row>
      </sheetData>
      <sheetData sheetId="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345.875</v>
          </cell>
        </row>
        <row r="5">
          <cell r="L5">
            <v>255226</v>
          </cell>
        </row>
        <row r="6">
          <cell r="L6">
            <v>83627</v>
          </cell>
        </row>
      </sheetData>
      <sheetData sheetId="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10331</v>
          </cell>
        </row>
        <row r="5">
          <cell r="K5">
            <v>58662</v>
          </cell>
        </row>
        <row r="6">
          <cell r="K6">
            <v>58919</v>
          </cell>
        </row>
      </sheetData>
      <sheetData sheetId="1">
        <row r="33">
          <cell r="BA33">
            <v>0.51665847665847664</v>
          </cell>
          <cell r="BB33">
            <v>1.6399777191456466</v>
          </cell>
          <cell r="BC33">
            <v>2.0086947796859072</v>
          </cell>
          <cell r="BD33">
            <v>3.4976216660564408</v>
          </cell>
        </row>
        <row r="44">
          <cell r="BL44">
            <v>0.08</v>
          </cell>
        </row>
        <row r="45">
          <cell r="BL45">
            <v>0.01</v>
          </cell>
        </row>
        <row r="46">
          <cell r="BL46">
            <v>0</v>
          </cell>
        </row>
        <row r="48">
          <cell r="BL48">
            <v>127.46157686951391</v>
          </cell>
        </row>
      </sheetData>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G3">
            <v>2776</v>
          </cell>
        </row>
        <row r="5">
          <cell r="G5">
            <v>8769</v>
          </cell>
        </row>
        <row r="6">
          <cell r="G6">
            <v>91811</v>
          </cell>
        </row>
      </sheetData>
      <sheetData sheetId="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908.04541400000005</v>
          </cell>
        </row>
        <row r="5">
          <cell r="M5">
            <v>17592</v>
          </cell>
        </row>
        <row r="6">
          <cell r="M6">
            <v>53826</v>
          </cell>
        </row>
      </sheetData>
      <sheetData sheetId="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1000</v>
          </cell>
        </row>
        <row r="5">
          <cell r="M5">
            <v>17042</v>
          </cell>
        </row>
        <row r="6">
          <cell r="M6">
            <v>10600</v>
          </cell>
        </row>
      </sheetData>
      <sheetData sheetId="1">
        <row r="35">
          <cell r="Z35">
            <v>0.01</v>
          </cell>
        </row>
        <row r="36">
          <cell r="Z36">
            <v>0.08</v>
          </cell>
        </row>
        <row r="38">
          <cell r="Z38">
            <v>159.2157215866865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1180</v>
          </cell>
        </row>
        <row r="5">
          <cell r="L5">
            <v>18083</v>
          </cell>
        </row>
        <row r="6">
          <cell r="L6">
            <v>17213</v>
          </cell>
        </row>
      </sheetData>
      <sheetData sheetId="1"/>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200</v>
          </cell>
        </row>
        <row r="5">
          <cell r="L5">
            <v>5498</v>
          </cell>
        </row>
        <row r="6">
          <cell r="L6">
            <v>1572</v>
          </cell>
        </row>
      </sheetData>
      <sheetData sheetId="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421.445382</v>
          </cell>
        </row>
        <row r="5">
          <cell r="M5">
            <v>3719</v>
          </cell>
        </row>
        <row r="6">
          <cell r="M6">
            <v>11926</v>
          </cell>
        </row>
      </sheetData>
      <sheetData sheetId="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253.72300000000001</v>
          </cell>
        </row>
        <row r="5">
          <cell r="L5">
            <v>1431.7740000000001</v>
          </cell>
        </row>
        <row r="6">
          <cell r="L6">
            <v>999.375</v>
          </cell>
        </row>
      </sheetData>
      <sheetData sheetId="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P3">
            <v>252</v>
          </cell>
        </row>
        <row r="5">
          <cell r="P5">
            <v>6255</v>
          </cell>
        </row>
        <row r="6">
          <cell r="P6">
            <v>4121</v>
          </cell>
        </row>
      </sheetData>
      <sheetData sheetId="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314.36099999999999</v>
          </cell>
        </row>
        <row r="5">
          <cell r="M5">
            <v>5027.4579999999996</v>
          </cell>
        </row>
        <row r="6">
          <cell r="M6">
            <v>0</v>
          </cell>
        </row>
      </sheetData>
      <sheetData sheetId="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154.847005</v>
          </cell>
        </row>
        <row r="5">
          <cell r="M5">
            <v>2838.5529999999999</v>
          </cell>
        </row>
        <row r="6">
          <cell r="M6">
            <v>0</v>
          </cell>
        </row>
      </sheetData>
      <sheetData sheetId="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O3">
            <v>315</v>
          </cell>
        </row>
        <row r="5">
          <cell r="O5">
            <v>1707</v>
          </cell>
        </row>
        <row r="6">
          <cell r="O6">
            <v>737</v>
          </cell>
        </row>
      </sheetData>
      <sheetData sheetId="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2036</v>
          </cell>
        </row>
        <row r="5">
          <cell r="L5">
            <v>2585</v>
          </cell>
        </row>
        <row r="6">
          <cell r="L6">
            <v>0</v>
          </cell>
        </row>
      </sheetData>
      <sheetData sheetId="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P3">
            <v>157</v>
          </cell>
        </row>
        <row r="5">
          <cell r="P5">
            <v>2477</v>
          </cell>
        </row>
        <row r="6">
          <cell r="P6">
            <v>2195</v>
          </cell>
        </row>
      </sheetData>
      <sheetData sheetId="1"/>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 val="IP"/>
    </sheetNames>
    <sheetDataSet>
      <sheetData sheetId="0">
        <row r="3">
          <cell r="M3">
            <v>2651.5486740000001</v>
          </cell>
        </row>
        <row r="5">
          <cell r="M5">
            <v>48304</v>
          </cell>
        </row>
        <row r="6">
          <cell r="M6">
            <v>9922</v>
          </cell>
        </row>
      </sheetData>
      <sheetData sheetId="1">
        <row r="50">
          <cell r="AX50">
            <v>0.08</v>
          </cell>
        </row>
        <row r="51">
          <cell r="AX51">
            <v>-0.05</v>
          </cell>
        </row>
        <row r="52">
          <cell r="AX52">
            <v>0.02</v>
          </cell>
        </row>
        <row r="53">
          <cell r="AX53">
            <v>215.87667010339968</v>
          </cell>
        </row>
      </sheetData>
      <sheetData sheetId="2"/>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9.6720000000000006</v>
          </cell>
        </row>
        <row r="5">
          <cell r="L5">
            <v>989</v>
          </cell>
        </row>
        <row r="6">
          <cell r="L6">
            <v>346</v>
          </cell>
        </row>
      </sheetData>
      <sheetData sheetId="1"/>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1613.101071</v>
          </cell>
        </row>
        <row r="5">
          <cell r="L5">
            <v>4428.9520000000002</v>
          </cell>
        </row>
        <row r="6">
          <cell r="L6">
            <v>3740.8040000000001</v>
          </cell>
        </row>
      </sheetData>
      <sheetData sheetId="1"/>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152.970249</v>
          </cell>
        </row>
        <row r="5">
          <cell r="N5">
            <v>1720.521</v>
          </cell>
        </row>
        <row r="6">
          <cell r="N6">
            <v>23.774999999999999</v>
          </cell>
        </row>
      </sheetData>
      <sheetData sheetId="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1322.7</v>
          </cell>
        </row>
        <row r="5">
          <cell r="L5">
            <v>3157</v>
          </cell>
        </row>
        <row r="6">
          <cell r="L6">
            <v>3642.4</v>
          </cell>
        </row>
      </sheetData>
      <sheetData sheetId="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s>
    <sheetDataSet>
      <sheetData sheetId="0">
        <row r="3">
          <cell r="K3">
            <v>277.33600000000001</v>
          </cell>
        </row>
        <row r="5">
          <cell r="K5">
            <v>1088.94</v>
          </cell>
        </row>
        <row r="6">
          <cell r="K6">
            <v>347.58800000000002</v>
          </cell>
        </row>
      </sheetData>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217.27220500000001</v>
          </cell>
        </row>
        <row r="5">
          <cell r="L5">
            <v>1624</v>
          </cell>
        </row>
        <row r="6">
          <cell r="L6">
            <v>2629</v>
          </cell>
        </row>
      </sheetData>
      <sheetData sheetId="1"/>
    </sheetDataSet>
  </externalBook>
</externalLink>
</file>

<file path=xl/externalLinks/externalLink2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87.068664999999996</v>
          </cell>
        </row>
        <row r="5">
          <cell r="M5">
            <v>517.63499999999999</v>
          </cell>
        </row>
        <row r="6">
          <cell r="M6">
            <v>753.40200000000004</v>
          </cell>
        </row>
      </sheetData>
      <sheetData sheetId="1"/>
    </sheetDataSet>
  </externalBook>
</externalLink>
</file>

<file path=xl/externalLinks/externalLink2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N3">
            <v>472.5</v>
          </cell>
        </row>
        <row r="5">
          <cell r="N5">
            <v>5299</v>
          </cell>
        </row>
        <row r="6">
          <cell r="N6">
            <v>4126</v>
          </cell>
        </row>
      </sheetData>
      <sheetData sheetId="1"/>
    </sheetDataSet>
  </externalBook>
</externalLink>
</file>

<file path=xl/externalLinks/externalLink2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4">
          <cell r="O4">
            <v>1238.413</v>
          </cell>
        </row>
        <row r="7">
          <cell r="O7">
            <v>1886413</v>
          </cell>
        </row>
        <row r="8">
          <cell r="O8">
            <v>1455438</v>
          </cell>
        </row>
      </sheetData>
      <sheetData sheetId="1"/>
    </sheetDataSet>
  </externalBook>
</externalLink>
</file>

<file path=xl/externalLinks/externalLink3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J3">
            <v>782.62531899999999</v>
          </cell>
        </row>
        <row r="5">
          <cell r="J5">
            <v>10688</v>
          </cell>
        </row>
        <row r="6">
          <cell r="J6">
            <v>3610</v>
          </cell>
        </row>
      </sheetData>
      <sheetData sheetId="1"/>
    </sheetDataSet>
  </externalBook>
</externalLink>
</file>

<file path=xl/externalLinks/externalLink3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N3">
            <v>281</v>
          </cell>
        </row>
        <row r="5">
          <cell r="N5">
            <v>2416</v>
          </cell>
        </row>
        <row r="6">
          <cell r="N6">
            <v>1878</v>
          </cell>
        </row>
      </sheetData>
      <sheetData sheetId="1"/>
    </sheetDataSet>
  </externalBook>
</externalLink>
</file>

<file path=xl/externalLinks/externalLink3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605.13542000000007</v>
          </cell>
        </row>
        <row r="5">
          <cell r="L5">
            <v>2977</v>
          </cell>
        </row>
        <row r="6">
          <cell r="L6">
            <v>989</v>
          </cell>
        </row>
      </sheetData>
      <sheetData sheetId="1"/>
    </sheetDataSet>
  </externalBook>
</externalLink>
</file>

<file path=xl/externalLinks/externalLink3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K3">
            <v>197.07725600000001</v>
          </cell>
        </row>
        <row r="5">
          <cell r="K5">
            <v>4301</v>
          </cell>
        </row>
        <row r="6">
          <cell r="K6">
            <v>1146</v>
          </cell>
        </row>
      </sheetData>
      <sheetData sheetId="1"/>
    </sheetDataSet>
  </externalBook>
</externalLink>
</file>

<file path=xl/externalLinks/externalLink3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s"/>
    </sheetNames>
    <sheetDataSet>
      <sheetData sheetId="0">
        <row r="3">
          <cell r="L3">
            <v>281.86987900000003</v>
          </cell>
        </row>
        <row r="5">
          <cell r="L5">
            <v>4002</v>
          </cell>
        </row>
        <row r="6">
          <cell r="L6">
            <v>6853</v>
          </cell>
        </row>
      </sheetData>
      <sheetData sheetId="1"/>
    </sheetDataSet>
  </externalBook>
</externalLink>
</file>

<file path=xl/externalLinks/externalLink3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M3">
            <v>1144</v>
          </cell>
        </row>
        <row r="5">
          <cell r="M5">
            <v>15886</v>
          </cell>
        </row>
        <row r="6">
          <cell r="M6">
            <v>10417</v>
          </cell>
        </row>
      </sheetData>
      <sheetData sheetId="1"/>
    </sheetDataSet>
  </externalBook>
</externalLink>
</file>

<file path=xl/externalLinks/externalLink3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L3">
            <v>2675.125</v>
          </cell>
        </row>
        <row r="5">
          <cell r="L5">
            <v>956062</v>
          </cell>
        </row>
        <row r="6">
          <cell r="L6">
            <v>149153</v>
          </cell>
        </row>
      </sheetData>
      <sheetData sheetId="1"/>
    </sheetDataSet>
  </externalBook>
</externalLink>
</file>

<file path=xl/externalLinks/externalLink3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L3">
            <v>633.17718300000001</v>
          </cell>
        </row>
        <row r="5">
          <cell r="L5">
            <v>9629.1059999999998</v>
          </cell>
        </row>
        <row r="6">
          <cell r="L6">
            <v>1985.6590000000001</v>
          </cell>
        </row>
      </sheetData>
      <sheetData sheetId="1"/>
    </sheetDataSet>
  </externalBook>
</externalLink>
</file>

<file path=xl/externalLinks/externalLink3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
      <sheetName val="Model"/>
    </sheetNames>
    <sheetDataSet>
      <sheetData sheetId="0">
        <row r="3">
          <cell r="M3">
            <v>1260</v>
          </cell>
        </row>
        <row r="5">
          <cell r="M5">
            <v>7246.6900000000005</v>
          </cell>
        </row>
        <row r="6">
          <cell r="M6">
            <v>911.54899999999998</v>
          </cell>
        </row>
      </sheetData>
      <sheetData sheetId="1"/>
    </sheetDataSet>
  </externalBook>
</externalLink>
</file>

<file path=xl/externalLinks/externalLink3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Main"/>
      <sheetName val="Model"/>
    </sheetNames>
    <sheetDataSet>
      <sheetData sheetId="0">
        <row r="3">
          <cell r="K3">
            <v>108.748718</v>
          </cell>
        </row>
        <row r="5">
          <cell r="K5">
            <v>555.70900000000006</v>
          </cell>
        </row>
        <row r="6">
          <cell r="K6">
            <v>1719</v>
          </cell>
        </row>
      </sheetData>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I16" dT="2023-06-15T00:22:32.88" personId="{00000000-0000-0000-0000-000000000000}" id="{8D32030C-E7C6-654F-8763-F83B4645B655}">
    <text>Tom Built GPT-3</text>
  </threadedComment>
  <threadedComment ref="D77" dT="2023-06-15T16:14:28.15" personId="{00000000-0000-0000-0000-000000000000}" id="{31E15604-D972-2C48-8C95-6B04D469FE75}">
    <text>https://techcrunch.com/2022/11/10/ai-powered-note-taking-app-mem-raises-23-5m-openai/</text>
  </threadedComment>
</ThreadedComments>
</file>

<file path=xl/threadedComments/threadedComment2.xml><?xml version="1.0" encoding="utf-8"?>
<ThreadedComments xmlns="http://schemas.microsoft.com/office/spreadsheetml/2018/threadedcomments" xmlns:x="http://schemas.openxmlformats.org/spreadsheetml/2006/main">
  <threadedComment ref="E30" dT="2022-08-24T01:15:21.27" personId="{00000000-0000-0000-0000-000000000000}" id="{9A7BDD87-4728-4B2C-A2F9-F452DF1FAEF5}">
    <text>Series A with ARod, Thrive, Tiger, Marc Lore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CSU%20CN.xlsx" TargetMode="External"/><Relationship Id="rId2" Type="http://schemas.openxmlformats.org/officeDocument/2006/relationships/hyperlink" Target="BIDU.xlsx" TargetMode="External"/><Relationship Id="rId1" Type="http://schemas.openxmlformats.org/officeDocument/2006/relationships/hyperlink" Target="GOOG.xlsx" TargetMode="External"/><Relationship Id="rId6" Type="http://schemas.openxmlformats.org/officeDocument/2006/relationships/printerSettings" Target="../printerSettings/printerSettings2.bin"/><Relationship Id="rId5" Type="http://schemas.openxmlformats.org/officeDocument/2006/relationships/hyperlink" Target="HEXA.xlsx" TargetMode="External"/><Relationship Id="rId4" Type="http://schemas.openxmlformats.org/officeDocument/2006/relationships/hyperlink" Target="MSFT.xlsx"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SNOW.xlsx" TargetMode="External"/><Relationship Id="rId13" Type="http://schemas.openxmlformats.org/officeDocument/2006/relationships/hyperlink" Target="PLTR.xlsx" TargetMode="External"/><Relationship Id="rId3" Type="http://schemas.openxmlformats.org/officeDocument/2006/relationships/hyperlink" Target="SAP.xlsx" TargetMode="External"/><Relationship Id="rId7" Type="http://schemas.openxmlformats.org/officeDocument/2006/relationships/hyperlink" Target="WDAY.xlsx" TargetMode="External"/><Relationship Id="rId12" Type="http://schemas.openxmlformats.org/officeDocument/2006/relationships/hyperlink" Target="AMZN.xlsx" TargetMode="External"/><Relationship Id="rId2" Type="http://schemas.openxmlformats.org/officeDocument/2006/relationships/hyperlink" Target="CRM.xlsx" TargetMode="External"/><Relationship Id="rId1" Type="http://schemas.openxmlformats.org/officeDocument/2006/relationships/hyperlink" Target="ORCL.xlsx" TargetMode="External"/><Relationship Id="rId6" Type="http://schemas.openxmlformats.org/officeDocument/2006/relationships/hyperlink" Target="TEAM.xlsx" TargetMode="External"/><Relationship Id="rId11" Type="http://schemas.openxmlformats.org/officeDocument/2006/relationships/hyperlink" Target="VEEV.xlsx" TargetMode="External"/><Relationship Id="rId5" Type="http://schemas.openxmlformats.org/officeDocument/2006/relationships/hyperlink" Target="VMW.xlsx" TargetMode="External"/><Relationship Id="rId15" Type="http://schemas.openxmlformats.org/officeDocument/2006/relationships/printerSettings" Target="../printerSettings/printerSettings3.bin"/><Relationship Id="rId10" Type="http://schemas.openxmlformats.org/officeDocument/2006/relationships/hyperlink" Target="DDOG.xlsx" TargetMode="External"/><Relationship Id="rId4" Type="http://schemas.openxmlformats.org/officeDocument/2006/relationships/hyperlink" Target="NOW.xlsx" TargetMode="External"/><Relationship Id="rId9" Type="http://schemas.openxmlformats.org/officeDocument/2006/relationships/hyperlink" Target="OKTA.xlsx" TargetMode="External"/><Relationship Id="rId14" Type="http://schemas.openxmlformats.org/officeDocument/2006/relationships/hyperlink" Target="IBM.xlsx"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035420%20KS%20Naver.xlsx" TargetMode="External"/><Relationship Id="rId2" Type="http://schemas.openxmlformats.org/officeDocument/2006/relationships/hyperlink" Target="700%20HK.xlsx" TargetMode="External"/><Relationship Id="rId1" Type="http://schemas.openxmlformats.org/officeDocument/2006/relationships/hyperlink" Target="META.xlsx" TargetMode="External"/><Relationship Id="rId5" Type="http://schemas.openxmlformats.org/officeDocument/2006/relationships/printerSettings" Target="../printerSettings/printerSettings4.bin"/><Relationship Id="rId4" Type="http://schemas.openxmlformats.org/officeDocument/2006/relationships/hyperlink" Target="SNAP.xlsx"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CDNS.xlsx" TargetMode="External"/><Relationship Id="rId2" Type="http://schemas.openxmlformats.org/officeDocument/2006/relationships/hyperlink" Target="ADSK.xlsx" TargetMode="External"/><Relationship Id="rId1" Type="http://schemas.openxmlformats.org/officeDocument/2006/relationships/hyperlink" Target="DSY%20FP.xlsx" TargetMode="External"/><Relationship Id="rId6" Type="http://schemas.openxmlformats.org/officeDocument/2006/relationships/printerSettings" Target="../printerSettings/printerSettings5.bin"/><Relationship Id="rId5" Type="http://schemas.openxmlformats.org/officeDocument/2006/relationships/hyperlink" Target="ANSS.xlsx" TargetMode="External"/><Relationship Id="rId4" Type="http://schemas.openxmlformats.org/officeDocument/2006/relationships/hyperlink" Target="SNPS.xlsx"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7.bin"/><Relationship Id="rId3" Type="http://schemas.openxmlformats.org/officeDocument/2006/relationships/hyperlink" Target="https://docs.nomic.ai/" TargetMode="External"/><Relationship Id="rId7" Type="http://schemas.openxmlformats.org/officeDocument/2006/relationships/hyperlink" Target="https://huggingface.co/OpenAssistant/oasst-sft-6-llama-30b-xor" TargetMode="External"/><Relationship Id="rId2" Type="http://schemas.openxmlformats.org/officeDocument/2006/relationships/hyperlink" Target="https://docs.ai21.com/reference/j2-complete-api-ref" TargetMode="External"/><Relationship Id="rId1" Type="http://schemas.openxmlformats.org/officeDocument/2006/relationships/hyperlink" Target="https://github.com/tloen/alpaca-lora" TargetMode="External"/><Relationship Id="rId6" Type="http://schemas.openxmlformats.org/officeDocument/2006/relationships/hyperlink" Target="https://github.com/h2oai/h2ogpt" TargetMode="External"/><Relationship Id="rId11" Type="http://schemas.microsoft.com/office/2017/10/relationships/threadedComment" Target="../threadedComments/threadedComment1.xml"/><Relationship Id="rId5" Type="http://schemas.openxmlformats.org/officeDocument/2006/relationships/hyperlink" Target="https://huggingface.co/chansung/alpaca-lora-65b/tree/main" TargetMode="External"/><Relationship Id="rId10" Type="http://schemas.openxmlformats.org/officeDocument/2006/relationships/comments" Target="../comments1.xml"/><Relationship Id="rId4" Type="http://schemas.openxmlformats.org/officeDocument/2006/relationships/hyperlink" Target="https://huggingface.co/datasets/nomic-ai/gpt4all-j-prompt-generations/tree/main/data" TargetMode="External"/><Relationship Id="rId9"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8" Type="http://schemas.openxmlformats.org/officeDocument/2006/relationships/hyperlink" Target="SONY.xlsx" TargetMode="External"/><Relationship Id="rId3" Type="http://schemas.openxmlformats.org/officeDocument/2006/relationships/hyperlink" Target="700%20HK.xlsx" TargetMode="External"/><Relationship Id="rId7" Type="http://schemas.openxmlformats.org/officeDocument/2006/relationships/hyperlink" Target="ATVI.xlsx" TargetMode="External"/><Relationship Id="rId2" Type="http://schemas.openxmlformats.org/officeDocument/2006/relationships/hyperlink" Target="MSFT.xlsx" TargetMode="External"/><Relationship Id="rId1" Type="http://schemas.openxmlformats.org/officeDocument/2006/relationships/hyperlink" Target="RBLX.xlsx" TargetMode="External"/><Relationship Id="rId6" Type="http://schemas.openxmlformats.org/officeDocument/2006/relationships/hyperlink" Target="../../../OneDrive/Models%20Backup/SPOT.xlsx" TargetMode="External"/><Relationship Id="rId5" Type="http://schemas.openxmlformats.org/officeDocument/2006/relationships/hyperlink" Target="ADBE.xlsx" TargetMode="External"/><Relationship Id="rId10" Type="http://schemas.openxmlformats.org/officeDocument/2006/relationships/printerSettings" Target="../printerSettings/printerSettings8.bin"/><Relationship Id="rId4" Type="http://schemas.openxmlformats.org/officeDocument/2006/relationships/hyperlink" Target="EA.xlsx" TargetMode="External"/><Relationship Id="rId9" Type="http://schemas.openxmlformats.org/officeDocument/2006/relationships/hyperlink" Target="SONY.xlsx" TargetMode="External"/></Relationships>
</file>

<file path=xl/worksheets/_rels/sheet1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hyperlink" Target="PYPL.xlsx" TargetMode="External"/><Relationship Id="rId1" Type="http://schemas.openxmlformats.org/officeDocument/2006/relationships/hyperlink" Target="INTU.xlsx" TargetMode="Externa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13.xml.rels><?xml version="1.0" encoding="UTF-8" standalone="yes"?>
<Relationships xmlns="http://schemas.openxmlformats.org/package/2006/relationships"><Relationship Id="rId3" Type="http://schemas.openxmlformats.org/officeDocument/2006/relationships/hyperlink" Target="SHOP.xlsx" TargetMode="External"/><Relationship Id="rId7" Type="http://schemas.openxmlformats.org/officeDocument/2006/relationships/printerSettings" Target="../printerSettings/printerSettings9.bin"/><Relationship Id="rId2" Type="http://schemas.openxmlformats.org/officeDocument/2006/relationships/hyperlink" Target="AMZN.xlsx" TargetMode="External"/><Relationship Id="rId1" Type="http://schemas.openxmlformats.org/officeDocument/2006/relationships/hyperlink" Target="BABA.xlsx" TargetMode="External"/><Relationship Id="rId6" Type="http://schemas.openxmlformats.org/officeDocument/2006/relationships/hyperlink" Target="ABNB.xlsx" TargetMode="External"/><Relationship Id="rId5" Type="http://schemas.openxmlformats.org/officeDocument/2006/relationships/hyperlink" Target="RDFN.xlsx" TargetMode="External"/><Relationship Id="rId4" Type="http://schemas.openxmlformats.org/officeDocument/2006/relationships/hyperlink" Target="BABA.xlsx"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2F021-B9D2-4E87-AC34-DE48FE1C4298}">
  <dimension ref="A1"/>
  <sheetViews>
    <sheetView workbookViewId="0"/>
  </sheetViews>
  <sheetFormatPr defaultColWidth="8.85546875"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A44C1-F876-4F6A-A905-60D0CF343544}">
  <dimension ref="A1:C12"/>
  <sheetViews>
    <sheetView workbookViewId="0">
      <selection activeCell="F5" sqref="F5"/>
    </sheetView>
  </sheetViews>
  <sheetFormatPr defaultColWidth="9.140625" defaultRowHeight="12.75"/>
  <cols>
    <col min="1" max="1" width="5" style="137" bestFit="1" customWidth="1"/>
    <col min="2" max="16384" width="9.140625" style="137"/>
  </cols>
  <sheetData>
    <row r="1" spans="1:3">
      <c r="A1" s="5" t="s">
        <v>146</v>
      </c>
    </row>
    <row r="2" spans="1:3">
      <c r="A2" s="5"/>
      <c r="B2" s="137" t="s">
        <v>19</v>
      </c>
    </row>
    <row r="3" spans="1:3">
      <c r="B3" s="137" t="s">
        <v>347</v>
      </c>
      <c r="C3" s="137" t="s">
        <v>348</v>
      </c>
    </row>
    <row r="4" spans="1:3">
      <c r="B4" s="137" t="s">
        <v>349</v>
      </c>
      <c r="C4" s="137" t="s">
        <v>350</v>
      </c>
    </row>
    <row r="5" spans="1:3">
      <c r="B5" s="137" t="s">
        <v>351</v>
      </c>
    </row>
    <row r="6" spans="1:3">
      <c r="B6" s="137" t="s">
        <v>344</v>
      </c>
    </row>
    <row r="7" spans="1:3">
      <c r="B7" s="137" t="s">
        <v>342</v>
      </c>
    </row>
    <row r="8" spans="1:3">
      <c r="B8" s="137" t="s">
        <v>346</v>
      </c>
    </row>
    <row r="9" spans="1:3">
      <c r="B9" s="137" t="s">
        <v>343</v>
      </c>
    </row>
    <row r="10" spans="1:3">
      <c r="B10" s="137" t="s">
        <v>352</v>
      </c>
    </row>
    <row r="11" spans="1:3">
      <c r="B11" s="137" t="s">
        <v>353</v>
      </c>
    </row>
    <row r="12" spans="1:3">
      <c r="B12" s="137" t="s">
        <v>345</v>
      </c>
    </row>
  </sheetData>
  <hyperlinks>
    <hyperlink ref="A1" location="Main!A1" display="Main" xr:uid="{6883381D-CC78-420C-B33D-9D88ACC7CFD7}"/>
  </hyperlinks>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91D0-A718-45C3-9EF2-C01D7940E5D3}">
  <dimension ref="A1:C15"/>
  <sheetViews>
    <sheetView zoomScale="175" zoomScaleNormal="175" workbookViewId="0"/>
  </sheetViews>
  <sheetFormatPr defaultColWidth="9.140625" defaultRowHeight="12.75"/>
  <cols>
    <col min="1" max="1" width="5" style="137" bestFit="1" customWidth="1"/>
    <col min="2" max="2" width="10.42578125" style="137" customWidth="1"/>
    <col min="3" max="16384" width="9.140625" style="137"/>
  </cols>
  <sheetData>
    <row r="1" spans="1:3">
      <c r="A1" s="5" t="s">
        <v>146</v>
      </c>
    </row>
    <row r="2" spans="1:3">
      <c r="A2" s="5"/>
      <c r="B2" s="176" t="s">
        <v>492</v>
      </c>
    </row>
    <row r="3" spans="1:3">
      <c r="A3" s="5"/>
      <c r="B3" s="176" t="s">
        <v>488</v>
      </c>
    </row>
    <row r="4" spans="1:3">
      <c r="A4" s="5"/>
      <c r="B4" s="176" t="s">
        <v>491</v>
      </c>
    </row>
    <row r="5" spans="1:3">
      <c r="A5" s="5"/>
      <c r="B5" s="176" t="s">
        <v>489</v>
      </c>
    </row>
    <row r="6" spans="1:3">
      <c r="A6" s="5"/>
      <c r="B6" s="176" t="s">
        <v>493</v>
      </c>
    </row>
    <row r="7" spans="1:3">
      <c r="A7" s="5"/>
      <c r="B7" s="176" t="s">
        <v>490</v>
      </c>
    </row>
    <row r="8" spans="1:3">
      <c r="A8" s="5"/>
      <c r="B8" s="176"/>
    </row>
    <row r="9" spans="1:3">
      <c r="A9" s="5"/>
      <c r="B9" s="176"/>
    </row>
    <row r="10" spans="1:3">
      <c r="A10" s="5"/>
      <c r="B10" s="137" t="s">
        <v>358</v>
      </c>
    </row>
    <row r="11" spans="1:3">
      <c r="B11" s="137" t="s">
        <v>354</v>
      </c>
    </row>
    <row r="12" spans="1:3">
      <c r="B12" s="137" t="s">
        <v>355</v>
      </c>
      <c r="C12" s="137" t="s">
        <v>356</v>
      </c>
    </row>
    <row r="13" spans="1:3">
      <c r="B13" s="137" t="s">
        <v>357</v>
      </c>
    </row>
    <row r="14" spans="1:3">
      <c r="B14" s="172" t="s">
        <v>484</v>
      </c>
      <c r="C14" s="172" t="s">
        <v>485</v>
      </c>
    </row>
    <row r="15" spans="1:3">
      <c r="B15" s="172" t="s">
        <v>486</v>
      </c>
    </row>
  </sheetData>
  <hyperlinks>
    <hyperlink ref="A1" location="Main!A1" display="Main" xr:uid="{33E3E6A7-4E0D-4E42-A768-3040828B041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865A7-531A-484D-A1B8-5616406C41D1}">
  <dimension ref="A2:X47"/>
  <sheetViews>
    <sheetView zoomScale="160" zoomScaleNormal="160" zoomScaleSheetLayoutView="100" workbookViewId="0">
      <pane xSplit="3" ySplit="3" topLeftCell="D4" activePane="bottomRight" state="frozen"/>
      <selection pane="topRight" activeCell="D1" sqref="D1"/>
      <selection pane="bottomLeft" activeCell="A30" sqref="A30"/>
      <selection pane="bottomRight" activeCell="C13" sqref="C13"/>
    </sheetView>
  </sheetViews>
  <sheetFormatPr defaultColWidth="8.42578125" defaultRowHeight="12.75"/>
  <cols>
    <col min="1" max="1" width="1.42578125" style="20" customWidth="1"/>
    <col min="2" max="2" width="16.42578125" style="20" customWidth="1"/>
    <col min="3" max="3" width="10.7109375" style="20" customWidth="1"/>
    <col min="4" max="4" width="8.7109375" style="21" customWidth="1"/>
    <col min="5" max="5" width="10.28515625" style="22" customWidth="1"/>
    <col min="6" max="10" width="9.42578125" style="23" customWidth="1"/>
    <col min="11" max="15" width="8.42578125" style="24"/>
    <col min="16" max="16" width="8.42578125" style="25"/>
    <col min="17" max="18" width="8.42578125" style="24"/>
    <col min="19" max="19" width="8.42578125" style="26"/>
    <col min="20" max="20" width="8.42578125" style="25"/>
    <col min="21" max="22" width="8.42578125" style="24"/>
    <col min="23" max="23" width="8.42578125" style="26"/>
    <col min="24" max="16384" width="8.42578125" style="20"/>
  </cols>
  <sheetData>
    <row r="2" spans="1:24">
      <c r="L2" s="28">
        <f>AVERAGE(L4:L5)</f>
        <v>0.20041740331883851</v>
      </c>
      <c r="P2" s="29">
        <f>AVERAGE(P4:P5)</f>
        <v>26.242629111540076</v>
      </c>
      <c r="Q2" s="37">
        <f>AVERAGE(Q4:Q5)</f>
        <v>23.921213842707509</v>
      </c>
      <c r="R2" s="37">
        <f>AVERAGE(R4:R5)</f>
        <v>20.722347204381379</v>
      </c>
      <c r="S2" s="30">
        <f>AVERAGE(S4:S5)</f>
        <v>18.251491495442547</v>
      </c>
    </row>
    <row r="3" spans="1:24">
      <c r="B3" s="13" t="s">
        <v>0</v>
      </c>
      <c r="C3" s="14" t="s">
        <v>1</v>
      </c>
      <c r="D3" s="15" t="s">
        <v>2</v>
      </c>
      <c r="E3" s="16" t="s">
        <v>3</v>
      </c>
      <c r="F3" s="17" t="s">
        <v>4</v>
      </c>
      <c r="G3" s="17" t="s">
        <v>5</v>
      </c>
      <c r="H3" s="17" t="s">
        <v>221</v>
      </c>
      <c r="I3" s="17" t="s">
        <v>6</v>
      </c>
      <c r="J3" s="42" t="s">
        <v>232</v>
      </c>
      <c r="K3" s="18" t="s">
        <v>216</v>
      </c>
      <c r="L3" s="18" t="s">
        <v>220</v>
      </c>
      <c r="M3" s="18" t="s">
        <v>217</v>
      </c>
      <c r="N3" s="18" t="s">
        <v>218</v>
      </c>
      <c r="O3" s="19" t="s">
        <v>219</v>
      </c>
      <c r="P3" s="48" t="s">
        <v>237</v>
      </c>
      <c r="Q3" s="49" t="s">
        <v>238</v>
      </c>
      <c r="R3" s="49" t="s">
        <v>239</v>
      </c>
      <c r="S3" s="19">
        <v>2025</v>
      </c>
      <c r="T3" s="48" t="s">
        <v>236</v>
      </c>
      <c r="U3" s="18">
        <v>2023</v>
      </c>
      <c r="V3" s="18">
        <v>2024</v>
      </c>
      <c r="W3" s="19">
        <v>2025</v>
      </c>
      <c r="X3" s="20" t="s">
        <v>222</v>
      </c>
    </row>
    <row r="4" spans="1:24">
      <c r="A4" s="72" t="s">
        <v>261</v>
      </c>
      <c r="B4" s="114" t="s">
        <v>7</v>
      </c>
      <c r="C4" s="20" t="s">
        <v>8</v>
      </c>
      <c r="D4" s="21">
        <v>307.26</v>
      </c>
      <c r="E4" s="22">
        <f>D4*[1]Main!$L$3</f>
        <v>2296153.98</v>
      </c>
      <c r="F4" s="22">
        <f>[1]Main!$L$5-[1]Main!$L$6</f>
        <v>58489</v>
      </c>
      <c r="G4" s="22">
        <f>+E4-F4</f>
        <v>2237664.98</v>
      </c>
      <c r="H4" s="22">
        <f>+[1]Main!$L$3</f>
        <v>7473</v>
      </c>
      <c r="I4" s="175" t="s">
        <v>487</v>
      </c>
      <c r="J4" s="169">
        <v>45041</v>
      </c>
      <c r="K4" s="27">
        <f>+[1]Model!$BP$39</f>
        <v>269.58547667575527</v>
      </c>
      <c r="L4" s="28">
        <f>K4/D4-1</f>
        <v>-0.12261447413996196</v>
      </c>
      <c r="M4" s="28">
        <f>+[1]Model!$BP$35</f>
        <v>7.0000000000000007E-2</v>
      </c>
      <c r="N4" s="28">
        <f>+[1]Model!$BP$34</f>
        <v>0</v>
      </c>
      <c r="O4" s="115">
        <f>+[1]Model!$BP$36</f>
        <v>0.01</v>
      </c>
      <c r="P4" s="29">
        <f>+$G$4/$H$4/T4</f>
        <v>31.041226416860436</v>
      </c>
      <c r="Q4" s="30">
        <f t="shared" ref="Q4:S4" si="0">+$G$4/$H$4/U4</f>
        <v>30.329424348429917</v>
      </c>
      <c r="R4" s="30">
        <f t="shared" si="0"/>
        <v>26.673735708135101</v>
      </c>
      <c r="S4" s="31">
        <f t="shared" si="0"/>
        <v>23.876582290862881</v>
      </c>
      <c r="T4" s="32">
        <f>+[1]Model!$BE$32</f>
        <v>9.6463099263974534</v>
      </c>
      <c r="U4" s="27">
        <f>+[1]Model!$BF$32</f>
        <v>9.8726994311717835</v>
      </c>
      <c r="V4" s="27">
        <f>+[1]Model!$BG$32</f>
        <v>11.225772564777602</v>
      </c>
      <c r="W4" s="33">
        <f>+[1]Model!$BH$32</f>
        <v>12.540877369501043</v>
      </c>
      <c r="X4" s="20">
        <v>1975</v>
      </c>
    </row>
    <row r="5" spans="1:24">
      <c r="A5" s="72" t="s">
        <v>261</v>
      </c>
      <c r="B5" s="114" t="s">
        <v>9</v>
      </c>
      <c r="C5" s="20" t="s">
        <v>10</v>
      </c>
      <c r="D5" s="21">
        <v>108.22</v>
      </c>
      <c r="E5" s="22">
        <f>D5*[2]Main!$L$3</f>
        <v>1401124.34</v>
      </c>
      <c r="F5" s="22">
        <f>[2]Main!$L$5-[2]Main!$L$6</f>
        <v>129553</v>
      </c>
      <c r="G5" s="22">
        <f>+E5-F5</f>
        <v>1271571.3400000001</v>
      </c>
      <c r="H5" s="22">
        <f>[2]Main!$L$3</f>
        <v>12947</v>
      </c>
      <c r="I5" s="175" t="s">
        <v>487</v>
      </c>
      <c r="J5" s="43">
        <v>45041</v>
      </c>
      <c r="K5" s="27">
        <f>[2]Model!$AU$31</f>
        <v>164.8676811657561</v>
      </c>
      <c r="L5" s="28">
        <f>K5/D5-1</f>
        <v>0.52344928077763897</v>
      </c>
      <c r="M5" s="28">
        <f>[2]Model!$AU$28</f>
        <v>0.08</v>
      </c>
      <c r="N5" s="28">
        <f>[2]Model!$AU$27</f>
        <v>-0.01</v>
      </c>
      <c r="O5" s="115">
        <f>[2]Model!$AU$29</f>
        <v>0.01</v>
      </c>
      <c r="P5" s="29">
        <f>+$G$5/$H$5/T5</f>
        <v>21.444031806219719</v>
      </c>
      <c r="Q5" s="30">
        <f>+$G$5/$H$5/U5</f>
        <v>17.513003336985097</v>
      </c>
      <c r="R5" s="30">
        <f>+$G$5/$H$5/V5</f>
        <v>14.770958700627652</v>
      </c>
      <c r="S5" s="30">
        <f>+$G$5/$H$5/W5</f>
        <v>12.626400700022211</v>
      </c>
      <c r="T5" s="32">
        <f>[2]Model!$AJ$24</f>
        <v>4.5799964361174039</v>
      </c>
      <c r="U5" s="27">
        <f>[2]Model!$AK$24</f>
        <v>5.6080380594150139</v>
      </c>
      <c r="V5" s="27">
        <f>[2]Model!$AL$24</f>
        <v>6.6491005248224839</v>
      </c>
      <c r="W5" s="33">
        <f>[2]Model!$AM$24</f>
        <v>7.778431207897734</v>
      </c>
      <c r="X5" s="20">
        <v>1998</v>
      </c>
    </row>
    <row r="6" spans="1:24">
      <c r="A6" s="107" t="s">
        <v>261</v>
      </c>
      <c r="B6" s="114" t="s">
        <v>180</v>
      </c>
      <c r="C6" s="20" t="s">
        <v>181</v>
      </c>
      <c r="D6" s="41">
        <v>2651</v>
      </c>
      <c r="E6" s="22">
        <f>D6*H6/CAD</f>
        <v>43241.029887623161</v>
      </c>
      <c r="F6" s="22">
        <f>[3]Main!$O$5-[3]Main!$O$6</f>
        <v>-1163</v>
      </c>
      <c r="G6" s="22">
        <f>E6-F6</f>
        <v>44404.029887623161</v>
      </c>
      <c r="H6" s="22">
        <f>+[3]Main!$O$3</f>
        <v>21.19153</v>
      </c>
      <c r="I6" s="175" t="s">
        <v>390</v>
      </c>
      <c r="J6" s="43">
        <v>45047</v>
      </c>
      <c r="O6" s="26"/>
      <c r="X6" s="20">
        <v>1995</v>
      </c>
    </row>
    <row r="7" spans="1:24">
      <c r="A7" s="108" t="s">
        <v>261</v>
      </c>
      <c r="B7" s="114" t="s">
        <v>227</v>
      </c>
      <c r="C7" s="118" t="s">
        <v>228</v>
      </c>
      <c r="D7" s="21">
        <v>114.75</v>
      </c>
      <c r="E7" s="22">
        <f>D7*H7/SEK</f>
        <v>30022.838684416602</v>
      </c>
      <c r="F7" s="22">
        <f>([4]Main!$L$5-[4]Main!$L$6)*EUR</f>
        <v>-3389.8630000000003</v>
      </c>
      <c r="G7" s="22">
        <f>E7-F7</f>
        <v>33412.701684416599</v>
      </c>
      <c r="H7" s="22">
        <f>[4]Main!$L$3</f>
        <v>2706.2939999999999</v>
      </c>
      <c r="I7" s="199" t="s">
        <v>390</v>
      </c>
      <c r="J7" s="43">
        <v>45056</v>
      </c>
      <c r="O7" s="26"/>
      <c r="X7" s="20">
        <v>1992</v>
      </c>
    </row>
    <row r="8" spans="1:24">
      <c r="A8" s="90" t="s">
        <v>261</v>
      </c>
      <c r="B8" s="114" t="s">
        <v>38</v>
      </c>
      <c r="C8" s="20" t="s">
        <v>39</v>
      </c>
      <c r="D8" s="21">
        <v>120.61</v>
      </c>
      <c r="E8" s="22">
        <f>+D8*[5]Main!$L$3</f>
        <v>41715.983749999999</v>
      </c>
      <c r="F8" s="22">
        <f>([5]Main!$L$5-[5]Main!$L$6)/RMB</f>
        <v>25459.792284866468</v>
      </c>
      <c r="G8" s="22">
        <f>E8-F8</f>
        <v>16256.191465133532</v>
      </c>
      <c r="H8" s="22">
        <f>+[5]Main!$L$3</f>
        <v>345.875</v>
      </c>
      <c r="I8" s="23" t="s">
        <v>14</v>
      </c>
      <c r="O8" s="26"/>
      <c r="X8" s="20">
        <v>2000</v>
      </c>
    </row>
    <row r="9" spans="1:24">
      <c r="B9" s="120" t="s">
        <v>79</v>
      </c>
      <c r="C9" s="20" t="s">
        <v>182</v>
      </c>
      <c r="D9" s="21">
        <v>113.23</v>
      </c>
      <c r="E9" s="22">
        <v>33330</v>
      </c>
      <c r="O9" s="26"/>
      <c r="X9" s="20">
        <v>2007</v>
      </c>
    </row>
    <row r="10" spans="1:24">
      <c r="B10" s="120" t="s">
        <v>56</v>
      </c>
      <c r="C10" s="20" t="s">
        <v>57</v>
      </c>
      <c r="D10" s="21">
        <v>54.71</v>
      </c>
      <c r="E10" s="22">
        <v>28410</v>
      </c>
      <c r="O10" s="26"/>
      <c r="X10" s="20">
        <v>2009</v>
      </c>
    </row>
    <row r="11" spans="1:24">
      <c r="A11" s="111" t="s">
        <v>261</v>
      </c>
      <c r="B11" s="119" t="s">
        <v>321</v>
      </c>
      <c r="C11" s="111" t="s">
        <v>322</v>
      </c>
      <c r="D11" s="21">
        <v>46.37</v>
      </c>
      <c r="E11" s="22">
        <v>20860</v>
      </c>
      <c r="O11" s="26"/>
      <c r="X11" s="20">
        <v>1987</v>
      </c>
    </row>
    <row r="12" spans="1:24">
      <c r="B12" s="195" t="s">
        <v>69</v>
      </c>
      <c r="C12" s="64" t="s">
        <v>70</v>
      </c>
      <c r="D12" s="196">
        <v>360.34</v>
      </c>
      <c r="E12" s="197">
        <v>18140</v>
      </c>
      <c r="O12" s="26"/>
      <c r="X12" s="20">
        <v>2006</v>
      </c>
    </row>
    <row r="13" spans="1:24">
      <c r="B13" s="193" t="s">
        <v>530</v>
      </c>
      <c r="C13" s="194" t="s">
        <v>531</v>
      </c>
      <c r="O13" s="26"/>
    </row>
    <row r="14" spans="1:24">
      <c r="B14" s="193" t="s">
        <v>532</v>
      </c>
      <c r="C14" s="194" t="s">
        <v>533</v>
      </c>
      <c r="O14" s="26"/>
    </row>
    <row r="15" spans="1:24">
      <c r="B15" s="120" t="s">
        <v>73</v>
      </c>
      <c r="C15" s="20" t="s">
        <v>74</v>
      </c>
      <c r="D15" s="21">
        <v>43.75</v>
      </c>
      <c r="E15" s="22">
        <v>17180</v>
      </c>
      <c r="O15" s="26"/>
      <c r="X15" s="20">
        <v>2012</v>
      </c>
    </row>
    <row r="16" spans="1:24">
      <c r="B16" s="120" t="s">
        <v>79</v>
      </c>
      <c r="C16" s="20" t="s">
        <v>80</v>
      </c>
      <c r="D16" s="21">
        <v>40.44</v>
      </c>
      <c r="E16" s="22">
        <v>16810</v>
      </c>
      <c r="O16" s="26"/>
      <c r="X16" s="20">
        <v>2007</v>
      </c>
    </row>
    <row r="17" spans="2:24">
      <c r="B17" s="193" t="s">
        <v>555</v>
      </c>
      <c r="C17" s="194" t="s">
        <v>556</v>
      </c>
      <c r="O17" s="26"/>
    </row>
    <row r="18" spans="2:24">
      <c r="B18" s="120" t="s">
        <v>85</v>
      </c>
      <c r="C18" s="20" t="s">
        <v>86</v>
      </c>
      <c r="D18" s="21">
        <v>363.45</v>
      </c>
      <c r="E18" s="22">
        <v>15250</v>
      </c>
      <c r="O18" s="26"/>
      <c r="X18" s="20">
        <v>1966</v>
      </c>
    </row>
    <row r="19" spans="2:24">
      <c r="B19" s="120" t="s">
        <v>102</v>
      </c>
      <c r="C19" s="20" t="s">
        <v>103</v>
      </c>
      <c r="D19" s="21">
        <v>408.48</v>
      </c>
      <c r="E19" s="22">
        <v>10570</v>
      </c>
      <c r="O19" s="26"/>
    </row>
    <row r="20" spans="2:24">
      <c r="B20" s="120" t="s">
        <v>106</v>
      </c>
      <c r="C20" s="20" t="s">
        <v>107</v>
      </c>
      <c r="D20" s="21">
        <v>80.52</v>
      </c>
      <c r="E20" s="22">
        <v>10310</v>
      </c>
      <c r="O20" s="26"/>
      <c r="X20" s="20">
        <v>2007</v>
      </c>
    </row>
    <row r="21" spans="2:24">
      <c r="B21" s="120" t="s">
        <v>111</v>
      </c>
      <c r="C21" s="20" t="s">
        <v>112</v>
      </c>
      <c r="D21" s="21">
        <v>8.17</v>
      </c>
      <c r="E21" s="22">
        <v>9320</v>
      </c>
      <c r="O21" s="26"/>
    </row>
    <row r="22" spans="2:24">
      <c r="B22" s="120" t="s">
        <v>115</v>
      </c>
      <c r="C22" s="20" t="s">
        <v>116</v>
      </c>
      <c r="D22" s="21">
        <v>56.9</v>
      </c>
      <c r="E22" s="22">
        <v>9000</v>
      </c>
      <c r="O22" s="26"/>
    </row>
    <row r="23" spans="2:24">
      <c r="B23" s="120" t="s">
        <v>117</v>
      </c>
      <c r="C23" s="20" t="s">
        <v>118</v>
      </c>
      <c r="D23" s="21">
        <v>203.42</v>
      </c>
      <c r="E23" s="22">
        <v>8580</v>
      </c>
      <c r="O23" s="26"/>
      <c r="X23" s="20">
        <v>2003</v>
      </c>
    </row>
    <row r="24" spans="2:24">
      <c r="B24" s="120" t="s">
        <v>120</v>
      </c>
      <c r="C24" s="20" t="s">
        <v>121</v>
      </c>
      <c r="D24" s="21">
        <v>126.81</v>
      </c>
      <c r="E24" s="22">
        <v>8200</v>
      </c>
      <c r="O24" s="26"/>
    </row>
    <row r="25" spans="2:24">
      <c r="B25" s="120" t="s">
        <v>122</v>
      </c>
      <c r="C25" s="20" t="s">
        <v>123</v>
      </c>
      <c r="D25" s="21">
        <v>50.35</v>
      </c>
      <c r="E25" s="22">
        <v>8150</v>
      </c>
      <c r="O25" s="26"/>
    </row>
    <row r="26" spans="2:24">
      <c r="B26" s="120" t="s">
        <v>125</v>
      </c>
      <c r="C26" s="20" t="s">
        <v>126</v>
      </c>
      <c r="D26" s="21">
        <v>88.7</v>
      </c>
      <c r="E26" s="22">
        <v>7910</v>
      </c>
      <c r="O26" s="26"/>
    </row>
    <row r="27" spans="2:24">
      <c r="B27" s="120" t="s">
        <v>127</v>
      </c>
      <c r="C27" s="20" t="s">
        <v>128</v>
      </c>
      <c r="D27" s="21">
        <v>78.3</v>
      </c>
      <c r="E27" s="22">
        <v>7580</v>
      </c>
      <c r="O27" s="26"/>
      <c r="X27" s="20">
        <v>2012</v>
      </c>
    </row>
    <row r="28" spans="2:24">
      <c r="B28" s="120" t="s">
        <v>129</v>
      </c>
      <c r="C28" s="20" t="s">
        <v>130</v>
      </c>
      <c r="D28" s="21">
        <v>50.36</v>
      </c>
      <c r="E28" s="22">
        <v>7140</v>
      </c>
      <c r="O28" s="26"/>
    </row>
    <row r="29" spans="2:24">
      <c r="B29" s="120" t="s">
        <v>131</v>
      </c>
      <c r="C29" s="20" t="s">
        <v>132</v>
      </c>
      <c r="D29" s="21">
        <v>80.58</v>
      </c>
      <c r="E29" s="22">
        <v>6930</v>
      </c>
      <c r="O29" s="26"/>
    </row>
    <row r="30" spans="2:24">
      <c r="B30" s="120" t="s">
        <v>133</v>
      </c>
      <c r="C30" s="20" t="s">
        <v>134</v>
      </c>
      <c r="D30" s="21">
        <v>32.869999999999997</v>
      </c>
      <c r="E30" s="22">
        <v>6880</v>
      </c>
      <c r="O30" s="26"/>
    </row>
    <row r="31" spans="2:24">
      <c r="B31" s="120" t="s">
        <v>137</v>
      </c>
      <c r="C31" s="20" t="s">
        <v>138</v>
      </c>
      <c r="D31" s="21">
        <v>54.6</v>
      </c>
      <c r="E31" s="22">
        <v>6370</v>
      </c>
      <c r="O31" s="26"/>
    </row>
    <row r="32" spans="2:24">
      <c r="B32" s="120" t="s">
        <v>139</v>
      </c>
      <c r="C32" s="20" t="s">
        <v>140</v>
      </c>
      <c r="D32" s="21">
        <v>62.59</v>
      </c>
      <c r="E32" s="22">
        <v>6350</v>
      </c>
      <c r="O32" s="26"/>
    </row>
    <row r="33" spans="2:15">
      <c r="B33" s="120" t="s">
        <v>141</v>
      </c>
      <c r="C33" s="20" t="s">
        <v>141</v>
      </c>
      <c r="D33" s="21">
        <v>62.71</v>
      </c>
      <c r="E33" s="22">
        <v>3603</v>
      </c>
      <c r="O33" s="26"/>
    </row>
    <row r="34" spans="2:15">
      <c r="B34" s="120" t="s">
        <v>142</v>
      </c>
      <c r="C34" s="20" t="s">
        <v>143</v>
      </c>
      <c r="D34" s="21">
        <v>21.19</v>
      </c>
      <c r="E34" s="22">
        <v>2965</v>
      </c>
      <c r="O34" s="26"/>
    </row>
    <row r="35" spans="2:15">
      <c r="B35" s="120" t="s">
        <v>147</v>
      </c>
      <c r="C35" s="20" t="s">
        <v>148</v>
      </c>
      <c r="D35" s="21">
        <v>26.99</v>
      </c>
      <c r="E35" s="22">
        <v>1400</v>
      </c>
      <c r="O35" s="26"/>
    </row>
    <row r="36" spans="2:15">
      <c r="B36" s="121" t="s">
        <v>223</v>
      </c>
      <c r="C36" s="122" t="s">
        <v>224</v>
      </c>
      <c r="D36" s="21">
        <v>13.95</v>
      </c>
      <c r="E36" s="22">
        <v>2030</v>
      </c>
      <c r="O36" s="26"/>
    </row>
    <row r="37" spans="2:15">
      <c r="B37" s="121" t="s">
        <v>225</v>
      </c>
      <c r="C37" s="122" t="s">
        <v>226</v>
      </c>
      <c r="D37" s="21">
        <v>19.95</v>
      </c>
      <c r="E37" s="22">
        <v>2560</v>
      </c>
      <c r="O37" s="26"/>
    </row>
    <row r="38" spans="2:15">
      <c r="B38" s="123" t="s">
        <v>234</v>
      </c>
      <c r="C38" s="46" t="s">
        <v>235</v>
      </c>
      <c r="O38" s="26"/>
    </row>
    <row r="39" spans="2:15">
      <c r="B39" s="163" t="s">
        <v>406</v>
      </c>
      <c r="O39" s="26"/>
    </row>
    <row r="40" spans="2:15">
      <c r="B40" s="163" t="s">
        <v>407</v>
      </c>
      <c r="O40" s="26"/>
    </row>
    <row r="41" spans="2:15">
      <c r="B41" s="120"/>
      <c r="O41" s="26"/>
    </row>
    <row r="42" spans="2:15">
      <c r="B42" s="120"/>
      <c r="O42" s="26"/>
    </row>
    <row r="43" spans="2:15">
      <c r="B43" s="120"/>
      <c r="O43" s="26"/>
    </row>
    <row r="44" spans="2:15">
      <c r="B44" s="120"/>
      <c r="O44" s="26"/>
    </row>
    <row r="45" spans="2:15">
      <c r="B45" s="120"/>
      <c r="O45" s="26"/>
    </row>
    <row r="46" spans="2:15">
      <c r="B46" s="120"/>
      <c r="O46" s="26"/>
    </row>
    <row r="47" spans="2:15">
      <c r="B47" s="124"/>
      <c r="C47" s="125"/>
      <c r="D47" s="126"/>
      <c r="E47" s="127"/>
      <c r="F47" s="128"/>
      <c r="G47" s="128"/>
      <c r="H47" s="128"/>
      <c r="I47" s="128"/>
      <c r="J47" s="128"/>
      <c r="K47" s="129"/>
      <c r="L47" s="129"/>
      <c r="M47" s="129"/>
      <c r="N47" s="129"/>
      <c r="O47" s="130"/>
    </row>
  </sheetData>
  <hyperlinks>
    <hyperlink ref="B5" r:id="rId1" xr:uid="{3019DEB6-D8CA-4815-8BF6-407E9419A3F9}"/>
    <hyperlink ref="B8" r:id="rId2" xr:uid="{831B52E7-EF7A-4831-8425-59EAD7D0F934}"/>
    <hyperlink ref="B6" r:id="rId3" xr:uid="{BF4E9546-147A-4F10-92B1-A91E9292F4F6}"/>
    <hyperlink ref="B4" r:id="rId4" xr:uid="{8FE2D0E7-8B55-451A-A95B-7A06B5C1BDA4}"/>
    <hyperlink ref="B7" r:id="rId5" xr:uid="{B1E63D77-7B2A-465F-96ED-98ACEF7D4A6C}"/>
  </hyperlinks>
  <pageMargins left="0.7" right="0.7" top="0.75" bottom="0.75" header="0.3" footer="0.3"/>
  <pageSetup orientation="portrait" r:id="rId6"/>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2A0FE3-503A-448B-BE6E-F545711F1B98}">
  <dimension ref="A1:X41"/>
  <sheetViews>
    <sheetView zoomScale="175" zoomScaleNormal="175" workbookViewId="0">
      <pane xSplit="2" ySplit="2" topLeftCell="C3" activePane="bottomRight" state="frozen"/>
      <selection pane="topRight" activeCell="C1" sqref="C1"/>
      <selection pane="bottomLeft" activeCell="A3" sqref="A3"/>
      <selection pane="bottomRight" activeCell="M15" sqref="M15"/>
    </sheetView>
  </sheetViews>
  <sheetFormatPr defaultColWidth="9.140625" defaultRowHeight="12.75"/>
  <cols>
    <col min="1" max="1" width="5" style="72" bestFit="1" customWidth="1"/>
    <col min="2" max="2" width="11" style="72" customWidth="1"/>
    <col min="3" max="4" width="9.140625" style="72"/>
    <col min="5" max="5" width="10" style="72" customWidth="1"/>
    <col min="6" max="6" width="9.140625" style="72"/>
    <col min="7" max="7" width="10.140625" style="72" customWidth="1"/>
    <col min="8" max="9" width="9.140625" style="72"/>
    <col min="10" max="10" width="10.85546875" style="72" customWidth="1"/>
    <col min="11" max="16384" width="9.140625" style="72"/>
  </cols>
  <sheetData>
    <row r="1" spans="1:24">
      <c r="A1" s="5" t="s">
        <v>146</v>
      </c>
    </row>
    <row r="2" spans="1:24">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s="20" customFormat="1">
      <c r="A3" s="72" t="s">
        <v>261</v>
      </c>
      <c r="B3" s="114" t="s">
        <v>11</v>
      </c>
      <c r="C3" s="20" t="s">
        <v>12</v>
      </c>
      <c r="D3" s="21">
        <v>105.45</v>
      </c>
      <c r="E3" s="22">
        <f>+D3*[6]Main!$K$3</f>
        <v>1089403.95</v>
      </c>
      <c r="F3" s="22">
        <f>[6]Main!$K$5-[6]Main!$K$6</f>
        <v>-257</v>
      </c>
      <c r="G3" s="22">
        <f>+E3-F3</f>
        <v>1089660.95</v>
      </c>
      <c r="H3" s="22">
        <f>+[6]Main!$K$3</f>
        <v>10331</v>
      </c>
      <c r="I3" s="175" t="s">
        <v>487</v>
      </c>
      <c r="J3" s="43">
        <v>45047</v>
      </c>
      <c r="K3" s="27">
        <f>+[6]Model!$BL$48</f>
        <v>127.46157686951391</v>
      </c>
      <c r="L3" s="28">
        <f>K3/D3-1</f>
        <v>0.20873946770520524</v>
      </c>
      <c r="M3" s="36">
        <f>+[6]Model!$BL$44</f>
        <v>0.08</v>
      </c>
      <c r="N3" s="28">
        <f>+[6]Model!$BL$46</f>
        <v>0</v>
      </c>
      <c r="O3" s="115">
        <f>+[6]Model!$BL$45</f>
        <v>0.01</v>
      </c>
      <c r="P3" s="29">
        <f>+($G3/$H3)/T3</f>
        <v>204.14815850346861</v>
      </c>
      <c r="Q3" s="30">
        <f>+($G3/$H3)/U3</f>
        <v>64.314822911120359</v>
      </c>
      <c r="R3" s="30">
        <f>+($G3/$H3)/V3</f>
        <v>52.509160501491465</v>
      </c>
      <c r="S3" s="31">
        <f>+($G3/$H3)/W3</f>
        <v>30.15617086566083</v>
      </c>
      <c r="T3" s="32">
        <f>+[6]Model!$BA$33</f>
        <v>0.51665847665847664</v>
      </c>
      <c r="U3" s="27">
        <f>+[6]Model!$BB$33</f>
        <v>1.6399777191456466</v>
      </c>
      <c r="V3" s="27">
        <f>+[6]Model!$BC$33</f>
        <v>2.0086947796859072</v>
      </c>
      <c r="W3" s="33">
        <f>+[6]Model!$BD$33</f>
        <v>3.4976216660564408</v>
      </c>
      <c r="X3" s="20">
        <v>1994</v>
      </c>
    </row>
    <row r="4" spans="1:24" s="20" customFormat="1">
      <c r="A4" s="72" t="s">
        <v>261</v>
      </c>
      <c r="B4" s="5" t="s">
        <v>23</v>
      </c>
      <c r="C4" s="20" t="s">
        <v>24</v>
      </c>
      <c r="D4" s="21">
        <v>79.58</v>
      </c>
      <c r="E4" s="22">
        <f>+D4*[7]Main!$G$3</f>
        <v>220914.08</v>
      </c>
      <c r="F4" s="22">
        <f>+[7]Main!$G$5-[7]Main!$G$6</f>
        <v>-83042</v>
      </c>
      <c r="G4" s="22">
        <f>+E4-F4</f>
        <v>303956.07999999996</v>
      </c>
      <c r="H4" s="22">
        <f>+[7]Main!$G$3</f>
        <v>2776</v>
      </c>
      <c r="I4" s="140" t="s">
        <v>359</v>
      </c>
      <c r="J4" s="43">
        <v>44913</v>
      </c>
      <c r="K4" s="24"/>
      <c r="L4" s="24"/>
      <c r="M4" s="24"/>
      <c r="N4" s="24"/>
      <c r="O4" s="24"/>
      <c r="P4" s="25"/>
      <c r="Q4" s="24"/>
      <c r="R4" s="24"/>
      <c r="S4" s="26"/>
      <c r="T4" s="25"/>
      <c r="U4" s="24"/>
      <c r="V4" s="24"/>
      <c r="W4" s="26"/>
      <c r="X4" s="20">
        <v>1977</v>
      </c>
    </row>
    <row r="5" spans="1:24">
      <c r="A5" s="82" t="s">
        <v>261</v>
      </c>
      <c r="B5" s="5" t="s">
        <v>264</v>
      </c>
      <c r="C5" s="82" t="s">
        <v>264</v>
      </c>
      <c r="D5" s="161">
        <v>122</v>
      </c>
      <c r="E5" s="71">
        <f>D5*H5</f>
        <v>110781.54050800001</v>
      </c>
      <c r="F5" s="71">
        <f>[8]Main!$M$5-[8]Main!$M$6</f>
        <v>-36234</v>
      </c>
      <c r="G5" s="22">
        <f>E5-F5</f>
        <v>147015.54050800001</v>
      </c>
      <c r="H5" s="71">
        <f>[8]Main!$M$3</f>
        <v>908.04541400000005</v>
      </c>
      <c r="I5" s="199" t="s">
        <v>487</v>
      </c>
      <c r="J5" s="103">
        <v>45056</v>
      </c>
      <c r="X5" s="72">
        <v>1911</v>
      </c>
    </row>
    <row r="6" spans="1:24" s="20" customFormat="1">
      <c r="A6" s="82" t="s">
        <v>261</v>
      </c>
      <c r="B6" s="5" t="s">
        <v>21</v>
      </c>
      <c r="C6" s="20" t="s">
        <v>22</v>
      </c>
      <c r="D6" s="21">
        <v>146.88</v>
      </c>
      <c r="E6" s="22">
        <f>+D6*[9]Main!$M$3</f>
        <v>146880</v>
      </c>
      <c r="F6" s="22">
        <f>+[9]Main!$M$5-[9]Main!$M$6</f>
        <v>6442</v>
      </c>
      <c r="G6" s="22">
        <f t="shared" ref="G6:G9" si="0">E6-F6</f>
        <v>140438</v>
      </c>
      <c r="H6" s="22">
        <f>+[9]Main!$M$3</f>
        <v>1000</v>
      </c>
      <c r="I6" s="145" t="s">
        <v>359</v>
      </c>
      <c r="J6" s="43">
        <v>44946</v>
      </c>
      <c r="K6" s="27">
        <f>+[9]Model!$Z$38</f>
        <v>159.2157215866865</v>
      </c>
      <c r="L6" s="28">
        <f>+K6/D6-1</f>
        <v>8.3985032589096509E-2</v>
      </c>
      <c r="M6" s="28">
        <f>+[9]Model!$Z$36</f>
        <v>0.08</v>
      </c>
      <c r="N6" s="28">
        <f>+[9]Model!$Z$35</f>
        <v>0.01</v>
      </c>
      <c r="O6" s="28">
        <v>0</v>
      </c>
      <c r="P6" s="25"/>
      <c r="Q6" s="24"/>
      <c r="R6" s="24"/>
      <c r="S6" s="26"/>
      <c r="T6" s="25"/>
      <c r="U6" s="24"/>
      <c r="V6" s="24"/>
      <c r="W6" s="26"/>
      <c r="X6" s="20">
        <v>1999</v>
      </c>
    </row>
    <row r="7" spans="1:24" s="20" customFormat="1">
      <c r="A7" s="82" t="s">
        <v>261</v>
      </c>
      <c r="B7" s="5" t="s">
        <v>25</v>
      </c>
      <c r="C7" s="20" t="s">
        <v>25</v>
      </c>
      <c r="D7" s="21">
        <v>99.86</v>
      </c>
      <c r="E7" s="22">
        <f>+D7*[10]Main!$L$3</f>
        <v>117834.8</v>
      </c>
      <c r="F7" s="22">
        <f>+[10]Main!$L$5-[10]Main!$L$6</f>
        <v>870</v>
      </c>
      <c r="G7" s="22">
        <f t="shared" si="0"/>
        <v>116964.8</v>
      </c>
      <c r="H7" s="22"/>
      <c r="I7" s="23" t="s">
        <v>14</v>
      </c>
      <c r="J7" s="23"/>
      <c r="K7" s="24"/>
      <c r="L7" s="24"/>
      <c r="M7" s="24"/>
      <c r="N7" s="24"/>
      <c r="O7" s="24"/>
      <c r="P7" s="25"/>
      <c r="Q7" s="24"/>
      <c r="R7" s="24"/>
      <c r="S7" s="26"/>
      <c r="T7" s="25"/>
      <c r="U7" s="24"/>
      <c r="V7" s="24"/>
      <c r="W7" s="26"/>
      <c r="X7" s="20">
        <v>1972</v>
      </c>
    </row>
    <row r="8" spans="1:24" s="20" customFormat="1">
      <c r="A8" s="82" t="s">
        <v>261</v>
      </c>
      <c r="B8" s="5" t="s">
        <v>29</v>
      </c>
      <c r="C8" s="20" t="s">
        <v>30</v>
      </c>
      <c r="D8" s="21">
        <v>440</v>
      </c>
      <c r="E8" s="22">
        <f>+D8*[11]Main!$L$3</f>
        <v>88000</v>
      </c>
      <c r="F8" s="22">
        <f>+[11]Main!$L$5-[11]Main!$L$6</f>
        <v>3926</v>
      </c>
      <c r="G8" s="22">
        <f t="shared" si="0"/>
        <v>84074</v>
      </c>
      <c r="H8" s="22"/>
      <c r="I8" s="23" t="s">
        <v>14</v>
      </c>
      <c r="J8" s="23"/>
      <c r="K8" s="24"/>
      <c r="L8" s="24"/>
      <c r="M8" s="24"/>
      <c r="N8" s="24"/>
      <c r="O8" s="24"/>
      <c r="P8" s="25"/>
      <c r="Q8" s="24"/>
      <c r="R8" s="24"/>
      <c r="S8" s="26"/>
      <c r="T8" s="25"/>
      <c r="U8" s="24"/>
      <c r="V8" s="24"/>
      <c r="W8" s="26"/>
      <c r="X8" s="20">
        <v>2004</v>
      </c>
    </row>
    <row r="9" spans="1:24" s="20" customFormat="1">
      <c r="A9" s="94" t="s">
        <v>261</v>
      </c>
      <c r="B9" s="5" t="s">
        <v>185</v>
      </c>
      <c r="C9" s="20" t="s">
        <v>186</v>
      </c>
      <c r="D9" s="21">
        <v>122.42</v>
      </c>
      <c r="E9" s="22">
        <f>+D9*H9</f>
        <v>51593.343664439999</v>
      </c>
      <c r="F9" s="22">
        <f>+[12]Main!$M$5-[12]Main!$M$6</f>
        <v>-8207</v>
      </c>
      <c r="G9" s="22">
        <f t="shared" si="0"/>
        <v>59800.343664439999</v>
      </c>
      <c r="H9" s="22">
        <f>+[12]Main!$M$3</f>
        <v>421.445382</v>
      </c>
      <c r="I9" s="47" t="s">
        <v>14</v>
      </c>
      <c r="J9" s="23"/>
      <c r="K9" s="24"/>
      <c r="L9" s="24"/>
      <c r="M9" s="24"/>
      <c r="N9" s="24"/>
      <c r="O9" s="24"/>
      <c r="P9" s="25"/>
      <c r="Q9" s="24"/>
      <c r="R9" s="24"/>
      <c r="S9" s="26"/>
      <c r="T9" s="25"/>
      <c r="U9" s="24"/>
      <c r="V9" s="24"/>
      <c r="W9" s="26"/>
      <c r="X9" s="20">
        <v>1998</v>
      </c>
    </row>
    <row r="10" spans="1:24">
      <c r="A10" s="89" t="s">
        <v>261</v>
      </c>
      <c r="B10" s="5" t="s">
        <v>40</v>
      </c>
      <c r="C10" s="20" t="s">
        <v>41</v>
      </c>
      <c r="D10" s="21">
        <v>200.8</v>
      </c>
      <c r="E10" s="22">
        <f>+D10*[13]Main!$L$3</f>
        <v>50947.578400000006</v>
      </c>
      <c r="F10" s="22">
        <f>+[13]Main!$L$5-[13]Main!$L$6</f>
        <v>432.39900000000011</v>
      </c>
      <c r="G10" s="22">
        <f t="shared" ref="G10:G15" si="1">E10-F10</f>
        <v>50515.179400000008</v>
      </c>
      <c r="H10" s="22">
        <f>+[13]Main!$L$3</f>
        <v>253.72300000000001</v>
      </c>
      <c r="I10" s="34" t="s">
        <v>14</v>
      </c>
      <c r="J10" s="103">
        <v>45003</v>
      </c>
      <c r="X10" s="72">
        <v>2002</v>
      </c>
    </row>
    <row r="11" spans="1:24">
      <c r="A11" s="98" t="s">
        <v>261</v>
      </c>
      <c r="B11" s="5" t="s">
        <v>50</v>
      </c>
      <c r="C11" s="20" t="s">
        <v>51</v>
      </c>
      <c r="D11" s="21">
        <v>190</v>
      </c>
      <c r="E11" s="22">
        <f>+D11*H11</f>
        <v>47880</v>
      </c>
      <c r="F11" s="22">
        <f>+[14]Main!$P$5-[14]Main!$P$6</f>
        <v>2134</v>
      </c>
      <c r="G11" s="22">
        <f t="shared" si="1"/>
        <v>45746</v>
      </c>
      <c r="H11" s="23">
        <f>+[14]Main!$P$3</f>
        <v>252</v>
      </c>
      <c r="I11" s="156" t="s">
        <v>390</v>
      </c>
      <c r="J11" s="43">
        <v>45006</v>
      </c>
      <c r="X11" s="72">
        <v>2005</v>
      </c>
    </row>
    <row r="12" spans="1:24">
      <c r="A12" s="89" t="s">
        <v>261</v>
      </c>
      <c r="B12" s="5" t="s">
        <v>44</v>
      </c>
      <c r="C12" s="20" t="s">
        <v>45</v>
      </c>
      <c r="D12" s="21">
        <v>135.57</v>
      </c>
      <c r="E12" s="22">
        <f>+D12*[15]Main!$M$3</f>
        <v>42617.920769999997</v>
      </c>
      <c r="F12" s="22">
        <f>+[15]Main!$M$5-[15]Main!$M$6</f>
        <v>5027.4579999999996</v>
      </c>
      <c r="G12" s="22">
        <f t="shared" si="1"/>
        <v>37590.462769999998</v>
      </c>
      <c r="H12" s="22">
        <f>+[15]Main!$M$3</f>
        <v>314.36099999999999</v>
      </c>
      <c r="I12" s="35" t="s">
        <v>14</v>
      </c>
      <c r="X12" s="72">
        <v>2012</v>
      </c>
    </row>
    <row r="13" spans="1:24">
      <c r="A13" s="101" t="s">
        <v>261</v>
      </c>
      <c r="B13" s="5" t="s">
        <v>178</v>
      </c>
      <c r="C13" s="20" t="s">
        <v>179</v>
      </c>
      <c r="D13" s="21">
        <v>228.96</v>
      </c>
      <c r="E13" s="22">
        <f>+D13*H13</f>
        <v>35453.770264799998</v>
      </c>
      <c r="F13" s="22">
        <f>+[16]Main!$M$5-[16]Main!$M$6</f>
        <v>2838.5529999999999</v>
      </c>
      <c r="G13" s="22">
        <f t="shared" si="1"/>
        <v>32615.217264799998</v>
      </c>
      <c r="H13" s="22">
        <f>+[16]Main!$M$3</f>
        <v>154.847005</v>
      </c>
      <c r="I13" s="54" t="s">
        <v>14</v>
      </c>
      <c r="J13" s="43">
        <v>44794</v>
      </c>
      <c r="X13" s="72">
        <v>2007</v>
      </c>
    </row>
    <row r="14" spans="1:24">
      <c r="A14" s="105" t="s">
        <v>261</v>
      </c>
      <c r="B14" s="97" t="s">
        <v>304</v>
      </c>
      <c r="C14" s="105" t="s">
        <v>182</v>
      </c>
      <c r="D14" s="21">
        <v>70.599999999999994</v>
      </c>
      <c r="E14" s="22">
        <v>20740</v>
      </c>
      <c r="F14" s="22"/>
      <c r="G14" s="22"/>
      <c r="H14" s="22"/>
      <c r="I14" s="54"/>
      <c r="J14" s="43"/>
      <c r="X14" s="72">
        <v>2011</v>
      </c>
    </row>
    <row r="15" spans="1:24">
      <c r="A15" s="105" t="s">
        <v>261</v>
      </c>
      <c r="B15" s="5" t="s">
        <v>52</v>
      </c>
      <c r="C15" s="20" t="s">
        <v>53</v>
      </c>
      <c r="D15" s="21">
        <v>97</v>
      </c>
      <c r="E15" s="22">
        <f>+D15*H15</f>
        <v>30555</v>
      </c>
      <c r="F15" s="71">
        <f>+[17]Main!$O$5-[17]Main!$O$6</f>
        <v>970</v>
      </c>
      <c r="G15" s="22">
        <f t="shared" si="1"/>
        <v>29585</v>
      </c>
      <c r="H15" s="71">
        <f>+[17]Main!$O$3</f>
        <v>315</v>
      </c>
      <c r="I15" s="102" t="s">
        <v>208</v>
      </c>
      <c r="J15" s="103">
        <v>44805</v>
      </c>
      <c r="X15" s="72">
        <v>2010</v>
      </c>
    </row>
    <row r="16" spans="1:24">
      <c r="A16" s="105"/>
      <c r="B16" s="194" t="s">
        <v>538</v>
      </c>
      <c r="C16" s="194" t="s">
        <v>539</v>
      </c>
      <c r="D16" s="21"/>
      <c r="E16" s="22"/>
      <c r="F16" s="71"/>
      <c r="G16" s="22"/>
      <c r="H16" s="71"/>
      <c r="I16" s="102"/>
      <c r="J16" s="103"/>
    </row>
    <row r="17" spans="1:24">
      <c r="A17" s="105"/>
      <c r="B17" s="114" t="s">
        <v>152</v>
      </c>
      <c r="C17" s="20" t="s">
        <v>153</v>
      </c>
      <c r="D17" s="21">
        <v>9.35</v>
      </c>
      <c r="E17" s="22">
        <f>D17*[18]Main!$L$3</f>
        <v>19036.599999999999</v>
      </c>
      <c r="F17" s="22">
        <f>[18]Main!$L$5-[18]Main!$L$6</f>
        <v>2585</v>
      </c>
      <c r="G17" s="22">
        <f>E17-F17</f>
        <v>16451.599999999999</v>
      </c>
      <c r="H17" s="22"/>
      <c r="I17" s="23" t="s">
        <v>14</v>
      </c>
      <c r="J17" s="103"/>
    </row>
    <row r="18" spans="1:24">
      <c r="A18" s="105"/>
      <c r="B18" s="194" t="s">
        <v>540</v>
      </c>
      <c r="C18" s="194" t="s">
        <v>541</v>
      </c>
      <c r="D18" s="21"/>
      <c r="E18" s="22"/>
      <c r="F18" s="22"/>
      <c r="G18" s="22"/>
      <c r="H18" s="22"/>
      <c r="I18" s="23"/>
      <c r="J18" s="103"/>
    </row>
    <row r="19" spans="1:24" s="20" customFormat="1">
      <c r="B19" s="20" t="s">
        <v>67</v>
      </c>
      <c r="C19" s="20" t="s">
        <v>68</v>
      </c>
      <c r="D19" s="21">
        <v>90.1</v>
      </c>
      <c r="E19" s="22">
        <v>18840</v>
      </c>
      <c r="F19" s="23"/>
      <c r="G19" s="23"/>
      <c r="H19" s="23"/>
      <c r="I19" s="23"/>
      <c r="J19" s="23"/>
      <c r="K19" s="24"/>
      <c r="L19" s="24"/>
      <c r="M19" s="24"/>
      <c r="N19" s="24"/>
      <c r="O19" s="26"/>
      <c r="P19" s="25"/>
      <c r="Q19" s="24"/>
      <c r="R19" s="24"/>
      <c r="S19" s="26"/>
      <c r="T19" s="25"/>
      <c r="U19" s="24"/>
      <c r="V19" s="24"/>
      <c r="W19" s="26"/>
      <c r="X19" s="20">
        <v>2003</v>
      </c>
    </row>
    <row r="20" spans="1:24" s="20" customFormat="1">
      <c r="B20" s="142" t="s">
        <v>199</v>
      </c>
      <c r="C20" s="20" t="s">
        <v>200</v>
      </c>
      <c r="D20" s="21">
        <v>84</v>
      </c>
      <c r="E20" s="22">
        <f>+D20*H20</f>
        <v>13188</v>
      </c>
      <c r="F20" s="22">
        <f>+[19]Main!$P$5-[19]Main!$P$6</f>
        <v>282</v>
      </c>
      <c r="G20" s="22">
        <f>+E20-F20</f>
        <v>12906</v>
      </c>
      <c r="H20" s="22">
        <f>+[19]Main!$P$3</f>
        <v>157</v>
      </c>
      <c r="I20" s="100" t="s">
        <v>208</v>
      </c>
      <c r="J20" s="43">
        <v>44805</v>
      </c>
      <c r="K20" s="24"/>
      <c r="L20" s="24"/>
      <c r="M20" s="24"/>
      <c r="N20" s="24"/>
      <c r="O20" s="24"/>
      <c r="P20" s="25"/>
      <c r="Q20" s="24"/>
      <c r="R20" s="24"/>
      <c r="S20" s="26"/>
      <c r="T20" s="25"/>
      <c r="U20" s="24"/>
      <c r="V20" s="24"/>
      <c r="W20" s="26"/>
      <c r="X20" s="20">
        <v>2009</v>
      </c>
    </row>
    <row r="21" spans="1:24" s="20" customFormat="1">
      <c r="B21" s="20" t="s">
        <v>191</v>
      </c>
      <c r="C21" s="20" t="s">
        <v>192</v>
      </c>
      <c r="D21" s="21">
        <v>375.92</v>
      </c>
      <c r="E21" s="22">
        <v>25610</v>
      </c>
      <c r="F21" s="23"/>
      <c r="G21" s="23"/>
      <c r="H21" s="23"/>
      <c r="I21" s="23"/>
      <c r="J21" s="23"/>
      <c r="K21" s="24"/>
      <c r="L21" s="24"/>
      <c r="M21" s="24"/>
      <c r="N21" s="24"/>
      <c r="O21" s="26"/>
      <c r="P21" s="25"/>
      <c r="Q21" s="24"/>
      <c r="R21" s="24"/>
      <c r="S21" s="26"/>
      <c r="T21" s="25"/>
      <c r="U21" s="24"/>
      <c r="V21" s="24"/>
      <c r="W21" s="26"/>
      <c r="X21" s="20">
        <v>2007</v>
      </c>
    </row>
    <row r="22" spans="1:24" s="20" customFormat="1">
      <c r="B22" s="164" t="s">
        <v>408</v>
      </c>
      <c r="D22" s="21"/>
      <c r="E22" s="22">
        <v>7120</v>
      </c>
      <c r="F22" s="23"/>
      <c r="G22" s="23"/>
      <c r="H22" s="23"/>
      <c r="I22" s="23"/>
      <c r="J22" s="23"/>
      <c r="K22" s="24"/>
      <c r="L22" s="24"/>
      <c r="M22" s="24"/>
      <c r="N22" s="24"/>
      <c r="O22" s="24"/>
      <c r="P22" s="24"/>
      <c r="Q22" s="24"/>
      <c r="R22" s="24"/>
      <c r="S22" s="24"/>
      <c r="T22" s="24"/>
      <c r="U22" s="24"/>
      <c r="V22" s="24"/>
      <c r="W22" s="24"/>
    </row>
    <row r="23" spans="1:24">
      <c r="B23" s="133" t="s">
        <v>337</v>
      </c>
      <c r="C23" s="141" t="s">
        <v>384</v>
      </c>
      <c r="D23" s="72">
        <v>25.54</v>
      </c>
      <c r="E23" s="71">
        <v>4800</v>
      </c>
      <c r="X23" s="72">
        <v>2012</v>
      </c>
    </row>
    <row r="24" spans="1:24">
      <c r="B24" s="160" t="s">
        <v>397</v>
      </c>
      <c r="C24" s="160" t="s">
        <v>398</v>
      </c>
      <c r="D24" s="72">
        <v>10.88</v>
      </c>
      <c r="E24" s="71">
        <v>3000</v>
      </c>
    </row>
    <row r="25" spans="1:24">
      <c r="B25" s="120" t="s">
        <v>193</v>
      </c>
      <c r="C25" s="20" t="s">
        <v>194</v>
      </c>
      <c r="D25" s="21">
        <v>114.84</v>
      </c>
      <c r="E25" s="22">
        <v>17930</v>
      </c>
    </row>
    <row r="26" spans="1:24">
      <c r="B26" s="120" t="s">
        <v>95</v>
      </c>
      <c r="C26" s="20" t="s">
        <v>96</v>
      </c>
      <c r="D26" s="21">
        <v>43.77</v>
      </c>
      <c r="E26" s="22">
        <v>12660</v>
      </c>
    </row>
    <row r="27" spans="1:24">
      <c r="B27" s="120" t="s">
        <v>201</v>
      </c>
      <c r="C27" s="20" t="s">
        <v>202</v>
      </c>
      <c r="D27" s="21">
        <v>97.08</v>
      </c>
      <c r="E27" s="22">
        <v>15070</v>
      </c>
    </row>
    <row r="28" spans="1:24">
      <c r="B28" s="120" t="s">
        <v>94</v>
      </c>
      <c r="C28" s="20" t="s">
        <v>94</v>
      </c>
      <c r="D28" s="21">
        <v>206.68</v>
      </c>
      <c r="E28" s="22">
        <v>12990</v>
      </c>
    </row>
    <row r="29" spans="1:24">
      <c r="B29" s="120" t="s">
        <v>100</v>
      </c>
      <c r="C29" s="20" t="s">
        <v>101</v>
      </c>
      <c r="D29" s="21">
        <v>40.369999999999997</v>
      </c>
      <c r="E29" s="22">
        <v>11000</v>
      </c>
    </row>
    <row r="30" spans="1:24">
      <c r="B30" s="120" t="s">
        <v>113</v>
      </c>
      <c r="C30" s="20" t="s">
        <v>114</v>
      </c>
      <c r="D30" s="21">
        <v>14.73</v>
      </c>
      <c r="E30" s="22">
        <v>9140</v>
      </c>
    </row>
    <row r="31" spans="1:24">
      <c r="B31" s="194" t="s">
        <v>548</v>
      </c>
      <c r="C31" s="194" t="s">
        <v>549</v>
      </c>
      <c r="D31" s="21"/>
      <c r="E31" s="22"/>
    </row>
    <row r="32" spans="1:24">
      <c r="B32" s="194" t="s">
        <v>550</v>
      </c>
      <c r="C32" s="194" t="s">
        <v>551</v>
      </c>
      <c r="D32" s="21"/>
      <c r="E32" s="22"/>
    </row>
    <row r="33" spans="2:9">
      <c r="B33" s="194" t="s">
        <v>552</v>
      </c>
      <c r="C33" s="194" t="s">
        <v>90</v>
      </c>
      <c r="D33" s="21"/>
      <c r="E33" s="22"/>
    </row>
    <row r="34" spans="2:9">
      <c r="B34" s="120" t="s">
        <v>195</v>
      </c>
      <c r="C34" s="20" t="s">
        <v>196</v>
      </c>
      <c r="D34" s="21">
        <v>87.46</v>
      </c>
      <c r="E34" s="22">
        <v>16020</v>
      </c>
    </row>
    <row r="35" spans="2:9">
      <c r="B35" s="194"/>
      <c r="C35" s="20"/>
      <c r="D35" s="21"/>
      <c r="E35" s="22"/>
    </row>
    <row r="36" spans="2:9">
      <c r="B36" s="95" t="s">
        <v>256</v>
      </c>
      <c r="I36" s="165" t="s">
        <v>222</v>
      </c>
    </row>
    <row r="37" spans="2:9">
      <c r="B37" s="165" t="s">
        <v>426</v>
      </c>
      <c r="E37" s="72">
        <v>30000</v>
      </c>
      <c r="I37" s="165"/>
    </row>
    <row r="38" spans="2:9">
      <c r="B38" s="165" t="s">
        <v>472</v>
      </c>
      <c r="E38" s="72">
        <v>10000</v>
      </c>
      <c r="F38" s="165" t="s">
        <v>474</v>
      </c>
      <c r="G38" s="165" t="s">
        <v>473</v>
      </c>
      <c r="H38" s="165" t="s">
        <v>475</v>
      </c>
      <c r="I38" s="72">
        <v>2013</v>
      </c>
    </row>
    <row r="39" spans="2:9">
      <c r="B39" s="165" t="s">
        <v>124</v>
      </c>
      <c r="E39" s="72">
        <v>10000</v>
      </c>
      <c r="F39" s="165"/>
      <c r="G39" s="165"/>
      <c r="H39" s="165"/>
    </row>
    <row r="40" spans="2:9">
      <c r="B40" s="194" t="s">
        <v>99</v>
      </c>
      <c r="E40" s="72">
        <v>12000</v>
      </c>
    </row>
    <row r="41" spans="2:9">
      <c r="B41" s="94" t="s">
        <v>284</v>
      </c>
      <c r="E41" s="72">
        <v>107</v>
      </c>
    </row>
  </sheetData>
  <hyperlinks>
    <hyperlink ref="A1" location="Main!A1" display="Main" xr:uid="{0503292A-659C-4A72-B97D-834713EC5785}"/>
    <hyperlink ref="B4" r:id="rId1" xr:uid="{8490DBEA-18EF-431F-AAE9-5080FB55647A}"/>
    <hyperlink ref="B6" r:id="rId2" xr:uid="{82160796-EF8E-4F69-8090-C97619BD3BC8}"/>
    <hyperlink ref="B7" r:id="rId3" xr:uid="{2964D309-6110-46D1-A6FF-CEF55CE8C8F6}"/>
    <hyperlink ref="B8" r:id="rId4" xr:uid="{BEBE7C2C-69F7-4F68-A1A3-433A555515CF}"/>
    <hyperlink ref="B9" r:id="rId5" xr:uid="{79E0FB94-7B29-4FC8-9D4A-2DAAB02B450C}"/>
    <hyperlink ref="B10" r:id="rId6" xr:uid="{1647F4E6-0995-4C11-AEA1-85BE3B2789D3}"/>
    <hyperlink ref="B11" r:id="rId7" xr:uid="{11F6BC32-0B71-4C3C-92D4-6F1D15C6FCA5}"/>
    <hyperlink ref="B12" r:id="rId8" xr:uid="{BF5095B8-6956-4116-AD45-B06C94DC5EDF}"/>
    <hyperlink ref="B20" r:id="rId9" xr:uid="{1147CFA9-6647-443A-9626-FE00F78AE9FF}"/>
    <hyperlink ref="B15" r:id="rId10" xr:uid="{EE794379-CBE0-4BE4-963F-4A3EB8F86626}"/>
    <hyperlink ref="B13" r:id="rId11" xr:uid="{6424F2CF-2B61-4808-95C3-62B06E9F6361}"/>
    <hyperlink ref="B3" r:id="rId12" xr:uid="{D0A6A308-9256-4523-8FDF-BCE2AFB11B6E}"/>
    <hyperlink ref="B17" r:id="rId13" xr:uid="{5A1A0BF1-1F9D-453A-8615-32812BE41A68}"/>
    <hyperlink ref="B5" r:id="rId14" xr:uid="{8D7A6B6F-FFD2-4631-8D7D-1F8872005ED8}"/>
  </hyperlinks>
  <pageMargins left="0.7" right="0.7" top="0.75" bottom="0.75" header="0.3" footer="0.3"/>
  <pageSetup orientation="portrait" horizontalDpi="1200" verticalDpi="1200" r:id="rId1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F58CA-3A5E-4A8C-A323-FDAA45D59D23}">
  <dimension ref="A1:Z54"/>
  <sheetViews>
    <sheetView zoomScale="220" zoomScaleNormal="220" workbookViewId="0">
      <pane xSplit="2" ySplit="2" topLeftCell="C14" activePane="bottomRight" state="frozen"/>
      <selection pane="topRight" activeCell="C1" sqref="C1"/>
      <selection pane="bottomLeft" activeCell="A3" sqref="A3"/>
      <selection pane="bottomRight" activeCell="F24" sqref="F24"/>
    </sheetView>
  </sheetViews>
  <sheetFormatPr defaultColWidth="9.140625" defaultRowHeight="12.75"/>
  <cols>
    <col min="1" max="1" width="5" style="63" bestFit="1" customWidth="1"/>
    <col min="2" max="2" width="12" style="63" customWidth="1"/>
    <col min="3" max="3" width="11.7109375" style="63" customWidth="1"/>
    <col min="4" max="9" width="9.140625" style="63"/>
    <col min="10" max="10" width="10.85546875" style="63" customWidth="1"/>
    <col min="11" max="16384" width="9.140625" style="63"/>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49" t="s">
        <v>238</v>
      </c>
      <c r="R2" s="49" t="s">
        <v>239</v>
      </c>
      <c r="S2" s="19">
        <v>2025</v>
      </c>
      <c r="T2" s="48" t="s">
        <v>236</v>
      </c>
      <c r="U2" s="18">
        <v>2023</v>
      </c>
      <c r="V2" s="18">
        <v>2024</v>
      </c>
      <c r="W2" s="19">
        <v>2025</v>
      </c>
      <c r="X2" s="20" t="s">
        <v>222</v>
      </c>
      <c r="Y2" s="188" t="s">
        <v>526</v>
      </c>
      <c r="Z2" s="188" t="s">
        <v>527</v>
      </c>
    </row>
    <row r="3" spans="1:26" s="20" customFormat="1">
      <c r="A3" s="72" t="s">
        <v>261</v>
      </c>
      <c r="B3" s="5" t="s">
        <v>13</v>
      </c>
      <c r="C3" s="20" t="s">
        <v>203</v>
      </c>
      <c r="D3" s="21">
        <v>210</v>
      </c>
      <c r="E3" s="22">
        <f>+D3*[20]Main!$M$3</f>
        <v>556825.22154000006</v>
      </c>
      <c r="F3" s="22">
        <f>+[20]Main!$M$5-[20]Main!$M$6</f>
        <v>38382</v>
      </c>
      <c r="G3" s="22">
        <f t="shared" ref="G3:G4" si="0">+E3-F3</f>
        <v>518443.22154000006</v>
      </c>
      <c r="H3" s="22">
        <f>+[20]Main!$M$3</f>
        <v>2651.5486740000001</v>
      </c>
      <c r="I3" s="138" t="s">
        <v>359</v>
      </c>
      <c r="J3" s="43">
        <v>44959</v>
      </c>
      <c r="K3" s="27">
        <f>+[20]Model!$AX$53</f>
        <v>215.87667010339968</v>
      </c>
      <c r="L3" s="28">
        <f>K3/D3-1</f>
        <v>2.7984143349522261E-2</v>
      </c>
      <c r="M3" s="28">
        <f>+[20]Model!$AX$50</f>
        <v>0.08</v>
      </c>
      <c r="N3" s="28">
        <f>+[20]Model!$AX$51</f>
        <v>-0.05</v>
      </c>
      <c r="O3" s="28">
        <f>+[20]Model!$AX$52</f>
        <v>0.02</v>
      </c>
      <c r="P3" s="25"/>
      <c r="Q3" s="24"/>
      <c r="R3" s="24"/>
      <c r="S3" s="26"/>
      <c r="T3" s="25"/>
      <c r="U3" s="24"/>
      <c r="V3" s="24"/>
      <c r="W3" s="26"/>
      <c r="X3" s="20">
        <v>2004</v>
      </c>
      <c r="Y3" s="20">
        <v>3810</v>
      </c>
      <c r="Z3" s="189">
        <f>G3/Y3</f>
        <v>136.07433636220475</v>
      </c>
    </row>
    <row r="4" spans="1:26" s="20" customFormat="1">
      <c r="A4" s="72" t="s">
        <v>261</v>
      </c>
      <c r="B4" s="5" t="s">
        <v>15</v>
      </c>
      <c r="C4" s="20" t="s">
        <v>16</v>
      </c>
      <c r="D4" s="21">
        <v>277.39999999999998</v>
      </c>
      <c r="E4" s="22">
        <f>+D4*[21]Main!$L$3*1000/HKD</f>
        <v>341793.77818543144</v>
      </c>
      <c r="F4" s="22">
        <f>([21]Main!$L$5-[21]Main!$L$6)/HKD*1000</f>
        <v>81912.914978725574</v>
      </c>
      <c r="G4" s="22">
        <f t="shared" si="0"/>
        <v>259880.86320670586</v>
      </c>
      <c r="H4" s="22">
        <f>+[21]Main!$L$3*1000</f>
        <v>9672</v>
      </c>
      <c r="I4" s="116" t="s">
        <v>208</v>
      </c>
      <c r="J4" s="43">
        <v>44802</v>
      </c>
      <c r="K4" s="24"/>
      <c r="L4" s="24"/>
      <c r="M4" s="24"/>
      <c r="N4" s="24"/>
      <c r="O4" s="24"/>
      <c r="P4" s="25"/>
      <c r="Q4" s="24"/>
      <c r="R4" s="24"/>
      <c r="S4" s="26"/>
      <c r="T4" s="25"/>
      <c r="U4" s="24"/>
      <c r="V4" s="24"/>
      <c r="W4" s="26"/>
      <c r="X4" s="20">
        <v>1998</v>
      </c>
    </row>
    <row r="5" spans="1:26" s="20" customFormat="1">
      <c r="A5" s="96" t="s">
        <v>261</v>
      </c>
      <c r="B5" s="97" t="s">
        <v>289</v>
      </c>
      <c r="C5" s="96" t="s">
        <v>290</v>
      </c>
      <c r="D5" s="21"/>
      <c r="E5" s="22"/>
      <c r="F5" s="22"/>
      <c r="G5" s="22"/>
      <c r="H5" s="22"/>
      <c r="I5" s="23"/>
      <c r="J5" s="23"/>
      <c r="K5" s="24"/>
      <c r="L5" s="24"/>
      <c r="M5" s="24"/>
      <c r="N5" s="24"/>
      <c r="O5" s="24"/>
      <c r="P5" s="25"/>
      <c r="Q5" s="24"/>
      <c r="R5" s="24"/>
      <c r="S5" s="26"/>
      <c r="T5" s="25"/>
      <c r="U5" s="24"/>
      <c r="V5" s="24"/>
      <c r="W5" s="26"/>
      <c r="X5" s="20">
        <v>2011</v>
      </c>
    </row>
    <row r="6" spans="1:26" s="20" customFormat="1">
      <c r="A6" s="135" t="s">
        <v>261</v>
      </c>
      <c r="B6" s="135" t="s">
        <v>338</v>
      </c>
      <c r="C6" s="135" t="s">
        <v>339</v>
      </c>
      <c r="D6" s="21"/>
      <c r="E6" s="22"/>
      <c r="F6" s="23"/>
      <c r="G6" s="23"/>
      <c r="H6" s="23"/>
      <c r="I6" s="23"/>
      <c r="J6" s="23"/>
      <c r="K6" s="24"/>
      <c r="L6" s="24"/>
      <c r="M6" s="24"/>
      <c r="N6" s="24"/>
      <c r="O6" s="24"/>
      <c r="P6" s="24"/>
      <c r="Q6" s="24"/>
      <c r="R6" s="24"/>
      <c r="S6" s="24"/>
      <c r="T6" s="24"/>
      <c r="U6" s="24"/>
      <c r="V6" s="24"/>
      <c r="W6" s="24"/>
      <c r="X6" s="20">
        <v>2010</v>
      </c>
    </row>
    <row r="7" spans="1:26" s="20" customFormat="1">
      <c r="A7" s="107" t="s">
        <v>261</v>
      </c>
      <c r="B7" s="142" t="s">
        <v>307</v>
      </c>
      <c r="C7" s="107" t="s">
        <v>308</v>
      </c>
      <c r="D7" s="22">
        <v>193500</v>
      </c>
      <c r="E7" s="22">
        <v>33330</v>
      </c>
      <c r="F7" s="22"/>
      <c r="G7" s="22">
        <f>E7-F7</f>
        <v>33330</v>
      </c>
      <c r="H7" s="22"/>
      <c r="I7" s="23"/>
      <c r="J7" s="43"/>
      <c r="K7" s="24"/>
      <c r="L7" s="24"/>
      <c r="M7" s="24"/>
      <c r="N7" s="24"/>
      <c r="O7" s="26"/>
      <c r="P7" s="25"/>
      <c r="Q7" s="24"/>
      <c r="R7" s="24"/>
      <c r="S7" s="26"/>
      <c r="T7" s="25"/>
      <c r="U7" s="24"/>
      <c r="V7" s="24"/>
      <c r="W7" s="26"/>
      <c r="X7" s="20">
        <v>1999</v>
      </c>
    </row>
    <row r="8" spans="1:26" s="20" customFormat="1">
      <c r="A8" s="143" t="s">
        <v>261</v>
      </c>
      <c r="B8" s="142" t="s">
        <v>385</v>
      </c>
      <c r="C8" s="143" t="s">
        <v>386</v>
      </c>
      <c r="D8" s="21">
        <v>12</v>
      </c>
      <c r="E8" s="22">
        <f>+D8*H8</f>
        <v>19357.212852000001</v>
      </c>
      <c r="F8" s="148">
        <f>+[22]Main!$L$5-[22]Main!$L$6</f>
        <v>688.14800000000014</v>
      </c>
      <c r="G8" s="22">
        <f>E8-F8</f>
        <v>18669.064852</v>
      </c>
      <c r="H8" s="22">
        <f>+[22]Main!$L$3</f>
        <v>1613.101071</v>
      </c>
      <c r="I8" s="147" t="s">
        <v>208</v>
      </c>
      <c r="J8" s="43">
        <v>44802</v>
      </c>
      <c r="K8" s="24"/>
      <c r="L8" s="24"/>
      <c r="M8" s="24"/>
      <c r="N8" s="24"/>
      <c r="O8" s="24"/>
      <c r="P8" s="24"/>
      <c r="Q8" s="24"/>
      <c r="R8" s="24"/>
      <c r="S8" s="24"/>
      <c r="T8" s="24"/>
      <c r="U8" s="24"/>
      <c r="V8" s="24"/>
      <c r="W8" s="24"/>
      <c r="Y8" s="20">
        <v>375</v>
      </c>
      <c r="Z8" s="189">
        <f>G8/Y8</f>
        <v>49.784172938666664</v>
      </c>
    </row>
    <row r="9" spans="1:26" s="20" customFormat="1">
      <c r="B9" s="96" t="s">
        <v>287</v>
      </c>
      <c r="C9" s="96" t="s">
        <v>288</v>
      </c>
      <c r="D9" s="21"/>
      <c r="E9" s="22"/>
      <c r="F9" s="23"/>
      <c r="G9" s="23"/>
      <c r="H9" s="23"/>
      <c r="I9" s="23"/>
      <c r="J9" s="23"/>
      <c r="K9" s="24"/>
      <c r="L9" s="24"/>
      <c r="M9" s="24"/>
      <c r="N9" s="24"/>
      <c r="O9" s="24"/>
      <c r="P9" s="24"/>
      <c r="Q9" s="24"/>
      <c r="R9" s="24"/>
      <c r="S9" s="24"/>
      <c r="T9" s="24"/>
      <c r="U9" s="24"/>
      <c r="V9" s="24"/>
      <c r="W9" s="24"/>
      <c r="X9" s="20">
        <v>2008</v>
      </c>
    </row>
    <row r="10" spans="1:26" s="20" customFormat="1">
      <c r="B10" s="96" t="s">
        <v>291</v>
      </c>
      <c r="C10" s="96" t="s">
        <v>292</v>
      </c>
      <c r="D10" s="21"/>
      <c r="E10" s="22"/>
      <c r="F10" s="23"/>
      <c r="G10" s="23"/>
      <c r="H10" s="23"/>
      <c r="I10" s="23"/>
      <c r="J10" s="23"/>
      <c r="K10" s="24"/>
      <c r="L10" s="24"/>
      <c r="M10" s="24"/>
      <c r="N10" s="24"/>
      <c r="O10" s="24"/>
      <c r="P10" s="24"/>
      <c r="Q10" s="24"/>
      <c r="R10" s="24"/>
      <c r="S10" s="24"/>
      <c r="T10" s="24"/>
      <c r="U10" s="24"/>
      <c r="V10" s="24"/>
      <c r="W10" s="24"/>
      <c r="X10" s="20">
        <v>2009</v>
      </c>
    </row>
    <row r="11" spans="1:26" s="20" customFormat="1">
      <c r="B11" s="188" t="s">
        <v>77</v>
      </c>
      <c r="C11" s="96"/>
      <c r="D11" s="21"/>
      <c r="E11" s="22"/>
      <c r="F11" s="23"/>
      <c r="G11" s="23"/>
      <c r="H11" s="23"/>
      <c r="I11" s="23"/>
      <c r="J11" s="23"/>
      <c r="K11" s="24"/>
      <c r="L11" s="24"/>
      <c r="M11" s="24"/>
      <c r="N11" s="24"/>
      <c r="O11" s="24"/>
      <c r="P11" s="24"/>
      <c r="Q11" s="24"/>
      <c r="R11" s="24"/>
      <c r="S11" s="24"/>
      <c r="T11" s="24"/>
      <c r="U11" s="24"/>
      <c r="V11" s="24"/>
      <c r="W11" s="24"/>
    </row>
    <row r="12" spans="1:26" s="20" customFormat="1">
      <c r="B12" s="132" t="s">
        <v>327</v>
      </c>
      <c r="C12" s="132" t="s">
        <v>328</v>
      </c>
      <c r="D12" s="21"/>
      <c r="E12" s="22"/>
      <c r="F12" s="23"/>
      <c r="G12" s="23"/>
      <c r="H12" s="23"/>
      <c r="I12" s="23"/>
      <c r="J12" s="23"/>
      <c r="K12" s="24"/>
      <c r="L12" s="24"/>
      <c r="M12" s="24"/>
      <c r="N12" s="24"/>
      <c r="O12" s="24"/>
      <c r="P12" s="24"/>
      <c r="Q12" s="24"/>
      <c r="R12" s="24"/>
      <c r="S12" s="24"/>
      <c r="T12" s="24"/>
      <c r="U12" s="24"/>
      <c r="V12" s="24"/>
      <c r="W12" s="24"/>
    </row>
    <row r="13" spans="1:26" s="20" customFormat="1">
      <c r="B13" s="132" t="s">
        <v>133</v>
      </c>
      <c r="C13" s="132" t="s">
        <v>134</v>
      </c>
      <c r="D13" s="21"/>
      <c r="E13" s="22"/>
      <c r="F13" s="23"/>
      <c r="G13" s="23"/>
      <c r="H13" s="23"/>
      <c r="I13" s="23"/>
      <c r="J13" s="23"/>
      <c r="K13" s="24"/>
      <c r="L13" s="24"/>
      <c r="M13" s="24"/>
      <c r="N13" s="24"/>
      <c r="O13" s="24"/>
      <c r="P13" s="24"/>
      <c r="Q13" s="24"/>
      <c r="R13" s="24"/>
      <c r="S13" s="24"/>
      <c r="T13" s="24"/>
      <c r="U13" s="24"/>
      <c r="V13" s="24"/>
      <c r="W13" s="24"/>
    </row>
    <row r="14" spans="1:26" s="20" customFormat="1">
      <c r="B14" s="139" t="s">
        <v>368</v>
      </c>
      <c r="C14" s="132"/>
      <c r="D14" s="21"/>
      <c r="E14" s="22"/>
      <c r="F14" s="23"/>
      <c r="G14" s="23"/>
      <c r="H14" s="23"/>
      <c r="I14" s="23"/>
      <c r="J14" s="23"/>
      <c r="K14" s="24"/>
      <c r="L14" s="24"/>
      <c r="M14" s="24"/>
      <c r="N14" s="24"/>
      <c r="O14" s="24"/>
      <c r="P14" s="24"/>
      <c r="Q14" s="24"/>
      <c r="R14" s="24"/>
      <c r="S14" s="24"/>
      <c r="T14" s="24"/>
      <c r="U14" s="24"/>
      <c r="V14" s="24"/>
      <c r="W14" s="24"/>
    </row>
    <row r="15" spans="1:26">
      <c r="B15" s="132" t="s">
        <v>332</v>
      </c>
      <c r="C15" s="132" t="s">
        <v>333</v>
      </c>
    </row>
    <row r="16" spans="1:26" s="20" customFormat="1">
      <c r="B16" s="5"/>
      <c r="D16" s="21"/>
      <c r="E16" s="22"/>
      <c r="F16" s="22"/>
      <c r="G16" s="22"/>
      <c r="H16" s="22"/>
      <c r="I16" s="23"/>
      <c r="J16" s="23"/>
      <c r="K16" s="24"/>
      <c r="L16" s="24"/>
      <c r="M16" s="24"/>
      <c r="N16" s="24"/>
      <c r="O16" s="24"/>
      <c r="P16" s="24"/>
      <c r="Q16" s="24"/>
      <c r="R16" s="24"/>
      <c r="S16" s="24"/>
      <c r="T16" s="24"/>
      <c r="U16" s="24"/>
      <c r="V16" s="24"/>
      <c r="W16" s="24"/>
    </row>
    <row r="17" spans="2:8">
      <c r="B17" s="64" t="s">
        <v>256</v>
      </c>
      <c r="F17" s="208" t="s">
        <v>222</v>
      </c>
    </row>
    <row r="18" spans="2:8">
      <c r="B18" s="96" t="s">
        <v>286</v>
      </c>
      <c r="E18" s="170">
        <v>400000</v>
      </c>
    </row>
    <row r="19" spans="2:8">
      <c r="B19" s="63" t="s">
        <v>255</v>
      </c>
      <c r="E19" s="170">
        <v>30000</v>
      </c>
    </row>
    <row r="20" spans="2:8">
      <c r="B20" s="20" t="s">
        <v>169</v>
      </c>
      <c r="C20" s="20" t="s">
        <v>170</v>
      </c>
      <c r="D20" s="21">
        <v>44.5</v>
      </c>
      <c r="E20" s="22">
        <v>34050</v>
      </c>
    </row>
    <row r="21" spans="2:8">
      <c r="B21" s="132" t="s">
        <v>326</v>
      </c>
      <c r="E21" s="170">
        <v>14500</v>
      </c>
      <c r="F21" s="63">
        <v>2015</v>
      </c>
      <c r="H21" s="206" t="s">
        <v>626</v>
      </c>
    </row>
    <row r="22" spans="2:8">
      <c r="B22" s="206" t="s">
        <v>330</v>
      </c>
      <c r="E22" s="170">
        <v>10000</v>
      </c>
    </row>
    <row r="23" spans="2:8">
      <c r="B23" s="206" t="s">
        <v>618</v>
      </c>
      <c r="E23" s="170"/>
      <c r="F23" s="63">
        <v>2021</v>
      </c>
    </row>
    <row r="24" spans="2:8">
      <c r="B24" s="206" t="s">
        <v>625</v>
      </c>
      <c r="E24" s="63">
        <v>1000</v>
      </c>
      <c r="H24" s="206" t="s">
        <v>627</v>
      </c>
    </row>
    <row r="25" spans="2:8">
      <c r="B25" s="63" t="s">
        <v>254</v>
      </c>
      <c r="E25" s="63">
        <v>200</v>
      </c>
    </row>
    <row r="26" spans="2:8">
      <c r="B26" s="132" t="s">
        <v>329</v>
      </c>
    </row>
    <row r="27" spans="2:8">
      <c r="B27" s="132" t="s">
        <v>331</v>
      </c>
    </row>
    <row r="28" spans="2:8">
      <c r="B28" s="132" t="s">
        <v>334</v>
      </c>
    </row>
    <row r="29" spans="2:8">
      <c r="B29" s="132" t="s">
        <v>335</v>
      </c>
    </row>
    <row r="30" spans="2:8">
      <c r="B30" s="132" t="s">
        <v>336</v>
      </c>
    </row>
    <row r="31" spans="2:8">
      <c r="B31" s="139" t="s">
        <v>360</v>
      </c>
    </row>
    <row r="32" spans="2:8">
      <c r="B32" s="63" t="s">
        <v>253</v>
      </c>
    </row>
    <row r="33" spans="2:2">
      <c r="B33" s="139" t="s">
        <v>361</v>
      </c>
    </row>
    <row r="34" spans="2:2">
      <c r="B34" s="171" t="s">
        <v>480</v>
      </c>
    </row>
    <row r="35" spans="2:2">
      <c r="B35" s="139" t="s">
        <v>362</v>
      </c>
    </row>
    <row r="36" spans="2:2">
      <c r="B36" s="139" t="s">
        <v>363</v>
      </c>
    </row>
    <row r="37" spans="2:2">
      <c r="B37" s="139" t="s">
        <v>304</v>
      </c>
    </row>
    <row r="38" spans="2:2">
      <c r="B38" s="139" t="s">
        <v>364</v>
      </c>
    </row>
    <row r="39" spans="2:2">
      <c r="B39" s="139" t="s">
        <v>365</v>
      </c>
    </row>
    <row r="40" spans="2:2">
      <c r="B40" s="139" t="s">
        <v>366</v>
      </c>
    </row>
    <row r="41" spans="2:2">
      <c r="B41" s="139" t="s">
        <v>367</v>
      </c>
    </row>
    <row r="42" spans="2:2">
      <c r="B42" s="139" t="s">
        <v>369</v>
      </c>
    </row>
    <row r="43" spans="2:2">
      <c r="B43" s="139" t="s">
        <v>370</v>
      </c>
    </row>
    <row r="44" spans="2:2">
      <c r="B44" s="139" t="s">
        <v>371</v>
      </c>
    </row>
    <row r="45" spans="2:2">
      <c r="B45" s="139" t="s">
        <v>372</v>
      </c>
    </row>
    <row r="46" spans="2:2">
      <c r="B46" s="139" t="s">
        <v>373</v>
      </c>
    </row>
    <row r="47" spans="2:2">
      <c r="B47" s="139" t="s">
        <v>374</v>
      </c>
    </row>
    <row r="48" spans="2:2">
      <c r="B48" s="139" t="s">
        <v>375</v>
      </c>
    </row>
    <row r="49" spans="2:2">
      <c r="B49" s="139" t="s">
        <v>376</v>
      </c>
    </row>
    <row r="50" spans="2:2">
      <c r="B50" s="139" t="s">
        <v>377</v>
      </c>
    </row>
    <row r="51" spans="2:2">
      <c r="B51" s="139" t="s">
        <v>378</v>
      </c>
    </row>
    <row r="52" spans="2:2">
      <c r="B52" s="139" t="s">
        <v>379</v>
      </c>
    </row>
    <row r="53" spans="2:2">
      <c r="B53" s="139" t="s">
        <v>380</v>
      </c>
    </row>
    <row r="54" spans="2:2">
      <c r="B54" s="139" t="s">
        <v>381</v>
      </c>
    </row>
  </sheetData>
  <hyperlinks>
    <hyperlink ref="B3" r:id="rId1" xr:uid="{06D5809E-72A9-41D7-974F-FA58D1ED15C4}"/>
    <hyperlink ref="B4" r:id="rId2" xr:uid="{29919CCF-0924-4FDD-BCCD-7B5AA19C4B1D}"/>
    <hyperlink ref="A1" location="Main!A1" display="Main" xr:uid="{62A13976-8B3C-42C8-B6D0-AD7B6C4E3241}"/>
    <hyperlink ref="B7" r:id="rId3" xr:uid="{FD70E649-2E6A-4E67-ACA2-AB99C8053558}"/>
    <hyperlink ref="B8" r:id="rId4" xr:uid="{E0C00157-A29D-4089-A301-263D6806A443}"/>
  </hyperlinks>
  <pageMargins left="0.7" right="0.7" top="0.75" bottom="0.75" header="0.3" footer="0.3"/>
  <pageSetup orientation="portrait" horizontalDpi="1200" verticalDpi="1200"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12437-B4E9-44AF-8552-EF0FF979C92B}">
  <dimension ref="A1:X23"/>
  <sheetViews>
    <sheetView zoomScale="190" zoomScaleNormal="190" workbookViewId="0">
      <pane xSplit="2" ySplit="2" topLeftCell="C3" activePane="bottomRight" state="frozen"/>
      <selection pane="topRight" activeCell="C1" sqref="C1"/>
      <selection pane="bottomLeft" activeCell="A3" sqref="A3"/>
      <selection pane="bottomRight" activeCell="F13" sqref="F13"/>
    </sheetView>
  </sheetViews>
  <sheetFormatPr defaultColWidth="9.140625" defaultRowHeight="12.75"/>
  <cols>
    <col min="1" max="1" width="5" style="113" bestFit="1" customWidth="1"/>
    <col min="2" max="2" width="15" style="113" customWidth="1"/>
    <col min="3" max="16384" width="9.140625" style="113"/>
  </cols>
  <sheetData>
    <row r="1" spans="1:24">
      <c r="A1" s="5" t="s">
        <v>146</v>
      </c>
    </row>
    <row r="2" spans="1:24">
      <c r="A2" s="5"/>
      <c r="B2" s="157" t="s">
        <v>0</v>
      </c>
      <c r="C2" s="157" t="s">
        <v>1</v>
      </c>
      <c r="D2" s="158" t="s">
        <v>2</v>
      </c>
      <c r="E2" s="159" t="s">
        <v>3</v>
      </c>
      <c r="F2" s="158" t="s">
        <v>395</v>
      </c>
      <c r="G2" s="158" t="s">
        <v>5</v>
      </c>
      <c r="H2" s="158" t="s">
        <v>221</v>
      </c>
      <c r="I2" s="158" t="s">
        <v>396</v>
      </c>
      <c r="J2" s="158" t="s">
        <v>232</v>
      </c>
    </row>
    <row r="3" spans="1:24" s="20" customFormat="1">
      <c r="A3" s="89" t="s">
        <v>261</v>
      </c>
      <c r="B3" s="5" t="s">
        <v>187</v>
      </c>
      <c r="C3" s="20" t="s">
        <v>188</v>
      </c>
      <c r="D3" s="21">
        <v>375.71</v>
      </c>
      <c r="E3" s="22">
        <f>+D3*H3</f>
        <v>57472.452251789997</v>
      </c>
      <c r="F3" s="22">
        <f>+[23]Main!$N$5-[23]Main!$N$6</f>
        <v>1696.7459999999999</v>
      </c>
      <c r="G3" s="22">
        <f>E3-F3</f>
        <v>55775.706251789998</v>
      </c>
      <c r="H3" s="22">
        <f>+[23]Main!$N$3</f>
        <v>152.970249</v>
      </c>
      <c r="I3" s="44" t="s">
        <v>14</v>
      </c>
      <c r="J3" s="43">
        <v>44783</v>
      </c>
      <c r="K3" s="24"/>
      <c r="L3" s="24"/>
      <c r="M3" s="24"/>
      <c r="N3" s="24"/>
      <c r="O3" s="24"/>
      <c r="P3" s="25"/>
      <c r="Q3" s="24"/>
      <c r="R3" s="24"/>
      <c r="S3" s="26"/>
      <c r="T3" s="25"/>
      <c r="U3" s="24"/>
      <c r="V3" s="24"/>
      <c r="W3" s="26"/>
    </row>
    <row r="4" spans="1:24" s="20" customFormat="1">
      <c r="A4" s="89" t="s">
        <v>261</v>
      </c>
      <c r="B4" s="5" t="s">
        <v>183</v>
      </c>
      <c r="C4" s="20" t="s">
        <v>184</v>
      </c>
      <c r="D4" s="21">
        <v>39.74</v>
      </c>
      <c r="E4" s="22">
        <f>+D4*[24]Main!$L$3*EUR</f>
        <v>53089.738980000009</v>
      </c>
      <c r="F4" s="22">
        <f>+([24]Main!$L$5-[24]Main!$L$6)*EUR</f>
        <v>-490.25400000000008</v>
      </c>
      <c r="G4" s="22">
        <f>E4-F4</f>
        <v>53579.99298000001</v>
      </c>
      <c r="H4" s="22"/>
      <c r="I4" s="23" t="s">
        <v>208</v>
      </c>
      <c r="J4" s="23"/>
      <c r="K4" s="24"/>
      <c r="L4" s="24"/>
      <c r="M4" s="24"/>
      <c r="N4" s="24"/>
      <c r="O4" s="24"/>
      <c r="P4" s="25"/>
      <c r="Q4" s="24"/>
      <c r="R4" s="24"/>
      <c r="S4" s="26"/>
      <c r="T4" s="25"/>
      <c r="U4" s="24"/>
      <c r="V4" s="24"/>
      <c r="W4" s="26"/>
    </row>
    <row r="5" spans="1:24" s="20" customFormat="1">
      <c r="A5" s="89" t="s">
        <v>261</v>
      </c>
      <c r="B5" s="5" t="s">
        <v>48</v>
      </c>
      <c r="C5" s="20" t="s">
        <v>49</v>
      </c>
      <c r="D5" s="21">
        <v>186</v>
      </c>
      <c r="E5" s="22">
        <f>+D5*H5</f>
        <v>51584.495999999999</v>
      </c>
      <c r="F5" s="22">
        <f>+[25]Main!$K$5-[25]Main!$K$6</f>
        <v>741.35200000000009</v>
      </c>
      <c r="G5" s="22">
        <f>E5-F5</f>
        <v>50843.144</v>
      </c>
      <c r="H5" s="22">
        <f>+[25]Main!$K$3</f>
        <v>277.33600000000001</v>
      </c>
      <c r="I5" s="39" t="s">
        <v>229</v>
      </c>
      <c r="J5" s="39"/>
      <c r="K5" s="24"/>
      <c r="L5" s="24"/>
      <c r="M5" s="24"/>
      <c r="N5" s="24"/>
      <c r="O5" s="24"/>
      <c r="P5" s="25"/>
      <c r="Q5" s="24"/>
      <c r="R5" s="24"/>
      <c r="S5" s="26"/>
      <c r="T5" s="25"/>
      <c r="U5" s="24"/>
      <c r="V5" s="24"/>
      <c r="W5" s="26"/>
    </row>
    <row r="6" spans="1:24" s="20" customFormat="1">
      <c r="A6" s="92" t="s">
        <v>261</v>
      </c>
      <c r="B6" s="5" t="s">
        <v>46</v>
      </c>
      <c r="C6" s="20" t="s">
        <v>47</v>
      </c>
      <c r="D6" s="21">
        <v>203.73</v>
      </c>
      <c r="E6" s="22">
        <f>+D6*H6</f>
        <v>44264.86632465</v>
      </c>
      <c r="F6" s="22">
        <f>+[26]Main!$L$5-[26]Main!$L$6</f>
        <v>-1005</v>
      </c>
      <c r="G6" s="22">
        <f>E6-F6</f>
        <v>45269.86632465</v>
      </c>
      <c r="H6" s="22">
        <f>+[26]Main!$L$3</f>
        <v>217.27220500000001</v>
      </c>
      <c r="I6" s="38" t="s">
        <v>14</v>
      </c>
      <c r="J6" s="38"/>
      <c r="K6" s="24"/>
      <c r="L6" s="24"/>
      <c r="M6" s="24"/>
      <c r="N6" s="24"/>
      <c r="O6" s="24"/>
      <c r="P6" s="25"/>
      <c r="Q6" s="24"/>
      <c r="R6" s="24"/>
      <c r="S6" s="26"/>
      <c r="T6" s="25"/>
      <c r="U6" s="24"/>
      <c r="V6" s="24"/>
      <c r="W6" s="26"/>
      <c r="X6" s="20">
        <v>1982</v>
      </c>
    </row>
    <row r="7" spans="1:24" s="20" customFormat="1">
      <c r="B7" s="5" t="s">
        <v>62</v>
      </c>
      <c r="C7" s="20" t="s">
        <v>63</v>
      </c>
      <c r="D7" s="21">
        <v>236.61</v>
      </c>
      <c r="E7" s="22">
        <f>+D7*H7</f>
        <v>20601.316825649999</v>
      </c>
      <c r="F7" s="22">
        <f>+[27]Main!$M$5-[27]Main!$M$6</f>
        <v>-235.76700000000005</v>
      </c>
      <c r="G7" s="22">
        <f>E7-F7</f>
        <v>20837.083825649999</v>
      </c>
      <c r="H7" s="22">
        <f>+[27]Main!$M$3</f>
        <v>87.068664999999996</v>
      </c>
      <c r="I7" s="55" t="s">
        <v>208</v>
      </c>
      <c r="J7" s="43">
        <v>44795</v>
      </c>
      <c r="K7" s="24"/>
      <c r="L7" s="24"/>
      <c r="M7" s="24"/>
      <c r="N7" s="24"/>
      <c r="O7" s="24"/>
      <c r="P7" s="25"/>
      <c r="Q7" s="24"/>
      <c r="R7" s="24"/>
      <c r="S7" s="26"/>
      <c r="T7" s="25"/>
      <c r="U7" s="24"/>
      <c r="V7" s="24"/>
      <c r="W7" s="26"/>
    </row>
    <row r="8" spans="1:24" s="20" customFormat="1">
      <c r="B8" s="40" t="s">
        <v>230</v>
      </c>
      <c r="C8" s="40" t="s">
        <v>231</v>
      </c>
      <c r="D8" s="41">
        <v>31.44</v>
      </c>
      <c r="E8" s="22">
        <v>2220</v>
      </c>
      <c r="F8" s="23"/>
      <c r="G8" s="23"/>
      <c r="H8" s="23"/>
      <c r="I8" s="23"/>
      <c r="J8" s="23"/>
      <c r="K8" s="24"/>
      <c r="L8" s="24"/>
      <c r="M8" s="24"/>
      <c r="N8" s="24"/>
      <c r="O8" s="24"/>
      <c r="P8" s="25"/>
      <c r="Q8" s="24"/>
      <c r="R8" s="24"/>
      <c r="S8" s="26"/>
      <c r="T8" s="25"/>
      <c r="U8" s="24"/>
      <c r="V8" s="24"/>
      <c r="W8" s="26"/>
    </row>
    <row r="9" spans="1:24">
      <c r="B9" s="113" t="s">
        <v>324</v>
      </c>
      <c r="C9" s="141" t="s">
        <v>382</v>
      </c>
      <c r="D9" s="131"/>
      <c r="E9" s="131"/>
      <c r="F9" s="131"/>
      <c r="G9" s="131"/>
      <c r="H9" s="131"/>
      <c r="I9" s="131"/>
      <c r="J9" s="131"/>
    </row>
    <row r="10" spans="1:24">
      <c r="B10" s="113" t="s">
        <v>325</v>
      </c>
      <c r="D10" s="131"/>
      <c r="E10" s="131"/>
      <c r="F10" s="131"/>
      <c r="G10" s="131"/>
      <c r="H10" s="131"/>
      <c r="I10" s="131"/>
      <c r="J10" s="131"/>
    </row>
    <row r="11" spans="1:24">
      <c r="B11" s="120" t="s">
        <v>93</v>
      </c>
      <c r="C11" s="20" t="s">
        <v>93</v>
      </c>
      <c r="D11" s="21">
        <v>115.52</v>
      </c>
      <c r="E11" s="22">
        <v>13640</v>
      </c>
    </row>
    <row r="12" spans="1:24">
      <c r="B12" s="194" t="s">
        <v>108</v>
      </c>
      <c r="C12" s="194" t="s">
        <v>109</v>
      </c>
    </row>
    <row r="13" spans="1:24">
      <c r="B13" s="120" t="s">
        <v>91</v>
      </c>
      <c r="C13" s="20" t="s">
        <v>92</v>
      </c>
      <c r="D13" s="21">
        <v>206.61</v>
      </c>
      <c r="E13" s="22">
        <v>13880</v>
      </c>
    </row>
    <row r="14" spans="1:24">
      <c r="B14" s="194" t="s">
        <v>554</v>
      </c>
      <c r="C14" s="194" t="s">
        <v>553</v>
      </c>
    </row>
    <row r="17" spans="2:5">
      <c r="B17" s="95" t="s">
        <v>256</v>
      </c>
    </row>
    <row r="18" spans="2:5">
      <c r="B18" s="165" t="s">
        <v>479</v>
      </c>
      <c r="C18" s="72"/>
      <c r="D18" s="72"/>
      <c r="E18" s="72">
        <v>2400</v>
      </c>
    </row>
    <row r="19" spans="2:5">
      <c r="B19" s="157" t="s">
        <v>392</v>
      </c>
      <c r="E19" s="113">
        <v>1500</v>
      </c>
    </row>
    <row r="20" spans="2:5">
      <c r="B20" s="157" t="s">
        <v>394</v>
      </c>
      <c r="E20" s="113">
        <v>1000</v>
      </c>
    </row>
    <row r="21" spans="2:5">
      <c r="B21" s="165" t="s">
        <v>478</v>
      </c>
      <c r="E21" s="113">
        <v>1000</v>
      </c>
    </row>
    <row r="22" spans="2:5">
      <c r="B22" s="141" t="s">
        <v>383</v>
      </c>
    </row>
    <row r="23" spans="2:5">
      <c r="B23" s="157" t="s">
        <v>393</v>
      </c>
    </row>
  </sheetData>
  <hyperlinks>
    <hyperlink ref="B4" r:id="rId1" xr:uid="{A7E983F7-BC7A-4B3D-8444-6070EF708DDF}"/>
    <hyperlink ref="B6" r:id="rId2" xr:uid="{C691107C-F03A-4EB9-887D-F480D084DC80}"/>
    <hyperlink ref="B5" r:id="rId3" xr:uid="{C9E770CD-C0F9-437F-A1F8-A5EC0DD0B08B}"/>
    <hyperlink ref="B3" r:id="rId4" xr:uid="{8CA64543-CFB9-4EFA-93C4-C766402037C3}"/>
    <hyperlink ref="A1" location="Main!A1" display="Main" xr:uid="{69B9600D-1FE1-4411-8DDE-BF8E78812291}"/>
    <hyperlink ref="B7" r:id="rId5" xr:uid="{3FA63595-4D83-4815-90B6-28C534796235}"/>
  </hyperlinks>
  <pageMargins left="0.7" right="0.7" top="0.75" bottom="0.75" header="0.3" footer="0.3"/>
  <pageSetup orientation="portrait" horizontalDpi="1200" verticalDpi="1200" r:id="rId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D8E66-21A8-4B81-97DC-0749384A1CA5}">
  <dimension ref="A1:H967"/>
  <sheetViews>
    <sheetView zoomScale="145" zoomScaleNormal="145" workbookViewId="0">
      <pane xSplit="2" ySplit="2" topLeftCell="C278" activePane="bottomRight" state="frozen"/>
      <selection pane="topRight" activeCell="C1" sqref="C1"/>
      <selection pane="bottomLeft" activeCell="A3" sqref="A3"/>
      <selection pane="bottomRight" activeCell="E305" sqref="E305"/>
    </sheetView>
  </sheetViews>
  <sheetFormatPr defaultColWidth="9.140625" defaultRowHeight="12.75"/>
  <cols>
    <col min="1" max="1" width="5" style="230" bestFit="1" customWidth="1"/>
    <col min="2" max="2" width="24.85546875" style="230" bestFit="1" customWidth="1"/>
    <col min="3" max="3" width="10.7109375" style="232" customWidth="1"/>
    <col min="4" max="4" width="16.140625" style="232" bestFit="1" customWidth="1"/>
    <col min="5" max="5" width="9.140625" style="233"/>
    <col min="6" max="6" width="10.85546875" style="233" bestFit="1" customWidth="1"/>
    <col min="7" max="7" width="11.5703125" style="232" customWidth="1"/>
    <col min="8" max="16384" width="9.140625" style="230"/>
  </cols>
  <sheetData>
    <row r="1" spans="1:8">
      <c r="A1" s="230" t="s">
        <v>146</v>
      </c>
    </row>
    <row r="2" spans="1:8">
      <c r="B2" s="230" t="s">
        <v>771</v>
      </c>
      <c r="C2" s="232" t="s">
        <v>772</v>
      </c>
      <c r="D2" s="232" t="s">
        <v>773</v>
      </c>
      <c r="E2" s="233" t="s">
        <v>775</v>
      </c>
      <c r="F2" s="233" t="s">
        <v>412</v>
      </c>
      <c r="G2" s="232" t="s">
        <v>776</v>
      </c>
    </row>
    <row r="3" spans="1:8" s="64" customFormat="1">
      <c r="B3" s="64" t="s">
        <v>1182</v>
      </c>
      <c r="C3" s="201" t="s">
        <v>494</v>
      </c>
      <c r="D3" s="201" t="s">
        <v>782</v>
      </c>
      <c r="E3" s="197"/>
      <c r="F3" s="197">
        <f>SUM(F4:F16)</f>
        <v>1197.1666666666667</v>
      </c>
      <c r="G3" s="234">
        <f>G4</f>
        <v>45069</v>
      </c>
    </row>
    <row r="4" spans="1:8">
      <c r="C4" s="232" t="s">
        <v>581</v>
      </c>
      <c r="D4" s="232" t="s">
        <v>144</v>
      </c>
      <c r="E4" s="233">
        <v>450</v>
      </c>
      <c r="F4" s="233">
        <f>300/5</f>
        <v>60</v>
      </c>
      <c r="G4" s="235">
        <v>45069</v>
      </c>
    </row>
    <row r="5" spans="1:8">
      <c r="C5" s="232" t="s">
        <v>798</v>
      </c>
      <c r="D5" s="232" t="s">
        <v>144</v>
      </c>
      <c r="E5" s="233">
        <v>300</v>
      </c>
      <c r="F5" s="233">
        <v>300</v>
      </c>
      <c r="G5" s="235">
        <v>44960</v>
      </c>
    </row>
    <row r="6" spans="1:8">
      <c r="C6" s="232" t="s">
        <v>778</v>
      </c>
      <c r="D6" s="232" t="s">
        <v>888</v>
      </c>
      <c r="E6" s="233">
        <v>100</v>
      </c>
      <c r="F6" s="233">
        <v>75</v>
      </c>
      <c r="G6" s="235">
        <v>45051</v>
      </c>
    </row>
    <row r="7" spans="1:8">
      <c r="C7" s="232" t="s">
        <v>581</v>
      </c>
      <c r="D7" s="232" t="s">
        <v>637</v>
      </c>
      <c r="E7" s="233">
        <v>85</v>
      </c>
      <c r="F7" s="233">
        <v>6</v>
      </c>
      <c r="G7" s="235">
        <v>44417</v>
      </c>
    </row>
    <row r="8" spans="1:8">
      <c r="C8" s="232" t="s">
        <v>402</v>
      </c>
      <c r="D8" s="232" t="s">
        <v>637</v>
      </c>
      <c r="E8" s="233">
        <v>35</v>
      </c>
      <c r="F8" s="233">
        <f>25/6</f>
        <v>4.166666666666667</v>
      </c>
      <c r="G8" s="235">
        <v>44293</v>
      </c>
    </row>
    <row r="9" spans="1:8">
      <c r="C9" s="232" t="s">
        <v>559</v>
      </c>
      <c r="D9" s="232" t="s">
        <v>637</v>
      </c>
      <c r="E9" s="233">
        <v>12</v>
      </c>
      <c r="F9" s="233">
        <v>3</v>
      </c>
      <c r="G9" s="235">
        <v>44026</v>
      </c>
    </row>
    <row r="10" spans="1:8">
      <c r="C10" s="232" t="s">
        <v>564</v>
      </c>
      <c r="D10" s="232" t="s">
        <v>637</v>
      </c>
      <c r="E10" s="233">
        <v>3.3</v>
      </c>
      <c r="F10" s="233">
        <v>1</v>
      </c>
      <c r="G10" s="235">
        <v>44026</v>
      </c>
    </row>
    <row r="11" spans="1:8">
      <c r="C11" s="232" t="s">
        <v>402</v>
      </c>
      <c r="D11" s="232" t="s">
        <v>697</v>
      </c>
      <c r="E11" s="233">
        <v>2500</v>
      </c>
      <c r="F11" s="233">
        <v>500</v>
      </c>
      <c r="G11" s="235">
        <v>44363</v>
      </c>
    </row>
    <row r="12" spans="1:8">
      <c r="C12" s="232" t="s">
        <v>559</v>
      </c>
      <c r="D12" s="232" t="s">
        <v>697</v>
      </c>
      <c r="E12" s="233">
        <v>3000</v>
      </c>
      <c r="F12" s="233">
        <f>800/4</f>
        <v>200</v>
      </c>
      <c r="G12" s="235">
        <v>43892</v>
      </c>
      <c r="H12" s="235"/>
    </row>
    <row r="13" spans="1:8">
      <c r="C13" s="232" t="s">
        <v>559</v>
      </c>
      <c r="D13" s="232" t="s">
        <v>424</v>
      </c>
      <c r="E13" s="233">
        <v>65</v>
      </c>
      <c r="F13" s="233">
        <v>10</v>
      </c>
      <c r="G13" s="235">
        <v>45012</v>
      </c>
      <c r="H13" s="235"/>
    </row>
    <row r="14" spans="1:8">
      <c r="C14" s="232" t="s">
        <v>559</v>
      </c>
      <c r="D14" s="232" t="s">
        <v>463</v>
      </c>
      <c r="E14" s="233">
        <v>23</v>
      </c>
      <c r="F14" s="233">
        <v>13</v>
      </c>
      <c r="G14" s="235">
        <v>44963</v>
      </c>
      <c r="H14" s="235"/>
    </row>
    <row r="15" spans="1:8">
      <c r="C15" s="232" t="s">
        <v>564</v>
      </c>
      <c r="D15" s="232" t="s">
        <v>457</v>
      </c>
      <c r="E15" s="233">
        <v>30</v>
      </c>
      <c r="F15" s="233">
        <v>15</v>
      </c>
      <c r="G15" s="235">
        <v>44742</v>
      </c>
      <c r="H15" s="235"/>
    </row>
    <row r="16" spans="1:8">
      <c r="C16" s="232" t="s">
        <v>402</v>
      </c>
      <c r="D16" s="232" t="s">
        <v>1193</v>
      </c>
      <c r="E16" s="233">
        <v>30</v>
      </c>
      <c r="F16" s="233">
        <v>10</v>
      </c>
      <c r="G16" s="235">
        <v>44510</v>
      </c>
      <c r="H16" s="235"/>
    </row>
    <row r="17" spans="2:8">
      <c r="C17" s="260" t="s">
        <v>689</v>
      </c>
      <c r="D17" s="260" t="s">
        <v>722</v>
      </c>
      <c r="E17" s="233">
        <v>4.5</v>
      </c>
      <c r="F17" s="233">
        <v>1.5</v>
      </c>
      <c r="G17" s="235">
        <v>44691</v>
      </c>
      <c r="H17" s="235"/>
    </row>
    <row r="18" spans="2:8">
      <c r="G18" s="235"/>
    </row>
    <row r="19" spans="2:8">
      <c r="B19" s="64" t="s">
        <v>892</v>
      </c>
      <c r="C19" s="201" t="s">
        <v>494</v>
      </c>
      <c r="D19" s="201" t="s">
        <v>782</v>
      </c>
      <c r="F19" s="197">
        <f>SUM(F20:F36)</f>
        <v>738.66666666666663</v>
      </c>
      <c r="G19" s="234">
        <f>G31</f>
        <v>45062</v>
      </c>
    </row>
    <row r="20" spans="2:8">
      <c r="C20" s="232" t="s">
        <v>559</v>
      </c>
      <c r="D20" s="232" t="s">
        <v>618</v>
      </c>
      <c r="E20" s="233">
        <v>150</v>
      </c>
      <c r="F20" s="233">
        <v>100</v>
      </c>
      <c r="G20" s="235">
        <v>45008</v>
      </c>
    </row>
    <row r="21" spans="2:8">
      <c r="C21" s="232" t="s">
        <v>402</v>
      </c>
      <c r="D21" s="232" t="s">
        <v>409</v>
      </c>
      <c r="E21" s="233">
        <v>100</v>
      </c>
      <c r="F21" s="233">
        <v>85</v>
      </c>
      <c r="G21" s="235">
        <v>45042</v>
      </c>
    </row>
    <row r="22" spans="2:8">
      <c r="C22" s="232" t="s">
        <v>402</v>
      </c>
      <c r="D22" s="232" t="s">
        <v>697</v>
      </c>
      <c r="E22" s="233">
        <v>2500</v>
      </c>
      <c r="F22" s="233">
        <v>182</v>
      </c>
      <c r="G22" s="235">
        <v>44363</v>
      </c>
    </row>
    <row r="23" spans="2:8">
      <c r="C23" s="232" t="s">
        <v>559</v>
      </c>
      <c r="D23" s="232" t="s">
        <v>697</v>
      </c>
      <c r="E23" s="233">
        <v>3000</v>
      </c>
      <c r="F23" s="233">
        <f>800/4</f>
        <v>200</v>
      </c>
      <c r="G23" s="235">
        <v>43892</v>
      </c>
    </row>
    <row r="24" spans="2:8">
      <c r="C24" s="232" t="s">
        <v>581</v>
      </c>
      <c r="D24" s="232" t="s">
        <v>629</v>
      </c>
      <c r="E24" s="233">
        <v>100</v>
      </c>
      <c r="F24" s="233">
        <v>10</v>
      </c>
      <c r="G24" s="235">
        <v>44754</v>
      </c>
    </row>
    <row r="25" spans="2:8">
      <c r="C25" s="232" t="s">
        <v>402</v>
      </c>
      <c r="D25" s="232" t="s">
        <v>629</v>
      </c>
      <c r="E25" s="233">
        <v>35</v>
      </c>
      <c r="F25" s="233">
        <f>E25/2</f>
        <v>17.5</v>
      </c>
      <c r="G25" s="235">
        <v>44172</v>
      </c>
    </row>
    <row r="26" spans="2:8">
      <c r="C26" s="232" t="s">
        <v>559</v>
      </c>
      <c r="D26" s="232" t="s">
        <v>629</v>
      </c>
      <c r="E26" s="233">
        <v>20</v>
      </c>
      <c r="F26" s="233">
        <v>8</v>
      </c>
      <c r="G26" s="235">
        <v>43949</v>
      </c>
    </row>
    <row r="27" spans="2:8">
      <c r="C27" s="232" t="s">
        <v>564</v>
      </c>
      <c r="D27" s="232" t="s">
        <v>629</v>
      </c>
      <c r="E27" s="233">
        <v>5</v>
      </c>
      <c r="F27" s="233">
        <v>1</v>
      </c>
      <c r="G27" s="235">
        <v>43438</v>
      </c>
    </row>
    <row r="28" spans="2:8">
      <c r="C28" s="232" t="s">
        <v>1007</v>
      </c>
      <c r="D28" s="232" t="s">
        <v>635</v>
      </c>
      <c r="E28" s="233">
        <v>100</v>
      </c>
      <c r="F28" s="233">
        <v>30</v>
      </c>
      <c r="G28" s="235">
        <v>44537</v>
      </c>
    </row>
    <row r="29" spans="2:8">
      <c r="C29" s="232" t="s">
        <v>402</v>
      </c>
      <c r="D29" s="232" t="s">
        <v>635</v>
      </c>
      <c r="E29" s="233">
        <v>40</v>
      </c>
      <c r="F29" s="233">
        <v>8</v>
      </c>
      <c r="G29" s="235">
        <v>44125</v>
      </c>
    </row>
    <row r="30" spans="2:8">
      <c r="C30" s="232" t="s">
        <v>559</v>
      </c>
      <c r="D30" s="232" t="s">
        <v>635</v>
      </c>
      <c r="E30" s="233">
        <v>20</v>
      </c>
      <c r="F30" s="233">
        <v>8</v>
      </c>
      <c r="G30" s="235">
        <v>43816</v>
      </c>
    </row>
    <row r="31" spans="2:8">
      <c r="C31" s="232" t="s">
        <v>564</v>
      </c>
      <c r="D31" s="232" t="s">
        <v>586</v>
      </c>
      <c r="E31" s="233">
        <v>50</v>
      </c>
      <c r="F31" s="233">
        <v>25</v>
      </c>
      <c r="G31" s="235">
        <v>45062</v>
      </c>
    </row>
    <row r="32" spans="2:8">
      <c r="C32" s="232" t="s">
        <v>559</v>
      </c>
      <c r="D32" s="232" t="s">
        <v>1231</v>
      </c>
      <c r="G32" s="235"/>
    </row>
    <row r="33" spans="2:7">
      <c r="C33" s="232" t="s">
        <v>402</v>
      </c>
      <c r="D33" s="232" t="s">
        <v>392</v>
      </c>
      <c r="E33" s="233">
        <v>97.4</v>
      </c>
      <c r="F33" s="233">
        <v>50</v>
      </c>
      <c r="G33" s="235">
        <v>45041</v>
      </c>
    </row>
    <row r="34" spans="2:7">
      <c r="C34" s="232" t="s">
        <v>559</v>
      </c>
      <c r="D34" s="232" t="s">
        <v>392</v>
      </c>
      <c r="E34" s="233">
        <v>80</v>
      </c>
      <c r="F34" s="233">
        <f>40/6</f>
        <v>6.666666666666667</v>
      </c>
      <c r="G34" s="235">
        <v>44539</v>
      </c>
    </row>
    <row r="35" spans="2:7">
      <c r="C35" s="232" t="s">
        <v>564</v>
      </c>
      <c r="D35" s="232" t="s">
        <v>392</v>
      </c>
      <c r="E35" s="233">
        <v>4.5</v>
      </c>
      <c r="F35" s="233">
        <v>4.5</v>
      </c>
      <c r="G35" s="235">
        <v>43395</v>
      </c>
    </row>
    <row r="36" spans="2:7">
      <c r="C36" s="232" t="s">
        <v>559</v>
      </c>
      <c r="D36" s="232" t="s">
        <v>561</v>
      </c>
      <c r="E36" s="233">
        <v>5.6</v>
      </c>
      <c r="F36" s="233">
        <v>3</v>
      </c>
      <c r="G36" s="235">
        <v>44292</v>
      </c>
    </row>
    <row r="37" spans="2:7">
      <c r="C37" s="272" t="s">
        <v>559</v>
      </c>
      <c r="D37" s="272" t="s">
        <v>727</v>
      </c>
      <c r="E37" s="233">
        <v>12.5</v>
      </c>
      <c r="F37" s="233">
        <v>7</v>
      </c>
      <c r="G37" s="235">
        <v>44978</v>
      </c>
    </row>
    <row r="38" spans="2:7">
      <c r="G38" s="235"/>
    </row>
    <row r="39" spans="2:7">
      <c r="B39" s="64" t="s">
        <v>965</v>
      </c>
      <c r="C39" s="201" t="s">
        <v>494</v>
      </c>
      <c r="D39" s="201" t="s">
        <v>782</v>
      </c>
      <c r="F39" s="197">
        <f>+F40+F41</f>
        <v>681.81818181818176</v>
      </c>
      <c r="G39" s="234">
        <f>+G40</f>
        <v>44363</v>
      </c>
    </row>
    <row r="40" spans="2:7">
      <c r="C40" s="232" t="s">
        <v>402</v>
      </c>
      <c r="D40" s="232" t="s">
        <v>697</v>
      </c>
      <c r="E40" s="233">
        <v>2500</v>
      </c>
      <c r="F40" s="233">
        <f t="shared" ref="F40:F131" si="0">2000/11</f>
        <v>181.81818181818181</v>
      </c>
      <c r="G40" s="235">
        <v>44363</v>
      </c>
    </row>
    <row r="41" spans="2:7">
      <c r="C41" s="232" t="s">
        <v>559</v>
      </c>
      <c r="D41" s="232" t="s">
        <v>697</v>
      </c>
      <c r="E41" s="233">
        <v>3000</v>
      </c>
      <c r="F41" s="233">
        <v>500</v>
      </c>
      <c r="G41" s="235">
        <v>43892</v>
      </c>
    </row>
    <row r="42" spans="2:7">
      <c r="G42" s="235"/>
    </row>
    <row r="43" spans="2:7">
      <c r="B43" s="64" t="s">
        <v>969</v>
      </c>
      <c r="C43" s="201" t="s">
        <v>494</v>
      </c>
      <c r="D43" s="201" t="s">
        <v>782</v>
      </c>
      <c r="F43" s="197">
        <f>+F44+F45</f>
        <v>681.81818181818176</v>
      </c>
      <c r="G43" s="234">
        <f>+G44</f>
        <v>44363</v>
      </c>
    </row>
    <row r="44" spans="2:7">
      <c r="C44" s="232" t="s">
        <v>402</v>
      </c>
      <c r="D44" s="232" t="s">
        <v>697</v>
      </c>
      <c r="E44" s="233">
        <v>2500</v>
      </c>
      <c r="F44" s="233">
        <f t="shared" si="0"/>
        <v>181.81818181818181</v>
      </c>
      <c r="G44" s="235">
        <v>44363</v>
      </c>
    </row>
    <row r="45" spans="2:7">
      <c r="C45" s="232" t="s">
        <v>559</v>
      </c>
      <c r="D45" s="232" t="s">
        <v>697</v>
      </c>
      <c r="E45" s="233">
        <v>3000</v>
      </c>
      <c r="F45" s="233">
        <v>500</v>
      </c>
      <c r="G45" s="235">
        <v>43892</v>
      </c>
    </row>
    <row r="46" spans="2:7">
      <c r="G46" s="235"/>
    </row>
    <row r="47" spans="2:7">
      <c r="B47" s="64" t="s">
        <v>967</v>
      </c>
      <c r="C47" s="201" t="s">
        <v>494</v>
      </c>
      <c r="D47" s="201" t="s">
        <v>782</v>
      </c>
      <c r="F47" s="197">
        <f>+F48+F49</f>
        <v>681.81818181818176</v>
      </c>
      <c r="G47" s="234">
        <f>+G48</f>
        <v>44363</v>
      </c>
    </row>
    <row r="48" spans="2:7">
      <c r="C48" s="232" t="s">
        <v>402</v>
      </c>
      <c r="D48" s="232" t="s">
        <v>697</v>
      </c>
      <c r="E48" s="233">
        <v>2500</v>
      </c>
      <c r="F48" s="233">
        <f t="shared" si="0"/>
        <v>181.81818181818181</v>
      </c>
      <c r="G48" s="235">
        <v>44363</v>
      </c>
    </row>
    <row r="49" spans="2:7">
      <c r="C49" s="232" t="s">
        <v>559</v>
      </c>
      <c r="D49" s="232" t="s">
        <v>697</v>
      </c>
      <c r="E49" s="233">
        <v>3000</v>
      </c>
      <c r="F49" s="233">
        <v>500</v>
      </c>
      <c r="G49" s="235">
        <v>43892</v>
      </c>
    </row>
    <row r="50" spans="2:7">
      <c r="G50" s="235"/>
    </row>
    <row r="51" spans="2:7">
      <c r="B51" s="64" t="s">
        <v>249</v>
      </c>
      <c r="C51" s="201" t="s">
        <v>494</v>
      </c>
      <c r="D51" s="201" t="s">
        <v>782</v>
      </c>
      <c r="E51" s="197"/>
      <c r="F51" s="197">
        <f>SUM(F52:F64)</f>
        <v>536.81818181818176</v>
      </c>
      <c r="G51" s="234">
        <f>G58</f>
        <v>44754</v>
      </c>
    </row>
    <row r="52" spans="2:7">
      <c r="C52" s="232" t="s">
        <v>761</v>
      </c>
      <c r="D52" s="232" t="s">
        <v>774</v>
      </c>
      <c r="E52" s="233">
        <v>325</v>
      </c>
      <c r="F52" s="233">
        <v>65</v>
      </c>
      <c r="G52" s="235">
        <v>44299</v>
      </c>
    </row>
    <row r="53" spans="2:7">
      <c r="C53" s="232" t="s">
        <v>778</v>
      </c>
      <c r="D53" s="232" t="s">
        <v>774</v>
      </c>
      <c r="E53" s="233">
        <v>155</v>
      </c>
      <c r="F53" s="233">
        <v>50</v>
      </c>
      <c r="G53" s="235">
        <v>44166</v>
      </c>
    </row>
    <row r="54" spans="2:7">
      <c r="C54" s="232" t="s">
        <v>402</v>
      </c>
      <c r="D54" s="232" t="s">
        <v>404</v>
      </c>
      <c r="E54" s="233">
        <v>130</v>
      </c>
      <c r="F54" s="233">
        <v>60</v>
      </c>
      <c r="G54" s="235">
        <v>44607</v>
      </c>
    </row>
    <row r="55" spans="2:7">
      <c r="C55" s="232" t="s">
        <v>559</v>
      </c>
      <c r="D55" s="232" t="s">
        <v>409</v>
      </c>
      <c r="E55" s="233">
        <v>28</v>
      </c>
      <c r="F55" s="233">
        <v>6</v>
      </c>
      <c r="G55" s="235">
        <v>44649</v>
      </c>
    </row>
    <row r="56" spans="2:7">
      <c r="C56" s="232" t="s">
        <v>581</v>
      </c>
      <c r="D56" s="232" t="s">
        <v>636</v>
      </c>
      <c r="E56" s="233">
        <v>85</v>
      </c>
      <c r="F56" s="233">
        <v>55</v>
      </c>
      <c r="G56" s="235">
        <v>44501</v>
      </c>
    </row>
    <row r="57" spans="2:7">
      <c r="C57" s="232" t="s">
        <v>402</v>
      </c>
      <c r="D57" s="232" t="s">
        <v>697</v>
      </c>
      <c r="E57" s="233">
        <v>2500</v>
      </c>
      <c r="F57" s="233">
        <f t="shared" ref="F57" si="1">2000/11</f>
        <v>181.81818181818181</v>
      </c>
      <c r="G57" s="235">
        <v>44363</v>
      </c>
    </row>
    <row r="58" spans="2:7">
      <c r="C58" s="232" t="s">
        <v>581</v>
      </c>
      <c r="D58" s="232" t="s">
        <v>629</v>
      </c>
      <c r="E58" s="233">
        <v>100</v>
      </c>
      <c r="F58" s="233">
        <v>10</v>
      </c>
      <c r="G58" s="235">
        <v>44754</v>
      </c>
    </row>
    <row r="59" spans="2:7">
      <c r="C59" s="232" t="s">
        <v>581</v>
      </c>
      <c r="D59" s="232" t="s">
        <v>646</v>
      </c>
      <c r="E59" s="233">
        <v>50</v>
      </c>
      <c r="F59" s="233">
        <v>25</v>
      </c>
      <c r="G59" s="235">
        <v>44496</v>
      </c>
    </row>
    <row r="60" spans="2:7">
      <c r="C60" s="232" t="s">
        <v>402</v>
      </c>
      <c r="D60" s="232" t="s">
        <v>650</v>
      </c>
      <c r="E60" s="233">
        <v>50</v>
      </c>
      <c r="F60" s="233">
        <v>7</v>
      </c>
      <c r="G60" s="235">
        <v>44628</v>
      </c>
    </row>
    <row r="61" spans="2:7">
      <c r="C61" s="232" t="s">
        <v>402</v>
      </c>
      <c r="D61" s="232" t="s">
        <v>675</v>
      </c>
      <c r="E61" s="233">
        <v>30</v>
      </c>
      <c r="F61" s="233">
        <v>12</v>
      </c>
      <c r="G61" s="235">
        <v>44539</v>
      </c>
    </row>
    <row r="62" spans="2:7">
      <c r="C62" s="232" t="s">
        <v>559</v>
      </c>
      <c r="D62" s="232" t="s">
        <v>693</v>
      </c>
      <c r="E62" s="233">
        <v>25</v>
      </c>
      <c r="F62" s="233">
        <v>10</v>
      </c>
      <c r="G62" s="235">
        <v>44615</v>
      </c>
    </row>
    <row r="63" spans="2:7">
      <c r="C63" s="260" t="s">
        <v>559</v>
      </c>
      <c r="D63" s="260" t="s">
        <v>723</v>
      </c>
      <c r="E63" s="233">
        <v>14</v>
      </c>
      <c r="F63" s="233">
        <v>5</v>
      </c>
      <c r="G63" s="235">
        <v>44705</v>
      </c>
    </row>
    <row r="64" spans="2:7">
      <c r="C64" s="260" t="s">
        <v>581</v>
      </c>
      <c r="D64" s="260" t="s">
        <v>433</v>
      </c>
      <c r="E64" s="233">
        <v>200</v>
      </c>
      <c r="F64" s="233">
        <v>50</v>
      </c>
      <c r="G64" s="235">
        <v>44377</v>
      </c>
    </row>
    <row r="65" spans="2:7">
      <c r="G65" s="235"/>
    </row>
    <row r="66" spans="2:7">
      <c r="B66" s="64" t="s">
        <v>963</v>
      </c>
      <c r="C66" s="201" t="s">
        <v>494</v>
      </c>
      <c r="D66" s="201" t="s">
        <v>782</v>
      </c>
      <c r="F66" s="197">
        <f>+F67+F68</f>
        <v>431.81818181818181</v>
      </c>
      <c r="G66" s="234">
        <f>+G67</f>
        <v>44363</v>
      </c>
    </row>
    <row r="67" spans="2:7">
      <c r="C67" s="232" t="s">
        <v>402</v>
      </c>
      <c r="D67" s="232" t="s">
        <v>697</v>
      </c>
      <c r="E67" s="233">
        <v>2500</v>
      </c>
      <c r="F67" s="233">
        <f>2000/11</f>
        <v>181.81818181818181</v>
      </c>
      <c r="G67" s="235">
        <v>44363</v>
      </c>
    </row>
    <row r="68" spans="2:7">
      <c r="C68" s="232" t="s">
        <v>559</v>
      </c>
      <c r="D68" s="232" t="s">
        <v>697</v>
      </c>
      <c r="E68" s="233">
        <v>3000</v>
      </c>
      <c r="F68" s="233">
        <v>250</v>
      </c>
      <c r="G68" s="235">
        <v>43963</v>
      </c>
    </row>
    <row r="69" spans="2:7">
      <c r="G69" s="235"/>
    </row>
    <row r="70" spans="2:7">
      <c r="B70" s="64" t="s">
        <v>966</v>
      </c>
      <c r="C70" s="201" t="s">
        <v>494</v>
      </c>
      <c r="D70" s="201" t="s">
        <v>782</v>
      </c>
      <c r="E70" s="197"/>
      <c r="F70" s="197">
        <f>+F71+F72</f>
        <v>431.81818181818181</v>
      </c>
      <c r="G70" s="234">
        <f>+G71</f>
        <v>44363</v>
      </c>
    </row>
    <row r="71" spans="2:7">
      <c r="C71" s="232" t="s">
        <v>402</v>
      </c>
      <c r="D71" s="232" t="s">
        <v>697</v>
      </c>
      <c r="E71" s="233">
        <v>2500</v>
      </c>
      <c r="F71" s="233">
        <f t="shared" si="0"/>
        <v>181.81818181818181</v>
      </c>
      <c r="G71" s="235">
        <v>44363</v>
      </c>
    </row>
    <row r="72" spans="2:7">
      <c r="C72" s="232" t="s">
        <v>559</v>
      </c>
      <c r="D72" s="232" t="s">
        <v>697</v>
      </c>
      <c r="E72" s="233">
        <v>3000</v>
      </c>
      <c r="F72" s="233">
        <v>250</v>
      </c>
      <c r="G72" s="235">
        <v>43963</v>
      </c>
    </row>
    <row r="73" spans="2:7">
      <c r="G73" s="235"/>
    </row>
    <row r="74" spans="2:7" s="64" customFormat="1">
      <c r="B74" s="64" t="s">
        <v>971</v>
      </c>
      <c r="C74" s="201" t="s">
        <v>494</v>
      </c>
      <c r="D74" s="201" t="s">
        <v>782</v>
      </c>
      <c r="E74" s="197"/>
      <c r="F74" s="197">
        <f>+F75+F76</f>
        <v>431.81818181818181</v>
      </c>
      <c r="G74" s="234">
        <f>+G75</f>
        <v>44363</v>
      </c>
    </row>
    <row r="75" spans="2:7">
      <c r="C75" s="232" t="s">
        <v>402</v>
      </c>
      <c r="D75" s="232" t="s">
        <v>697</v>
      </c>
      <c r="E75" s="233">
        <v>2500</v>
      </c>
      <c r="F75" s="233">
        <f t="shared" si="0"/>
        <v>181.81818181818181</v>
      </c>
      <c r="G75" s="235">
        <v>44363</v>
      </c>
    </row>
    <row r="76" spans="2:7">
      <c r="C76" s="232" t="s">
        <v>559</v>
      </c>
      <c r="D76" s="232" t="s">
        <v>697</v>
      </c>
      <c r="E76" s="233">
        <v>3000</v>
      </c>
      <c r="F76" s="233">
        <v>250</v>
      </c>
      <c r="G76" s="235">
        <v>43963</v>
      </c>
    </row>
    <row r="77" spans="2:7">
      <c r="G77" s="235"/>
    </row>
    <row r="78" spans="2:7">
      <c r="B78" s="64" t="s">
        <v>968</v>
      </c>
      <c r="C78" s="201" t="s">
        <v>494</v>
      </c>
      <c r="D78" s="201" t="s">
        <v>782</v>
      </c>
      <c r="F78" s="197">
        <f>+F79+F80</f>
        <v>381.81818181818181</v>
      </c>
      <c r="G78" s="234">
        <f>+G79</f>
        <v>44363</v>
      </c>
    </row>
    <row r="79" spans="2:7">
      <c r="C79" s="232" t="s">
        <v>402</v>
      </c>
      <c r="D79" s="232" t="s">
        <v>697</v>
      </c>
      <c r="E79" s="233">
        <v>2500</v>
      </c>
      <c r="F79" s="233">
        <f t="shared" si="0"/>
        <v>181.81818181818181</v>
      </c>
      <c r="G79" s="235">
        <v>44363</v>
      </c>
    </row>
    <row r="80" spans="2:7">
      <c r="C80" s="232" t="s">
        <v>559</v>
      </c>
      <c r="D80" s="232" t="s">
        <v>697</v>
      </c>
      <c r="E80" s="233">
        <v>3000</v>
      </c>
      <c r="F80" s="233">
        <f>800/4</f>
        <v>200</v>
      </c>
      <c r="G80" s="235">
        <v>43892</v>
      </c>
    </row>
    <row r="81" spans="2:7">
      <c r="G81" s="235"/>
    </row>
    <row r="82" spans="2:7">
      <c r="B82" s="64" t="s">
        <v>970</v>
      </c>
      <c r="C82" s="201" t="s">
        <v>494</v>
      </c>
      <c r="D82" s="201" t="s">
        <v>782</v>
      </c>
      <c r="F82" s="197">
        <f>+F83+F84</f>
        <v>381.81818181818181</v>
      </c>
      <c r="G82" s="234">
        <f>+G83</f>
        <v>44363</v>
      </c>
    </row>
    <row r="83" spans="2:7">
      <c r="C83" s="232" t="s">
        <v>402</v>
      </c>
      <c r="D83" s="232" t="s">
        <v>697</v>
      </c>
      <c r="E83" s="233">
        <v>2500</v>
      </c>
      <c r="F83" s="233">
        <f t="shared" si="0"/>
        <v>181.81818181818181</v>
      </c>
      <c r="G83" s="235">
        <v>44363</v>
      </c>
    </row>
    <row r="84" spans="2:7">
      <c r="C84" s="232" t="s">
        <v>559</v>
      </c>
      <c r="D84" s="232" t="s">
        <v>697</v>
      </c>
      <c r="E84" s="233">
        <v>3000</v>
      </c>
      <c r="F84" s="233">
        <f>800/4</f>
        <v>200</v>
      </c>
      <c r="G84" s="235">
        <v>43892</v>
      </c>
    </row>
    <row r="85" spans="2:7">
      <c r="G85" s="235"/>
    </row>
    <row r="86" spans="2:7">
      <c r="B86" s="64" t="s">
        <v>770</v>
      </c>
      <c r="C86" s="201" t="s">
        <v>494</v>
      </c>
      <c r="D86" s="201" t="s">
        <v>782</v>
      </c>
      <c r="E86" s="197"/>
      <c r="F86" s="197">
        <f>SUM(F87:F105)</f>
        <v>267</v>
      </c>
      <c r="G86" s="234">
        <f>G104</f>
        <v>45041</v>
      </c>
    </row>
    <row r="87" spans="2:7">
      <c r="C87" s="232" t="s">
        <v>761</v>
      </c>
      <c r="D87" s="232" t="s">
        <v>774</v>
      </c>
      <c r="E87" s="233">
        <v>325</v>
      </c>
      <c r="F87" s="233">
        <v>18.5</v>
      </c>
      <c r="G87" s="235">
        <v>44299</v>
      </c>
    </row>
    <row r="88" spans="2:7">
      <c r="C88" s="232" t="s">
        <v>581</v>
      </c>
      <c r="D88" s="232" t="s">
        <v>774</v>
      </c>
      <c r="E88" s="233">
        <v>100</v>
      </c>
      <c r="F88" s="233">
        <f>65/5</f>
        <v>13</v>
      </c>
      <c r="G88" s="235">
        <v>43682</v>
      </c>
    </row>
    <row r="89" spans="2:7">
      <c r="C89" s="232" t="s">
        <v>564</v>
      </c>
      <c r="D89" s="232" t="s">
        <v>415</v>
      </c>
      <c r="E89" s="233">
        <v>100</v>
      </c>
      <c r="F89" s="233">
        <v>25</v>
      </c>
      <c r="G89" s="235">
        <v>44846</v>
      </c>
    </row>
    <row r="90" spans="2:7">
      <c r="C90" s="232" t="s">
        <v>581</v>
      </c>
      <c r="D90" s="232" t="s">
        <v>821</v>
      </c>
      <c r="E90" s="233">
        <v>100</v>
      </c>
      <c r="F90" s="233">
        <v>9</v>
      </c>
      <c r="G90" s="235">
        <v>44690</v>
      </c>
    </row>
    <row r="91" spans="2:7">
      <c r="C91" s="232" t="s">
        <v>559</v>
      </c>
      <c r="D91" s="232" t="s">
        <v>420</v>
      </c>
      <c r="E91" s="233">
        <v>125</v>
      </c>
      <c r="F91" s="233">
        <v>15</v>
      </c>
      <c r="G91" s="235">
        <v>44852</v>
      </c>
    </row>
    <row r="92" spans="2:7">
      <c r="C92" s="232" t="s">
        <v>581</v>
      </c>
      <c r="D92" s="232" t="s">
        <v>874</v>
      </c>
      <c r="E92" s="233">
        <v>135</v>
      </c>
      <c r="F92" s="233">
        <v>25</v>
      </c>
      <c r="G92" s="235">
        <v>44500</v>
      </c>
    </row>
    <row r="93" spans="2:7">
      <c r="C93" s="232" t="s">
        <v>402</v>
      </c>
      <c r="D93" s="232" t="s">
        <v>874</v>
      </c>
      <c r="E93" s="233">
        <v>45</v>
      </c>
      <c r="F93" s="233">
        <v>10</v>
      </c>
      <c r="G93" s="235">
        <v>44228</v>
      </c>
    </row>
    <row r="94" spans="2:7">
      <c r="C94" s="232" t="s">
        <v>581</v>
      </c>
      <c r="D94" s="232" t="s">
        <v>888</v>
      </c>
      <c r="E94" s="233">
        <v>50</v>
      </c>
      <c r="F94" s="233">
        <v>6</v>
      </c>
      <c r="G94" s="235">
        <v>44900</v>
      </c>
    </row>
    <row r="95" spans="2:7">
      <c r="C95" s="232" t="s">
        <v>402</v>
      </c>
      <c r="D95" s="232" t="s">
        <v>888</v>
      </c>
      <c r="E95" s="233">
        <v>35</v>
      </c>
      <c r="F95" s="233">
        <v>20</v>
      </c>
      <c r="G95" s="235">
        <v>44543</v>
      </c>
    </row>
    <row r="96" spans="2:7">
      <c r="C96" s="232" t="s">
        <v>581</v>
      </c>
      <c r="D96" s="232" t="s">
        <v>646</v>
      </c>
      <c r="E96" s="233">
        <v>50</v>
      </c>
      <c r="F96" s="233">
        <v>8</v>
      </c>
      <c r="G96" s="235">
        <v>44496</v>
      </c>
    </row>
    <row r="97" spans="2:7">
      <c r="C97" s="232" t="s">
        <v>402</v>
      </c>
      <c r="D97" s="232" t="s">
        <v>646</v>
      </c>
      <c r="E97" s="233">
        <v>22</v>
      </c>
      <c r="F97" s="233">
        <v>12</v>
      </c>
      <c r="G97" s="235">
        <v>44153</v>
      </c>
    </row>
    <row r="98" spans="2:7">
      <c r="C98" s="232" t="s">
        <v>402</v>
      </c>
      <c r="D98" s="232" t="s">
        <v>650</v>
      </c>
      <c r="E98" s="233">
        <v>50</v>
      </c>
      <c r="F98" s="233">
        <v>7</v>
      </c>
      <c r="G98" s="235">
        <v>44628</v>
      </c>
    </row>
    <row r="99" spans="2:7">
      <c r="C99" s="232" t="s">
        <v>402</v>
      </c>
      <c r="D99" s="232" t="s">
        <v>667</v>
      </c>
      <c r="E99" s="233">
        <v>43</v>
      </c>
      <c r="F99" s="233">
        <v>6</v>
      </c>
      <c r="G99" s="235">
        <v>44978</v>
      </c>
    </row>
    <row r="100" spans="2:7">
      <c r="C100" s="232" t="s">
        <v>559</v>
      </c>
      <c r="D100" s="232" t="s">
        <v>667</v>
      </c>
      <c r="E100" s="233">
        <v>26</v>
      </c>
      <c r="F100" s="233">
        <v>13</v>
      </c>
      <c r="G100" s="235">
        <v>44453</v>
      </c>
    </row>
    <row r="101" spans="2:7">
      <c r="C101" s="232" t="s">
        <v>402</v>
      </c>
      <c r="D101" s="232" t="s">
        <v>669</v>
      </c>
      <c r="E101" s="233">
        <v>40</v>
      </c>
      <c r="F101" s="233">
        <v>20</v>
      </c>
      <c r="G101" s="235">
        <v>44728</v>
      </c>
    </row>
    <row r="102" spans="2:7">
      <c r="C102" s="232" t="s">
        <v>402</v>
      </c>
      <c r="D102" s="232" t="s">
        <v>1193</v>
      </c>
      <c r="E102" s="233">
        <v>30</v>
      </c>
      <c r="F102" s="233">
        <f>20/3</f>
        <v>6.666666666666667</v>
      </c>
      <c r="G102" s="235">
        <v>44510</v>
      </c>
    </row>
    <row r="103" spans="2:7">
      <c r="C103" s="232" t="s">
        <v>559</v>
      </c>
      <c r="D103" s="232" t="s">
        <v>1193</v>
      </c>
      <c r="E103" s="233">
        <v>21.4</v>
      </c>
      <c r="F103" s="233">
        <v>5</v>
      </c>
      <c r="G103" s="235">
        <v>44232</v>
      </c>
    </row>
    <row r="104" spans="2:7">
      <c r="C104" s="232" t="s">
        <v>402</v>
      </c>
      <c r="D104" s="232" t="s">
        <v>392</v>
      </c>
      <c r="E104" s="233">
        <v>97.4</v>
      </c>
      <c r="F104" s="233">
        <f>47/6</f>
        <v>7.833333333333333</v>
      </c>
      <c r="G104" s="235">
        <v>45041</v>
      </c>
    </row>
    <row r="105" spans="2:7">
      <c r="C105" s="232" t="s">
        <v>402</v>
      </c>
      <c r="D105" s="232" t="s">
        <v>392</v>
      </c>
      <c r="E105" s="233">
        <v>80</v>
      </c>
      <c r="F105" s="233">
        <v>40</v>
      </c>
      <c r="G105" s="235">
        <v>44539</v>
      </c>
    </row>
    <row r="106" spans="2:7">
      <c r="G106" s="235"/>
    </row>
    <row r="107" spans="2:7">
      <c r="B107" s="64" t="s">
        <v>870</v>
      </c>
      <c r="C107" s="201" t="s">
        <v>494</v>
      </c>
      <c r="D107" s="201" t="s">
        <v>782</v>
      </c>
      <c r="E107" s="197"/>
      <c r="F107" s="197">
        <f>SUM(F108:F122)</f>
        <v>248.16666666666666</v>
      </c>
      <c r="G107" s="234">
        <f>G108</f>
        <v>44999</v>
      </c>
    </row>
    <row r="108" spans="2:7">
      <c r="C108" s="232" t="s">
        <v>402</v>
      </c>
      <c r="D108" s="232" t="s">
        <v>431</v>
      </c>
      <c r="E108" s="233">
        <v>350</v>
      </c>
      <c r="F108" s="233">
        <v>20</v>
      </c>
      <c r="G108" s="235">
        <v>44999</v>
      </c>
    </row>
    <row r="109" spans="2:7">
      <c r="C109" s="232" t="s">
        <v>559</v>
      </c>
      <c r="D109" s="232" t="s">
        <v>431</v>
      </c>
      <c r="E109" s="233">
        <v>65</v>
      </c>
      <c r="F109" s="233">
        <v>25</v>
      </c>
      <c r="G109" s="235">
        <v>44679</v>
      </c>
    </row>
    <row r="110" spans="2:7">
      <c r="C110" s="232" t="s">
        <v>564</v>
      </c>
      <c r="D110" s="232" t="s">
        <v>432</v>
      </c>
      <c r="E110" s="233">
        <v>225</v>
      </c>
      <c r="F110" s="233">
        <v>150</v>
      </c>
      <c r="G110" s="235">
        <v>44694</v>
      </c>
    </row>
    <row r="111" spans="2:7">
      <c r="C111" s="232" t="s">
        <v>581</v>
      </c>
      <c r="D111" s="232" t="s">
        <v>637</v>
      </c>
      <c r="E111" s="233">
        <v>85</v>
      </c>
      <c r="F111" s="233">
        <v>6</v>
      </c>
      <c r="G111" s="235">
        <v>44417</v>
      </c>
    </row>
    <row r="112" spans="2:7">
      <c r="C112" s="232" t="s">
        <v>402</v>
      </c>
      <c r="D112" s="232" t="s">
        <v>637</v>
      </c>
      <c r="E112" s="233">
        <v>35</v>
      </c>
      <c r="F112" s="233">
        <f>25/6</f>
        <v>4.166666666666667</v>
      </c>
      <c r="G112" s="235">
        <v>44293</v>
      </c>
    </row>
    <row r="113" spans="2:7">
      <c r="C113" s="232" t="s">
        <v>559</v>
      </c>
      <c r="D113" s="232" t="s">
        <v>637</v>
      </c>
      <c r="E113" s="233">
        <v>12</v>
      </c>
      <c r="F113" s="233">
        <v>6</v>
      </c>
      <c r="G113" s="235">
        <v>44026</v>
      </c>
    </row>
    <row r="114" spans="2:7">
      <c r="C114" s="232" t="s">
        <v>564</v>
      </c>
      <c r="D114" s="232" t="s">
        <v>637</v>
      </c>
      <c r="E114" s="233">
        <v>3.3</v>
      </c>
      <c r="F114" s="233">
        <v>1</v>
      </c>
      <c r="G114" s="235">
        <v>44026</v>
      </c>
    </row>
    <row r="115" spans="2:7">
      <c r="C115" s="232" t="s">
        <v>402</v>
      </c>
      <c r="D115" s="232" t="s">
        <v>667</v>
      </c>
      <c r="E115" s="233">
        <v>43</v>
      </c>
      <c r="F115" s="233">
        <v>6</v>
      </c>
      <c r="G115" s="235">
        <v>44978</v>
      </c>
    </row>
    <row r="116" spans="2:7">
      <c r="C116" s="232" t="s">
        <v>559</v>
      </c>
      <c r="D116" s="232" t="s">
        <v>667</v>
      </c>
      <c r="E116" s="233">
        <v>26</v>
      </c>
      <c r="F116" s="233">
        <f>13/2</f>
        <v>6.5</v>
      </c>
      <c r="G116" s="235">
        <v>44453</v>
      </c>
    </row>
    <row r="117" spans="2:7">
      <c r="C117" s="232" t="s">
        <v>564</v>
      </c>
      <c r="D117" s="232" t="s">
        <v>667</v>
      </c>
      <c r="E117" s="233">
        <v>6.3</v>
      </c>
      <c r="F117" s="233">
        <v>3</v>
      </c>
      <c r="G117" s="235">
        <v>44217</v>
      </c>
    </row>
    <row r="118" spans="2:7">
      <c r="C118" s="232" t="s">
        <v>564</v>
      </c>
      <c r="D118" s="232" t="s">
        <v>457</v>
      </c>
      <c r="E118" s="233">
        <v>30</v>
      </c>
      <c r="F118" s="233">
        <v>5</v>
      </c>
      <c r="G118" s="235">
        <v>44742</v>
      </c>
    </row>
    <row r="119" spans="2:7">
      <c r="C119" s="232" t="s">
        <v>402</v>
      </c>
      <c r="D119" s="232" t="s">
        <v>692</v>
      </c>
      <c r="E119" s="233">
        <v>25</v>
      </c>
      <c r="F119" s="233">
        <v>3</v>
      </c>
      <c r="G119" s="235">
        <v>44636</v>
      </c>
    </row>
    <row r="120" spans="2:7">
      <c r="C120" s="232" t="s">
        <v>559</v>
      </c>
      <c r="D120" s="232" t="s">
        <v>692</v>
      </c>
      <c r="E120" s="233">
        <v>12.2</v>
      </c>
      <c r="F120" s="233">
        <v>2</v>
      </c>
      <c r="G120" s="235">
        <v>44179</v>
      </c>
    </row>
    <row r="121" spans="2:7">
      <c r="C121" s="232" t="s">
        <v>564</v>
      </c>
      <c r="D121" s="232" t="s">
        <v>692</v>
      </c>
      <c r="E121" s="233">
        <v>5.0999999999999996</v>
      </c>
      <c r="F121" s="233">
        <v>3</v>
      </c>
      <c r="G121" s="235">
        <v>44046</v>
      </c>
    </row>
    <row r="122" spans="2:7">
      <c r="C122" s="232" t="s">
        <v>559</v>
      </c>
      <c r="D122" s="232" t="s">
        <v>707</v>
      </c>
      <c r="E122" s="233">
        <v>20</v>
      </c>
      <c r="F122" s="233">
        <v>7.5</v>
      </c>
      <c r="G122" s="235">
        <v>45009</v>
      </c>
    </row>
    <row r="123" spans="2:7">
      <c r="C123" s="272" t="s">
        <v>559</v>
      </c>
      <c r="D123" s="272" t="s">
        <v>597</v>
      </c>
      <c r="E123" s="233">
        <v>29</v>
      </c>
      <c r="F123" s="233">
        <v>10</v>
      </c>
      <c r="G123" s="235">
        <v>44691</v>
      </c>
    </row>
    <row r="124" spans="2:7">
      <c r="G124" s="235"/>
    </row>
    <row r="125" spans="2:7" s="64" customFormat="1">
      <c r="B125" s="64" t="s">
        <v>786</v>
      </c>
      <c r="C125" s="201" t="s">
        <v>494</v>
      </c>
      <c r="D125" s="201" t="s">
        <v>782</v>
      </c>
      <c r="E125" s="197"/>
      <c r="F125" s="197">
        <f>SUM(F126:F128)</f>
        <v>238</v>
      </c>
      <c r="G125" s="234">
        <f>+G126</f>
        <v>45069</v>
      </c>
    </row>
    <row r="126" spans="2:7">
      <c r="C126" s="232" t="s">
        <v>581</v>
      </c>
      <c r="D126" s="232" t="s">
        <v>144</v>
      </c>
      <c r="E126" s="233">
        <v>450</v>
      </c>
      <c r="F126" s="233">
        <v>150</v>
      </c>
      <c r="G126" s="235">
        <v>45069</v>
      </c>
    </row>
    <row r="127" spans="2:7">
      <c r="C127" s="232" t="s">
        <v>402</v>
      </c>
      <c r="D127" s="232" t="s">
        <v>431</v>
      </c>
      <c r="E127" s="233">
        <v>350</v>
      </c>
      <c r="F127" s="233">
        <v>75</v>
      </c>
      <c r="G127" s="235">
        <v>44999</v>
      </c>
    </row>
    <row r="128" spans="2:7">
      <c r="C128" s="232" t="s">
        <v>581</v>
      </c>
      <c r="D128" s="232" t="s">
        <v>774</v>
      </c>
      <c r="E128" s="233">
        <v>100</v>
      </c>
      <c r="F128" s="233">
        <v>13</v>
      </c>
      <c r="G128" s="235">
        <v>43682</v>
      </c>
    </row>
    <row r="129" spans="2:7">
      <c r="G129" s="235"/>
    </row>
    <row r="130" spans="2:7">
      <c r="B130" s="64" t="s">
        <v>964</v>
      </c>
      <c r="C130" s="201" t="s">
        <v>494</v>
      </c>
      <c r="D130" s="201" t="s">
        <v>782</v>
      </c>
      <c r="E130" s="197"/>
      <c r="F130" s="197">
        <f>+F131+F132</f>
        <v>191.81818181818181</v>
      </c>
      <c r="G130" s="234">
        <f>+G132</f>
        <v>44893</v>
      </c>
    </row>
    <row r="131" spans="2:7">
      <c r="C131" s="232" t="s">
        <v>402</v>
      </c>
      <c r="D131" s="232" t="s">
        <v>697</v>
      </c>
      <c r="E131" s="233">
        <v>2500</v>
      </c>
      <c r="F131" s="233">
        <f t="shared" si="0"/>
        <v>181.81818181818181</v>
      </c>
      <c r="G131" s="235">
        <v>44363</v>
      </c>
    </row>
    <row r="132" spans="2:7">
      <c r="C132" s="232" t="s">
        <v>559</v>
      </c>
      <c r="D132" s="232" t="s">
        <v>674</v>
      </c>
      <c r="E132" s="233">
        <v>33</v>
      </c>
      <c r="F132" s="233">
        <v>10</v>
      </c>
      <c r="G132" s="235">
        <v>44893</v>
      </c>
    </row>
    <row r="133" spans="2:7">
      <c r="G133" s="235"/>
    </row>
    <row r="134" spans="2:7" s="64" customFormat="1">
      <c r="B134" s="64" t="s">
        <v>788</v>
      </c>
      <c r="C134" s="201" t="s">
        <v>494</v>
      </c>
      <c r="D134" s="201" t="s">
        <v>782</v>
      </c>
      <c r="E134" s="197"/>
      <c r="F134" s="197">
        <f>SUM(F135:F146)</f>
        <v>174.83333333333331</v>
      </c>
      <c r="G134" s="234">
        <f>G137</f>
        <v>45048</v>
      </c>
    </row>
    <row r="135" spans="2:7">
      <c r="C135" s="232" t="s">
        <v>761</v>
      </c>
      <c r="D135" s="232" t="s">
        <v>774</v>
      </c>
      <c r="E135" s="233">
        <v>325</v>
      </c>
      <c r="F135" s="233">
        <v>18.5</v>
      </c>
      <c r="G135" s="235">
        <v>44299</v>
      </c>
    </row>
    <row r="136" spans="2:7">
      <c r="C136" s="232" t="s">
        <v>402</v>
      </c>
      <c r="D136" s="232" t="s">
        <v>774</v>
      </c>
      <c r="E136" s="233">
        <v>18</v>
      </c>
      <c r="F136" s="233">
        <v>12</v>
      </c>
      <c r="G136" s="235">
        <v>43319</v>
      </c>
    </row>
    <row r="137" spans="2:7">
      <c r="C137" s="232" t="s">
        <v>581</v>
      </c>
      <c r="D137" s="232" t="s">
        <v>404</v>
      </c>
      <c r="E137" s="233">
        <v>270</v>
      </c>
      <c r="F137" s="233">
        <v>24</v>
      </c>
      <c r="G137" s="235">
        <v>45048</v>
      </c>
    </row>
    <row r="138" spans="2:7">
      <c r="C138" s="232" t="s">
        <v>402</v>
      </c>
      <c r="D138" s="232" t="s">
        <v>404</v>
      </c>
      <c r="E138" s="233">
        <v>130</v>
      </c>
      <c r="F138" s="233">
        <v>23</v>
      </c>
      <c r="G138" s="235">
        <v>44607</v>
      </c>
    </row>
    <row r="139" spans="2:7">
      <c r="C139" s="232" t="s">
        <v>559</v>
      </c>
      <c r="D139" s="232" t="s">
        <v>404</v>
      </c>
      <c r="E139" s="233">
        <v>40</v>
      </c>
      <c r="F139" s="233">
        <v>20</v>
      </c>
      <c r="G139" s="235">
        <v>44446</v>
      </c>
    </row>
    <row r="140" spans="2:7">
      <c r="C140" s="232" t="s">
        <v>581</v>
      </c>
      <c r="D140" s="232" t="s">
        <v>646</v>
      </c>
      <c r="E140" s="233">
        <v>50</v>
      </c>
      <c r="F140" s="233">
        <f>25/3</f>
        <v>8.3333333333333339</v>
      </c>
      <c r="G140" s="235">
        <v>44496</v>
      </c>
    </row>
    <row r="141" spans="2:7">
      <c r="C141" s="232" t="s">
        <v>402</v>
      </c>
      <c r="D141" s="232" t="s">
        <v>646</v>
      </c>
      <c r="E141" s="233">
        <v>22</v>
      </c>
      <c r="F141" s="233">
        <v>5</v>
      </c>
      <c r="G141" s="235">
        <v>44153</v>
      </c>
    </row>
    <row r="142" spans="2:7">
      <c r="C142" s="232" t="s">
        <v>559</v>
      </c>
      <c r="D142" s="232" t="s">
        <v>646</v>
      </c>
      <c r="E142" s="233">
        <v>13</v>
      </c>
      <c r="F142" s="233">
        <v>10</v>
      </c>
      <c r="G142" s="235">
        <v>44026</v>
      </c>
    </row>
    <row r="143" spans="2:7">
      <c r="C143" s="232" t="s">
        <v>402</v>
      </c>
      <c r="D143" s="232" t="s">
        <v>643</v>
      </c>
      <c r="E143" s="233">
        <v>50</v>
      </c>
      <c r="F143" s="233">
        <v>20</v>
      </c>
      <c r="G143" s="235">
        <v>45036</v>
      </c>
    </row>
    <row r="144" spans="2:7">
      <c r="C144" s="232" t="s">
        <v>402</v>
      </c>
      <c r="D144" s="232" t="s">
        <v>669</v>
      </c>
      <c r="E144" s="233">
        <v>40</v>
      </c>
      <c r="F144" s="233">
        <v>5</v>
      </c>
      <c r="G144" s="235">
        <v>44728</v>
      </c>
    </row>
    <row r="145" spans="2:7">
      <c r="C145" s="232" t="s">
        <v>559</v>
      </c>
      <c r="D145" s="232" t="s">
        <v>669</v>
      </c>
      <c r="E145" s="233">
        <v>18.600000000000001</v>
      </c>
      <c r="F145" s="233">
        <v>10</v>
      </c>
      <c r="G145" s="235">
        <v>44112</v>
      </c>
    </row>
    <row r="146" spans="2:7">
      <c r="C146" s="260" t="s">
        <v>564</v>
      </c>
      <c r="D146" s="260" t="s">
        <v>1180</v>
      </c>
      <c r="E146" s="233">
        <v>113</v>
      </c>
      <c r="F146" s="233">
        <v>19</v>
      </c>
      <c r="G146" s="235">
        <v>45090</v>
      </c>
    </row>
    <row r="147" spans="2:7">
      <c r="C147" s="260"/>
      <c r="D147" s="260"/>
      <c r="G147" s="235"/>
    </row>
    <row r="148" spans="2:7">
      <c r="B148" s="64" t="s">
        <v>828</v>
      </c>
      <c r="C148" s="201" t="s">
        <v>494</v>
      </c>
      <c r="D148" s="201" t="s">
        <v>782</v>
      </c>
      <c r="E148" s="197"/>
      <c r="F148" s="197">
        <f>SUM(F149:F157)</f>
        <v>169</v>
      </c>
      <c r="G148" s="234">
        <f>G149</f>
        <v>44999</v>
      </c>
    </row>
    <row r="149" spans="2:7">
      <c r="B149" s="64"/>
      <c r="C149" s="232" t="s">
        <v>402</v>
      </c>
      <c r="D149" s="232" t="s">
        <v>431</v>
      </c>
      <c r="E149" s="233">
        <v>350</v>
      </c>
      <c r="F149" s="233">
        <v>20</v>
      </c>
      <c r="G149" s="235">
        <v>44999</v>
      </c>
    </row>
    <row r="150" spans="2:7">
      <c r="B150" s="64"/>
      <c r="C150" s="232" t="s">
        <v>559</v>
      </c>
      <c r="D150" s="232" t="s">
        <v>431</v>
      </c>
      <c r="E150" s="233">
        <v>65</v>
      </c>
      <c r="F150" s="233">
        <v>25</v>
      </c>
      <c r="G150" s="235">
        <v>44679</v>
      </c>
    </row>
    <row r="151" spans="2:7">
      <c r="C151" s="232" t="s">
        <v>581</v>
      </c>
      <c r="D151" s="232" t="s">
        <v>821</v>
      </c>
      <c r="E151" s="233">
        <v>100</v>
      </c>
      <c r="F151" s="233">
        <v>9</v>
      </c>
      <c r="G151" s="235">
        <v>44690</v>
      </c>
    </row>
    <row r="152" spans="2:7">
      <c r="C152" s="232" t="s">
        <v>402</v>
      </c>
      <c r="D152" s="232" t="s">
        <v>821</v>
      </c>
      <c r="E152" s="233">
        <v>40</v>
      </c>
      <c r="F152" s="233">
        <v>7</v>
      </c>
      <c r="G152" s="235">
        <v>44327</v>
      </c>
    </row>
    <row r="153" spans="2:7">
      <c r="C153" s="232" t="s">
        <v>581</v>
      </c>
      <c r="D153" s="232" t="s">
        <v>636</v>
      </c>
      <c r="E153" s="233">
        <v>85</v>
      </c>
      <c r="F153" s="233">
        <v>10</v>
      </c>
      <c r="G153" s="235">
        <v>44501</v>
      </c>
    </row>
    <row r="154" spans="2:7">
      <c r="C154" s="232" t="s">
        <v>402</v>
      </c>
      <c r="D154" s="232" t="s">
        <v>636</v>
      </c>
      <c r="E154" s="233">
        <v>28</v>
      </c>
      <c r="F154" s="233">
        <v>18</v>
      </c>
      <c r="G154" s="235">
        <v>44272</v>
      </c>
    </row>
    <row r="155" spans="2:7">
      <c r="C155" s="232" t="s">
        <v>581</v>
      </c>
      <c r="D155" s="232" t="s">
        <v>637</v>
      </c>
      <c r="E155" s="233">
        <v>85</v>
      </c>
      <c r="F155" s="233">
        <v>20</v>
      </c>
      <c r="G155" s="235">
        <v>44417</v>
      </c>
    </row>
    <row r="156" spans="2:7">
      <c r="C156" s="232" t="s">
        <v>1004</v>
      </c>
      <c r="D156" s="232" t="s">
        <v>635</v>
      </c>
      <c r="E156" s="233">
        <v>99</v>
      </c>
      <c r="F156" s="233">
        <v>30</v>
      </c>
      <c r="G156" s="235">
        <v>44796</v>
      </c>
    </row>
    <row r="157" spans="2:7">
      <c r="C157" s="232" t="s">
        <v>1007</v>
      </c>
      <c r="D157" s="232" t="s">
        <v>635</v>
      </c>
      <c r="E157" s="233">
        <v>100</v>
      </c>
      <c r="F157" s="233">
        <v>30</v>
      </c>
      <c r="G157" s="235">
        <v>44537</v>
      </c>
    </row>
    <row r="158" spans="2:7">
      <c r="G158" s="235"/>
    </row>
    <row r="159" spans="2:7">
      <c r="B159" s="64" t="s">
        <v>805</v>
      </c>
      <c r="C159" s="201" t="s">
        <v>494</v>
      </c>
      <c r="D159" s="201" t="s">
        <v>782</v>
      </c>
      <c r="F159" s="197">
        <f>SUM(F160:F169)</f>
        <v>154.33333333333331</v>
      </c>
      <c r="G159" s="234">
        <f>G167</f>
        <v>41438</v>
      </c>
    </row>
    <row r="160" spans="2:7">
      <c r="C160" s="232" t="s">
        <v>564</v>
      </c>
      <c r="D160" s="232" t="s">
        <v>415</v>
      </c>
      <c r="E160" s="233">
        <v>100</v>
      </c>
      <c r="F160" s="233">
        <v>25</v>
      </c>
      <c r="G160" s="235">
        <v>44846</v>
      </c>
    </row>
    <row r="161" spans="2:7">
      <c r="C161" s="232" t="s">
        <v>581</v>
      </c>
      <c r="D161" s="232" t="s">
        <v>637</v>
      </c>
      <c r="E161" s="233">
        <v>85</v>
      </c>
      <c r="F161" s="233">
        <v>6</v>
      </c>
      <c r="G161" s="235">
        <v>44417</v>
      </c>
    </row>
    <row r="162" spans="2:7">
      <c r="C162" s="232" t="s">
        <v>402</v>
      </c>
      <c r="D162" s="232" t="s">
        <v>637</v>
      </c>
      <c r="E162" s="233">
        <v>35</v>
      </c>
      <c r="F162" s="233">
        <v>10</v>
      </c>
      <c r="G162" s="235">
        <v>44293</v>
      </c>
    </row>
    <row r="163" spans="2:7">
      <c r="C163" s="232" t="s">
        <v>581</v>
      </c>
      <c r="D163" s="232" t="s">
        <v>423</v>
      </c>
      <c r="E163" s="233">
        <v>100</v>
      </c>
      <c r="F163" s="233">
        <v>15</v>
      </c>
      <c r="G163" s="235">
        <v>44699</v>
      </c>
    </row>
    <row r="164" spans="2:7">
      <c r="C164" s="232" t="s">
        <v>402</v>
      </c>
      <c r="D164" s="232" t="s">
        <v>423</v>
      </c>
      <c r="E164" s="233">
        <v>100</v>
      </c>
      <c r="F164" s="233">
        <f>25/3</f>
        <v>8.3333333333333339</v>
      </c>
      <c r="G164" s="235">
        <v>44286</v>
      </c>
    </row>
    <row r="165" spans="2:7">
      <c r="C165" s="232" t="s">
        <v>559</v>
      </c>
      <c r="D165" s="232" t="s">
        <v>424</v>
      </c>
      <c r="E165" s="233">
        <v>65</v>
      </c>
      <c r="F165" s="233">
        <v>35</v>
      </c>
      <c r="G165" s="235">
        <v>44984</v>
      </c>
    </row>
    <row r="166" spans="2:7">
      <c r="C166" s="232" t="s">
        <v>402</v>
      </c>
      <c r="D166" s="232" t="s">
        <v>667</v>
      </c>
      <c r="E166" s="233">
        <v>43</v>
      </c>
      <c r="F166" s="233">
        <v>13</v>
      </c>
      <c r="G166" s="235">
        <v>44978</v>
      </c>
    </row>
    <row r="167" spans="2:7">
      <c r="C167" s="260" t="s">
        <v>564</v>
      </c>
      <c r="D167" s="260" t="s">
        <v>1180</v>
      </c>
      <c r="E167" s="233">
        <v>113</v>
      </c>
      <c r="F167" s="233">
        <v>19</v>
      </c>
      <c r="G167" s="235">
        <v>41438</v>
      </c>
    </row>
    <row r="168" spans="2:7">
      <c r="C168" s="260" t="s">
        <v>559</v>
      </c>
      <c r="D168" s="260" t="s">
        <v>718</v>
      </c>
      <c r="E168" s="233">
        <v>15</v>
      </c>
      <c r="F168" s="233">
        <v>3</v>
      </c>
      <c r="G168" s="235">
        <v>44838</v>
      </c>
    </row>
    <row r="169" spans="2:7">
      <c r="C169" s="260" t="s">
        <v>581</v>
      </c>
      <c r="D169" s="260" t="s">
        <v>433</v>
      </c>
      <c r="E169" s="233">
        <v>200</v>
      </c>
      <c r="F169" s="233">
        <v>20</v>
      </c>
      <c r="G169" s="235">
        <v>44377</v>
      </c>
    </row>
    <row r="170" spans="2:7">
      <c r="C170" s="260" t="s">
        <v>402</v>
      </c>
      <c r="D170" s="260" t="s">
        <v>433</v>
      </c>
      <c r="E170" s="233">
        <v>75</v>
      </c>
      <c r="F170" s="233">
        <v>5</v>
      </c>
      <c r="G170" s="235">
        <v>43783</v>
      </c>
    </row>
    <row r="171" spans="2:7">
      <c r="C171" s="260" t="s">
        <v>559</v>
      </c>
      <c r="D171" s="260" t="s">
        <v>433</v>
      </c>
      <c r="E171" s="233">
        <v>30</v>
      </c>
      <c r="F171" s="233">
        <v>10</v>
      </c>
      <c r="G171" s="235">
        <v>43573</v>
      </c>
    </row>
    <row r="172" spans="2:7">
      <c r="C172" s="260"/>
      <c r="D172" s="260"/>
      <c r="G172" s="235"/>
    </row>
    <row r="173" spans="2:7">
      <c r="B173" s="64" t="s">
        <v>900</v>
      </c>
      <c r="C173" s="201" t="s">
        <v>494</v>
      </c>
      <c r="D173" s="201" t="s">
        <v>782</v>
      </c>
      <c r="E173" s="197"/>
      <c r="F173" s="197">
        <f>SUM(F174:F177)</f>
        <v>130</v>
      </c>
      <c r="G173" s="234">
        <f>G177</f>
        <v>45062</v>
      </c>
    </row>
    <row r="174" spans="2:7">
      <c r="C174" s="232" t="s">
        <v>402</v>
      </c>
      <c r="D174" s="232" t="s">
        <v>431</v>
      </c>
      <c r="E174" s="233">
        <v>350</v>
      </c>
      <c r="F174" s="233">
        <v>75</v>
      </c>
      <c r="G174" s="235">
        <v>44999</v>
      </c>
    </row>
    <row r="175" spans="2:7">
      <c r="C175" s="232" t="s">
        <v>581</v>
      </c>
      <c r="D175" s="232" t="s">
        <v>423</v>
      </c>
      <c r="E175" s="233">
        <v>100</v>
      </c>
      <c r="F175" s="233">
        <v>15</v>
      </c>
      <c r="G175" s="235">
        <v>44699</v>
      </c>
    </row>
    <row r="176" spans="2:7">
      <c r="C176" s="232" t="s">
        <v>402</v>
      </c>
      <c r="D176" s="232" t="s">
        <v>423</v>
      </c>
      <c r="E176" s="233">
        <v>40</v>
      </c>
      <c r="F176" s="233">
        <v>15</v>
      </c>
      <c r="G176" s="235">
        <v>44286</v>
      </c>
    </row>
    <row r="177" spans="2:7">
      <c r="C177" s="232" t="s">
        <v>564</v>
      </c>
      <c r="D177" s="232" t="s">
        <v>1106</v>
      </c>
      <c r="E177" s="233">
        <v>50</v>
      </c>
      <c r="F177" s="233">
        <v>25</v>
      </c>
      <c r="G177" s="235">
        <v>45062</v>
      </c>
    </row>
    <row r="178" spans="2:7">
      <c r="G178" s="235"/>
    </row>
    <row r="179" spans="2:7">
      <c r="B179" s="64" t="s">
        <v>846</v>
      </c>
      <c r="C179" s="201" t="s">
        <v>494</v>
      </c>
      <c r="D179" s="201" t="s">
        <v>782</v>
      </c>
      <c r="E179" s="197"/>
      <c r="F179" s="197">
        <f>SUM(F180:F189)</f>
        <v>129</v>
      </c>
      <c r="G179" s="234">
        <f>G180</f>
        <v>44852</v>
      </c>
    </row>
    <row r="180" spans="2:7">
      <c r="C180" s="232" t="s">
        <v>559</v>
      </c>
      <c r="D180" s="232" t="s">
        <v>420</v>
      </c>
      <c r="E180" s="233">
        <v>125</v>
      </c>
      <c r="F180" s="233">
        <v>35</v>
      </c>
      <c r="G180" s="235">
        <v>44852</v>
      </c>
    </row>
    <row r="181" spans="2:7">
      <c r="C181" s="232" t="s">
        <v>581</v>
      </c>
      <c r="D181" s="232" t="s">
        <v>874</v>
      </c>
      <c r="E181" s="233">
        <v>135</v>
      </c>
      <c r="F181" s="233">
        <v>25</v>
      </c>
      <c r="G181" s="235">
        <v>44482</v>
      </c>
    </row>
    <row r="182" spans="2:7">
      <c r="C182" s="232" t="s">
        <v>402</v>
      </c>
      <c r="D182" s="232" t="s">
        <v>874</v>
      </c>
      <c r="E182" s="233">
        <v>45</v>
      </c>
      <c r="F182" s="233">
        <v>15</v>
      </c>
      <c r="G182" s="235">
        <v>44228</v>
      </c>
    </row>
    <row r="183" spans="2:7">
      <c r="C183" s="232" t="s">
        <v>559</v>
      </c>
      <c r="D183" s="232" t="s">
        <v>1299</v>
      </c>
      <c r="E183" s="233">
        <v>30</v>
      </c>
      <c r="F183" s="233">
        <v>10</v>
      </c>
      <c r="G183" s="235">
        <v>44656</v>
      </c>
    </row>
    <row r="184" spans="2:7">
      <c r="C184" s="232" t="s">
        <v>402</v>
      </c>
      <c r="D184" s="232" t="s">
        <v>694</v>
      </c>
      <c r="E184" s="233">
        <v>25</v>
      </c>
      <c r="F184" s="233">
        <v>10</v>
      </c>
      <c r="G184" s="235">
        <v>44755</v>
      </c>
    </row>
    <row r="185" spans="2:7">
      <c r="C185" s="232" t="s">
        <v>559</v>
      </c>
      <c r="D185" s="232" t="s">
        <v>694</v>
      </c>
      <c r="E185" s="233">
        <v>21</v>
      </c>
      <c r="F185" s="233">
        <v>7</v>
      </c>
      <c r="G185" s="235">
        <v>44489</v>
      </c>
    </row>
    <row r="186" spans="2:7">
      <c r="C186" s="232" t="s">
        <v>559</v>
      </c>
      <c r="D186" s="232" t="s">
        <v>700</v>
      </c>
      <c r="E186" s="233">
        <v>20</v>
      </c>
      <c r="F186" s="233">
        <v>7</v>
      </c>
      <c r="G186" s="235">
        <v>44676</v>
      </c>
    </row>
    <row r="187" spans="2:7">
      <c r="C187" s="232" t="s">
        <v>559</v>
      </c>
      <c r="D187" s="232" t="s">
        <v>1486</v>
      </c>
      <c r="E187" s="233">
        <v>20</v>
      </c>
      <c r="F187" s="233">
        <v>5</v>
      </c>
      <c r="G187" s="235">
        <v>44602</v>
      </c>
    </row>
    <row r="188" spans="2:7">
      <c r="C188" s="232" t="s">
        <v>559</v>
      </c>
      <c r="D188" s="232" t="s">
        <v>711</v>
      </c>
      <c r="E188" s="233">
        <v>20</v>
      </c>
      <c r="F188" s="233">
        <v>10</v>
      </c>
      <c r="G188" s="235">
        <v>44371</v>
      </c>
    </row>
    <row r="189" spans="2:7">
      <c r="C189" s="232" t="s">
        <v>559</v>
      </c>
      <c r="D189" s="232" t="s">
        <v>717</v>
      </c>
      <c r="E189" s="233">
        <v>15</v>
      </c>
      <c r="F189" s="233">
        <v>5</v>
      </c>
      <c r="G189" s="235">
        <v>44468</v>
      </c>
    </row>
    <row r="190" spans="2:7">
      <c r="G190" s="235"/>
    </row>
    <row r="191" spans="2:7">
      <c r="B191" s="64" t="s">
        <v>824</v>
      </c>
      <c r="C191" s="201" t="s">
        <v>494</v>
      </c>
      <c r="D191" s="201" t="s">
        <v>782</v>
      </c>
      <c r="E191" s="197"/>
      <c r="F191" s="197">
        <f>SUM(F192:F202)</f>
        <v>110</v>
      </c>
      <c r="G191" s="234">
        <f>G199</f>
        <v>45027</v>
      </c>
    </row>
    <row r="192" spans="2:7">
      <c r="C192" s="232" t="s">
        <v>581</v>
      </c>
      <c r="D192" s="232" t="s">
        <v>821</v>
      </c>
      <c r="E192" s="233">
        <v>100</v>
      </c>
      <c r="F192" s="233">
        <v>9</v>
      </c>
      <c r="G192" s="235">
        <v>44690</v>
      </c>
    </row>
    <row r="193" spans="2:7">
      <c r="C193" s="232" t="s">
        <v>581</v>
      </c>
      <c r="D193" s="232" t="s">
        <v>423</v>
      </c>
      <c r="E193" s="233">
        <v>100</v>
      </c>
      <c r="F193" s="233">
        <v>40</v>
      </c>
      <c r="G193" s="235">
        <v>44699</v>
      </c>
    </row>
    <row r="194" spans="2:7">
      <c r="C194" s="232" t="s">
        <v>581</v>
      </c>
      <c r="D194" s="232" t="s">
        <v>629</v>
      </c>
      <c r="E194" s="233">
        <v>100</v>
      </c>
      <c r="F194" s="233">
        <v>10</v>
      </c>
      <c r="G194" s="235">
        <v>44754</v>
      </c>
    </row>
    <row r="195" spans="2:7">
      <c r="C195" s="232" t="s">
        <v>402</v>
      </c>
      <c r="D195" s="232" t="s">
        <v>629</v>
      </c>
      <c r="E195" s="233">
        <v>35</v>
      </c>
      <c r="F195" s="233">
        <f>E195/2</f>
        <v>17.5</v>
      </c>
      <c r="G195" s="235">
        <v>44172</v>
      </c>
    </row>
    <row r="196" spans="2:7">
      <c r="C196" s="232" t="s">
        <v>559</v>
      </c>
      <c r="D196" s="232" t="s">
        <v>629</v>
      </c>
      <c r="E196" s="233">
        <v>20</v>
      </c>
      <c r="F196" s="233">
        <v>8</v>
      </c>
      <c r="G196" s="235">
        <v>43949</v>
      </c>
    </row>
    <row r="197" spans="2:7">
      <c r="C197" s="232" t="s">
        <v>564</v>
      </c>
      <c r="D197" s="232" t="s">
        <v>629</v>
      </c>
      <c r="E197" s="233">
        <v>5</v>
      </c>
      <c r="F197" s="233">
        <v>1</v>
      </c>
      <c r="G197" s="235">
        <v>43438</v>
      </c>
    </row>
    <row r="198" spans="2:7">
      <c r="C198" s="232" t="s">
        <v>564</v>
      </c>
      <c r="D198" s="232" t="s">
        <v>1120</v>
      </c>
      <c r="E198" s="233">
        <v>7.2</v>
      </c>
      <c r="F198" s="233">
        <v>1</v>
      </c>
      <c r="G198" s="235">
        <v>44508</v>
      </c>
    </row>
    <row r="199" spans="2:7">
      <c r="C199" s="232" t="s">
        <v>559</v>
      </c>
      <c r="D199" s="232" t="s">
        <v>1188</v>
      </c>
      <c r="E199" s="233">
        <v>21</v>
      </c>
      <c r="F199" s="233">
        <v>10</v>
      </c>
      <c r="G199" s="235">
        <v>45027</v>
      </c>
    </row>
    <row r="200" spans="2:7">
      <c r="C200" s="232" t="s">
        <v>402</v>
      </c>
      <c r="D200" s="232" t="s">
        <v>675</v>
      </c>
      <c r="E200" s="233">
        <v>30</v>
      </c>
      <c r="F200" s="233">
        <v>6</v>
      </c>
      <c r="G200" s="235">
        <v>44539</v>
      </c>
    </row>
    <row r="201" spans="2:7">
      <c r="C201" s="232" t="s">
        <v>559</v>
      </c>
      <c r="D201" s="232" t="s">
        <v>675</v>
      </c>
      <c r="E201" s="233">
        <v>11</v>
      </c>
      <c r="F201" s="233">
        <v>6</v>
      </c>
      <c r="G201" s="235">
        <v>43862</v>
      </c>
    </row>
    <row r="202" spans="2:7">
      <c r="C202" s="232" t="s">
        <v>564</v>
      </c>
      <c r="D202" s="232" t="s">
        <v>675</v>
      </c>
      <c r="E202" s="233">
        <v>3</v>
      </c>
      <c r="F202" s="233">
        <v>1.5</v>
      </c>
      <c r="G202" s="235">
        <v>43525</v>
      </c>
    </row>
    <row r="203" spans="2:7">
      <c r="C203" s="272" t="s">
        <v>559</v>
      </c>
      <c r="D203" s="272" t="s">
        <v>727</v>
      </c>
      <c r="E203" s="233">
        <v>12.5</v>
      </c>
      <c r="F203" s="233">
        <v>3</v>
      </c>
      <c r="G203" s="235">
        <v>44978</v>
      </c>
    </row>
    <row r="204" spans="2:7">
      <c r="C204" s="272" t="s">
        <v>559</v>
      </c>
      <c r="D204" s="272" t="s">
        <v>727</v>
      </c>
      <c r="E204" s="233">
        <v>5.3</v>
      </c>
      <c r="F204" s="233">
        <v>2.5</v>
      </c>
      <c r="G204" s="235">
        <v>44978</v>
      </c>
    </row>
    <row r="205" spans="2:7">
      <c r="G205" s="235"/>
    </row>
    <row r="206" spans="2:7">
      <c r="B206" s="64" t="s">
        <v>987</v>
      </c>
      <c r="C206" s="201" t="s">
        <v>494</v>
      </c>
      <c r="D206" s="201" t="s">
        <v>782</v>
      </c>
      <c r="E206" s="197"/>
      <c r="F206" s="197">
        <f>SUM(F207:F215)</f>
        <v>101.10000000000001</v>
      </c>
      <c r="G206" s="234">
        <f>G209</f>
        <v>44754</v>
      </c>
    </row>
    <row r="207" spans="2:7">
      <c r="C207" s="232" t="s">
        <v>581</v>
      </c>
      <c r="D207" s="232" t="s">
        <v>423</v>
      </c>
      <c r="E207" s="233">
        <v>100</v>
      </c>
      <c r="F207" s="233">
        <v>15</v>
      </c>
      <c r="G207" s="235">
        <v>44699</v>
      </c>
    </row>
    <row r="208" spans="2:7">
      <c r="C208" s="232" t="s">
        <v>402</v>
      </c>
      <c r="D208" s="232" t="s">
        <v>423</v>
      </c>
      <c r="E208" s="233">
        <v>100</v>
      </c>
      <c r="F208" s="233">
        <f>25/3</f>
        <v>8.3333333333333339</v>
      </c>
      <c r="G208" s="235">
        <v>44286</v>
      </c>
    </row>
    <row r="209" spans="2:7">
      <c r="C209" s="232" t="s">
        <v>581</v>
      </c>
      <c r="D209" s="232" t="s">
        <v>629</v>
      </c>
      <c r="E209" s="233">
        <v>100</v>
      </c>
      <c r="F209" s="233">
        <v>40</v>
      </c>
      <c r="G209" s="235">
        <v>44754</v>
      </c>
    </row>
    <row r="210" spans="2:7">
      <c r="C210" s="232" t="s">
        <v>559</v>
      </c>
      <c r="D210" s="232" t="s">
        <v>1120</v>
      </c>
      <c r="E210" s="233">
        <v>50</v>
      </c>
      <c r="F210" s="233">
        <f>30/12</f>
        <v>2.5</v>
      </c>
      <c r="G210" s="235">
        <v>44796</v>
      </c>
    </row>
    <row r="211" spans="2:7">
      <c r="C211" s="232" t="s">
        <v>564</v>
      </c>
      <c r="D211" s="232" t="s">
        <v>1120</v>
      </c>
      <c r="E211" s="233">
        <v>12.5</v>
      </c>
      <c r="F211" s="233">
        <f>8/5</f>
        <v>1.6</v>
      </c>
      <c r="G211" s="235">
        <v>44623</v>
      </c>
    </row>
    <row r="212" spans="2:7">
      <c r="C212" s="232" t="s">
        <v>564</v>
      </c>
      <c r="D212" s="232" t="s">
        <v>1120</v>
      </c>
      <c r="E212" s="233">
        <v>7.2</v>
      </c>
      <c r="F212" s="233">
        <v>2</v>
      </c>
      <c r="G212" s="235">
        <v>44508</v>
      </c>
    </row>
    <row r="213" spans="2:7">
      <c r="C213" s="232" t="s">
        <v>402</v>
      </c>
      <c r="D213" s="232" t="s">
        <v>1193</v>
      </c>
      <c r="E213" s="233">
        <v>30</v>
      </c>
      <c r="F213" s="233">
        <f>20/3</f>
        <v>6.666666666666667</v>
      </c>
      <c r="G213" s="235">
        <v>44510</v>
      </c>
    </row>
    <row r="214" spans="2:7">
      <c r="C214" s="232" t="s">
        <v>559</v>
      </c>
      <c r="D214" s="232" t="s">
        <v>1193</v>
      </c>
      <c r="E214" s="233">
        <v>21.4</v>
      </c>
      <c r="F214" s="233">
        <v>5</v>
      </c>
      <c r="G214" s="235">
        <v>44232</v>
      </c>
    </row>
    <row r="215" spans="2:7">
      <c r="C215" s="260" t="s">
        <v>581</v>
      </c>
      <c r="D215" s="260" t="s">
        <v>433</v>
      </c>
      <c r="E215" s="233">
        <v>200</v>
      </c>
      <c r="F215" s="233">
        <v>20</v>
      </c>
      <c r="G215" s="235">
        <v>44377</v>
      </c>
    </row>
    <row r="216" spans="2:7">
      <c r="C216" s="260" t="s">
        <v>402</v>
      </c>
      <c r="D216" s="260" t="s">
        <v>433</v>
      </c>
      <c r="E216" s="233">
        <v>75</v>
      </c>
      <c r="F216" s="233">
        <v>20</v>
      </c>
      <c r="G216" s="235">
        <v>43783</v>
      </c>
    </row>
    <row r="217" spans="2:7">
      <c r="C217" s="260"/>
      <c r="D217" s="260"/>
      <c r="G217" s="235"/>
    </row>
    <row r="218" spans="2:7">
      <c r="B218" s="64" t="s">
        <v>797</v>
      </c>
      <c r="C218" s="201" t="s">
        <v>494</v>
      </c>
      <c r="D218" s="201" t="s">
        <v>782</v>
      </c>
      <c r="F218" s="197">
        <f>SUM(F219:F223)</f>
        <v>98</v>
      </c>
      <c r="G218" s="234">
        <f>G219</f>
        <v>45069</v>
      </c>
    </row>
    <row r="219" spans="2:7">
      <c r="C219" s="232" t="s">
        <v>581</v>
      </c>
      <c r="D219" s="232" t="s">
        <v>144</v>
      </c>
      <c r="E219" s="233">
        <v>450</v>
      </c>
      <c r="F219" s="233">
        <f>300/5</f>
        <v>60</v>
      </c>
      <c r="G219" s="235">
        <v>45069</v>
      </c>
    </row>
    <row r="220" spans="2:7">
      <c r="C220" s="232" t="s">
        <v>402</v>
      </c>
      <c r="D220" s="232" t="s">
        <v>409</v>
      </c>
      <c r="E220" s="233">
        <v>100</v>
      </c>
      <c r="F220" s="233">
        <v>5</v>
      </c>
      <c r="G220" s="235">
        <v>45042</v>
      </c>
    </row>
    <row r="221" spans="2:7">
      <c r="C221" s="232" t="s">
        <v>559</v>
      </c>
      <c r="D221" s="232" t="s">
        <v>409</v>
      </c>
      <c r="E221" s="233">
        <v>28</v>
      </c>
      <c r="F221" s="233">
        <v>16</v>
      </c>
      <c r="G221" s="235">
        <v>44649</v>
      </c>
    </row>
    <row r="222" spans="2:7">
      <c r="C222" s="232" t="s">
        <v>559</v>
      </c>
      <c r="D222" s="232" t="s">
        <v>424</v>
      </c>
      <c r="E222" s="233">
        <v>65</v>
      </c>
      <c r="F222" s="233">
        <v>10</v>
      </c>
      <c r="G222" s="235">
        <v>44984</v>
      </c>
    </row>
    <row r="223" spans="2:7">
      <c r="C223" s="232" t="s">
        <v>402</v>
      </c>
      <c r="D223" s="232" t="s">
        <v>692</v>
      </c>
      <c r="E223" s="233">
        <v>25</v>
      </c>
      <c r="F223" s="233">
        <v>7</v>
      </c>
      <c r="G223" s="235">
        <v>44636</v>
      </c>
    </row>
    <row r="224" spans="2:7">
      <c r="G224" s="235"/>
    </row>
    <row r="225" spans="2:7">
      <c r="B225" s="64" t="s">
        <v>829</v>
      </c>
      <c r="C225" s="201" t="s">
        <v>494</v>
      </c>
      <c r="D225" s="201" t="s">
        <v>782</v>
      </c>
      <c r="F225" s="197">
        <f>SUM(F226:F232)</f>
        <v>85</v>
      </c>
      <c r="G225" s="234">
        <f>G228</f>
        <v>44690</v>
      </c>
    </row>
    <row r="226" spans="2:7">
      <c r="B226" s="64"/>
      <c r="C226" s="232" t="s">
        <v>559</v>
      </c>
      <c r="D226" s="232" t="s">
        <v>618</v>
      </c>
      <c r="E226" s="233">
        <v>150</v>
      </c>
      <c r="F226" s="233">
        <v>25</v>
      </c>
      <c r="G226" s="235">
        <v>45008</v>
      </c>
    </row>
    <row r="227" spans="2:7">
      <c r="B227" s="64"/>
      <c r="C227" s="232" t="s">
        <v>402</v>
      </c>
      <c r="D227" s="232" t="s">
        <v>431</v>
      </c>
      <c r="E227" s="233">
        <v>350</v>
      </c>
      <c r="F227" s="233">
        <v>20</v>
      </c>
      <c r="G227" s="235">
        <v>44999</v>
      </c>
    </row>
    <row r="228" spans="2:7">
      <c r="C228" s="232" t="s">
        <v>581</v>
      </c>
      <c r="D228" s="232" t="s">
        <v>821</v>
      </c>
      <c r="E228" s="233">
        <v>100</v>
      </c>
      <c r="F228" s="233">
        <v>9</v>
      </c>
      <c r="G228" s="235">
        <v>44690</v>
      </c>
    </row>
    <row r="229" spans="2:7">
      <c r="C229" s="232" t="s">
        <v>402</v>
      </c>
      <c r="D229" s="232" t="s">
        <v>821</v>
      </c>
      <c r="E229" s="233">
        <v>40</v>
      </c>
      <c r="F229" s="233">
        <v>7</v>
      </c>
      <c r="G229" s="235">
        <v>44327</v>
      </c>
    </row>
    <row r="230" spans="2:7">
      <c r="C230" s="232" t="s">
        <v>559</v>
      </c>
      <c r="D230" s="232" t="s">
        <v>821</v>
      </c>
      <c r="E230" s="233">
        <v>15</v>
      </c>
      <c r="F230" s="233">
        <v>3</v>
      </c>
      <c r="G230" s="235">
        <v>43816</v>
      </c>
    </row>
    <row r="231" spans="2:7">
      <c r="C231" s="232" t="s">
        <v>564</v>
      </c>
      <c r="D231" s="232" t="s">
        <v>821</v>
      </c>
      <c r="E231" s="233">
        <v>4</v>
      </c>
      <c r="F231" s="233">
        <v>1</v>
      </c>
      <c r="G231" s="235">
        <v>43243</v>
      </c>
    </row>
    <row r="232" spans="2:7">
      <c r="C232" s="232" t="s">
        <v>559</v>
      </c>
      <c r="D232" s="232" t="s">
        <v>392</v>
      </c>
      <c r="E232" s="233">
        <v>20</v>
      </c>
      <c r="F232" s="233">
        <v>20</v>
      </c>
      <c r="G232" s="235">
        <v>44245</v>
      </c>
    </row>
    <row r="233" spans="2:7">
      <c r="G233" s="235"/>
    </row>
    <row r="234" spans="2:7" s="64" customFormat="1">
      <c r="B234" s="64" t="s">
        <v>796</v>
      </c>
      <c r="C234" s="201" t="s">
        <v>494</v>
      </c>
      <c r="D234" s="201" t="s">
        <v>782</v>
      </c>
      <c r="E234" s="197"/>
      <c r="F234" s="197">
        <f>SUM(F235:F236)</f>
        <v>84.444444444444443</v>
      </c>
      <c r="G234" s="234">
        <f>G235</f>
        <v>45069</v>
      </c>
    </row>
    <row r="235" spans="2:7">
      <c r="C235" s="232" t="s">
        <v>581</v>
      </c>
      <c r="D235" s="232" t="s">
        <v>144</v>
      </c>
      <c r="E235" s="233">
        <v>450</v>
      </c>
      <c r="F235" s="233">
        <f>300/5</f>
        <v>60</v>
      </c>
      <c r="G235" s="235">
        <v>45069</v>
      </c>
    </row>
    <row r="236" spans="2:7">
      <c r="C236" s="232" t="s">
        <v>581</v>
      </c>
      <c r="D236" s="232" t="s">
        <v>404</v>
      </c>
      <c r="E236" s="233">
        <v>270</v>
      </c>
      <c r="F236" s="233">
        <f>220/9</f>
        <v>24.444444444444443</v>
      </c>
      <c r="G236" s="235">
        <v>45048</v>
      </c>
    </row>
    <row r="237" spans="2:7">
      <c r="G237" s="235"/>
    </row>
    <row r="238" spans="2:7">
      <c r="B238" s="64" t="s">
        <v>1008</v>
      </c>
      <c r="C238" s="201" t="s">
        <v>494</v>
      </c>
      <c r="D238" s="201" t="s">
        <v>782</v>
      </c>
      <c r="E238" s="197"/>
      <c r="F238" s="197">
        <f>SUM(F239:F246)</f>
        <v>84.333333333333343</v>
      </c>
      <c r="G238" s="234">
        <f>G242</f>
        <v>45013</v>
      </c>
    </row>
    <row r="239" spans="2:7">
      <c r="C239" s="232" t="s">
        <v>1007</v>
      </c>
      <c r="D239" s="232" t="s">
        <v>635</v>
      </c>
      <c r="E239" s="233">
        <v>100</v>
      </c>
      <c r="F239" s="233">
        <f>40/3</f>
        <v>13.333333333333334</v>
      </c>
      <c r="G239" s="235">
        <v>44537</v>
      </c>
    </row>
    <row r="240" spans="2:7">
      <c r="C240" s="232" t="s">
        <v>402</v>
      </c>
      <c r="D240" s="232" t="s">
        <v>635</v>
      </c>
      <c r="E240" s="233">
        <v>40</v>
      </c>
      <c r="F240" s="233">
        <v>20</v>
      </c>
      <c r="G240" s="235">
        <v>44125</v>
      </c>
    </row>
    <row r="241" spans="2:7">
      <c r="C241" s="232" t="s">
        <v>559</v>
      </c>
      <c r="D241" s="232" t="s">
        <v>635</v>
      </c>
      <c r="E241" s="233">
        <v>20</v>
      </c>
      <c r="F241" s="233">
        <f>12/6</f>
        <v>2</v>
      </c>
      <c r="G241" s="235">
        <v>43816</v>
      </c>
    </row>
    <row r="242" spans="2:7">
      <c r="C242" s="232" t="s">
        <v>559</v>
      </c>
      <c r="D242" s="232" t="s">
        <v>1041</v>
      </c>
      <c r="E242" s="233">
        <v>25.6</v>
      </c>
      <c r="F242" s="233">
        <v>20</v>
      </c>
      <c r="G242" s="235">
        <v>45013</v>
      </c>
    </row>
    <row r="243" spans="2:7">
      <c r="C243" s="232" t="s">
        <v>402</v>
      </c>
      <c r="D243" s="232" t="s">
        <v>643</v>
      </c>
      <c r="E243" s="233">
        <v>50</v>
      </c>
      <c r="F243" s="233">
        <f>30/5</f>
        <v>6</v>
      </c>
      <c r="G243" s="235">
        <v>45036</v>
      </c>
    </row>
    <row r="244" spans="2:7">
      <c r="C244" s="232" t="s">
        <v>559</v>
      </c>
      <c r="D244" s="232" t="s">
        <v>643</v>
      </c>
      <c r="E244" s="233">
        <v>16.5</v>
      </c>
      <c r="F244" s="233">
        <v>6</v>
      </c>
      <c r="G244" s="235">
        <v>44614</v>
      </c>
    </row>
    <row r="245" spans="2:7">
      <c r="C245" s="232" t="s">
        <v>564</v>
      </c>
      <c r="D245" s="232" t="s">
        <v>458</v>
      </c>
      <c r="E245" s="233">
        <v>30</v>
      </c>
      <c r="F245" s="233">
        <v>15</v>
      </c>
      <c r="G245" s="235">
        <v>44601</v>
      </c>
    </row>
    <row r="246" spans="2:7">
      <c r="C246" s="232" t="s">
        <v>564</v>
      </c>
      <c r="D246" s="232" t="s">
        <v>591</v>
      </c>
      <c r="E246" s="233">
        <v>4.5</v>
      </c>
      <c r="F246" s="233">
        <v>2</v>
      </c>
      <c r="G246" s="235">
        <v>45056</v>
      </c>
    </row>
    <row r="247" spans="2:7">
      <c r="C247" s="260" t="s">
        <v>689</v>
      </c>
      <c r="D247" s="260" t="s">
        <v>722</v>
      </c>
      <c r="E247" s="233">
        <v>4.5</v>
      </c>
      <c r="F247" s="233">
        <v>1</v>
      </c>
      <c r="G247" s="235">
        <v>44691</v>
      </c>
    </row>
    <row r="248" spans="2:7">
      <c r="G248" s="235"/>
    </row>
    <row r="249" spans="2:7">
      <c r="B249" s="64" t="s">
        <v>766</v>
      </c>
      <c r="C249" s="201" t="s">
        <v>494</v>
      </c>
      <c r="D249" s="201" t="s">
        <v>782</v>
      </c>
      <c r="E249" s="197"/>
      <c r="F249" s="197">
        <f>SUM(F250:F251)</f>
        <v>80</v>
      </c>
      <c r="G249" s="234">
        <f>G251</f>
        <v>44679</v>
      </c>
    </row>
    <row r="250" spans="2:7">
      <c r="C250" s="232" t="s">
        <v>761</v>
      </c>
      <c r="D250" s="232" t="s">
        <v>774</v>
      </c>
      <c r="E250" s="233">
        <v>325</v>
      </c>
      <c r="F250" s="233">
        <f>32.5*2</f>
        <v>65</v>
      </c>
      <c r="G250" s="235">
        <v>44299</v>
      </c>
    </row>
    <row r="251" spans="2:7">
      <c r="C251" s="232" t="s">
        <v>559</v>
      </c>
      <c r="D251" s="232" t="s">
        <v>465</v>
      </c>
      <c r="E251" s="233">
        <v>25</v>
      </c>
      <c r="F251" s="233">
        <v>15</v>
      </c>
      <c r="G251" s="235">
        <v>44679</v>
      </c>
    </row>
    <row r="252" spans="2:7">
      <c r="G252" s="235"/>
    </row>
    <row r="253" spans="2:7">
      <c r="B253" s="64" t="s">
        <v>850</v>
      </c>
      <c r="C253" s="201" t="s">
        <v>494</v>
      </c>
      <c r="D253" s="201" t="s">
        <v>782</v>
      </c>
      <c r="F253" s="197">
        <f>SUM(F254:F261)</f>
        <v>72.5</v>
      </c>
      <c r="G253" s="234">
        <f>G254</f>
        <v>44852</v>
      </c>
    </row>
    <row r="254" spans="2:7">
      <c r="C254" s="232" t="s">
        <v>559</v>
      </c>
      <c r="D254" s="232" t="s">
        <v>420</v>
      </c>
      <c r="E254" s="233">
        <v>125</v>
      </c>
      <c r="F254" s="233">
        <v>15</v>
      </c>
      <c r="G254" s="235">
        <v>44852</v>
      </c>
    </row>
    <row r="255" spans="2:7">
      <c r="C255" s="232" t="s">
        <v>564</v>
      </c>
      <c r="D255" s="232" t="s">
        <v>420</v>
      </c>
      <c r="E255" s="233">
        <v>6</v>
      </c>
      <c r="F255" s="233">
        <v>4</v>
      </c>
      <c r="G255" s="235">
        <v>44352</v>
      </c>
    </row>
    <row r="256" spans="2:7">
      <c r="C256" s="232" t="s">
        <v>1004</v>
      </c>
      <c r="D256" s="232" t="s">
        <v>635</v>
      </c>
      <c r="E256" s="233">
        <v>99</v>
      </c>
      <c r="F256" s="233">
        <v>20</v>
      </c>
      <c r="G256" s="235">
        <v>44796</v>
      </c>
    </row>
    <row r="257" spans="2:7">
      <c r="C257" s="232" t="s">
        <v>1007</v>
      </c>
      <c r="D257" s="232" t="s">
        <v>635</v>
      </c>
      <c r="E257" s="233">
        <v>100</v>
      </c>
      <c r="F257" s="233">
        <f>40/3</f>
        <v>13.333333333333334</v>
      </c>
      <c r="G257" s="235">
        <v>44537</v>
      </c>
    </row>
    <row r="258" spans="2:7">
      <c r="C258" s="232" t="s">
        <v>402</v>
      </c>
      <c r="D258" s="232" t="s">
        <v>635</v>
      </c>
      <c r="E258" s="233">
        <v>40</v>
      </c>
      <c r="F258" s="233">
        <v>8</v>
      </c>
      <c r="G258" s="235">
        <v>44125</v>
      </c>
    </row>
    <row r="259" spans="2:7">
      <c r="C259" s="232" t="s">
        <v>402</v>
      </c>
      <c r="D259" s="232" t="s">
        <v>672</v>
      </c>
      <c r="E259" s="233">
        <v>38</v>
      </c>
      <c r="F259" s="233">
        <f>20/3</f>
        <v>6.666666666666667</v>
      </c>
      <c r="G259" s="235">
        <v>44812</v>
      </c>
    </row>
    <row r="260" spans="2:7">
      <c r="C260" s="232" t="s">
        <v>559</v>
      </c>
      <c r="D260" s="232" t="s">
        <v>672</v>
      </c>
      <c r="E260" s="233">
        <v>19</v>
      </c>
      <c r="F260" s="233">
        <v>3.5</v>
      </c>
      <c r="G260" s="235">
        <v>44467</v>
      </c>
    </row>
    <row r="261" spans="2:7">
      <c r="C261" s="232" t="s">
        <v>564</v>
      </c>
      <c r="D261" s="232" t="s">
        <v>672</v>
      </c>
      <c r="E261" s="233">
        <v>4</v>
      </c>
      <c r="F261" s="233">
        <v>2</v>
      </c>
      <c r="G261" s="235">
        <v>43873</v>
      </c>
    </row>
    <row r="262" spans="2:7">
      <c r="G262" s="235"/>
    </row>
    <row r="263" spans="2:7">
      <c r="B263" s="64" t="s">
        <v>767</v>
      </c>
      <c r="C263" s="201" t="s">
        <v>494</v>
      </c>
      <c r="D263" s="201" t="s">
        <v>782</v>
      </c>
      <c r="E263" s="197"/>
      <c r="F263" s="197">
        <f>SUM(F264:F268)</f>
        <v>67</v>
      </c>
      <c r="G263" s="234">
        <f>G264</f>
        <v>44299</v>
      </c>
    </row>
    <row r="264" spans="2:7">
      <c r="C264" s="232" t="s">
        <v>761</v>
      </c>
      <c r="D264" s="232" t="s">
        <v>774</v>
      </c>
      <c r="E264" s="233">
        <v>325</v>
      </c>
      <c r="F264" s="233">
        <v>18.5</v>
      </c>
      <c r="G264" s="235">
        <v>44299</v>
      </c>
    </row>
    <row r="265" spans="2:7">
      <c r="C265" s="232" t="s">
        <v>581</v>
      </c>
      <c r="D265" s="232" t="s">
        <v>774</v>
      </c>
      <c r="E265" s="233">
        <v>100</v>
      </c>
      <c r="F265" s="233">
        <v>35</v>
      </c>
      <c r="G265" s="235">
        <v>43682</v>
      </c>
    </row>
    <row r="266" spans="2:7">
      <c r="C266" s="232" t="s">
        <v>559</v>
      </c>
      <c r="D266" s="232" t="s">
        <v>1120</v>
      </c>
      <c r="E266" s="233">
        <v>50</v>
      </c>
      <c r="F266" s="233">
        <f>30/12</f>
        <v>2.5</v>
      </c>
      <c r="G266" s="235">
        <v>44796</v>
      </c>
    </row>
    <row r="267" spans="2:7">
      <c r="C267" s="232" t="s">
        <v>559</v>
      </c>
      <c r="D267" s="232" t="s">
        <v>465</v>
      </c>
      <c r="E267" s="233">
        <v>25</v>
      </c>
      <c r="F267" s="233">
        <v>10</v>
      </c>
      <c r="G267" s="235">
        <v>44679</v>
      </c>
    </row>
    <row r="268" spans="2:7">
      <c r="C268" s="232" t="s">
        <v>564</v>
      </c>
      <c r="D268" s="232" t="s">
        <v>465</v>
      </c>
      <c r="E268" s="233">
        <v>3</v>
      </c>
      <c r="F268" s="233">
        <v>1</v>
      </c>
      <c r="G268" s="235">
        <v>44197</v>
      </c>
    </row>
    <row r="269" spans="2:7">
      <c r="C269" s="260" t="s">
        <v>402</v>
      </c>
      <c r="D269" s="260" t="s">
        <v>562</v>
      </c>
      <c r="E269" s="233">
        <v>27</v>
      </c>
      <c r="F269" s="233">
        <v>10</v>
      </c>
      <c r="G269" s="235">
        <v>44882</v>
      </c>
    </row>
    <row r="270" spans="2:7">
      <c r="G270" s="235"/>
    </row>
    <row r="271" spans="2:7">
      <c r="B271" s="64" t="s">
        <v>820</v>
      </c>
      <c r="C271" s="201" t="s">
        <v>494</v>
      </c>
      <c r="D271" s="201" t="s">
        <v>782</v>
      </c>
      <c r="F271" s="197">
        <f>SUM(F272:F280)</f>
        <v>64</v>
      </c>
      <c r="G271" s="234">
        <f>G272</f>
        <v>44690</v>
      </c>
    </row>
    <row r="272" spans="2:7">
      <c r="C272" s="232" t="s">
        <v>581</v>
      </c>
      <c r="D272" s="232" t="s">
        <v>821</v>
      </c>
      <c r="E272" s="233">
        <v>100</v>
      </c>
      <c r="F272" s="233">
        <v>20</v>
      </c>
      <c r="G272" s="235">
        <v>44690</v>
      </c>
    </row>
    <row r="273" spans="2:7">
      <c r="C273" s="232" t="s">
        <v>402</v>
      </c>
      <c r="D273" s="232" t="s">
        <v>821</v>
      </c>
      <c r="E273" s="233">
        <v>40</v>
      </c>
      <c r="F273" s="233">
        <v>20</v>
      </c>
      <c r="G273" s="235">
        <v>44327</v>
      </c>
    </row>
    <row r="274" spans="2:7">
      <c r="C274" s="232" t="s">
        <v>559</v>
      </c>
      <c r="D274" s="232" t="s">
        <v>821</v>
      </c>
      <c r="E274" s="233">
        <v>15</v>
      </c>
      <c r="F274" s="233">
        <v>5</v>
      </c>
      <c r="G274" s="235">
        <v>43816</v>
      </c>
    </row>
    <row r="275" spans="2:7">
      <c r="C275" s="232" t="s">
        <v>581</v>
      </c>
      <c r="D275" s="232" t="s">
        <v>888</v>
      </c>
      <c r="E275" s="233">
        <v>50</v>
      </c>
      <c r="F275" s="233">
        <v>6</v>
      </c>
      <c r="G275" s="235">
        <v>44900</v>
      </c>
    </row>
    <row r="276" spans="2:7">
      <c r="C276" s="232" t="s">
        <v>402</v>
      </c>
      <c r="D276" s="232" t="s">
        <v>888</v>
      </c>
      <c r="E276" s="233">
        <v>35</v>
      </c>
      <c r="F276" s="233">
        <v>5</v>
      </c>
      <c r="G276" s="235">
        <v>44543</v>
      </c>
    </row>
    <row r="277" spans="2:7">
      <c r="C277" s="232" t="s">
        <v>559</v>
      </c>
      <c r="D277" s="232" t="s">
        <v>888</v>
      </c>
      <c r="E277" s="233">
        <v>8.5</v>
      </c>
      <c r="F277" s="233">
        <v>1</v>
      </c>
      <c r="G277" s="235">
        <v>44181</v>
      </c>
    </row>
    <row r="278" spans="2:7">
      <c r="C278" s="232" t="s">
        <v>564</v>
      </c>
      <c r="D278" s="232" t="s">
        <v>888</v>
      </c>
      <c r="E278" s="233">
        <v>2</v>
      </c>
      <c r="F278" s="233">
        <v>2</v>
      </c>
      <c r="G278" s="235">
        <v>43435</v>
      </c>
    </row>
    <row r="279" spans="2:7">
      <c r="C279" s="232" t="s">
        <v>559</v>
      </c>
      <c r="D279" s="232" t="s">
        <v>629</v>
      </c>
      <c r="E279" s="233">
        <v>20</v>
      </c>
      <c r="F279" s="233">
        <v>4</v>
      </c>
      <c r="G279" s="235">
        <v>43949</v>
      </c>
    </row>
    <row r="280" spans="2:7">
      <c r="C280" s="232" t="s">
        <v>564</v>
      </c>
      <c r="D280" s="232" t="s">
        <v>629</v>
      </c>
      <c r="E280" s="233">
        <v>5</v>
      </c>
      <c r="F280" s="233">
        <v>1</v>
      </c>
      <c r="G280" s="235">
        <v>43438</v>
      </c>
    </row>
    <row r="281" spans="2:7">
      <c r="G281" s="235"/>
    </row>
    <row r="282" spans="2:7" s="64" customFormat="1">
      <c r="B282" s="64" t="s">
        <v>876</v>
      </c>
      <c r="C282" s="201" t="s">
        <v>494</v>
      </c>
      <c r="D282" s="201" t="s">
        <v>782</v>
      </c>
      <c r="E282" s="197"/>
      <c r="F282" s="197">
        <f>SUM(F283:F285)</f>
        <v>68.5</v>
      </c>
      <c r="G282" s="234">
        <f>G285</f>
        <v>45077</v>
      </c>
    </row>
    <row r="283" spans="2:7">
      <c r="C283" s="232" t="s">
        <v>581</v>
      </c>
      <c r="D283" s="232" t="s">
        <v>874</v>
      </c>
      <c r="E283" s="233">
        <v>135</v>
      </c>
      <c r="F283" s="233">
        <v>42.5</v>
      </c>
      <c r="G283" s="235">
        <v>44482</v>
      </c>
    </row>
    <row r="284" spans="2:7">
      <c r="C284" s="232" t="s">
        <v>581</v>
      </c>
      <c r="D284" s="232" t="s">
        <v>888</v>
      </c>
      <c r="E284" s="233">
        <v>50</v>
      </c>
      <c r="F284" s="233">
        <v>20</v>
      </c>
      <c r="G284" s="235">
        <v>44900</v>
      </c>
    </row>
    <row r="285" spans="2:7">
      <c r="C285" s="272" t="s">
        <v>559</v>
      </c>
      <c r="D285" s="272" t="s">
        <v>597</v>
      </c>
      <c r="E285" s="233">
        <v>28.5</v>
      </c>
      <c r="F285" s="233">
        <v>6</v>
      </c>
      <c r="G285" s="235">
        <v>45077</v>
      </c>
    </row>
    <row r="286" spans="2:7">
      <c r="G286" s="235"/>
    </row>
    <row r="287" spans="2:7">
      <c r="B287" s="64" t="s">
        <v>1005</v>
      </c>
      <c r="C287" s="201" t="s">
        <v>494</v>
      </c>
      <c r="D287" s="201" t="s">
        <v>782</v>
      </c>
      <c r="F287" s="197">
        <f>SUM(F288:F292)</f>
        <v>62</v>
      </c>
      <c r="G287" s="234">
        <f>G288</f>
        <v>44796</v>
      </c>
    </row>
    <row r="288" spans="2:7">
      <c r="C288" s="232" t="s">
        <v>1004</v>
      </c>
      <c r="D288" s="232" t="s">
        <v>635</v>
      </c>
      <c r="E288" s="233">
        <v>99</v>
      </c>
      <c r="F288" s="233">
        <v>30</v>
      </c>
      <c r="G288" s="235">
        <v>44796</v>
      </c>
    </row>
    <row r="289" spans="2:7">
      <c r="C289" s="232" t="s">
        <v>1007</v>
      </c>
      <c r="D289" s="232" t="s">
        <v>635</v>
      </c>
      <c r="E289" s="233">
        <v>100</v>
      </c>
      <c r="F289" s="233">
        <f>40/3</f>
        <v>13.333333333333334</v>
      </c>
      <c r="G289" s="235">
        <v>44537</v>
      </c>
    </row>
    <row r="290" spans="2:7">
      <c r="C290" s="232" t="s">
        <v>402</v>
      </c>
      <c r="D290" s="232" t="s">
        <v>635</v>
      </c>
      <c r="E290" s="233">
        <v>40</v>
      </c>
      <c r="F290" s="233">
        <f>20/3</f>
        <v>6.666666666666667</v>
      </c>
      <c r="G290" s="235">
        <v>44125</v>
      </c>
    </row>
    <row r="291" spans="2:7">
      <c r="C291" s="232" t="s">
        <v>559</v>
      </c>
      <c r="D291" s="232" t="s">
        <v>635</v>
      </c>
      <c r="E291" s="233">
        <v>20</v>
      </c>
      <c r="F291" s="233">
        <f>12/6</f>
        <v>2</v>
      </c>
      <c r="G291" s="235">
        <v>43816</v>
      </c>
    </row>
    <row r="292" spans="2:7">
      <c r="C292" s="232" t="s">
        <v>559</v>
      </c>
      <c r="D292" s="232" t="s">
        <v>1120</v>
      </c>
      <c r="E292" s="233">
        <v>50</v>
      </c>
      <c r="F292" s="233">
        <v>10</v>
      </c>
      <c r="G292" s="235">
        <v>44796</v>
      </c>
    </row>
    <row r="293" spans="2:7">
      <c r="G293" s="235"/>
    </row>
    <row r="294" spans="2:7">
      <c r="B294" s="64" t="s">
        <v>823</v>
      </c>
      <c r="C294" s="201" t="s">
        <v>494</v>
      </c>
      <c r="D294" s="201" t="s">
        <v>782</v>
      </c>
      <c r="F294" s="197">
        <f>SUM(F295:F303)</f>
        <v>57.7</v>
      </c>
      <c r="G294" s="234">
        <f>G303</f>
        <v>45041</v>
      </c>
    </row>
    <row r="295" spans="2:7">
      <c r="B295" s="64"/>
      <c r="C295" s="232" t="s">
        <v>402</v>
      </c>
      <c r="D295" s="232" t="s">
        <v>431</v>
      </c>
      <c r="E295" s="233">
        <v>350</v>
      </c>
      <c r="F295" s="233">
        <v>20</v>
      </c>
      <c r="G295" s="235">
        <v>44999</v>
      </c>
    </row>
    <row r="296" spans="2:7">
      <c r="C296" s="232" t="s">
        <v>581</v>
      </c>
      <c r="D296" s="232" t="s">
        <v>821</v>
      </c>
      <c r="E296" s="233">
        <v>100</v>
      </c>
      <c r="F296" s="233">
        <v>9</v>
      </c>
      <c r="G296" s="235">
        <v>44690</v>
      </c>
    </row>
    <row r="297" spans="2:7">
      <c r="C297" s="232" t="s">
        <v>564</v>
      </c>
      <c r="D297" s="232" t="s">
        <v>821</v>
      </c>
      <c r="E297" s="233">
        <v>4</v>
      </c>
      <c r="F297" s="233">
        <v>1</v>
      </c>
      <c r="G297" s="235">
        <v>43243</v>
      </c>
    </row>
    <row r="298" spans="2:7">
      <c r="C298" s="232" t="s">
        <v>834</v>
      </c>
      <c r="D298" s="232" t="s">
        <v>821</v>
      </c>
      <c r="E298" s="233">
        <v>1.2</v>
      </c>
      <c r="F298" s="233">
        <v>0.2</v>
      </c>
      <c r="G298" s="235">
        <v>42799</v>
      </c>
    </row>
    <row r="299" spans="2:7">
      <c r="C299" s="232" t="s">
        <v>559</v>
      </c>
      <c r="D299" s="232" t="s">
        <v>618</v>
      </c>
      <c r="E299" s="233">
        <v>150</v>
      </c>
      <c r="F299" s="233">
        <v>10</v>
      </c>
      <c r="G299" s="235">
        <v>45008</v>
      </c>
    </row>
    <row r="300" spans="2:7">
      <c r="C300" s="232" t="s">
        <v>564</v>
      </c>
      <c r="D300" s="232" t="s">
        <v>629</v>
      </c>
      <c r="E300" s="233">
        <v>5</v>
      </c>
      <c r="F300" s="233">
        <v>1</v>
      </c>
      <c r="G300" s="235">
        <v>43438</v>
      </c>
    </row>
    <row r="301" spans="2:7">
      <c r="C301" s="232" t="s">
        <v>564</v>
      </c>
      <c r="D301" s="232" t="s">
        <v>457</v>
      </c>
      <c r="E301" s="233">
        <v>30</v>
      </c>
      <c r="F301" s="233">
        <v>5</v>
      </c>
      <c r="G301" s="235">
        <v>44742</v>
      </c>
    </row>
    <row r="302" spans="2:7">
      <c r="C302" s="232" t="s">
        <v>559</v>
      </c>
      <c r="D302" s="232" t="s">
        <v>1188</v>
      </c>
      <c r="E302" s="233">
        <v>21</v>
      </c>
      <c r="F302" s="233">
        <f>11/3</f>
        <v>3.6666666666666665</v>
      </c>
      <c r="G302" s="235">
        <v>45027</v>
      </c>
    </row>
    <row r="303" spans="2:7">
      <c r="C303" s="232" t="s">
        <v>402</v>
      </c>
      <c r="D303" s="232" t="s">
        <v>392</v>
      </c>
      <c r="E303" s="233">
        <v>97.4</v>
      </c>
      <c r="F303" s="233">
        <f>47/6</f>
        <v>7.833333333333333</v>
      </c>
      <c r="G303" s="235">
        <v>45041</v>
      </c>
    </row>
    <row r="304" spans="2:7">
      <c r="C304" s="260" t="s">
        <v>689</v>
      </c>
      <c r="D304" s="260" t="s">
        <v>722</v>
      </c>
      <c r="E304" s="233">
        <v>4.5</v>
      </c>
      <c r="F304" s="233">
        <v>1</v>
      </c>
      <c r="G304" s="235">
        <v>44691</v>
      </c>
    </row>
    <row r="305" spans="2:7">
      <c r="C305" s="272" t="s">
        <v>559</v>
      </c>
      <c r="D305" s="272" t="s">
        <v>727</v>
      </c>
      <c r="E305" s="233">
        <v>5.3</v>
      </c>
      <c r="F305" s="233">
        <v>2.5</v>
      </c>
      <c r="G305" s="235">
        <v>44978</v>
      </c>
    </row>
    <row r="306" spans="2:7">
      <c r="G306" s="235"/>
    </row>
    <row r="307" spans="2:7">
      <c r="B307" s="64" t="s">
        <v>1023</v>
      </c>
      <c r="C307" s="201" t="s">
        <v>494</v>
      </c>
      <c r="D307" s="201" t="s">
        <v>782</v>
      </c>
      <c r="F307" s="197">
        <f>SUM(F308:F309)</f>
        <v>58</v>
      </c>
      <c r="G307" s="234">
        <f>G308</f>
        <v>44496</v>
      </c>
    </row>
    <row r="308" spans="2:7">
      <c r="C308" s="232" t="s">
        <v>581</v>
      </c>
      <c r="D308" s="232" t="s">
        <v>646</v>
      </c>
      <c r="E308" s="233">
        <v>50</v>
      </c>
      <c r="F308" s="233">
        <v>8</v>
      </c>
      <c r="G308" s="235">
        <v>44496</v>
      </c>
    </row>
    <row r="309" spans="2:7">
      <c r="C309" s="260" t="s">
        <v>581</v>
      </c>
      <c r="D309" s="260" t="s">
        <v>433</v>
      </c>
      <c r="E309" s="233">
        <v>200</v>
      </c>
      <c r="F309" s="233">
        <v>50</v>
      </c>
      <c r="G309" s="235">
        <v>44377</v>
      </c>
    </row>
    <row r="310" spans="2:7">
      <c r="C310" s="260"/>
      <c r="D310" s="260"/>
      <c r="G310" s="235"/>
    </row>
    <row r="311" spans="2:7">
      <c r="B311" s="64" t="s">
        <v>809</v>
      </c>
      <c r="C311" s="201" t="s">
        <v>494</v>
      </c>
      <c r="D311" s="201" t="s">
        <v>782</v>
      </c>
      <c r="F311" s="197">
        <f>SUM(F312:F315)</f>
        <v>54.133333333333333</v>
      </c>
      <c r="G311" s="234">
        <f>G313</f>
        <v>45070</v>
      </c>
    </row>
    <row r="312" spans="2:7">
      <c r="C312" s="232" t="s">
        <v>581</v>
      </c>
      <c r="D312" s="232" t="s">
        <v>404</v>
      </c>
      <c r="E312" s="233">
        <v>270</v>
      </c>
      <c r="F312" s="233">
        <v>50</v>
      </c>
      <c r="G312" s="235">
        <v>45048</v>
      </c>
    </row>
    <row r="313" spans="2:7">
      <c r="C313" s="232" t="s">
        <v>559</v>
      </c>
      <c r="D313" s="232" t="s">
        <v>584</v>
      </c>
      <c r="E313" s="233">
        <v>10.9</v>
      </c>
      <c r="F313" s="233">
        <f>8/6</f>
        <v>1.3333333333333333</v>
      </c>
      <c r="G313" s="235">
        <v>45070</v>
      </c>
    </row>
    <row r="314" spans="2:7">
      <c r="C314" s="260" t="s">
        <v>559</v>
      </c>
      <c r="D314" s="260" t="s">
        <v>1624</v>
      </c>
      <c r="E314" s="233">
        <v>6</v>
      </c>
      <c r="F314" s="233">
        <v>1</v>
      </c>
      <c r="G314" s="235">
        <v>44917</v>
      </c>
    </row>
    <row r="315" spans="2:7">
      <c r="C315" s="260" t="s">
        <v>564</v>
      </c>
      <c r="D315" s="260" t="s">
        <v>1624</v>
      </c>
      <c r="E315" s="233">
        <v>3.6</v>
      </c>
      <c r="F315" s="233">
        <v>1.8</v>
      </c>
      <c r="G315" s="235">
        <v>43361</v>
      </c>
    </row>
    <row r="316" spans="2:7">
      <c r="C316" s="260"/>
      <c r="D316" s="260"/>
      <c r="G316" s="235"/>
    </row>
    <row r="317" spans="2:7">
      <c r="B317" s="64" t="s">
        <v>1058</v>
      </c>
      <c r="C317" s="201" t="s">
        <v>494</v>
      </c>
      <c r="D317" s="201" t="s">
        <v>782</v>
      </c>
      <c r="F317" s="197">
        <f>SUM(F318:F322)</f>
        <v>45.5</v>
      </c>
      <c r="G317" s="234">
        <f>G318</f>
        <v>44999</v>
      </c>
    </row>
    <row r="318" spans="2:7">
      <c r="B318" s="64"/>
      <c r="C318" s="232" t="s">
        <v>402</v>
      </c>
      <c r="D318" s="232" t="s">
        <v>431</v>
      </c>
      <c r="E318" s="233">
        <v>350</v>
      </c>
      <c r="F318" s="233">
        <v>20</v>
      </c>
      <c r="G318" s="235">
        <v>44999</v>
      </c>
    </row>
    <row r="319" spans="2:7">
      <c r="C319" s="232" t="s">
        <v>559</v>
      </c>
      <c r="D319" s="232" t="s">
        <v>424</v>
      </c>
      <c r="E319" s="233">
        <v>65</v>
      </c>
      <c r="F319" s="233">
        <v>10</v>
      </c>
      <c r="G319" s="235">
        <v>44984</v>
      </c>
    </row>
    <row r="320" spans="2:7">
      <c r="C320" s="232" t="s">
        <v>559</v>
      </c>
      <c r="D320" s="232" t="s">
        <v>652</v>
      </c>
      <c r="E320" s="233">
        <v>44</v>
      </c>
      <c r="F320" s="233">
        <v>10</v>
      </c>
      <c r="G320" s="235">
        <v>44671</v>
      </c>
    </row>
    <row r="321" spans="2:7">
      <c r="C321" s="232" t="s">
        <v>559</v>
      </c>
      <c r="D321" s="232" t="s">
        <v>1120</v>
      </c>
      <c r="E321" s="233">
        <v>50</v>
      </c>
      <c r="F321" s="233">
        <f>30/12</f>
        <v>2.5</v>
      </c>
      <c r="G321" s="235">
        <v>44796</v>
      </c>
    </row>
    <row r="322" spans="2:7">
      <c r="C322" s="232" t="s">
        <v>564</v>
      </c>
      <c r="D322" s="232" t="s">
        <v>1120</v>
      </c>
      <c r="E322" s="233">
        <v>12.5</v>
      </c>
      <c r="F322" s="233">
        <v>3</v>
      </c>
      <c r="G322" s="235">
        <v>44623</v>
      </c>
    </row>
    <row r="323" spans="2:7">
      <c r="G323" s="235"/>
    </row>
    <row r="324" spans="2:7">
      <c r="B324" s="64" t="s">
        <v>620</v>
      </c>
      <c r="C324" s="201" t="s">
        <v>494</v>
      </c>
      <c r="D324" s="201" t="s">
        <v>782</v>
      </c>
      <c r="E324" s="197"/>
      <c r="F324" s="197">
        <f>SUM(F325:F326)</f>
        <v>44</v>
      </c>
      <c r="G324" s="234">
        <f>G325</f>
        <v>45048</v>
      </c>
    </row>
    <row r="325" spans="2:7">
      <c r="C325" s="232" t="s">
        <v>581</v>
      </c>
      <c r="D325" s="232" t="s">
        <v>404</v>
      </c>
      <c r="E325" s="233">
        <v>270</v>
      </c>
      <c r="F325" s="233">
        <v>24</v>
      </c>
      <c r="G325" s="235">
        <v>45048</v>
      </c>
    </row>
    <row r="326" spans="2:7">
      <c r="C326" s="232" t="s">
        <v>402</v>
      </c>
      <c r="D326" s="232" t="s">
        <v>431</v>
      </c>
      <c r="E326" s="233">
        <v>350</v>
      </c>
      <c r="F326" s="233">
        <v>20</v>
      </c>
      <c r="G326" s="235">
        <v>44999</v>
      </c>
    </row>
    <row r="327" spans="2:7">
      <c r="G327" s="235"/>
    </row>
    <row r="328" spans="2:7">
      <c r="B328" s="64" t="s">
        <v>918</v>
      </c>
      <c r="C328" s="201" t="s">
        <v>494</v>
      </c>
      <c r="D328" s="201" t="s">
        <v>782</v>
      </c>
      <c r="F328" s="197">
        <f>SUM(F329:F337)</f>
        <v>49</v>
      </c>
      <c r="G328" s="234">
        <f>+G329</f>
        <v>44900</v>
      </c>
    </row>
    <row r="329" spans="2:7">
      <c r="C329" s="232" t="s">
        <v>581</v>
      </c>
      <c r="D329" s="232" t="s">
        <v>888</v>
      </c>
      <c r="E329" s="233">
        <v>50</v>
      </c>
      <c r="F329" s="233">
        <v>6</v>
      </c>
      <c r="G329" s="235">
        <v>44900</v>
      </c>
    </row>
    <row r="330" spans="2:7">
      <c r="C330" s="232" t="s">
        <v>402</v>
      </c>
      <c r="D330" s="232" t="s">
        <v>888</v>
      </c>
      <c r="E330" s="233">
        <v>35</v>
      </c>
      <c r="F330" s="233">
        <v>5</v>
      </c>
      <c r="G330" s="235">
        <v>44543</v>
      </c>
    </row>
    <row r="331" spans="2:7">
      <c r="C331" s="232" t="s">
        <v>559</v>
      </c>
      <c r="D331" s="232" t="s">
        <v>888</v>
      </c>
      <c r="E331" s="233">
        <v>8.5</v>
      </c>
      <c r="F331" s="233">
        <v>5</v>
      </c>
      <c r="G331" s="235">
        <v>44181</v>
      </c>
    </row>
    <row r="332" spans="2:7">
      <c r="C332" s="232" t="s">
        <v>581</v>
      </c>
      <c r="D332" s="232" t="s">
        <v>636</v>
      </c>
      <c r="E332" s="233">
        <v>85</v>
      </c>
      <c r="F332" s="233">
        <v>10</v>
      </c>
      <c r="G332" s="235">
        <v>44501</v>
      </c>
    </row>
    <row r="333" spans="2:7">
      <c r="C333" s="232" t="s">
        <v>402</v>
      </c>
      <c r="D333" s="232" t="s">
        <v>636</v>
      </c>
      <c r="E333" s="233">
        <v>28</v>
      </c>
      <c r="F333" s="233">
        <v>5</v>
      </c>
      <c r="G333" s="235">
        <v>44272</v>
      </c>
    </row>
    <row r="334" spans="2:7">
      <c r="C334" s="232" t="s">
        <v>559</v>
      </c>
      <c r="D334" s="232" t="s">
        <v>636</v>
      </c>
      <c r="E334" s="233">
        <v>15</v>
      </c>
      <c r="F334" s="233">
        <v>10</v>
      </c>
      <c r="G334" s="235">
        <v>43924</v>
      </c>
    </row>
    <row r="335" spans="2:7">
      <c r="C335" s="232" t="s">
        <v>564</v>
      </c>
      <c r="D335" s="232" t="s">
        <v>636</v>
      </c>
      <c r="E335" s="233">
        <v>2.9</v>
      </c>
      <c r="F335" s="233">
        <v>1</v>
      </c>
      <c r="G335" s="235">
        <v>43761</v>
      </c>
    </row>
    <row r="336" spans="2:7">
      <c r="C336" s="232" t="s">
        <v>559</v>
      </c>
      <c r="D336" s="232" t="s">
        <v>635</v>
      </c>
      <c r="E336" s="233">
        <v>20</v>
      </c>
      <c r="F336" s="233">
        <v>2</v>
      </c>
      <c r="G336" s="235">
        <v>43816</v>
      </c>
    </row>
    <row r="337" spans="2:7">
      <c r="C337" s="232" t="s">
        <v>559</v>
      </c>
      <c r="D337" s="232" t="s">
        <v>463</v>
      </c>
      <c r="E337" s="233">
        <v>23</v>
      </c>
      <c r="F337" s="233">
        <v>5</v>
      </c>
      <c r="G337" s="235">
        <v>44963</v>
      </c>
    </row>
    <row r="338" spans="2:7">
      <c r="G338" s="235"/>
    </row>
    <row r="339" spans="2:7">
      <c r="B339" s="64" t="s">
        <v>815</v>
      </c>
      <c r="C339" s="201" t="s">
        <v>494</v>
      </c>
      <c r="D339" s="201" t="s">
        <v>782</v>
      </c>
      <c r="E339" s="197"/>
      <c r="F339" s="197">
        <f>SUM(F340:F345)</f>
        <v>46.904761904761898</v>
      </c>
      <c r="G339" s="234">
        <f>G340</f>
        <v>44607</v>
      </c>
    </row>
    <row r="340" spans="2:7">
      <c r="C340" s="232" t="s">
        <v>402</v>
      </c>
      <c r="D340" s="232" t="s">
        <v>404</v>
      </c>
      <c r="E340" s="233">
        <v>130</v>
      </c>
      <c r="F340" s="233">
        <f>70/3</f>
        <v>23.333333333333332</v>
      </c>
      <c r="G340" s="235">
        <v>44607</v>
      </c>
    </row>
    <row r="341" spans="2:7">
      <c r="C341" s="232" t="s">
        <v>559</v>
      </c>
      <c r="D341" s="232" t="s">
        <v>404</v>
      </c>
      <c r="E341" s="233">
        <v>40</v>
      </c>
      <c r="F341" s="233">
        <v>10</v>
      </c>
      <c r="G341" s="235">
        <v>44446</v>
      </c>
    </row>
    <row r="342" spans="2:7">
      <c r="C342" s="232" t="s">
        <v>559</v>
      </c>
      <c r="D342" s="232" t="s">
        <v>1120</v>
      </c>
      <c r="E342" s="233">
        <v>50</v>
      </c>
      <c r="F342" s="233">
        <v>10</v>
      </c>
      <c r="G342" s="235">
        <v>44796</v>
      </c>
    </row>
    <row r="343" spans="2:7">
      <c r="C343" s="232" t="s">
        <v>559</v>
      </c>
      <c r="D343" s="232" t="s">
        <v>695</v>
      </c>
      <c r="E343" s="233">
        <v>25</v>
      </c>
      <c r="F343" s="233">
        <f>18/7</f>
        <v>2.5714285714285716</v>
      </c>
      <c r="G343" s="235">
        <v>44757</v>
      </c>
    </row>
    <row r="344" spans="2:7">
      <c r="C344" s="232" t="s">
        <v>564</v>
      </c>
      <c r="D344" s="232" t="s">
        <v>695</v>
      </c>
      <c r="E344" s="233">
        <v>4</v>
      </c>
      <c r="F344" s="233">
        <v>0.5</v>
      </c>
      <c r="G344" s="235">
        <v>44340</v>
      </c>
    </row>
    <row r="345" spans="2:7">
      <c r="C345" s="232" t="s">
        <v>564</v>
      </c>
      <c r="D345" s="232" t="s">
        <v>695</v>
      </c>
      <c r="E345" s="233">
        <v>1.5</v>
      </c>
      <c r="F345" s="233">
        <v>0.5</v>
      </c>
      <c r="G345" s="235">
        <v>43979</v>
      </c>
    </row>
    <row r="346" spans="2:7">
      <c r="G346" s="235"/>
    </row>
    <row r="347" spans="2:7">
      <c r="B347" s="64" t="s">
        <v>1761</v>
      </c>
      <c r="C347" s="201" t="s">
        <v>494</v>
      </c>
      <c r="D347" s="201" t="s">
        <v>782</v>
      </c>
      <c r="E347" s="197"/>
      <c r="F347" s="197">
        <f>SUM(F348:F350)</f>
        <v>45</v>
      </c>
      <c r="G347" s="234">
        <f>G348</f>
        <v>45042</v>
      </c>
    </row>
    <row r="348" spans="2:7">
      <c r="C348" s="232" t="s">
        <v>402</v>
      </c>
      <c r="D348" s="232" t="s">
        <v>409</v>
      </c>
      <c r="E348" s="233">
        <v>100</v>
      </c>
      <c r="F348" s="233">
        <v>5</v>
      </c>
      <c r="G348" s="235">
        <v>45042</v>
      </c>
    </row>
    <row r="349" spans="2:7">
      <c r="B349" s="259"/>
      <c r="C349" s="260" t="s">
        <v>581</v>
      </c>
      <c r="D349" s="260" t="s">
        <v>433</v>
      </c>
      <c r="E349" s="233">
        <v>200</v>
      </c>
      <c r="F349" s="233">
        <v>20</v>
      </c>
      <c r="G349" s="235">
        <v>44377</v>
      </c>
    </row>
    <row r="350" spans="2:7">
      <c r="B350" s="259"/>
      <c r="C350" s="260" t="s">
        <v>402</v>
      </c>
      <c r="D350" s="260" t="s">
        <v>433</v>
      </c>
      <c r="E350" s="233">
        <v>75</v>
      </c>
      <c r="F350" s="233">
        <v>20</v>
      </c>
      <c r="G350" s="235">
        <v>43783</v>
      </c>
    </row>
    <row r="351" spans="2:7">
      <c r="B351" s="259"/>
      <c r="C351" s="260"/>
      <c r="D351" s="260"/>
      <c r="G351" s="235"/>
    </row>
    <row r="352" spans="2:7" s="64" customFormat="1">
      <c r="B352" s="64" t="s">
        <v>995</v>
      </c>
      <c r="C352" s="201" t="s">
        <v>494</v>
      </c>
      <c r="D352" s="201" t="s">
        <v>782</v>
      </c>
      <c r="E352" s="197"/>
      <c r="F352" s="197">
        <f>SUM(F353:F357)</f>
        <v>44.3</v>
      </c>
      <c r="G352" s="234">
        <f>+G353</f>
        <v>44754</v>
      </c>
    </row>
    <row r="353" spans="2:7">
      <c r="C353" s="232" t="s">
        <v>581</v>
      </c>
      <c r="D353" s="232" t="s">
        <v>629</v>
      </c>
      <c r="E353" s="233">
        <v>100</v>
      </c>
      <c r="F353" s="233">
        <v>10</v>
      </c>
      <c r="G353" s="235">
        <v>44754</v>
      </c>
    </row>
    <row r="354" spans="2:7">
      <c r="C354" s="232" t="s">
        <v>402</v>
      </c>
      <c r="D354" s="232" t="s">
        <v>669</v>
      </c>
      <c r="E354" s="233">
        <v>40</v>
      </c>
      <c r="F354" s="233">
        <v>5</v>
      </c>
      <c r="G354" s="235">
        <v>44728</v>
      </c>
    </row>
    <row r="355" spans="2:7">
      <c r="C355" s="232" t="s">
        <v>402</v>
      </c>
      <c r="D355" s="232" t="s">
        <v>669</v>
      </c>
      <c r="E355" s="233">
        <v>18.600000000000001</v>
      </c>
      <c r="F355" s="233">
        <f>8.6/2</f>
        <v>4.3</v>
      </c>
      <c r="G355" s="235">
        <v>44112</v>
      </c>
    </row>
    <row r="356" spans="2:7">
      <c r="C356" s="260" t="s">
        <v>581</v>
      </c>
      <c r="D356" s="260" t="s">
        <v>433</v>
      </c>
      <c r="E356" s="233">
        <v>200</v>
      </c>
      <c r="F356" s="233">
        <v>20</v>
      </c>
      <c r="G356" s="235">
        <v>44377</v>
      </c>
    </row>
    <row r="357" spans="2:7">
      <c r="C357" s="260" t="s">
        <v>402</v>
      </c>
      <c r="D357" s="260" t="s">
        <v>433</v>
      </c>
      <c r="E357" s="233">
        <v>75</v>
      </c>
      <c r="F357" s="233">
        <v>5</v>
      </c>
      <c r="G357" s="235">
        <v>43783</v>
      </c>
    </row>
    <row r="358" spans="2:7">
      <c r="C358" s="260" t="s">
        <v>559</v>
      </c>
      <c r="D358" s="260" t="s">
        <v>433</v>
      </c>
      <c r="E358" s="233">
        <v>30</v>
      </c>
      <c r="F358" s="233">
        <v>10</v>
      </c>
      <c r="G358" s="235">
        <v>43573</v>
      </c>
    </row>
    <row r="359" spans="2:7">
      <c r="G359" s="235"/>
    </row>
    <row r="360" spans="2:7">
      <c r="B360" s="64" t="s">
        <v>816</v>
      </c>
      <c r="C360" s="201" t="s">
        <v>494</v>
      </c>
      <c r="D360" s="201" t="s">
        <v>782</v>
      </c>
      <c r="E360" s="197"/>
      <c r="F360" s="197">
        <f>SUM(F361:F363)</f>
        <v>43.333333333333329</v>
      </c>
      <c r="G360" s="234">
        <f>G361</f>
        <v>44607</v>
      </c>
    </row>
    <row r="361" spans="2:7">
      <c r="C361" s="232" t="s">
        <v>402</v>
      </c>
      <c r="D361" s="232" t="s">
        <v>404</v>
      </c>
      <c r="E361" s="233">
        <v>130</v>
      </c>
      <c r="F361" s="233">
        <f>70/3</f>
        <v>23.333333333333332</v>
      </c>
      <c r="G361" s="235">
        <v>44607</v>
      </c>
    </row>
    <row r="362" spans="2:7">
      <c r="C362" s="232" t="s">
        <v>559</v>
      </c>
      <c r="D362" s="232" t="s">
        <v>404</v>
      </c>
      <c r="E362" s="233">
        <v>40</v>
      </c>
      <c r="F362" s="233">
        <v>10</v>
      </c>
      <c r="G362" s="235">
        <v>44446</v>
      </c>
    </row>
    <row r="363" spans="2:7">
      <c r="C363" s="232" t="s">
        <v>559</v>
      </c>
      <c r="D363" s="232" t="s">
        <v>674</v>
      </c>
      <c r="E363" s="233">
        <v>33</v>
      </c>
      <c r="F363" s="233">
        <v>10</v>
      </c>
      <c r="G363" s="235">
        <v>44893</v>
      </c>
    </row>
    <row r="364" spans="2:7">
      <c r="G364" s="235"/>
    </row>
    <row r="365" spans="2:7" s="64" customFormat="1">
      <c r="B365" s="64" t="s">
        <v>763</v>
      </c>
      <c r="C365" s="201" t="s">
        <v>494</v>
      </c>
      <c r="D365" s="201" t="s">
        <v>782</v>
      </c>
      <c r="E365" s="197"/>
      <c r="F365" s="197">
        <f>SUM(F366:F376)</f>
        <v>35.623333333333335</v>
      </c>
      <c r="G365" s="234">
        <f>+G366</f>
        <v>44299</v>
      </c>
    </row>
    <row r="366" spans="2:7">
      <c r="C366" s="232" t="s">
        <v>761</v>
      </c>
      <c r="D366" s="232" t="s">
        <v>774</v>
      </c>
      <c r="E366" s="233">
        <v>325</v>
      </c>
      <c r="F366" s="233">
        <v>18.5</v>
      </c>
      <c r="G366" s="235">
        <v>44299</v>
      </c>
    </row>
    <row r="367" spans="2:7">
      <c r="C367" s="232" t="s">
        <v>402</v>
      </c>
      <c r="D367" s="232" t="s">
        <v>774</v>
      </c>
      <c r="E367" s="233">
        <v>18</v>
      </c>
      <c r="F367" s="233">
        <v>3</v>
      </c>
      <c r="G367" s="235">
        <v>43319</v>
      </c>
    </row>
    <row r="368" spans="2:7">
      <c r="C368" s="232" t="s">
        <v>559</v>
      </c>
      <c r="D368" s="232" t="s">
        <v>774</v>
      </c>
      <c r="E368" s="233">
        <v>4.5</v>
      </c>
      <c r="F368" s="233">
        <v>1.5</v>
      </c>
      <c r="G368" s="235">
        <v>42878</v>
      </c>
    </row>
    <row r="369" spans="2:7">
      <c r="C369" s="232" t="s">
        <v>564</v>
      </c>
      <c r="D369" s="232" t="s">
        <v>774</v>
      </c>
      <c r="E369" s="233">
        <v>0.12</v>
      </c>
      <c r="F369" s="233">
        <v>0.12</v>
      </c>
      <c r="G369" s="235">
        <v>42604</v>
      </c>
    </row>
    <row r="370" spans="2:7">
      <c r="C370" s="232" t="s">
        <v>402</v>
      </c>
      <c r="D370" s="232" t="s">
        <v>392</v>
      </c>
      <c r="E370" s="233">
        <v>97.4</v>
      </c>
      <c r="F370" s="233">
        <f>47/6</f>
        <v>7.833333333333333</v>
      </c>
      <c r="G370" s="235">
        <v>45041</v>
      </c>
    </row>
    <row r="371" spans="2:7">
      <c r="C371" s="232" t="s">
        <v>564</v>
      </c>
      <c r="D371" s="232" t="s">
        <v>709</v>
      </c>
      <c r="E371" s="233">
        <v>0.12</v>
      </c>
      <c r="F371" s="233">
        <v>0.12</v>
      </c>
      <c r="G371" s="235">
        <v>44068</v>
      </c>
    </row>
    <row r="372" spans="2:7">
      <c r="C372" s="232" t="s">
        <v>564</v>
      </c>
      <c r="D372" s="232" t="s">
        <v>1574</v>
      </c>
      <c r="E372" s="233">
        <v>5.5</v>
      </c>
      <c r="F372" s="233">
        <v>0.5</v>
      </c>
      <c r="G372" s="235">
        <v>45092</v>
      </c>
    </row>
    <row r="373" spans="2:7">
      <c r="C373" s="232" t="s">
        <v>689</v>
      </c>
      <c r="D373" s="232" t="s">
        <v>1574</v>
      </c>
      <c r="E373" s="233">
        <v>0.125</v>
      </c>
      <c r="F373" s="233">
        <v>0.125</v>
      </c>
      <c r="G373" s="235">
        <f>G372</f>
        <v>45092</v>
      </c>
    </row>
    <row r="374" spans="2:7">
      <c r="C374" s="260" t="s">
        <v>559</v>
      </c>
      <c r="D374" s="260" t="s">
        <v>720</v>
      </c>
      <c r="E374" s="233">
        <v>15</v>
      </c>
      <c r="F374" s="233">
        <v>3.3</v>
      </c>
      <c r="G374" s="235">
        <v>44482</v>
      </c>
    </row>
    <row r="375" spans="2:7">
      <c r="C375" s="260" t="s">
        <v>564</v>
      </c>
      <c r="D375" s="260" t="s">
        <v>720</v>
      </c>
      <c r="E375" s="233">
        <v>4.5</v>
      </c>
      <c r="F375" s="233">
        <v>0.5</v>
      </c>
      <c r="G375" s="235">
        <v>44362</v>
      </c>
    </row>
    <row r="376" spans="2:7">
      <c r="C376" s="260" t="s">
        <v>564</v>
      </c>
      <c r="D376" s="260" t="s">
        <v>720</v>
      </c>
      <c r="E376" s="233">
        <v>0.125</v>
      </c>
      <c r="F376" s="233">
        <v>0.125</v>
      </c>
      <c r="G376" s="235">
        <v>44246</v>
      </c>
    </row>
    <row r="377" spans="2:7">
      <c r="C377" s="272" t="s">
        <v>559</v>
      </c>
      <c r="D377" s="272" t="s">
        <v>727</v>
      </c>
      <c r="E377" s="233">
        <v>12.5</v>
      </c>
      <c r="F377" s="233">
        <v>3</v>
      </c>
      <c r="G377" s="235">
        <v>44978</v>
      </c>
    </row>
    <row r="378" spans="2:7">
      <c r="G378" s="235"/>
    </row>
    <row r="379" spans="2:7">
      <c r="B379" s="64" t="s">
        <v>916</v>
      </c>
      <c r="C379" s="201" t="s">
        <v>494</v>
      </c>
      <c r="D379" s="201" t="s">
        <v>782</v>
      </c>
      <c r="E379" s="197"/>
      <c r="F379" s="197">
        <f>SUM(F380:F387)</f>
        <v>37.700000000000003</v>
      </c>
      <c r="G379" s="234">
        <f>G387</f>
        <v>45005</v>
      </c>
    </row>
    <row r="380" spans="2:7">
      <c r="C380" s="232" t="s">
        <v>581</v>
      </c>
      <c r="D380" s="232" t="s">
        <v>888</v>
      </c>
      <c r="E380" s="233">
        <v>50</v>
      </c>
      <c r="F380" s="233">
        <f>30/5</f>
        <v>6</v>
      </c>
      <c r="G380" s="235">
        <v>44900</v>
      </c>
    </row>
    <row r="381" spans="2:7">
      <c r="C381" s="232" t="s">
        <v>581</v>
      </c>
      <c r="D381" s="232" t="s">
        <v>636</v>
      </c>
      <c r="E381" s="233">
        <v>85</v>
      </c>
      <c r="F381" s="233">
        <v>10</v>
      </c>
      <c r="G381" s="235">
        <v>44501</v>
      </c>
    </row>
    <row r="382" spans="2:7">
      <c r="C382" s="232" t="s">
        <v>402</v>
      </c>
      <c r="D382" s="232" t="s">
        <v>636</v>
      </c>
      <c r="E382" s="233">
        <v>28</v>
      </c>
      <c r="F382" s="233">
        <v>5</v>
      </c>
      <c r="G382" s="235">
        <v>44272</v>
      </c>
    </row>
    <row r="383" spans="2:7">
      <c r="C383" s="232" t="s">
        <v>559</v>
      </c>
      <c r="D383" s="232" t="s">
        <v>636</v>
      </c>
      <c r="E383" s="233">
        <v>15</v>
      </c>
      <c r="F383" s="233">
        <v>5</v>
      </c>
      <c r="G383" s="235">
        <v>43924</v>
      </c>
    </row>
    <row r="384" spans="2:7">
      <c r="C384" s="232" t="s">
        <v>564</v>
      </c>
      <c r="D384" s="232" t="s">
        <v>636</v>
      </c>
      <c r="E384" s="233">
        <v>3.9</v>
      </c>
      <c r="F384" s="233">
        <v>2.9</v>
      </c>
      <c r="G384" s="235">
        <v>43761</v>
      </c>
    </row>
    <row r="385" spans="2:7">
      <c r="C385" s="232" t="s">
        <v>564</v>
      </c>
      <c r="D385" s="232" t="s">
        <v>1252</v>
      </c>
      <c r="E385" s="233">
        <v>2.8</v>
      </c>
      <c r="F385" s="233">
        <v>0.8</v>
      </c>
      <c r="G385" s="235">
        <v>44994</v>
      </c>
    </row>
    <row r="386" spans="2:7">
      <c r="C386" s="232" t="s">
        <v>564</v>
      </c>
      <c r="D386" s="232" t="s">
        <v>1252</v>
      </c>
      <c r="E386" s="233">
        <v>2.6</v>
      </c>
      <c r="F386" s="233">
        <v>1</v>
      </c>
      <c r="G386" s="235">
        <v>44147</v>
      </c>
    </row>
    <row r="387" spans="2:7">
      <c r="C387" s="272" t="s">
        <v>559</v>
      </c>
      <c r="D387" s="272" t="s">
        <v>726</v>
      </c>
      <c r="E387" s="233">
        <v>12.5</v>
      </c>
      <c r="F387" s="233">
        <v>7</v>
      </c>
      <c r="G387" s="235">
        <v>45005</v>
      </c>
    </row>
    <row r="388" spans="2:7">
      <c r="G388" s="235"/>
    </row>
    <row r="389" spans="2:7" s="64" customFormat="1">
      <c r="B389" s="64" t="s">
        <v>934</v>
      </c>
      <c r="C389" s="201" t="s">
        <v>494</v>
      </c>
      <c r="D389" s="201" t="s">
        <v>782</v>
      </c>
      <c r="E389" s="197"/>
      <c r="F389" s="197">
        <f>SUM(F390:F397)</f>
        <v>30.071428571428573</v>
      </c>
      <c r="G389" s="234">
        <f>G390</f>
        <v>45042</v>
      </c>
    </row>
    <row r="390" spans="2:7">
      <c r="C390" s="232" t="s">
        <v>402</v>
      </c>
      <c r="D390" s="232" t="s">
        <v>409</v>
      </c>
      <c r="E390" s="233">
        <v>100</v>
      </c>
      <c r="F390" s="233">
        <v>5</v>
      </c>
      <c r="G390" s="235">
        <v>45042</v>
      </c>
    </row>
    <row r="391" spans="2:7">
      <c r="C391" s="232" t="s">
        <v>559</v>
      </c>
      <c r="D391" s="232" t="s">
        <v>409</v>
      </c>
      <c r="E391" s="233">
        <v>28</v>
      </c>
      <c r="F391" s="233">
        <v>6</v>
      </c>
      <c r="G391" s="235">
        <v>44649</v>
      </c>
    </row>
    <row r="392" spans="2:7">
      <c r="C392" s="232" t="s">
        <v>564</v>
      </c>
      <c r="D392" s="232" t="s">
        <v>409</v>
      </c>
      <c r="E392" s="233">
        <v>10</v>
      </c>
      <c r="F392" s="233">
        <v>5</v>
      </c>
      <c r="G392" s="235">
        <v>44223</v>
      </c>
    </row>
    <row r="393" spans="2:7">
      <c r="C393" s="232" t="s">
        <v>402</v>
      </c>
      <c r="D393" s="232" t="s">
        <v>667</v>
      </c>
      <c r="E393" s="233">
        <v>43</v>
      </c>
      <c r="F393" s="233">
        <f>30/5</f>
        <v>6</v>
      </c>
      <c r="G393" s="235">
        <v>44978</v>
      </c>
    </row>
    <row r="394" spans="2:7">
      <c r="C394" s="232" t="s">
        <v>402</v>
      </c>
      <c r="D394" s="232" t="s">
        <v>692</v>
      </c>
      <c r="E394" s="233">
        <v>25</v>
      </c>
      <c r="F394" s="233">
        <f>18/7</f>
        <v>2.5714285714285716</v>
      </c>
      <c r="G394" s="235">
        <v>44636</v>
      </c>
    </row>
    <row r="395" spans="2:7">
      <c r="C395" s="232" t="s">
        <v>559</v>
      </c>
      <c r="D395" s="232" t="s">
        <v>692</v>
      </c>
      <c r="E395" s="233">
        <v>12.2</v>
      </c>
      <c r="F395" s="233">
        <v>4</v>
      </c>
      <c r="G395" s="235">
        <v>44179</v>
      </c>
    </row>
    <row r="396" spans="2:7">
      <c r="C396" s="232" t="s">
        <v>564</v>
      </c>
      <c r="D396" s="232" t="s">
        <v>692</v>
      </c>
      <c r="E396" s="233">
        <v>5.0999999999999996</v>
      </c>
      <c r="F396" s="233">
        <v>1</v>
      </c>
      <c r="G396" s="235">
        <v>44046</v>
      </c>
    </row>
    <row r="397" spans="2:7">
      <c r="C397" s="232" t="s">
        <v>564</v>
      </c>
      <c r="D397" s="232" t="s">
        <v>591</v>
      </c>
      <c r="E397" s="233">
        <v>4.5</v>
      </c>
      <c r="F397" s="233">
        <v>0.5</v>
      </c>
      <c r="G397" s="235">
        <v>45056</v>
      </c>
    </row>
    <row r="398" spans="2:7">
      <c r="G398" s="235"/>
    </row>
    <row r="399" spans="2:7">
      <c r="B399" s="64" t="s">
        <v>879</v>
      </c>
      <c r="C399" s="201" t="s">
        <v>494</v>
      </c>
      <c r="D399" s="201" t="s">
        <v>782</v>
      </c>
      <c r="E399" s="197"/>
      <c r="F399" s="197">
        <f>SUM(F400:F404)</f>
        <v>27.5</v>
      </c>
      <c r="G399" s="234">
        <f>G403</f>
        <v>45041</v>
      </c>
    </row>
    <row r="400" spans="2:7">
      <c r="C400" s="232" t="s">
        <v>402</v>
      </c>
      <c r="D400" s="232" t="s">
        <v>874</v>
      </c>
      <c r="E400" s="233">
        <v>45</v>
      </c>
      <c r="F400" s="233">
        <v>10</v>
      </c>
      <c r="G400" s="235">
        <v>44228</v>
      </c>
    </row>
    <row r="401" spans="2:7">
      <c r="C401" s="232" t="s">
        <v>559</v>
      </c>
      <c r="D401" s="232" t="s">
        <v>874</v>
      </c>
      <c r="E401" s="233">
        <v>5</v>
      </c>
      <c r="F401" s="233">
        <v>1</v>
      </c>
      <c r="G401" s="235">
        <v>43251</v>
      </c>
    </row>
    <row r="402" spans="2:7">
      <c r="C402" s="232" t="s">
        <v>559</v>
      </c>
      <c r="D402" s="232" t="s">
        <v>670</v>
      </c>
      <c r="E402" s="233">
        <v>14</v>
      </c>
      <c r="F402" s="233">
        <v>2</v>
      </c>
      <c r="G402" s="235">
        <v>44131</v>
      </c>
    </row>
    <row r="403" spans="2:7">
      <c r="C403" s="232" t="s">
        <v>402</v>
      </c>
      <c r="D403" s="232" t="s">
        <v>392</v>
      </c>
      <c r="E403" s="233">
        <v>97.4</v>
      </c>
      <c r="F403" s="233">
        <f>47/6</f>
        <v>7.833333333333333</v>
      </c>
      <c r="G403" s="235">
        <v>45041</v>
      </c>
    </row>
    <row r="404" spans="2:7">
      <c r="C404" s="232" t="s">
        <v>559</v>
      </c>
      <c r="D404" s="232" t="s">
        <v>392</v>
      </c>
      <c r="E404" s="233">
        <v>80</v>
      </c>
      <c r="F404" s="233">
        <f>40/6</f>
        <v>6.666666666666667</v>
      </c>
      <c r="G404" s="235">
        <v>44539</v>
      </c>
    </row>
    <row r="405" spans="2:7">
      <c r="G405" s="235"/>
    </row>
    <row r="406" spans="2:7">
      <c r="B406" s="64" t="s">
        <v>948</v>
      </c>
      <c r="C406" s="201" t="s">
        <v>494</v>
      </c>
      <c r="D406" s="201" t="s">
        <v>782</v>
      </c>
      <c r="E406" s="197"/>
      <c r="F406" s="197">
        <f>F407+F408</f>
        <v>24.166666666666668</v>
      </c>
      <c r="G406" s="234">
        <f>G407</f>
        <v>44417</v>
      </c>
    </row>
    <row r="407" spans="2:7">
      <c r="C407" s="232" t="s">
        <v>581</v>
      </c>
      <c r="D407" s="232" t="s">
        <v>637</v>
      </c>
      <c r="E407" s="233">
        <v>85</v>
      </c>
      <c r="F407" s="233">
        <v>20</v>
      </c>
      <c r="G407" s="235">
        <v>44417</v>
      </c>
    </row>
    <row r="408" spans="2:7">
      <c r="C408" s="232" t="s">
        <v>402</v>
      </c>
      <c r="D408" s="232" t="s">
        <v>637</v>
      </c>
      <c r="E408" s="233">
        <v>35</v>
      </c>
      <c r="F408" s="233">
        <f>25/6</f>
        <v>4.166666666666667</v>
      </c>
      <c r="G408" s="235">
        <v>44293</v>
      </c>
    </row>
    <row r="409" spans="2:7">
      <c r="G409" s="235"/>
    </row>
    <row r="410" spans="2:7">
      <c r="B410" s="64" t="s">
        <v>986</v>
      </c>
      <c r="C410" s="201" t="s">
        <v>494</v>
      </c>
      <c r="D410" s="201" t="s">
        <v>782</v>
      </c>
      <c r="F410" s="197">
        <f>+F411+F412</f>
        <v>23.333333333333336</v>
      </c>
      <c r="G410" s="234">
        <f>+G411</f>
        <v>44699</v>
      </c>
    </row>
    <row r="411" spans="2:7">
      <c r="C411" s="232" t="s">
        <v>581</v>
      </c>
      <c r="D411" s="232" t="s">
        <v>423</v>
      </c>
      <c r="E411" s="233">
        <v>100</v>
      </c>
      <c r="F411" s="233">
        <v>15</v>
      </c>
      <c r="G411" s="235">
        <v>44699</v>
      </c>
    </row>
    <row r="412" spans="2:7">
      <c r="C412" s="232" t="s">
        <v>402</v>
      </c>
      <c r="D412" s="232" t="s">
        <v>423</v>
      </c>
      <c r="E412" s="233">
        <v>100</v>
      </c>
      <c r="F412" s="233">
        <f>25/3</f>
        <v>8.3333333333333339</v>
      </c>
      <c r="G412" s="235">
        <v>44286</v>
      </c>
    </row>
    <row r="413" spans="2:7">
      <c r="G413" s="235"/>
    </row>
    <row r="414" spans="2:7">
      <c r="B414" s="64" t="s">
        <v>1006</v>
      </c>
      <c r="C414" s="201" t="s">
        <v>494</v>
      </c>
      <c r="D414" s="201" t="s">
        <v>782</v>
      </c>
      <c r="E414" s="197"/>
      <c r="F414" s="197">
        <f>SUM(F415:F416)</f>
        <v>23</v>
      </c>
      <c r="G414" s="234">
        <f>G415</f>
        <v>44796</v>
      </c>
    </row>
    <row r="415" spans="2:7">
      <c r="C415" s="232" t="s">
        <v>1004</v>
      </c>
      <c r="D415" s="232" t="s">
        <v>635</v>
      </c>
      <c r="E415" s="233">
        <v>99</v>
      </c>
      <c r="F415" s="233">
        <v>20</v>
      </c>
      <c r="G415" s="235">
        <v>44796</v>
      </c>
    </row>
    <row r="416" spans="2:7">
      <c r="C416" s="272" t="s">
        <v>559</v>
      </c>
      <c r="D416" s="272" t="s">
        <v>597</v>
      </c>
      <c r="E416" s="233">
        <v>29</v>
      </c>
      <c r="F416" s="233">
        <v>3</v>
      </c>
      <c r="G416" s="235">
        <v>44783</v>
      </c>
    </row>
    <row r="417" spans="2:7">
      <c r="C417" s="272"/>
      <c r="D417" s="272"/>
      <c r="G417" s="235"/>
    </row>
    <row r="418" spans="2:7">
      <c r="B418" s="64" t="s">
        <v>785</v>
      </c>
      <c r="C418" s="201" t="s">
        <v>494</v>
      </c>
      <c r="D418" s="201" t="s">
        <v>782</v>
      </c>
      <c r="F418" s="197">
        <f>F419+F420</f>
        <v>20</v>
      </c>
      <c r="G418" s="234">
        <f>G420</f>
        <v>45050</v>
      </c>
    </row>
    <row r="419" spans="2:7">
      <c r="C419" s="232" t="s">
        <v>581</v>
      </c>
      <c r="D419" s="232" t="s">
        <v>774</v>
      </c>
      <c r="E419" s="233">
        <v>100</v>
      </c>
      <c r="F419" s="233">
        <v>13</v>
      </c>
      <c r="G419" s="235">
        <v>43682</v>
      </c>
    </row>
    <row r="420" spans="2:7">
      <c r="C420" s="232" t="s">
        <v>564</v>
      </c>
      <c r="D420" s="232" t="s">
        <v>529</v>
      </c>
      <c r="E420" s="233">
        <v>8</v>
      </c>
      <c r="F420" s="233">
        <v>7</v>
      </c>
      <c r="G420" s="235">
        <v>45050</v>
      </c>
    </row>
    <row r="421" spans="2:7">
      <c r="G421" s="235"/>
    </row>
    <row r="422" spans="2:7">
      <c r="B422" s="64" t="s">
        <v>826</v>
      </c>
      <c r="C422" s="201" t="s">
        <v>494</v>
      </c>
      <c r="D422" s="201" t="s">
        <v>782</v>
      </c>
      <c r="F422" s="197">
        <f>SUM(F423:F425)</f>
        <v>18.666666666666668</v>
      </c>
      <c r="G422" s="234">
        <f>G423</f>
        <v>44690</v>
      </c>
    </row>
    <row r="423" spans="2:7">
      <c r="C423" s="232" t="s">
        <v>581</v>
      </c>
      <c r="D423" s="232" t="s">
        <v>821</v>
      </c>
      <c r="E423" s="233">
        <v>100</v>
      </c>
      <c r="F423" s="233">
        <v>9</v>
      </c>
      <c r="G423" s="235">
        <v>44690</v>
      </c>
    </row>
    <row r="424" spans="2:7">
      <c r="C424" s="232" t="s">
        <v>402</v>
      </c>
      <c r="D424" s="232" t="s">
        <v>821</v>
      </c>
      <c r="E424" s="233">
        <v>40</v>
      </c>
      <c r="F424" s="233">
        <f>20/3</f>
        <v>6.666666666666667</v>
      </c>
      <c r="G424" s="235">
        <v>44327</v>
      </c>
    </row>
    <row r="425" spans="2:7">
      <c r="C425" s="232" t="s">
        <v>559</v>
      </c>
      <c r="D425" s="232" t="s">
        <v>821</v>
      </c>
      <c r="E425" s="233">
        <v>15</v>
      </c>
      <c r="F425" s="233">
        <v>3</v>
      </c>
      <c r="G425" s="235">
        <v>43816</v>
      </c>
    </row>
    <row r="426" spans="2:7">
      <c r="C426" s="232" t="s">
        <v>564</v>
      </c>
      <c r="D426" s="232" t="s">
        <v>821</v>
      </c>
      <c r="E426" s="233">
        <v>4</v>
      </c>
      <c r="F426" s="233">
        <v>1</v>
      </c>
      <c r="G426" s="235">
        <v>43243</v>
      </c>
    </row>
    <row r="427" spans="2:7">
      <c r="C427" s="232" t="s">
        <v>834</v>
      </c>
      <c r="D427" s="232" t="s">
        <v>821</v>
      </c>
      <c r="E427" s="233">
        <v>1.2</v>
      </c>
      <c r="F427" s="233">
        <v>0.2</v>
      </c>
      <c r="G427" s="235">
        <v>42799</v>
      </c>
    </row>
    <row r="428" spans="2:7">
      <c r="G428" s="235"/>
    </row>
    <row r="429" spans="2:7">
      <c r="B429" s="64" t="s">
        <v>851</v>
      </c>
      <c r="C429" s="201" t="s">
        <v>494</v>
      </c>
      <c r="D429" s="201" t="s">
        <v>782</v>
      </c>
      <c r="F429" s="197">
        <f>SUM(F430:F432)</f>
        <v>19</v>
      </c>
      <c r="G429" s="234">
        <f>G430</f>
        <v>44852</v>
      </c>
    </row>
    <row r="430" spans="2:7">
      <c r="C430" s="232" t="s">
        <v>559</v>
      </c>
      <c r="D430" s="232" t="s">
        <v>420</v>
      </c>
      <c r="E430" s="233">
        <v>125</v>
      </c>
      <c r="F430" s="233">
        <v>15</v>
      </c>
      <c r="G430" s="235">
        <v>44852</v>
      </c>
    </row>
    <row r="431" spans="2:7">
      <c r="C431" s="232" t="s">
        <v>559</v>
      </c>
      <c r="D431" s="232" t="s">
        <v>1517</v>
      </c>
      <c r="E431" s="233">
        <v>12.5</v>
      </c>
      <c r="F431" s="233">
        <v>2</v>
      </c>
      <c r="G431" s="235">
        <v>44784</v>
      </c>
    </row>
    <row r="432" spans="2:7">
      <c r="C432" s="232" t="s">
        <v>559</v>
      </c>
      <c r="D432" s="232" t="s">
        <v>1517</v>
      </c>
      <c r="E432" s="233">
        <v>10</v>
      </c>
      <c r="F432" s="233">
        <v>2</v>
      </c>
      <c r="G432" s="235">
        <v>44110</v>
      </c>
    </row>
    <row r="433" spans="2:7">
      <c r="G433" s="235"/>
    </row>
    <row r="434" spans="2:7" s="64" customFormat="1">
      <c r="B434" s="64" t="s">
        <v>789</v>
      </c>
      <c r="C434" s="201" t="s">
        <v>494</v>
      </c>
      <c r="D434" s="201" t="s">
        <v>782</v>
      </c>
      <c r="E434" s="197"/>
      <c r="F434" s="197">
        <f>SUM(F435:F438)</f>
        <v>18</v>
      </c>
      <c r="G434" s="234">
        <f>G435</f>
        <v>43682</v>
      </c>
    </row>
    <row r="435" spans="2:7">
      <c r="C435" s="232" t="s">
        <v>581</v>
      </c>
      <c r="D435" s="232" t="s">
        <v>774</v>
      </c>
      <c r="E435" s="233">
        <v>100</v>
      </c>
      <c r="F435" s="233">
        <v>13</v>
      </c>
      <c r="G435" s="235">
        <v>43682</v>
      </c>
    </row>
    <row r="436" spans="2:7">
      <c r="C436" s="232" t="s">
        <v>402</v>
      </c>
      <c r="D436" s="232" t="s">
        <v>774</v>
      </c>
      <c r="E436" s="233">
        <v>18</v>
      </c>
      <c r="F436" s="233">
        <v>3</v>
      </c>
      <c r="G436" s="235">
        <v>43319</v>
      </c>
    </row>
    <row r="437" spans="2:7">
      <c r="C437" s="232" t="s">
        <v>559</v>
      </c>
      <c r="D437" s="232" t="s">
        <v>774</v>
      </c>
      <c r="E437" s="233">
        <v>4.5</v>
      </c>
      <c r="F437" s="233">
        <f>E437/3</f>
        <v>1.5</v>
      </c>
      <c r="G437" s="235">
        <v>42878</v>
      </c>
    </row>
    <row r="438" spans="2:7">
      <c r="C438" s="232" t="s">
        <v>564</v>
      </c>
      <c r="D438" s="232" t="s">
        <v>637</v>
      </c>
      <c r="E438" s="233">
        <v>3.3</v>
      </c>
      <c r="F438" s="233">
        <v>0.5</v>
      </c>
      <c r="G438" s="235">
        <v>44026</v>
      </c>
    </row>
    <row r="439" spans="2:7">
      <c r="G439" s="235"/>
    </row>
    <row r="440" spans="2:7">
      <c r="B440" s="64" t="s">
        <v>1205</v>
      </c>
      <c r="C440" s="201" t="s">
        <v>494</v>
      </c>
      <c r="D440" s="201" t="s">
        <v>782</v>
      </c>
      <c r="F440" s="197">
        <f>SUM(F441:F445)</f>
        <v>16.940000000000001</v>
      </c>
      <c r="G440" s="234">
        <f>G443</f>
        <v>44636</v>
      </c>
    </row>
    <row r="441" spans="2:7">
      <c r="C441" s="232" t="s">
        <v>402</v>
      </c>
      <c r="D441" s="232" t="s">
        <v>675</v>
      </c>
      <c r="E441" s="233">
        <v>30</v>
      </c>
      <c r="F441" s="233">
        <v>6</v>
      </c>
      <c r="G441" s="235">
        <v>44539</v>
      </c>
    </row>
    <row r="442" spans="2:7">
      <c r="C442" s="232" t="s">
        <v>559</v>
      </c>
      <c r="D442" s="232" t="s">
        <v>675</v>
      </c>
      <c r="E442" s="233">
        <v>11</v>
      </c>
      <c r="F442" s="233">
        <v>3</v>
      </c>
      <c r="G442" s="235">
        <v>43862</v>
      </c>
    </row>
    <row r="443" spans="2:7">
      <c r="C443" s="232" t="s">
        <v>402</v>
      </c>
      <c r="D443" s="232" t="s">
        <v>692</v>
      </c>
      <c r="E443" s="233">
        <v>25</v>
      </c>
      <c r="F443" s="233">
        <v>3</v>
      </c>
      <c r="G443" s="235">
        <v>44636</v>
      </c>
    </row>
    <row r="444" spans="2:7">
      <c r="C444" s="232" t="s">
        <v>559</v>
      </c>
      <c r="D444" s="232" t="s">
        <v>692</v>
      </c>
      <c r="E444" s="233">
        <v>12.2</v>
      </c>
      <c r="F444" s="233">
        <f>8.2/5</f>
        <v>1.64</v>
      </c>
      <c r="G444" s="235">
        <v>44179</v>
      </c>
    </row>
    <row r="445" spans="2:7">
      <c r="C445" s="260" t="s">
        <v>559</v>
      </c>
      <c r="D445" s="260" t="s">
        <v>720</v>
      </c>
      <c r="E445" s="233">
        <v>15</v>
      </c>
      <c r="F445" s="233">
        <v>3.3</v>
      </c>
      <c r="G445" s="235">
        <v>44482</v>
      </c>
    </row>
    <row r="446" spans="2:7">
      <c r="G446" s="235"/>
    </row>
    <row r="447" spans="2:7">
      <c r="B447" s="64" t="s">
        <v>1049</v>
      </c>
      <c r="C447" s="201" t="s">
        <v>494</v>
      </c>
      <c r="D447" s="201" t="s">
        <v>782</v>
      </c>
      <c r="F447" s="197">
        <f>SUM(F448:F450)</f>
        <v>17.142857142857142</v>
      </c>
      <c r="G447" s="234">
        <f>G449</f>
        <v>44650</v>
      </c>
    </row>
    <row r="448" spans="2:7">
      <c r="C448" s="232" t="s">
        <v>402</v>
      </c>
      <c r="D448" s="232" t="s">
        <v>650</v>
      </c>
      <c r="E448" s="233">
        <v>50</v>
      </c>
      <c r="F448" s="233">
        <f>E448/7</f>
        <v>7.1428571428571432</v>
      </c>
      <c r="G448" s="235">
        <v>44628</v>
      </c>
    </row>
    <row r="449" spans="2:7">
      <c r="C449" s="232" t="s">
        <v>402</v>
      </c>
      <c r="D449" s="232" t="s">
        <v>670</v>
      </c>
      <c r="E449" s="233">
        <v>40</v>
      </c>
      <c r="F449" s="233">
        <v>5</v>
      </c>
      <c r="G449" s="235">
        <v>44650</v>
      </c>
    </row>
    <row r="450" spans="2:7">
      <c r="C450" s="232" t="s">
        <v>559</v>
      </c>
      <c r="D450" s="232" t="s">
        <v>670</v>
      </c>
      <c r="E450" s="233">
        <v>14</v>
      </c>
      <c r="F450" s="233">
        <v>5</v>
      </c>
      <c r="G450" s="235">
        <v>44131</v>
      </c>
    </row>
    <row r="452" spans="2:7">
      <c r="B452" s="64" t="s">
        <v>822</v>
      </c>
      <c r="C452" s="201" t="s">
        <v>494</v>
      </c>
      <c r="D452" s="201" t="s">
        <v>782</v>
      </c>
      <c r="F452" s="197">
        <f>SUM(F453:F455)</f>
        <v>13</v>
      </c>
      <c r="G452" s="234">
        <f>G453</f>
        <v>44690</v>
      </c>
    </row>
    <row r="453" spans="2:7">
      <c r="C453" s="232" t="s">
        <v>581</v>
      </c>
      <c r="D453" s="232" t="s">
        <v>821</v>
      </c>
      <c r="E453" s="233">
        <v>100</v>
      </c>
      <c r="F453" s="233">
        <v>9</v>
      </c>
      <c r="G453" s="235">
        <v>44690</v>
      </c>
    </row>
    <row r="454" spans="2:7">
      <c r="C454" s="232" t="s">
        <v>559</v>
      </c>
      <c r="D454" s="232" t="s">
        <v>821</v>
      </c>
      <c r="E454" s="233">
        <v>15</v>
      </c>
      <c r="F454" s="233">
        <v>3</v>
      </c>
      <c r="G454" s="235">
        <v>43816</v>
      </c>
    </row>
    <row r="455" spans="2:7">
      <c r="C455" s="232" t="s">
        <v>564</v>
      </c>
      <c r="D455" s="232" t="s">
        <v>821</v>
      </c>
      <c r="E455" s="233">
        <v>4</v>
      </c>
      <c r="F455" s="233">
        <v>1</v>
      </c>
      <c r="G455" s="235">
        <v>43243</v>
      </c>
    </row>
    <row r="456" spans="2:7">
      <c r="G456" s="235"/>
    </row>
    <row r="457" spans="2:7">
      <c r="B457" s="64" t="s">
        <v>878</v>
      </c>
      <c r="C457" s="201" t="s">
        <v>494</v>
      </c>
      <c r="D457" s="201" t="s">
        <v>782</v>
      </c>
      <c r="E457" s="197"/>
      <c r="F457" s="197">
        <f>F458+F459</f>
        <v>12</v>
      </c>
      <c r="G457" s="234">
        <f>G458</f>
        <v>44228</v>
      </c>
    </row>
    <row r="458" spans="2:7">
      <c r="C458" s="232" t="s">
        <v>402</v>
      </c>
      <c r="D458" s="232" t="s">
        <v>874</v>
      </c>
      <c r="E458" s="233">
        <v>45</v>
      </c>
      <c r="F458" s="233">
        <v>10</v>
      </c>
      <c r="G458" s="235">
        <v>44228</v>
      </c>
    </row>
    <row r="459" spans="2:7">
      <c r="C459" s="232" t="s">
        <v>559</v>
      </c>
      <c r="D459" s="232" t="s">
        <v>874</v>
      </c>
      <c r="E459" s="233">
        <v>5</v>
      </c>
      <c r="F459" s="233">
        <v>2</v>
      </c>
      <c r="G459" s="235">
        <v>43251</v>
      </c>
    </row>
    <row r="460" spans="2:7">
      <c r="C460" s="232" t="s">
        <v>559</v>
      </c>
      <c r="D460" s="232" t="s">
        <v>672</v>
      </c>
      <c r="E460" s="233">
        <v>19</v>
      </c>
      <c r="F460" s="233">
        <v>4</v>
      </c>
      <c r="G460" s="235">
        <v>44467</v>
      </c>
    </row>
    <row r="461" spans="2:7">
      <c r="C461" s="232" t="s">
        <v>564</v>
      </c>
      <c r="D461" s="232" t="s">
        <v>672</v>
      </c>
      <c r="E461" s="233">
        <v>4</v>
      </c>
      <c r="F461" s="233">
        <v>2</v>
      </c>
      <c r="G461" s="235">
        <v>43873</v>
      </c>
    </row>
    <row r="462" spans="2:7">
      <c r="G462" s="235"/>
    </row>
    <row r="463" spans="2:7">
      <c r="B463" s="64" t="s">
        <v>426</v>
      </c>
      <c r="C463" s="201" t="s">
        <v>494</v>
      </c>
      <c r="D463" s="201" t="s">
        <v>782</v>
      </c>
      <c r="F463" s="197">
        <f>SUM(F464:F465)</f>
        <v>12</v>
      </c>
      <c r="G463" s="234">
        <f>+G465</f>
        <v>45013</v>
      </c>
    </row>
    <row r="464" spans="2:7">
      <c r="C464" s="232" t="s">
        <v>581</v>
      </c>
      <c r="D464" s="232" t="s">
        <v>629</v>
      </c>
      <c r="E464" s="233">
        <v>100</v>
      </c>
      <c r="F464" s="233">
        <v>10</v>
      </c>
      <c r="G464" s="235">
        <v>44754</v>
      </c>
    </row>
    <row r="465" spans="2:7">
      <c r="C465" s="232" t="s">
        <v>559</v>
      </c>
      <c r="D465" s="232" t="s">
        <v>417</v>
      </c>
      <c r="E465" s="233">
        <v>25.6</v>
      </c>
      <c r="F465" s="233">
        <v>2</v>
      </c>
      <c r="G465" s="235">
        <v>45013</v>
      </c>
    </row>
    <row r="466" spans="2:7">
      <c r="G466" s="235"/>
    </row>
    <row r="467" spans="2:7">
      <c r="B467" s="64" t="s">
        <v>917</v>
      </c>
      <c r="C467" s="201" t="s">
        <v>494</v>
      </c>
      <c r="D467" s="201" t="s">
        <v>782</v>
      </c>
      <c r="E467" s="197"/>
      <c r="F467" s="197">
        <f>SUM(F468:F470)</f>
        <v>12</v>
      </c>
      <c r="G467" s="234">
        <f>+G468</f>
        <v>44900</v>
      </c>
    </row>
    <row r="468" spans="2:7">
      <c r="C468" s="232" t="s">
        <v>581</v>
      </c>
      <c r="D468" s="232" t="s">
        <v>888</v>
      </c>
      <c r="E468" s="233">
        <v>50</v>
      </c>
      <c r="F468" s="233">
        <v>6</v>
      </c>
      <c r="G468" s="235">
        <v>44900</v>
      </c>
    </row>
    <row r="469" spans="2:7">
      <c r="C469" s="232" t="s">
        <v>402</v>
      </c>
      <c r="D469" s="232" t="s">
        <v>888</v>
      </c>
      <c r="E469" s="233">
        <v>35</v>
      </c>
      <c r="F469" s="233">
        <v>5</v>
      </c>
      <c r="G469" s="235">
        <v>44543</v>
      </c>
    </row>
    <row r="470" spans="2:7">
      <c r="C470" s="232" t="s">
        <v>559</v>
      </c>
      <c r="D470" s="232" t="s">
        <v>888</v>
      </c>
      <c r="E470" s="233">
        <v>8.5</v>
      </c>
      <c r="F470" s="233">
        <v>1</v>
      </c>
      <c r="G470" s="235">
        <v>44181</v>
      </c>
    </row>
    <row r="471" spans="2:7">
      <c r="G471" s="235"/>
    </row>
    <row r="472" spans="2:7">
      <c r="B472" s="64" t="s">
        <v>1128</v>
      </c>
      <c r="C472" s="201" t="s">
        <v>494</v>
      </c>
      <c r="D472" s="201" t="s">
        <v>782</v>
      </c>
      <c r="F472" s="197">
        <f>SUM(F473:F476)</f>
        <v>11.1</v>
      </c>
      <c r="G472" s="234">
        <f>G473</f>
        <v>44796</v>
      </c>
    </row>
    <row r="473" spans="2:7">
      <c r="C473" s="232" t="s">
        <v>559</v>
      </c>
      <c r="D473" s="232" t="s">
        <v>1120</v>
      </c>
      <c r="E473" s="233">
        <v>50</v>
      </c>
      <c r="F473" s="233">
        <f t="shared" ref="F473:F964" si="2">30/12</f>
        <v>2.5</v>
      </c>
      <c r="G473" s="235">
        <v>44796</v>
      </c>
    </row>
    <row r="474" spans="2:7">
      <c r="C474" s="232" t="s">
        <v>564</v>
      </c>
      <c r="D474" s="232" t="s">
        <v>1120</v>
      </c>
      <c r="E474" s="233">
        <v>12.5</v>
      </c>
      <c r="F474" s="233">
        <f>8/5</f>
        <v>1.6</v>
      </c>
      <c r="G474" s="235">
        <v>44623</v>
      </c>
    </row>
    <row r="475" spans="2:7">
      <c r="C475" s="232" t="s">
        <v>564</v>
      </c>
      <c r="D475" s="232" t="s">
        <v>1120</v>
      </c>
      <c r="E475" s="233">
        <v>7.2</v>
      </c>
      <c r="F475" s="233">
        <v>2</v>
      </c>
      <c r="G475" s="235">
        <v>44508</v>
      </c>
    </row>
    <row r="476" spans="2:7">
      <c r="C476" s="260" t="s">
        <v>559</v>
      </c>
      <c r="D476" s="260" t="s">
        <v>720</v>
      </c>
      <c r="E476" s="233">
        <v>15</v>
      </c>
      <c r="F476" s="233">
        <v>5</v>
      </c>
      <c r="G476" s="235">
        <v>44482</v>
      </c>
    </row>
    <row r="477" spans="2:7">
      <c r="C477" s="260" t="s">
        <v>564</v>
      </c>
      <c r="D477" s="260" t="s">
        <v>720</v>
      </c>
      <c r="E477" s="233">
        <v>4.5</v>
      </c>
      <c r="F477" s="233">
        <v>1.5</v>
      </c>
      <c r="G477" s="235">
        <v>44362</v>
      </c>
    </row>
    <row r="478" spans="2:7">
      <c r="G478" s="235"/>
    </row>
    <row r="479" spans="2:7">
      <c r="B479" s="64" t="s">
        <v>951</v>
      </c>
      <c r="C479" s="201" t="s">
        <v>494</v>
      </c>
      <c r="D479" s="201" t="s">
        <v>782</v>
      </c>
      <c r="E479" s="197"/>
      <c r="F479" s="197">
        <f>+F480+F481</f>
        <v>10.166666666666668</v>
      </c>
      <c r="G479" s="234">
        <f>+G480</f>
        <v>44417</v>
      </c>
    </row>
    <row r="480" spans="2:7">
      <c r="C480" s="232" t="s">
        <v>581</v>
      </c>
      <c r="D480" s="232" t="s">
        <v>637</v>
      </c>
      <c r="E480" s="233">
        <v>85</v>
      </c>
      <c r="F480" s="233">
        <v>6</v>
      </c>
      <c r="G480" s="235">
        <v>44417</v>
      </c>
    </row>
    <row r="481" spans="2:7">
      <c r="C481" s="232" t="s">
        <v>402</v>
      </c>
      <c r="D481" s="232" t="s">
        <v>637</v>
      </c>
      <c r="E481" s="233">
        <v>35</v>
      </c>
      <c r="F481" s="233">
        <f>25/6</f>
        <v>4.166666666666667</v>
      </c>
      <c r="G481" s="235">
        <v>44293</v>
      </c>
    </row>
    <row r="482" spans="2:7">
      <c r="G482" s="235"/>
    </row>
    <row r="483" spans="2:7" s="64" customFormat="1">
      <c r="B483" s="64" t="s">
        <v>1046</v>
      </c>
      <c r="C483" s="201" t="s">
        <v>494</v>
      </c>
      <c r="D483" s="201" t="s">
        <v>782</v>
      </c>
      <c r="E483" s="197"/>
      <c r="F483" s="197">
        <f>SUM(F484:F485)</f>
        <v>10.142857142857142</v>
      </c>
      <c r="G483" s="234">
        <f>G484</f>
        <v>44628</v>
      </c>
    </row>
    <row r="484" spans="2:7">
      <c r="C484" s="232" t="s">
        <v>402</v>
      </c>
      <c r="D484" s="232" t="s">
        <v>650</v>
      </c>
      <c r="E484" s="233">
        <v>50</v>
      </c>
      <c r="F484" s="233">
        <f>E484/7</f>
        <v>7.1428571428571432</v>
      </c>
      <c r="G484" s="235">
        <v>44628</v>
      </c>
    </row>
    <row r="485" spans="2:7">
      <c r="C485" s="232" t="s">
        <v>559</v>
      </c>
      <c r="D485" s="232" t="s">
        <v>650</v>
      </c>
      <c r="E485" s="233">
        <v>10</v>
      </c>
      <c r="F485" s="233">
        <v>3</v>
      </c>
      <c r="G485" s="235">
        <v>44378</v>
      </c>
    </row>
    <row r="486" spans="2:7">
      <c r="G486" s="235"/>
    </row>
    <row r="487" spans="2:7" s="64" customFormat="1">
      <c r="B487" s="64" t="s">
        <v>1169</v>
      </c>
      <c r="C487" s="266" t="s">
        <v>494</v>
      </c>
      <c r="D487" s="266" t="s">
        <v>782</v>
      </c>
      <c r="E487" s="267"/>
      <c r="F487" s="267">
        <f>SUM(F488:F490)</f>
        <v>10</v>
      </c>
      <c r="G487" s="268">
        <f>G488</f>
        <v>44963</v>
      </c>
    </row>
    <row r="488" spans="2:7">
      <c r="C488" s="232" t="s">
        <v>559</v>
      </c>
      <c r="D488" s="232" t="s">
        <v>463</v>
      </c>
      <c r="E488" s="233">
        <v>23</v>
      </c>
      <c r="F488" s="233">
        <v>5</v>
      </c>
      <c r="G488" s="235">
        <v>44963</v>
      </c>
    </row>
    <row r="489" spans="2:7">
      <c r="C489" s="260" t="s">
        <v>559</v>
      </c>
      <c r="D489" s="260" t="s">
        <v>723</v>
      </c>
      <c r="E489" s="233">
        <v>14</v>
      </c>
      <c r="F489" s="233">
        <v>3</v>
      </c>
      <c r="G489" s="235">
        <v>44705</v>
      </c>
    </row>
    <row r="490" spans="2:7">
      <c r="C490" s="260" t="s">
        <v>564</v>
      </c>
      <c r="D490" s="260" t="s">
        <v>723</v>
      </c>
      <c r="E490" s="233">
        <v>5</v>
      </c>
      <c r="F490" s="233">
        <v>2</v>
      </c>
      <c r="G490" s="235">
        <v>44578</v>
      </c>
    </row>
    <row r="491" spans="2:7">
      <c r="C491" s="260"/>
      <c r="D491" s="260"/>
      <c r="G491" s="235"/>
    </row>
    <row r="492" spans="2:7" s="64" customFormat="1">
      <c r="B492" s="64" t="s">
        <v>1047</v>
      </c>
      <c r="C492" s="201" t="s">
        <v>494</v>
      </c>
      <c r="D492" s="201" t="s">
        <v>782</v>
      </c>
      <c r="E492" s="197"/>
      <c r="F492" s="197">
        <f>SUM(F493:F494)</f>
        <v>10.142857142857142</v>
      </c>
      <c r="G492" s="234">
        <f>G493</f>
        <v>44628</v>
      </c>
    </row>
    <row r="493" spans="2:7">
      <c r="C493" s="232" t="s">
        <v>402</v>
      </c>
      <c r="D493" s="232" t="s">
        <v>650</v>
      </c>
      <c r="E493" s="233">
        <v>50</v>
      </c>
      <c r="F493" s="233">
        <f>E493/7</f>
        <v>7.1428571428571432</v>
      </c>
      <c r="G493" s="235">
        <v>44628</v>
      </c>
    </row>
    <row r="494" spans="2:7">
      <c r="C494" s="232" t="s">
        <v>559</v>
      </c>
      <c r="D494" s="232" t="s">
        <v>650</v>
      </c>
      <c r="E494" s="233">
        <v>10</v>
      </c>
      <c r="F494" s="233">
        <v>3</v>
      </c>
      <c r="G494" s="235">
        <v>44378</v>
      </c>
    </row>
    <row r="495" spans="2:7">
      <c r="G495" s="235"/>
    </row>
    <row r="496" spans="2:7">
      <c r="B496" s="64" t="s">
        <v>953</v>
      </c>
      <c r="C496" s="201" t="s">
        <v>494</v>
      </c>
      <c r="D496" s="201" t="s">
        <v>782</v>
      </c>
      <c r="F496" s="197">
        <f>SUM(F497:F499)</f>
        <v>7.666666666666667</v>
      </c>
      <c r="G496" s="234">
        <f>G497</f>
        <v>44293</v>
      </c>
    </row>
    <row r="497" spans="2:7">
      <c r="C497" s="232" t="s">
        <v>402</v>
      </c>
      <c r="D497" s="232" t="s">
        <v>637</v>
      </c>
      <c r="E497" s="233">
        <v>35</v>
      </c>
      <c r="F497" s="233">
        <f>25/6</f>
        <v>4.166666666666667</v>
      </c>
      <c r="G497" s="235">
        <v>44293</v>
      </c>
    </row>
    <row r="498" spans="2:7">
      <c r="C498" s="232" t="s">
        <v>559</v>
      </c>
      <c r="D498" s="232" t="s">
        <v>637</v>
      </c>
      <c r="E498" s="233">
        <v>12</v>
      </c>
      <c r="F498" s="233">
        <v>3</v>
      </c>
      <c r="G498" s="235">
        <v>44026</v>
      </c>
    </row>
    <row r="499" spans="2:7">
      <c r="C499" s="232" t="s">
        <v>564</v>
      </c>
      <c r="D499" s="232" t="s">
        <v>637</v>
      </c>
      <c r="E499" s="233">
        <v>3.3</v>
      </c>
      <c r="F499" s="233">
        <v>0.5</v>
      </c>
      <c r="G499" s="235">
        <v>44026</v>
      </c>
    </row>
    <row r="500" spans="2:7">
      <c r="G500" s="235"/>
    </row>
    <row r="501" spans="2:7">
      <c r="B501" s="64" t="s">
        <v>1025</v>
      </c>
      <c r="C501" s="201" t="s">
        <v>494</v>
      </c>
      <c r="D501" s="201" t="s">
        <v>782</v>
      </c>
      <c r="F501" s="197">
        <f>F502+F503</f>
        <v>8</v>
      </c>
      <c r="G501" s="234">
        <f>G502</f>
        <v>44153</v>
      </c>
    </row>
    <row r="502" spans="2:7">
      <c r="C502" s="232" t="s">
        <v>402</v>
      </c>
      <c r="D502" s="232" t="s">
        <v>646</v>
      </c>
      <c r="E502" s="233">
        <v>22</v>
      </c>
      <c r="F502" s="233">
        <v>5</v>
      </c>
      <c r="G502" s="235">
        <v>44153</v>
      </c>
    </row>
    <row r="503" spans="2:7">
      <c r="C503" s="232" t="s">
        <v>559</v>
      </c>
      <c r="D503" s="232" t="s">
        <v>646</v>
      </c>
      <c r="E503" s="233">
        <v>13</v>
      </c>
      <c r="F503" s="233">
        <v>3</v>
      </c>
      <c r="G503" s="235">
        <v>44026</v>
      </c>
    </row>
    <row r="504" spans="2:7">
      <c r="G504" s="235"/>
    </row>
    <row r="505" spans="2:7" s="64" customFormat="1">
      <c r="B505" s="64" t="s">
        <v>1199</v>
      </c>
      <c r="C505" s="201" t="s">
        <v>494</v>
      </c>
      <c r="D505" s="201" t="s">
        <v>782</v>
      </c>
      <c r="E505" s="197"/>
      <c r="F505" s="197">
        <f>F506+F507</f>
        <v>6.8000000000000007</v>
      </c>
      <c r="G505" s="234">
        <f>G507</f>
        <v>44705</v>
      </c>
    </row>
    <row r="506" spans="2:7">
      <c r="C506" s="232" t="s">
        <v>559</v>
      </c>
      <c r="D506" s="232" t="s">
        <v>1193</v>
      </c>
      <c r="E506" s="233">
        <v>21.4</v>
      </c>
      <c r="F506" s="233">
        <f>11.4/3</f>
        <v>3.8000000000000003</v>
      </c>
      <c r="G506" s="235">
        <v>44232</v>
      </c>
    </row>
    <row r="507" spans="2:7">
      <c r="C507" s="260" t="s">
        <v>559</v>
      </c>
      <c r="D507" s="260" t="s">
        <v>723</v>
      </c>
      <c r="E507" s="233">
        <v>14</v>
      </c>
      <c r="F507" s="233">
        <v>3</v>
      </c>
      <c r="G507" s="235">
        <v>44705</v>
      </c>
    </row>
    <row r="508" spans="2:7">
      <c r="C508" s="260" t="s">
        <v>564</v>
      </c>
      <c r="D508" s="260" t="s">
        <v>723</v>
      </c>
      <c r="E508" s="233">
        <v>5</v>
      </c>
      <c r="F508" s="233">
        <v>2</v>
      </c>
      <c r="G508" s="235">
        <v>44578</v>
      </c>
    </row>
    <row r="509" spans="2:7">
      <c r="C509" s="260"/>
      <c r="D509" s="260"/>
      <c r="G509" s="235"/>
    </row>
    <row r="510" spans="2:7">
      <c r="B510" s="64" t="s">
        <v>1017</v>
      </c>
      <c r="C510" s="201" t="s">
        <v>494</v>
      </c>
      <c r="D510" s="201" t="s">
        <v>782</v>
      </c>
      <c r="F510" s="197">
        <f>F511+F512</f>
        <v>6</v>
      </c>
      <c r="G510" s="234">
        <f>G512</f>
        <v>44467</v>
      </c>
    </row>
    <row r="511" spans="2:7">
      <c r="C511" s="232" t="s">
        <v>559</v>
      </c>
      <c r="D511" s="232" t="s">
        <v>635</v>
      </c>
      <c r="E511" s="233">
        <v>20</v>
      </c>
      <c r="F511" s="233">
        <f>12/6</f>
        <v>2</v>
      </c>
      <c r="G511" s="235">
        <v>43816</v>
      </c>
    </row>
    <row r="512" spans="2:7">
      <c r="C512" s="232" t="s">
        <v>559</v>
      </c>
      <c r="D512" s="232" t="s">
        <v>672</v>
      </c>
      <c r="E512" s="233">
        <v>19</v>
      </c>
      <c r="F512" s="233">
        <v>4</v>
      </c>
      <c r="G512" s="235">
        <v>44467</v>
      </c>
    </row>
    <row r="514" spans="2:7">
      <c r="B514" s="64" t="s">
        <v>881</v>
      </c>
      <c r="C514" s="201" t="s">
        <v>494</v>
      </c>
      <c r="D514" s="201" t="s">
        <v>782</v>
      </c>
      <c r="F514" s="197">
        <f>F515+F516</f>
        <v>3.5</v>
      </c>
      <c r="G514" s="234">
        <f>G516</f>
        <v>44392</v>
      </c>
    </row>
    <row r="515" spans="2:7">
      <c r="C515" s="232" t="s">
        <v>559</v>
      </c>
      <c r="D515" s="232" t="s">
        <v>874</v>
      </c>
      <c r="E515" s="233">
        <v>5</v>
      </c>
      <c r="F515" s="233">
        <v>1</v>
      </c>
      <c r="G515" s="235">
        <v>43251</v>
      </c>
    </row>
    <row r="516" spans="2:7">
      <c r="C516" s="232" t="s">
        <v>559</v>
      </c>
      <c r="D516" s="232" t="s">
        <v>705</v>
      </c>
      <c r="E516" s="233">
        <v>20</v>
      </c>
      <c r="F516" s="233">
        <v>2.5</v>
      </c>
      <c r="G516" s="235">
        <v>44392</v>
      </c>
    </row>
    <row r="517" spans="2:7">
      <c r="G517" s="235"/>
    </row>
    <row r="518" spans="2:7">
      <c r="B518" s="64" t="s">
        <v>853</v>
      </c>
      <c r="C518" s="201" t="s">
        <v>494</v>
      </c>
      <c r="D518" s="201" t="s">
        <v>782</v>
      </c>
      <c r="E518" s="197"/>
      <c r="F518" s="197">
        <f>+F519+F520</f>
        <v>1.5</v>
      </c>
      <c r="G518" s="234">
        <f>+G519</f>
        <v>44287</v>
      </c>
    </row>
    <row r="519" spans="2:7">
      <c r="C519" s="232" t="s">
        <v>689</v>
      </c>
      <c r="D519" s="232" t="s">
        <v>420</v>
      </c>
      <c r="E519" s="233">
        <v>1</v>
      </c>
      <c r="F519" s="233">
        <v>0.5</v>
      </c>
      <c r="G519" s="235">
        <v>44287</v>
      </c>
    </row>
    <row r="520" spans="2:7">
      <c r="C520" s="232" t="s">
        <v>559</v>
      </c>
      <c r="D520" s="232" t="s">
        <v>888</v>
      </c>
      <c r="E520" s="233">
        <v>8.5</v>
      </c>
      <c r="F520" s="233">
        <v>1</v>
      </c>
      <c r="G520" s="235">
        <v>44181</v>
      </c>
    </row>
    <row r="521" spans="2:7">
      <c r="C521" s="232" t="s">
        <v>559</v>
      </c>
      <c r="D521" s="232" t="s">
        <v>705</v>
      </c>
      <c r="E521" s="233">
        <v>20</v>
      </c>
      <c r="F521" s="233">
        <f>10/4</f>
        <v>2.5</v>
      </c>
      <c r="G521" s="235">
        <v>44392</v>
      </c>
    </row>
    <row r="522" spans="2:7">
      <c r="C522" s="232" t="s">
        <v>564</v>
      </c>
      <c r="D522" s="232" t="s">
        <v>713</v>
      </c>
      <c r="E522" s="233">
        <v>4.5</v>
      </c>
      <c r="F522" s="233">
        <v>0.5</v>
      </c>
      <c r="G522" s="235">
        <v>44293</v>
      </c>
    </row>
    <row r="524" spans="2:7">
      <c r="B524" s="230" t="s">
        <v>59</v>
      </c>
      <c r="C524" s="232" t="s">
        <v>402</v>
      </c>
      <c r="D524" s="232" t="s">
        <v>144</v>
      </c>
      <c r="E524" s="233">
        <v>580</v>
      </c>
      <c r="F524" s="233">
        <v>580</v>
      </c>
      <c r="G524" s="235">
        <v>44680</v>
      </c>
    </row>
    <row r="525" spans="2:7">
      <c r="B525" s="230" t="s">
        <v>783</v>
      </c>
      <c r="C525" s="232" t="s">
        <v>778</v>
      </c>
      <c r="D525" s="232" t="s">
        <v>774</v>
      </c>
      <c r="E525" s="233">
        <v>155</v>
      </c>
      <c r="F525" s="233">
        <v>105</v>
      </c>
      <c r="G525" s="235">
        <v>44166</v>
      </c>
    </row>
    <row r="526" spans="2:7">
      <c r="B526" s="230" t="s">
        <v>769</v>
      </c>
      <c r="C526" s="232" t="s">
        <v>761</v>
      </c>
      <c r="D526" s="232" t="s">
        <v>774</v>
      </c>
      <c r="E526" s="233">
        <v>325</v>
      </c>
      <c r="F526" s="233">
        <v>65</v>
      </c>
      <c r="G526" s="235">
        <v>44299</v>
      </c>
    </row>
    <row r="527" spans="2:7">
      <c r="B527" s="230" t="s">
        <v>794</v>
      </c>
      <c r="C527" s="232" t="s">
        <v>581</v>
      </c>
      <c r="D527" s="232" t="s">
        <v>144</v>
      </c>
      <c r="E527" s="233">
        <v>450</v>
      </c>
      <c r="F527" s="233">
        <f>300/5</f>
        <v>60</v>
      </c>
      <c r="G527" s="235">
        <v>45069</v>
      </c>
    </row>
    <row r="528" spans="2:7">
      <c r="B528" s="230" t="s">
        <v>795</v>
      </c>
      <c r="C528" s="232" t="s">
        <v>581</v>
      </c>
      <c r="D528" s="232" t="s">
        <v>144</v>
      </c>
      <c r="E528" s="233">
        <v>450</v>
      </c>
      <c r="F528" s="233">
        <f>300/5</f>
        <v>60</v>
      </c>
      <c r="G528" s="235">
        <v>45069</v>
      </c>
    </row>
    <row r="529" spans="2:7">
      <c r="B529" s="230" t="s">
        <v>875</v>
      </c>
      <c r="C529" s="232" t="s">
        <v>581</v>
      </c>
      <c r="D529" s="232" t="s">
        <v>874</v>
      </c>
      <c r="E529" s="233">
        <v>135</v>
      </c>
      <c r="F529" s="233">
        <v>42.5</v>
      </c>
      <c r="G529" s="235">
        <v>44482</v>
      </c>
    </row>
    <row r="530" spans="2:7">
      <c r="B530" s="230" t="s">
        <v>804</v>
      </c>
      <c r="C530" s="232" t="s">
        <v>564</v>
      </c>
      <c r="D530" s="232" t="s">
        <v>415</v>
      </c>
      <c r="E530" s="233">
        <v>100</v>
      </c>
      <c r="F530" s="233">
        <v>25</v>
      </c>
      <c r="G530" s="235">
        <v>44846</v>
      </c>
    </row>
    <row r="531" spans="2:7">
      <c r="B531" s="230" t="s">
        <v>915</v>
      </c>
      <c r="C531" s="232" t="s">
        <v>778</v>
      </c>
      <c r="D531" s="232" t="s">
        <v>888</v>
      </c>
      <c r="E531" s="233">
        <v>100</v>
      </c>
      <c r="F531" s="233">
        <v>25</v>
      </c>
      <c r="G531" s="235">
        <v>45051</v>
      </c>
    </row>
    <row r="532" spans="2:7">
      <c r="B532" s="230" t="s">
        <v>810</v>
      </c>
      <c r="C532" s="232" t="s">
        <v>581</v>
      </c>
      <c r="D532" s="232" t="s">
        <v>404</v>
      </c>
      <c r="E532" s="233">
        <v>270</v>
      </c>
      <c r="F532" s="233">
        <v>24</v>
      </c>
      <c r="G532" s="235">
        <v>45048</v>
      </c>
    </row>
    <row r="533" spans="2:7">
      <c r="B533" s="230" t="s">
        <v>811</v>
      </c>
      <c r="C533" s="232" t="s">
        <v>581</v>
      </c>
      <c r="D533" s="232" t="s">
        <v>404</v>
      </c>
      <c r="E533" s="233">
        <v>270</v>
      </c>
      <c r="F533" s="233">
        <v>24</v>
      </c>
      <c r="G533" s="235">
        <v>45048</v>
      </c>
    </row>
    <row r="534" spans="2:7">
      <c r="B534" s="230" t="s">
        <v>23</v>
      </c>
      <c r="C534" s="232" t="s">
        <v>581</v>
      </c>
      <c r="D534" s="232" t="s">
        <v>404</v>
      </c>
      <c r="E534" s="233">
        <v>270</v>
      </c>
      <c r="F534" s="233">
        <v>24</v>
      </c>
      <c r="G534" s="235">
        <v>45048</v>
      </c>
    </row>
    <row r="535" spans="2:7">
      <c r="B535" s="230" t="s">
        <v>812</v>
      </c>
      <c r="C535" s="232" t="s">
        <v>581</v>
      </c>
      <c r="D535" s="232" t="s">
        <v>404</v>
      </c>
      <c r="E535" s="233">
        <v>270</v>
      </c>
      <c r="F535" s="233">
        <v>24</v>
      </c>
      <c r="G535" s="235">
        <v>45048</v>
      </c>
    </row>
    <row r="536" spans="2:7">
      <c r="B536" s="230" t="s">
        <v>813</v>
      </c>
      <c r="C536" s="232" t="s">
        <v>581</v>
      </c>
      <c r="D536" s="232" t="s">
        <v>404</v>
      </c>
      <c r="E536" s="233">
        <v>270</v>
      </c>
      <c r="F536" s="233">
        <v>24</v>
      </c>
      <c r="G536" s="235">
        <v>45048</v>
      </c>
    </row>
    <row r="537" spans="2:7">
      <c r="B537" s="230" t="s">
        <v>50</v>
      </c>
      <c r="C537" s="232" t="s">
        <v>402</v>
      </c>
      <c r="D537" s="232" t="s">
        <v>431</v>
      </c>
      <c r="E537" s="233">
        <v>350</v>
      </c>
      <c r="F537" s="233">
        <v>20</v>
      </c>
      <c r="G537" s="235">
        <v>44999</v>
      </c>
    </row>
    <row r="538" spans="2:7">
      <c r="B538" s="230" t="s">
        <v>901</v>
      </c>
      <c r="C538" s="232" t="s">
        <v>402</v>
      </c>
      <c r="D538" s="232" t="s">
        <v>431</v>
      </c>
      <c r="E538" s="233">
        <v>350</v>
      </c>
      <c r="F538" s="233">
        <v>20</v>
      </c>
      <c r="G538" s="235">
        <v>44999</v>
      </c>
    </row>
    <row r="539" spans="2:7">
      <c r="B539" s="230" t="s">
        <v>902</v>
      </c>
      <c r="C539" s="232" t="s">
        <v>402</v>
      </c>
      <c r="D539" s="232" t="s">
        <v>431</v>
      </c>
      <c r="E539" s="233">
        <v>350</v>
      </c>
      <c r="F539" s="233">
        <v>20</v>
      </c>
      <c r="G539" s="235">
        <v>44999</v>
      </c>
    </row>
    <row r="540" spans="2:7">
      <c r="B540" s="230" t="s">
        <v>40</v>
      </c>
      <c r="C540" s="232" t="s">
        <v>402</v>
      </c>
      <c r="D540" s="232" t="s">
        <v>431</v>
      </c>
      <c r="E540" s="233">
        <v>350</v>
      </c>
      <c r="F540" s="233">
        <v>20</v>
      </c>
      <c r="G540" s="235">
        <v>44999</v>
      </c>
    </row>
    <row r="541" spans="2:7">
      <c r="B541" s="230" t="s">
        <v>764</v>
      </c>
      <c r="C541" s="232" t="s">
        <v>761</v>
      </c>
      <c r="D541" s="232" t="s">
        <v>774</v>
      </c>
      <c r="E541" s="233">
        <v>325</v>
      </c>
      <c r="F541" s="233">
        <v>18.5</v>
      </c>
      <c r="G541" s="235">
        <v>44299</v>
      </c>
    </row>
    <row r="542" spans="2:7">
      <c r="B542" s="230" t="s">
        <v>765</v>
      </c>
      <c r="C542" s="232" t="s">
        <v>761</v>
      </c>
      <c r="D542" s="232" t="s">
        <v>774</v>
      </c>
      <c r="E542" s="233">
        <v>325</v>
      </c>
      <c r="F542" s="233">
        <v>18.5</v>
      </c>
      <c r="G542" s="235">
        <v>44299</v>
      </c>
    </row>
    <row r="543" spans="2:7">
      <c r="B543" s="230" t="s">
        <v>768</v>
      </c>
      <c r="C543" s="232" t="s">
        <v>761</v>
      </c>
      <c r="D543" s="232" t="s">
        <v>774</v>
      </c>
      <c r="E543" s="233">
        <v>325</v>
      </c>
      <c r="F543" s="233">
        <v>18.5</v>
      </c>
      <c r="G543" s="235">
        <v>44299</v>
      </c>
    </row>
    <row r="544" spans="2:7">
      <c r="B544" s="230" t="s">
        <v>847</v>
      </c>
      <c r="C544" s="232" t="s">
        <v>559</v>
      </c>
      <c r="D544" s="232" t="s">
        <v>420</v>
      </c>
      <c r="E544" s="233">
        <v>125</v>
      </c>
      <c r="F544" s="233">
        <v>15</v>
      </c>
      <c r="G544" s="235">
        <v>44852</v>
      </c>
    </row>
    <row r="545" spans="2:7">
      <c r="B545" s="230" t="s">
        <v>848</v>
      </c>
      <c r="C545" s="232" t="s">
        <v>559</v>
      </c>
      <c r="D545" s="232" t="s">
        <v>420</v>
      </c>
      <c r="E545" s="233">
        <v>125</v>
      </c>
      <c r="F545" s="233">
        <v>15</v>
      </c>
      <c r="G545" s="235">
        <v>44852</v>
      </c>
    </row>
    <row r="546" spans="2:7">
      <c r="B546" s="230" t="s">
        <v>849</v>
      </c>
      <c r="C546" s="232" t="s">
        <v>559</v>
      </c>
      <c r="D546" s="232" t="s">
        <v>420</v>
      </c>
      <c r="E546" s="233">
        <v>125</v>
      </c>
      <c r="F546" s="233">
        <v>15</v>
      </c>
      <c r="G546" s="235">
        <v>44852</v>
      </c>
    </row>
    <row r="547" spans="2:7">
      <c r="B547" s="230" t="s">
        <v>787</v>
      </c>
      <c r="C547" s="232" t="s">
        <v>581</v>
      </c>
      <c r="D547" s="232" t="s">
        <v>774</v>
      </c>
      <c r="E547" s="233">
        <v>100</v>
      </c>
      <c r="F547" s="233">
        <v>13</v>
      </c>
      <c r="G547" s="235">
        <v>43682</v>
      </c>
    </row>
    <row r="548" spans="2:7">
      <c r="B548" s="230" t="s">
        <v>806</v>
      </c>
      <c r="C548" s="232" t="s">
        <v>564</v>
      </c>
      <c r="D548" s="232" t="s">
        <v>415</v>
      </c>
      <c r="E548" s="233">
        <v>100</v>
      </c>
      <c r="F548" s="233">
        <v>12.5</v>
      </c>
      <c r="G548" s="235">
        <v>44846</v>
      </c>
    </row>
    <row r="549" spans="2:7">
      <c r="B549" s="230" t="s">
        <v>807</v>
      </c>
      <c r="C549" s="232" t="s">
        <v>564</v>
      </c>
      <c r="D549" s="232" t="s">
        <v>415</v>
      </c>
      <c r="E549" s="233">
        <v>100</v>
      </c>
      <c r="F549" s="233">
        <v>12.5</v>
      </c>
      <c r="G549" s="235">
        <v>44846</v>
      </c>
    </row>
    <row r="550" spans="2:7">
      <c r="B550" s="230" t="s">
        <v>893</v>
      </c>
      <c r="C550" s="232" t="s">
        <v>559</v>
      </c>
      <c r="D550" s="232" t="s">
        <v>618</v>
      </c>
      <c r="E550" s="233">
        <v>150</v>
      </c>
      <c r="F550" s="233">
        <v>10</v>
      </c>
      <c r="G550" s="235">
        <v>45008</v>
      </c>
    </row>
    <row r="551" spans="2:7">
      <c r="B551" s="230" t="s">
        <v>825</v>
      </c>
      <c r="C551" s="232" t="s">
        <v>581</v>
      </c>
      <c r="D551" s="232" t="s">
        <v>821</v>
      </c>
      <c r="E551" s="233">
        <v>100</v>
      </c>
      <c r="F551" s="233">
        <v>9</v>
      </c>
      <c r="G551" s="235">
        <v>44690</v>
      </c>
    </row>
    <row r="552" spans="2:7">
      <c r="B552" s="230" t="s">
        <v>827</v>
      </c>
      <c r="C552" s="232" t="s">
        <v>581</v>
      </c>
      <c r="D552" s="232" t="s">
        <v>821</v>
      </c>
      <c r="E552" s="233">
        <v>100</v>
      </c>
      <c r="F552" s="233">
        <v>9</v>
      </c>
      <c r="G552" s="235">
        <v>44690</v>
      </c>
    </row>
    <row r="553" spans="2:7">
      <c r="B553" s="230" t="s">
        <v>894</v>
      </c>
      <c r="C553" s="232" t="s">
        <v>559</v>
      </c>
      <c r="D553" s="232" t="s">
        <v>618</v>
      </c>
      <c r="E553" s="233">
        <v>150</v>
      </c>
      <c r="F553" s="233">
        <v>5</v>
      </c>
      <c r="G553" s="235">
        <v>45008</v>
      </c>
    </row>
    <row r="554" spans="2:7">
      <c r="B554" s="230" t="s">
        <v>792</v>
      </c>
      <c r="C554" s="232" t="s">
        <v>559</v>
      </c>
      <c r="D554" s="232" t="s">
        <v>774</v>
      </c>
      <c r="E554" s="233">
        <v>4.5</v>
      </c>
      <c r="F554" s="233">
        <v>1.5</v>
      </c>
      <c r="G554" s="235">
        <v>42858</v>
      </c>
    </row>
    <row r="555" spans="2:7">
      <c r="B555" s="230" t="s">
        <v>854</v>
      </c>
      <c r="C555" s="232" t="s">
        <v>564</v>
      </c>
      <c r="D555" s="232" t="s">
        <v>420</v>
      </c>
      <c r="E555" s="233">
        <v>6</v>
      </c>
      <c r="F555" s="233">
        <v>1</v>
      </c>
      <c r="G555" s="235">
        <v>44352</v>
      </c>
    </row>
    <row r="556" spans="2:7">
      <c r="B556" s="230" t="s">
        <v>855</v>
      </c>
      <c r="C556" s="232" t="s">
        <v>564</v>
      </c>
      <c r="D556" s="232" t="s">
        <v>420</v>
      </c>
      <c r="E556" s="233">
        <v>6</v>
      </c>
      <c r="F556" s="233">
        <v>1</v>
      </c>
      <c r="G556" s="235">
        <v>44352</v>
      </c>
    </row>
    <row r="557" spans="2:7">
      <c r="B557" s="230" t="s">
        <v>882</v>
      </c>
      <c r="C557" s="232" t="s">
        <v>559</v>
      </c>
      <c r="D557" s="232" t="s">
        <v>874</v>
      </c>
      <c r="E557" s="233">
        <v>5</v>
      </c>
      <c r="F557" s="233">
        <v>1</v>
      </c>
      <c r="G557" s="235">
        <v>43251</v>
      </c>
    </row>
    <row r="558" spans="2:7">
      <c r="B558" s="230" t="s">
        <v>852</v>
      </c>
      <c r="C558" s="232" t="s">
        <v>689</v>
      </c>
      <c r="D558" s="232" t="s">
        <v>420</v>
      </c>
      <c r="E558" s="233">
        <v>1</v>
      </c>
      <c r="F558" s="233">
        <v>0.5</v>
      </c>
      <c r="G558" s="235">
        <v>44287</v>
      </c>
    </row>
    <row r="559" spans="2:7">
      <c r="B559" s="230" t="s">
        <v>949</v>
      </c>
      <c r="C559" s="232" t="s">
        <v>581</v>
      </c>
      <c r="D559" s="232" t="s">
        <v>637</v>
      </c>
      <c r="E559" s="233">
        <v>85</v>
      </c>
      <c r="F559" s="233">
        <f>45/8</f>
        <v>5.625</v>
      </c>
      <c r="G559" s="235">
        <v>44417</v>
      </c>
    </row>
    <row r="560" spans="2:7">
      <c r="B560" s="230" t="s">
        <v>950</v>
      </c>
      <c r="C560" s="232" t="s">
        <v>581</v>
      </c>
      <c r="D560" s="232" t="s">
        <v>637</v>
      </c>
      <c r="E560" s="233">
        <v>85</v>
      </c>
      <c r="F560" s="233">
        <v>6</v>
      </c>
      <c r="G560" s="235">
        <v>44417</v>
      </c>
    </row>
    <row r="561" spans="2:7">
      <c r="B561" s="230" t="s">
        <v>954</v>
      </c>
      <c r="C561" s="232" t="s">
        <v>402</v>
      </c>
      <c r="D561" s="232" t="s">
        <v>637</v>
      </c>
      <c r="E561" s="233">
        <v>35</v>
      </c>
      <c r="F561" s="233">
        <f>25/6</f>
        <v>4.166666666666667</v>
      </c>
      <c r="G561" s="235">
        <v>44293</v>
      </c>
    </row>
    <row r="562" spans="2:7">
      <c r="B562" s="230" t="s">
        <v>907</v>
      </c>
      <c r="C562" s="232" t="s">
        <v>402</v>
      </c>
      <c r="D562" s="232" t="s">
        <v>628</v>
      </c>
      <c r="E562" s="233">
        <v>140</v>
      </c>
      <c r="F562" s="233">
        <v>100</v>
      </c>
      <c r="G562" s="235">
        <v>44363</v>
      </c>
    </row>
    <row r="563" spans="2:7">
      <c r="B563" s="230" t="s">
        <v>44</v>
      </c>
      <c r="C563" s="232" t="s">
        <v>581</v>
      </c>
      <c r="D563" s="232" t="s">
        <v>629</v>
      </c>
      <c r="E563" s="233">
        <v>100</v>
      </c>
      <c r="F563" s="233">
        <v>10</v>
      </c>
      <c r="G563" s="235">
        <v>44754</v>
      </c>
    </row>
    <row r="564" spans="2:7">
      <c r="B564" s="230" t="s">
        <v>1015</v>
      </c>
      <c r="C564" s="232" t="s">
        <v>559</v>
      </c>
      <c r="D564" s="232" t="s">
        <v>635</v>
      </c>
      <c r="E564" s="233">
        <v>20</v>
      </c>
      <c r="F564" s="233">
        <f>12/6</f>
        <v>2</v>
      </c>
      <c r="G564" s="235">
        <v>43816</v>
      </c>
    </row>
    <row r="565" spans="2:7">
      <c r="B565" s="230" t="s">
        <v>1016</v>
      </c>
      <c r="C565" s="232" t="s">
        <v>559</v>
      </c>
      <c r="D565" s="232" t="s">
        <v>635</v>
      </c>
      <c r="E565" s="233">
        <v>20</v>
      </c>
      <c r="F565" s="233">
        <f>12/6</f>
        <v>2</v>
      </c>
      <c r="G565" s="235">
        <v>43816</v>
      </c>
    </row>
    <row r="566" spans="2:7">
      <c r="B566" s="230" t="s">
        <v>1033</v>
      </c>
      <c r="C566" s="232" t="s">
        <v>564</v>
      </c>
      <c r="D566" s="232" t="s">
        <v>646</v>
      </c>
      <c r="E566" s="233">
        <v>5.3</v>
      </c>
      <c r="F566" s="233">
        <v>1</v>
      </c>
      <c r="G566" s="235">
        <v>43628</v>
      </c>
    </row>
    <row r="567" spans="2:7">
      <c r="B567" s="230" t="s">
        <v>1048</v>
      </c>
      <c r="C567" s="232" t="s">
        <v>402</v>
      </c>
      <c r="D567" s="232" t="s">
        <v>650</v>
      </c>
      <c r="E567" s="233">
        <v>50</v>
      </c>
      <c r="F567" s="233">
        <f>E567/7</f>
        <v>7.1428571428571432</v>
      </c>
      <c r="G567" s="235">
        <v>44628</v>
      </c>
    </row>
    <row r="568" spans="2:7">
      <c r="B568" s="230" t="s">
        <v>1045</v>
      </c>
      <c r="C568" s="232" t="s">
        <v>402</v>
      </c>
      <c r="D568" s="232" t="s">
        <v>650</v>
      </c>
      <c r="E568" s="233">
        <v>50</v>
      </c>
      <c r="F568" s="233">
        <f>E568/7</f>
        <v>7.1428571428571432</v>
      </c>
      <c r="G568" s="235">
        <v>44628</v>
      </c>
    </row>
    <row r="569" spans="2:7">
      <c r="B569" s="230" t="s">
        <v>1051</v>
      </c>
      <c r="C569" s="232" t="s">
        <v>559</v>
      </c>
      <c r="D569" s="232" t="s">
        <v>650</v>
      </c>
      <c r="E569" s="233">
        <v>10</v>
      </c>
      <c r="F569" s="233">
        <v>3</v>
      </c>
      <c r="G569" s="235">
        <v>44378</v>
      </c>
    </row>
    <row r="570" spans="2:7">
      <c r="B570" s="230" t="s">
        <v>1052</v>
      </c>
      <c r="C570" s="232" t="s">
        <v>559</v>
      </c>
      <c r="D570" s="232" t="s">
        <v>650</v>
      </c>
      <c r="E570" s="233">
        <v>10</v>
      </c>
      <c r="F570" s="233">
        <v>3</v>
      </c>
      <c r="G570" s="235">
        <v>44378</v>
      </c>
    </row>
    <row r="571" spans="2:7">
      <c r="B571" s="230" t="s">
        <v>1053</v>
      </c>
      <c r="C571" s="232" t="s">
        <v>559</v>
      </c>
      <c r="D571" s="232" t="s">
        <v>650</v>
      </c>
      <c r="E571" s="233">
        <v>10</v>
      </c>
      <c r="F571" s="233">
        <v>3</v>
      </c>
      <c r="G571" s="235">
        <v>44378</v>
      </c>
    </row>
    <row r="572" spans="2:7">
      <c r="B572" s="230" t="s">
        <v>1054</v>
      </c>
      <c r="C572" s="232" t="s">
        <v>559</v>
      </c>
      <c r="D572" s="232" t="s">
        <v>650</v>
      </c>
      <c r="E572" s="233">
        <v>10</v>
      </c>
      <c r="F572" s="233">
        <v>3</v>
      </c>
      <c r="G572" s="235">
        <v>44378</v>
      </c>
    </row>
    <row r="573" spans="2:7">
      <c r="B573" s="230" t="s">
        <v>1069</v>
      </c>
      <c r="C573" s="232" t="s">
        <v>559</v>
      </c>
      <c r="D573" s="232" t="s">
        <v>643</v>
      </c>
      <c r="E573" s="233">
        <v>17.5</v>
      </c>
      <c r="F573" s="233">
        <v>1</v>
      </c>
      <c r="G573" s="235">
        <v>44614</v>
      </c>
    </row>
    <row r="574" spans="2:7">
      <c r="B574" s="230" t="s">
        <v>1070</v>
      </c>
      <c r="C574" s="232" t="s">
        <v>559</v>
      </c>
      <c r="D574" s="232" t="s">
        <v>643</v>
      </c>
      <c r="E574" s="233">
        <v>17.5</v>
      </c>
      <c r="F574" s="233">
        <v>1</v>
      </c>
      <c r="G574" s="235">
        <v>44614</v>
      </c>
    </row>
    <row r="575" spans="2:7">
      <c r="B575" s="230" t="s">
        <v>1073</v>
      </c>
      <c r="C575" s="232" t="s">
        <v>559</v>
      </c>
      <c r="D575" s="232" t="s">
        <v>652</v>
      </c>
      <c r="E575" s="233">
        <v>44</v>
      </c>
      <c r="F575" s="233">
        <v>10</v>
      </c>
      <c r="G575" s="235">
        <v>44671</v>
      </c>
    </row>
    <row r="576" spans="2:7">
      <c r="B576" s="230" t="s">
        <v>1074</v>
      </c>
      <c r="C576" s="232" t="s">
        <v>559</v>
      </c>
      <c r="D576" s="232" t="s">
        <v>652</v>
      </c>
      <c r="E576" s="233">
        <v>44</v>
      </c>
      <c r="F576" s="233">
        <v>10</v>
      </c>
      <c r="G576" s="235">
        <v>44671</v>
      </c>
    </row>
    <row r="577" spans="2:7">
      <c r="B577" s="230" t="s">
        <v>1075</v>
      </c>
      <c r="C577" s="232" t="s">
        <v>559</v>
      </c>
      <c r="D577" s="232" t="s">
        <v>652</v>
      </c>
      <c r="E577" s="233">
        <v>44</v>
      </c>
      <c r="F577" s="233">
        <f>14/3</f>
        <v>4.666666666666667</v>
      </c>
      <c r="G577" s="235">
        <v>44671</v>
      </c>
    </row>
    <row r="578" spans="2:7">
      <c r="B578" s="230" t="s">
        <v>1076</v>
      </c>
      <c r="C578" s="232" t="s">
        <v>559</v>
      </c>
      <c r="D578" s="232" t="s">
        <v>652</v>
      </c>
      <c r="E578" s="233">
        <v>44</v>
      </c>
      <c r="F578" s="233">
        <f>14/3</f>
        <v>4.666666666666667</v>
      </c>
      <c r="G578" s="235">
        <v>44671</v>
      </c>
    </row>
    <row r="579" spans="2:7">
      <c r="B579" s="230" t="s">
        <v>1077</v>
      </c>
      <c r="C579" s="232" t="s">
        <v>559</v>
      </c>
      <c r="D579" s="232" t="s">
        <v>652</v>
      </c>
      <c r="E579" s="233">
        <v>44</v>
      </c>
      <c r="F579" s="233">
        <f>14/3</f>
        <v>4.666666666666667</v>
      </c>
      <c r="G579" s="235">
        <v>44671</v>
      </c>
    </row>
    <row r="580" spans="2:7">
      <c r="B580" s="230" t="s">
        <v>1083</v>
      </c>
      <c r="C580" s="232" t="s">
        <v>402</v>
      </c>
      <c r="D580" s="232" t="s">
        <v>667</v>
      </c>
      <c r="E580" s="233">
        <v>43</v>
      </c>
      <c r="F580" s="233">
        <v>6</v>
      </c>
      <c r="G580" s="235">
        <v>44978</v>
      </c>
    </row>
    <row r="581" spans="2:7">
      <c r="B581" s="230" t="s">
        <v>1090</v>
      </c>
      <c r="C581" s="232" t="s">
        <v>402</v>
      </c>
      <c r="D581" s="232" t="s">
        <v>669</v>
      </c>
      <c r="E581" s="233">
        <v>40</v>
      </c>
      <c r="F581" s="233">
        <v>5</v>
      </c>
      <c r="G581" s="235">
        <v>44728</v>
      </c>
    </row>
    <row r="582" spans="2:7">
      <c r="B582" s="230" t="s">
        <v>1095</v>
      </c>
      <c r="C582" s="232" t="s">
        <v>402</v>
      </c>
      <c r="D582" s="232" t="s">
        <v>670</v>
      </c>
      <c r="E582" s="233">
        <v>40</v>
      </c>
      <c r="F582" s="233">
        <v>10</v>
      </c>
      <c r="G582" s="235">
        <v>44650</v>
      </c>
    </row>
    <row r="583" spans="2:7">
      <c r="B583" s="230" t="s">
        <v>1096</v>
      </c>
      <c r="C583" s="232" t="s">
        <v>402</v>
      </c>
      <c r="D583" s="232" t="s">
        <v>670</v>
      </c>
      <c r="E583" s="233">
        <v>40</v>
      </c>
      <c r="F583" s="233">
        <v>5</v>
      </c>
      <c r="G583" s="235">
        <v>44650</v>
      </c>
    </row>
    <row r="584" spans="2:7">
      <c r="B584" s="230" t="s">
        <v>1097</v>
      </c>
      <c r="C584" s="232" t="s">
        <v>402</v>
      </c>
      <c r="D584" s="232" t="s">
        <v>670</v>
      </c>
      <c r="E584" s="233">
        <v>40</v>
      </c>
      <c r="F584" s="233">
        <v>5</v>
      </c>
      <c r="G584" s="235">
        <v>44650</v>
      </c>
    </row>
    <row r="585" spans="2:7">
      <c r="G585" s="235"/>
    </row>
    <row r="586" spans="2:7">
      <c r="B586" s="230" t="s">
        <v>1064</v>
      </c>
      <c r="C586" s="232" t="s">
        <v>402</v>
      </c>
      <c r="D586" s="232" t="s">
        <v>643</v>
      </c>
      <c r="E586" s="233">
        <v>50</v>
      </c>
      <c r="F586" s="233">
        <v>6</v>
      </c>
      <c r="G586" s="235">
        <v>45036</v>
      </c>
    </row>
    <row r="587" spans="2:7">
      <c r="C587" s="232" t="s">
        <v>559</v>
      </c>
      <c r="D587" s="232" t="s">
        <v>643</v>
      </c>
      <c r="E587" s="233">
        <v>16.5</v>
      </c>
      <c r="F587" s="233">
        <v>1</v>
      </c>
      <c r="G587" s="235">
        <v>44614</v>
      </c>
    </row>
    <row r="588" spans="2:7">
      <c r="C588" s="232" t="s">
        <v>564</v>
      </c>
      <c r="D588" s="232" t="s">
        <v>643</v>
      </c>
      <c r="E588" s="233">
        <v>1.2</v>
      </c>
      <c r="F588" s="233">
        <v>0.5</v>
      </c>
      <c r="G588" s="235">
        <v>44044</v>
      </c>
    </row>
    <row r="589" spans="2:7">
      <c r="G589" s="235"/>
    </row>
    <row r="590" spans="2:7">
      <c r="B590" s="230" t="s">
        <v>1065</v>
      </c>
      <c r="C590" s="232" t="s">
        <v>402</v>
      </c>
      <c r="D590" s="232" t="s">
        <v>643</v>
      </c>
      <c r="E590" s="233">
        <v>50</v>
      </c>
      <c r="F590" s="233">
        <v>6</v>
      </c>
      <c r="G590" s="235">
        <v>45036</v>
      </c>
    </row>
    <row r="591" spans="2:7">
      <c r="C591" s="232" t="s">
        <v>559</v>
      </c>
      <c r="D591" s="232" t="s">
        <v>643</v>
      </c>
      <c r="E591" s="233">
        <v>16.5</v>
      </c>
      <c r="F591" s="233">
        <v>1</v>
      </c>
      <c r="G591" s="235">
        <v>44614</v>
      </c>
    </row>
    <row r="592" spans="2:7">
      <c r="C592" s="232" t="s">
        <v>564</v>
      </c>
      <c r="D592" s="232" t="s">
        <v>643</v>
      </c>
      <c r="E592" s="233">
        <v>1.2</v>
      </c>
      <c r="F592" s="233">
        <v>0.5</v>
      </c>
      <c r="G592" s="235">
        <v>44044</v>
      </c>
    </row>
    <row r="593" spans="2:7">
      <c r="C593" s="232" t="s">
        <v>402</v>
      </c>
      <c r="D593" s="232" t="s">
        <v>670</v>
      </c>
      <c r="E593" s="233">
        <v>40</v>
      </c>
      <c r="F593" s="233">
        <f>30/6</f>
        <v>5</v>
      </c>
      <c r="G593" s="235">
        <v>44650</v>
      </c>
    </row>
    <row r="594" spans="2:7">
      <c r="C594" s="232" t="s">
        <v>559</v>
      </c>
      <c r="D594" s="232" t="s">
        <v>670</v>
      </c>
      <c r="E594" s="233">
        <v>14</v>
      </c>
      <c r="F594" s="233">
        <f t="shared" ref="F594" si="3">9/5</f>
        <v>1.8</v>
      </c>
      <c r="G594" s="235">
        <v>44131</v>
      </c>
    </row>
    <row r="595" spans="2:7">
      <c r="C595" s="232" t="s">
        <v>564</v>
      </c>
      <c r="D595" s="232" t="s">
        <v>1574</v>
      </c>
      <c r="E595" s="233">
        <v>5.5</v>
      </c>
      <c r="F595" s="233">
        <v>1</v>
      </c>
      <c r="G595" s="235">
        <v>45092</v>
      </c>
    </row>
    <row r="596" spans="2:7">
      <c r="G596" s="235"/>
    </row>
    <row r="597" spans="2:7">
      <c r="B597" s="230" t="s">
        <v>1066</v>
      </c>
      <c r="C597" s="232" t="s">
        <v>402</v>
      </c>
      <c r="D597" s="232" t="s">
        <v>643</v>
      </c>
      <c r="E597" s="233">
        <v>50</v>
      </c>
      <c r="F597" s="233">
        <v>6</v>
      </c>
      <c r="G597" s="235">
        <v>45036</v>
      </c>
    </row>
    <row r="598" spans="2:7">
      <c r="C598" s="232" t="s">
        <v>559</v>
      </c>
      <c r="D598" s="232" t="s">
        <v>643</v>
      </c>
      <c r="E598" s="233">
        <v>16.5</v>
      </c>
      <c r="F598" s="233">
        <v>6</v>
      </c>
      <c r="G598" s="235">
        <v>44614</v>
      </c>
    </row>
    <row r="599" spans="2:7">
      <c r="C599" s="232" t="s">
        <v>564</v>
      </c>
      <c r="D599" s="232" t="s">
        <v>1252</v>
      </c>
      <c r="E599" s="233">
        <v>2.8</v>
      </c>
      <c r="F599" s="233">
        <v>1</v>
      </c>
      <c r="G599" s="235">
        <v>44994</v>
      </c>
    </row>
    <row r="600" spans="2:7">
      <c r="C600" s="232" t="s">
        <v>564</v>
      </c>
      <c r="D600" s="232" t="s">
        <v>458</v>
      </c>
      <c r="E600" s="233">
        <v>30</v>
      </c>
      <c r="F600" s="233">
        <v>5</v>
      </c>
      <c r="G600" s="235">
        <v>44601</v>
      </c>
    </row>
    <row r="601" spans="2:7">
      <c r="G601" s="235"/>
    </row>
    <row r="602" spans="2:7">
      <c r="B602" s="230" t="s">
        <v>1067</v>
      </c>
      <c r="C602" s="232" t="s">
        <v>402</v>
      </c>
      <c r="D602" s="232" t="s">
        <v>643</v>
      </c>
      <c r="E602" s="233">
        <v>50</v>
      </c>
      <c r="F602" s="233">
        <v>6</v>
      </c>
      <c r="G602" s="235">
        <v>45036</v>
      </c>
    </row>
    <row r="603" spans="2:7">
      <c r="C603" s="232" t="s">
        <v>402</v>
      </c>
      <c r="D603" s="232" t="s">
        <v>672</v>
      </c>
      <c r="E603" s="233">
        <v>38</v>
      </c>
      <c r="F603" s="233">
        <f>20/3</f>
        <v>6.666666666666667</v>
      </c>
      <c r="G603" s="235">
        <v>44812</v>
      </c>
    </row>
    <row r="604" spans="2:7">
      <c r="C604" s="232" t="s">
        <v>559</v>
      </c>
      <c r="D604" s="232" t="s">
        <v>672</v>
      </c>
      <c r="E604" s="233">
        <v>19</v>
      </c>
      <c r="F604" s="233">
        <v>7</v>
      </c>
      <c r="G604" s="235">
        <v>44467</v>
      </c>
    </row>
    <row r="605" spans="2:7">
      <c r="G605" s="235"/>
    </row>
    <row r="606" spans="2:7">
      <c r="B606" s="230" t="s">
        <v>1084</v>
      </c>
      <c r="C606" s="232" t="s">
        <v>402</v>
      </c>
      <c r="D606" s="232" t="s">
        <v>667</v>
      </c>
      <c r="E606" s="233">
        <v>43</v>
      </c>
      <c r="F606" s="233">
        <v>6</v>
      </c>
      <c r="G606" s="235">
        <v>44978</v>
      </c>
    </row>
    <row r="607" spans="2:7">
      <c r="C607" s="232" t="s">
        <v>559</v>
      </c>
      <c r="D607" s="232" t="s">
        <v>667</v>
      </c>
      <c r="E607" s="233">
        <v>26</v>
      </c>
      <c r="F607" s="233">
        <f>13/2</f>
        <v>6.5</v>
      </c>
      <c r="G607" s="235">
        <v>44453</v>
      </c>
    </row>
    <row r="608" spans="2:7">
      <c r="G608" s="235"/>
    </row>
    <row r="609" spans="2:7">
      <c r="B609" s="230" t="s">
        <v>1091</v>
      </c>
      <c r="C609" s="232" t="s">
        <v>402</v>
      </c>
      <c r="D609" s="232" t="s">
        <v>669</v>
      </c>
      <c r="E609" s="233">
        <v>40</v>
      </c>
      <c r="F609" s="233">
        <v>5</v>
      </c>
      <c r="G609" s="235">
        <v>44728</v>
      </c>
    </row>
    <row r="610" spans="2:7">
      <c r="C610" s="232" t="s">
        <v>559</v>
      </c>
      <c r="D610" s="232" t="s">
        <v>669</v>
      </c>
      <c r="E610" s="233">
        <v>18.600000000000001</v>
      </c>
      <c r="F610" s="233">
        <f>8.6/2</f>
        <v>4.3</v>
      </c>
      <c r="G610" s="235">
        <v>44112</v>
      </c>
    </row>
    <row r="611" spans="2:7">
      <c r="C611" s="232" t="s">
        <v>564</v>
      </c>
      <c r="D611" s="232" t="s">
        <v>695</v>
      </c>
      <c r="E611" s="233">
        <v>1.5</v>
      </c>
      <c r="F611" s="233">
        <v>0.5</v>
      </c>
      <c r="G611" s="235">
        <v>43979</v>
      </c>
    </row>
    <row r="612" spans="2:7">
      <c r="C612" s="260" t="s">
        <v>564</v>
      </c>
      <c r="D612" s="260" t="s">
        <v>1180</v>
      </c>
      <c r="E612" s="233">
        <v>113</v>
      </c>
      <c r="F612" s="233">
        <v>8</v>
      </c>
      <c r="G612" s="235">
        <v>45090</v>
      </c>
    </row>
    <row r="613" spans="2:7">
      <c r="C613" s="260"/>
      <c r="D613" s="260"/>
      <c r="G613" s="235"/>
    </row>
    <row r="614" spans="2:7">
      <c r="B614" s="230" t="s">
        <v>1098</v>
      </c>
      <c r="C614" s="232" t="s">
        <v>402</v>
      </c>
      <c r="D614" s="232" t="s">
        <v>670</v>
      </c>
      <c r="E614" s="233">
        <v>40</v>
      </c>
      <c r="F614" s="233">
        <v>5</v>
      </c>
      <c r="G614" s="235">
        <v>44650</v>
      </c>
    </row>
    <row r="615" spans="2:7">
      <c r="C615" s="232" t="s">
        <v>559</v>
      </c>
      <c r="D615" s="232" t="s">
        <v>670</v>
      </c>
      <c r="E615" s="233">
        <v>14</v>
      </c>
      <c r="F615" s="233">
        <f>9/5</f>
        <v>1.8</v>
      </c>
      <c r="G615" s="235">
        <v>44131</v>
      </c>
    </row>
    <row r="616" spans="2:7">
      <c r="C616" s="232" t="s">
        <v>559</v>
      </c>
      <c r="D616" s="232" t="s">
        <v>1193</v>
      </c>
      <c r="E616" s="233">
        <v>21.4</v>
      </c>
      <c r="F616" s="233">
        <f>11.4/3</f>
        <v>3.8000000000000003</v>
      </c>
      <c r="G616" s="235">
        <v>44232</v>
      </c>
    </row>
    <row r="617" spans="2:7">
      <c r="B617" s="230" t="s">
        <v>1099</v>
      </c>
      <c r="C617" s="232" t="s">
        <v>402</v>
      </c>
      <c r="D617" s="232" t="s">
        <v>670</v>
      </c>
      <c r="E617" s="233">
        <v>40</v>
      </c>
      <c r="F617" s="233">
        <v>5</v>
      </c>
      <c r="G617" s="235">
        <v>44650</v>
      </c>
    </row>
    <row r="618" spans="2:7">
      <c r="C618" s="232" t="s">
        <v>559</v>
      </c>
      <c r="D618" s="232" t="s">
        <v>670</v>
      </c>
      <c r="E618" s="233">
        <v>14</v>
      </c>
      <c r="F618" s="233">
        <f>9/5</f>
        <v>1.8</v>
      </c>
      <c r="G618" s="235">
        <v>44131</v>
      </c>
    </row>
    <row r="619" spans="2:7">
      <c r="G619" s="235"/>
    </row>
    <row r="620" spans="2:7">
      <c r="B620" s="230" t="s">
        <v>1101</v>
      </c>
      <c r="C620" s="232" t="s">
        <v>559</v>
      </c>
      <c r="D620" s="232" t="s">
        <v>670</v>
      </c>
      <c r="E620" s="233">
        <v>14</v>
      </c>
      <c r="F620" s="233">
        <f t="shared" ref="F620" si="4">9/5</f>
        <v>1.8</v>
      </c>
      <c r="G620" s="235">
        <v>44131</v>
      </c>
    </row>
    <row r="621" spans="2:7">
      <c r="C621" s="232" t="s">
        <v>564</v>
      </c>
      <c r="D621" s="232" t="s">
        <v>455</v>
      </c>
      <c r="E621" s="233">
        <v>42</v>
      </c>
      <c r="F621" s="233">
        <f>22/3</f>
        <v>7.333333333333333</v>
      </c>
      <c r="G621" s="235">
        <v>44882</v>
      </c>
    </row>
    <row r="622" spans="2:7">
      <c r="C622" s="260" t="s">
        <v>559</v>
      </c>
      <c r="D622" s="260" t="s">
        <v>721</v>
      </c>
      <c r="E622" s="233">
        <v>14.5</v>
      </c>
      <c r="F622" s="233">
        <v>2.5</v>
      </c>
      <c r="G622" s="235">
        <v>44389</v>
      </c>
    </row>
    <row r="623" spans="2:7">
      <c r="G623" s="235"/>
    </row>
    <row r="624" spans="2:7">
      <c r="B624" s="230" t="s">
        <v>1110</v>
      </c>
      <c r="C624" s="232" t="s">
        <v>402</v>
      </c>
      <c r="D624" s="232" t="s">
        <v>1109</v>
      </c>
      <c r="E624" s="233">
        <v>50</v>
      </c>
      <c r="F624" s="233">
        <f>25/3</f>
        <v>8.3333333333333339</v>
      </c>
      <c r="G624" s="235">
        <v>44643</v>
      </c>
    </row>
    <row r="625" spans="2:7">
      <c r="C625" s="232" t="s">
        <v>559</v>
      </c>
      <c r="D625" s="232" t="s">
        <v>1109</v>
      </c>
      <c r="E625" s="233">
        <v>18.5</v>
      </c>
      <c r="F625" s="233">
        <f>10/4</f>
        <v>2.5</v>
      </c>
      <c r="G625" s="235">
        <v>44242</v>
      </c>
    </row>
    <row r="626" spans="2:7">
      <c r="C626" s="232" t="s">
        <v>564</v>
      </c>
      <c r="D626" s="232" t="s">
        <v>1109</v>
      </c>
      <c r="E626" s="233">
        <v>3.5</v>
      </c>
      <c r="F626" s="233">
        <v>1.5</v>
      </c>
      <c r="G626" s="235">
        <v>43631</v>
      </c>
    </row>
    <row r="627" spans="2:7">
      <c r="C627" s="232" t="s">
        <v>559</v>
      </c>
      <c r="D627" s="232" t="s">
        <v>693</v>
      </c>
      <c r="E627" s="233">
        <v>25</v>
      </c>
      <c r="F627" s="233">
        <v>4</v>
      </c>
      <c r="G627" s="235">
        <v>44615</v>
      </c>
    </row>
    <row r="628" spans="2:7">
      <c r="G628" s="235"/>
    </row>
    <row r="629" spans="2:7">
      <c r="B629" s="230" t="s">
        <v>1111</v>
      </c>
      <c r="C629" s="232" t="s">
        <v>402</v>
      </c>
      <c r="D629" s="232" t="s">
        <v>1109</v>
      </c>
      <c r="E629" s="233">
        <v>50</v>
      </c>
      <c r="F629" s="233">
        <f>25/3</f>
        <v>8.3333333333333339</v>
      </c>
      <c r="G629" s="235">
        <v>44643</v>
      </c>
    </row>
    <row r="630" spans="2:7">
      <c r="C630" s="232" t="s">
        <v>559</v>
      </c>
      <c r="D630" s="232" t="s">
        <v>1109</v>
      </c>
      <c r="E630" s="233">
        <v>18.5</v>
      </c>
      <c r="F630" s="233">
        <f>10/4</f>
        <v>2.5</v>
      </c>
      <c r="G630" s="235">
        <v>44242</v>
      </c>
    </row>
    <row r="631" spans="2:7">
      <c r="C631" s="232" t="s">
        <v>564</v>
      </c>
      <c r="D631" s="232" t="s">
        <v>1109</v>
      </c>
      <c r="E631" s="233">
        <v>3.5</v>
      </c>
      <c r="F631" s="233">
        <v>1.5</v>
      </c>
      <c r="G631" s="235">
        <v>43631</v>
      </c>
    </row>
    <row r="632" spans="2:7">
      <c r="G632" s="235"/>
    </row>
    <row r="633" spans="2:7">
      <c r="B633" s="230" t="s">
        <v>1113</v>
      </c>
      <c r="C633" s="232" t="s">
        <v>402</v>
      </c>
      <c r="D633" s="232" t="s">
        <v>1109</v>
      </c>
      <c r="E633" s="233">
        <v>50</v>
      </c>
      <c r="F633" s="233">
        <f>25/3</f>
        <v>8.3333333333333339</v>
      </c>
      <c r="G633" s="235">
        <v>44643</v>
      </c>
    </row>
    <row r="634" spans="2:7">
      <c r="C634" s="232" t="s">
        <v>559</v>
      </c>
      <c r="D634" s="232" t="s">
        <v>1109</v>
      </c>
      <c r="E634" s="233">
        <v>18.5</v>
      </c>
      <c r="F634" s="233">
        <v>8.5</v>
      </c>
      <c r="G634" s="235">
        <v>44242</v>
      </c>
    </row>
    <row r="635" spans="2:7">
      <c r="G635" s="235"/>
    </row>
    <row r="636" spans="2:7">
      <c r="B636" s="230" t="s">
        <v>1114</v>
      </c>
      <c r="C636" s="232" t="s">
        <v>559</v>
      </c>
      <c r="D636" s="232" t="s">
        <v>1109</v>
      </c>
      <c r="E636" s="233">
        <v>18.5</v>
      </c>
      <c r="F636" s="233">
        <v>8.5</v>
      </c>
      <c r="G636" s="235">
        <v>44242</v>
      </c>
    </row>
    <row r="637" spans="2:7">
      <c r="C637" s="232" t="s">
        <v>402</v>
      </c>
      <c r="D637" s="232" t="s">
        <v>1193</v>
      </c>
      <c r="E637" s="233">
        <v>30</v>
      </c>
      <c r="F637" s="233">
        <v>7</v>
      </c>
      <c r="G637" s="235">
        <v>44510</v>
      </c>
    </row>
    <row r="638" spans="2:7">
      <c r="G638" s="235"/>
    </row>
    <row r="639" spans="2:7">
      <c r="B639" s="230" t="s">
        <v>1115</v>
      </c>
      <c r="C639" s="232" t="s">
        <v>559</v>
      </c>
      <c r="D639" s="232" t="s">
        <v>1109</v>
      </c>
      <c r="E639" s="233">
        <v>18.5</v>
      </c>
      <c r="F639" s="233">
        <v>8.5</v>
      </c>
      <c r="G639" s="235">
        <v>44242</v>
      </c>
    </row>
    <row r="640" spans="2:7">
      <c r="C640" s="232" t="s">
        <v>559</v>
      </c>
      <c r="D640" s="232" t="s">
        <v>1486</v>
      </c>
      <c r="E640" s="233">
        <v>25</v>
      </c>
      <c r="F640" s="233">
        <v>2</v>
      </c>
      <c r="G640" s="235">
        <v>44602</v>
      </c>
    </row>
    <row r="641" spans="2:7">
      <c r="G641" s="235"/>
    </row>
    <row r="642" spans="2:7">
      <c r="B642" s="230" t="s">
        <v>1121</v>
      </c>
      <c r="C642" s="232" t="s">
        <v>559</v>
      </c>
      <c r="D642" s="232" t="s">
        <v>1120</v>
      </c>
      <c r="E642" s="233">
        <v>50</v>
      </c>
      <c r="F642" s="233">
        <f>30/12</f>
        <v>2.5</v>
      </c>
      <c r="G642" s="235">
        <v>44796</v>
      </c>
    </row>
    <row r="643" spans="2:7">
      <c r="C643" s="232" t="s">
        <v>564</v>
      </c>
      <c r="D643" s="232" t="s">
        <v>1120</v>
      </c>
      <c r="E643" s="233">
        <v>12.5</v>
      </c>
      <c r="F643" s="233">
        <f>8/5</f>
        <v>1.6</v>
      </c>
      <c r="G643" s="235">
        <v>44623</v>
      </c>
    </row>
    <row r="644" spans="2:7">
      <c r="G644" s="235"/>
    </row>
    <row r="645" spans="2:7">
      <c r="B645" s="230" t="s">
        <v>1129</v>
      </c>
      <c r="C645" s="232" t="s">
        <v>559</v>
      </c>
      <c r="D645" s="232" t="s">
        <v>1120</v>
      </c>
      <c r="E645" s="233">
        <v>50</v>
      </c>
      <c r="F645" s="233">
        <f>30/12</f>
        <v>2.5</v>
      </c>
      <c r="G645" s="235">
        <v>44796</v>
      </c>
    </row>
    <row r="646" spans="2:7">
      <c r="C646" s="232" t="s">
        <v>564</v>
      </c>
      <c r="D646" s="232" t="s">
        <v>1120</v>
      </c>
      <c r="E646" s="233">
        <v>12.5</v>
      </c>
      <c r="F646" s="233">
        <v>5</v>
      </c>
      <c r="G646" s="235">
        <v>44623</v>
      </c>
    </row>
    <row r="648" spans="2:7">
      <c r="B648" s="230" t="s">
        <v>1153</v>
      </c>
      <c r="C648" s="232" t="s">
        <v>402</v>
      </c>
      <c r="D648" s="232" t="s">
        <v>672</v>
      </c>
      <c r="E648" s="233">
        <v>38</v>
      </c>
      <c r="F648" s="233">
        <f>20/3</f>
        <v>6.666666666666667</v>
      </c>
      <c r="G648" s="235">
        <v>44812</v>
      </c>
    </row>
    <row r="649" spans="2:7">
      <c r="C649" s="232" t="s">
        <v>559</v>
      </c>
      <c r="D649" s="232" t="s">
        <v>672</v>
      </c>
      <c r="E649" s="233">
        <v>19</v>
      </c>
      <c r="F649" s="233">
        <v>4</v>
      </c>
      <c r="G649" s="235">
        <v>44467</v>
      </c>
    </row>
    <row r="650" spans="2:7">
      <c r="C650" s="232" t="s">
        <v>559</v>
      </c>
      <c r="D650" s="232" t="s">
        <v>688</v>
      </c>
      <c r="E650" s="233">
        <v>25</v>
      </c>
      <c r="F650" s="233">
        <v>5</v>
      </c>
      <c r="G650" s="235">
        <v>44699</v>
      </c>
    </row>
    <row r="651" spans="2:7">
      <c r="C651" s="232" t="s">
        <v>559</v>
      </c>
      <c r="D651" s="232" t="s">
        <v>1486</v>
      </c>
      <c r="E651" s="233">
        <v>20</v>
      </c>
      <c r="F651" s="233">
        <v>2</v>
      </c>
      <c r="G651" s="235">
        <v>44602</v>
      </c>
    </row>
    <row r="652" spans="2:7">
      <c r="C652" s="232" t="s">
        <v>564</v>
      </c>
      <c r="D652" s="232" t="s">
        <v>713</v>
      </c>
      <c r="E652" s="233">
        <v>4.5</v>
      </c>
      <c r="F652" s="233">
        <v>0.5</v>
      </c>
      <c r="G652" s="235">
        <v>44293</v>
      </c>
    </row>
    <row r="653" spans="2:7">
      <c r="G653" s="235"/>
    </row>
    <row r="654" spans="2:7">
      <c r="B654" s="230" t="s">
        <v>1161</v>
      </c>
      <c r="C654" s="232" t="s">
        <v>559</v>
      </c>
      <c r="D654" s="232" t="s">
        <v>674</v>
      </c>
      <c r="E654" s="233">
        <v>33</v>
      </c>
      <c r="F654" s="233">
        <f>13/3</f>
        <v>4.333333333333333</v>
      </c>
      <c r="G654" s="235">
        <v>44893</v>
      </c>
    </row>
    <row r="655" spans="2:7">
      <c r="C655" s="232" t="s">
        <v>1165</v>
      </c>
      <c r="D655" s="232" t="s">
        <v>674</v>
      </c>
      <c r="E655" s="233">
        <v>3</v>
      </c>
      <c r="F655" s="233">
        <v>0.5</v>
      </c>
      <c r="G655" s="235">
        <v>44183</v>
      </c>
    </row>
    <row r="656" spans="2:7">
      <c r="G656" s="235"/>
    </row>
    <row r="657" spans="2:7">
      <c r="B657" s="230" t="s">
        <v>1162</v>
      </c>
      <c r="C657" s="232" t="s">
        <v>559</v>
      </c>
      <c r="D657" s="232" t="s">
        <v>674</v>
      </c>
      <c r="E657" s="233">
        <v>33</v>
      </c>
      <c r="F657" s="233">
        <f>13/3</f>
        <v>4.333333333333333</v>
      </c>
      <c r="G657" s="235">
        <v>44893</v>
      </c>
    </row>
    <row r="658" spans="2:7">
      <c r="C658" s="232" t="s">
        <v>1165</v>
      </c>
      <c r="D658" s="232" t="s">
        <v>674</v>
      </c>
      <c r="E658" s="233">
        <v>3</v>
      </c>
      <c r="F658" s="233">
        <v>0.5</v>
      </c>
      <c r="G658" s="235">
        <v>44183</v>
      </c>
    </row>
    <row r="659" spans="2:7">
      <c r="G659" s="235"/>
    </row>
    <row r="660" spans="2:7">
      <c r="B660" s="230" t="s">
        <v>1163</v>
      </c>
      <c r="C660" s="232" t="s">
        <v>559</v>
      </c>
      <c r="D660" s="232" t="s">
        <v>674</v>
      </c>
      <c r="E660" s="233">
        <v>33</v>
      </c>
      <c r="F660" s="233">
        <f>13/3</f>
        <v>4.333333333333333</v>
      </c>
      <c r="G660" s="235">
        <v>44893</v>
      </c>
    </row>
    <row r="661" spans="2:7">
      <c r="C661" s="232" t="s">
        <v>1165</v>
      </c>
      <c r="D661" s="232" t="s">
        <v>674</v>
      </c>
      <c r="E661" s="233">
        <v>3</v>
      </c>
      <c r="F661" s="233">
        <v>2</v>
      </c>
      <c r="G661" s="235">
        <v>44183</v>
      </c>
    </row>
    <row r="662" spans="2:7">
      <c r="G662" s="235"/>
    </row>
    <row r="663" spans="2:7">
      <c r="B663" s="230" t="s">
        <v>401</v>
      </c>
      <c r="C663" s="232" t="s">
        <v>559</v>
      </c>
      <c r="D663" s="232" t="s">
        <v>1188</v>
      </c>
      <c r="E663" s="233">
        <v>21</v>
      </c>
      <c r="F663" s="233">
        <f>11/3</f>
        <v>3.6666666666666665</v>
      </c>
      <c r="G663" s="235">
        <v>45027</v>
      </c>
    </row>
    <row r="664" spans="2:7">
      <c r="C664" s="232" t="s">
        <v>564</v>
      </c>
      <c r="D664" s="232" t="s">
        <v>1188</v>
      </c>
      <c r="E664" s="233">
        <v>5</v>
      </c>
      <c r="F664" s="233">
        <v>3</v>
      </c>
      <c r="G664" s="235">
        <v>44888</v>
      </c>
    </row>
    <row r="665" spans="2:7">
      <c r="C665" s="232" t="s">
        <v>559</v>
      </c>
      <c r="D665" s="232" t="s">
        <v>561</v>
      </c>
      <c r="E665" s="233">
        <v>23.5</v>
      </c>
      <c r="F665" s="233">
        <v>15</v>
      </c>
      <c r="G665" s="235">
        <v>44875</v>
      </c>
    </row>
    <row r="666" spans="2:7">
      <c r="C666" s="260" t="s">
        <v>402</v>
      </c>
      <c r="D666" s="260" t="s">
        <v>562</v>
      </c>
      <c r="E666" s="233">
        <v>27</v>
      </c>
      <c r="F666" s="233">
        <v>15</v>
      </c>
      <c r="G666" s="235">
        <v>44882</v>
      </c>
    </row>
    <row r="667" spans="2:7">
      <c r="G667" s="235"/>
    </row>
    <row r="668" spans="2:7">
      <c r="B668" s="230" t="s">
        <v>1198</v>
      </c>
      <c r="C668" s="232" t="s">
        <v>559</v>
      </c>
      <c r="D668" s="232" t="s">
        <v>1193</v>
      </c>
      <c r="E668" s="233">
        <v>21.4</v>
      </c>
      <c r="F668" s="233">
        <f>11.4/3</f>
        <v>3.8000000000000003</v>
      </c>
      <c r="G668" s="235">
        <v>44232</v>
      </c>
    </row>
    <row r="669" spans="2:7">
      <c r="C669" s="232" t="s">
        <v>559</v>
      </c>
      <c r="D669" s="232" t="s">
        <v>709</v>
      </c>
      <c r="E669" s="233">
        <v>20</v>
      </c>
      <c r="F669" s="233">
        <v>5</v>
      </c>
      <c r="G669" s="235">
        <v>44455</v>
      </c>
    </row>
    <row r="670" spans="2:7">
      <c r="G670" s="235"/>
    </row>
    <row r="671" spans="2:7">
      <c r="B671" s="230" t="s">
        <v>1206</v>
      </c>
      <c r="C671" s="232" t="s">
        <v>402</v>
      </c>
      <c r="D671" s="232" t="s">
        <v>675</v>
      </c>
      <c r="E671" s="233">
        <v>30</v>
      </c>
      <c r="F671" s="233">
        <v>6</v>
      </c>
      <c r="G671" s="235">
        <v>44539</v>
      </c>
    </row>
    <row r="672" spans="2:7">
      <c r="C672" s="232" t="s">
        <v>559</v>
      </c>
      <c r="D672" s="232" t="s">
        <v>675</v>
      </c>
      <c r="E672" s="233">
        <v>11</v>
      </c>
      <c r="F672" s="233">
        <v>3</v>
      </c>
      <c r="G672" s="235">
        <v>43862</v>
      </c>
    </row>
    <row r="673" spans="2:7">
      <c r="C673" s="232" t="s">
        <v>564</v>
      </c>
      <c r="D673" s="232" t="s">
        <v>675</v>
      </c>
      <c r="E673" s="233">
        <v>3</v>
      </c>
      <c r="F673" s="233">
        <v>1.5</v>
      </c>
      <c r="G673" s="235">
        <v>43525</v>
      </c>
    </row>
    <row r="675" spans="2:7">
      <c r="G675" s="235"/>
    </row>
    <row r="676" spans="2:7">
      <c r="B676" s="230" t="s">
        <v>1220</v>
      </c>
      <c r="C676" s="232" t="s">
        <v>559</v>
      </c>
      <c r="D676" s="232" t="s">
        <v>679</v>
      </c>
      <c r="E676" s="233">
        <v>30</v>
      </c>
      <c r="F676" s="233">
        <v>4</v>
      </c>
      <c r="G676" s="235">
        <v>44522</v>
      </c>
    </row>
    <row r="677" spans="2:7">
      <c r="C677" s="232" t="s">
        <v>564</v>
      </c>
      <c r="D677" s="232" t="s">
        <v>679</v>
      </c>
      <c r="E677" s="233">
        <v>5.5</v>
      </c>
      <c r="F677" s="233">
        <v>1</v>
      </c>
      <c r="G677" s="235">
        <v>44096</v>
      </c>
    </row>
    <row r="678" spans="2:7">
      <c r="B678" s="230" t="s">
        <v>1221</v>
      </c>
      <c r="C678" s="232" t="s">
        <v>559</v>
      </c>
      <c r="D678" s="232" t="s">
        <v>679</v>
      </c>
      <c r="E678" s="233">
        <v>30</v>
      </c>
      <c r="F678" s="233">
        <v>4</v>
      </c>
      <c r="G678" s="235">
        <v>44522</v>
      </c>
    </row>
    <row r="679" spans="2:7">
      <c r="G679" s="235"/>
    </row>
    <row r="680" spans="2:7">
      <c r="B680" s="230" t="s">
        <v>1222</v>
      </c>
      <c r="C680" s="232" t="s">
        <v>559</v>
      </c>
      <c r="D680" s="232" t="s">
        <v>679</v>
      </c>
      <c r="E680" s="233">
        <v>30</v>
      </c>
      <c r="F680" s="233">
        <v>4</v>
      </c>
      <c r="G680" s="235">
        <v>44522</v>
      </c>
    </row>
    <row r="681" spans="2:7">
      <c r="C681" s="232" t="s">
        <v>564</v>
      </c>
      <c r="D681" s="232" t="s">
        <v>679</v>
      </c>
      <c r="E681" s="233">
        <v>5.5</v>
      </c>
      <c r="F681" s="233">
        <v>3.5</v>
      </c>
      <c r="G681" s="235">
        <v>44096</v>
      </c>
    </row>
    <row r="682" spans="2:7">
      <c r="C682" s="232" t="s">
        <v>559</v>
      </c>
      <c r="D682" s="232" t="s">
        <v>1490</v>
      </c>
      <c r="E682" s="233">
        <v>20</v>
      </c>
      <c r="F682" s="233">
        <v>2</v>
      </c>
      <c r="G682" s="235">
        <v>44578</v>
      </c>
    </row>
    <row r="683" spans="2:7">
      <c r="G683" s="235"/>
    </row>
    <row r="684" spans="2:7">
      <c r="B684" s="230" t="s">
        <v>1217</v>
      </c>
      <c r="C684" s="232" t="s">
        <v>559</v>
      </c>
      <c r="D684" s="232" t="s">
        <v>679</v>
      </c>
      <c r="E684" s="233">
        <v>30</v>
      </c>
      <c r="F684" s="233">
        <v>4</v>
      </c>
      <c r="G684" s="235">
        <v>44522</v>
      </c>
    </row>
    <row r="685" spans="2:7">
      <c r="C685" s="232" t="s">
        <v>564</v>
      </c>
      <c r="D685" s="232" t="s">
        <v>679</v>
      </c>
      <c r="E685" s="233">
        <v>5.5</v>
      </c>
      <c r="F685" s="233">
        <v>1</v>
      </c>
      <c r="G685" s="235">
        <v>44096</v>
      </c>
    </row>
    <row r="686" spans="2:7">
      <c r="C686" s="232" t="s">
        <v>564</v>
      </c>
      <c r="D686" s="232" t="s">
        <v>679</v>
      </c>
      <c r="E686" s="233">
        <v>2</v>
      </c>
      <c r="F686" s="233">
        <v>2</v>
      </c>
      <c r="G686" s="235">
        <v>43862</v>
      </c>
    </row>
    <row r="687" spans="2:7">
      <c r="C687" s="232" t="s">
        <v>559</v>
      </c>
      <c r="D687" s="232" t="s">
        <v>1490</v>
      </c>
      <c r="E687" s="233">
        <v>20</v>
      </c>
      <c r="F687" s="233">
        <v>3</v>
      </c>
      <c r="G687" s="235">
        <v>44578</v>
      </c>
    </row>
    <row r="689" spans="2:7">
      <c r="B689" s="230" t="s">
        <v>1242</v>
      </c>
      <c r="C689" s="232" t="s">
        <v>559</v>
      </c>
      <c r="D689" s="232" t="s">
        <v>584</v>
      </c>
      <c r="E689" s="233">
        <v>10.9</v>
      </c>
      <c r="F689" s="233">
        <f t="shared" ref="F689:F869" si="5">8/8</f>
        <v>1</v>
      </c>
      <c r="G689" s="235">
        <v>45070</v>
      </c>
    </row>
    <row r="690" spans="2:7">
      <c r="C690" s="260" t="s">
        <v>559</v>
      </c>
      <c r="D690" s="260" t="s">
        <v>1624</v>
      </c>
      <c r="E690" s="233">
        <v>6</v>
      </c>
      <c r="F690" s="233">
        <v>3</v>
      </c>
      <c r="G690" s="235">
        <v>44917</v>
      </c>
    </row>
    <row r="691" spans="2:7">
      <c r="C691" s="260"/>
      <c r="D691" s="260"/>
      <c r="G691" s="235"/>
    </row>
    <row r="692" spans="2:7">
      <c r="B692" s="230" t="s">
        <v>1243</v>
      </c>
      <c r="C692" s="232" t="s">
        <v>559</v>
      </c>
      <c r="D692" s="232" t="s">
        <v>584</v>
      </c>
      <c r="E692" s="233">
        <v>10.9</v>
      </c>
      <c r="F692" s="233">
        <f t="shared" si="5"/>
        <v>1</v>
      </c>
      <c r="G692" s="235">
        <v>45070</v>
      </c>
    </row>
    <row r="693" spans="2:7">
      <c r="G693" s="235"/>
    </row>
    <row r="694" spans="2:7">
      <c r="B694" s="230" t="s">
        <v>1253</v>
      </c>
      <c r="C694" s="232" t="s">
        <v>564</v>
      </c>
      <c r="D694" s="232" t="s">
        <v>566</v>
      </c>
      <c r="E694" s="233">
        <v>2.8</v>
      </c>
      <c r="F694" s="233">
        <v>1</v>
      </c>
      <c r="G694" s="235">
        <v>44994</v>
      </c>
    </row>
    <row r="695" spans="2:7">
      <c r="C695" s="232" t="s">
        <v>564</v>
      </c>
      <c r="D695" s="232" t="s">
        <v>566</v>
      </c>
      <c r="E695" s="233">
        <v>2.6</v>
      </c>
      <c r="F695" s="233">
        <f>1.6/4</f>
        <v>0.4</v>
      </c>
      <c r="G695" s="235">
        <v>44147</v>
      </c>
    </row>
    <row r="697" spans="2:7">
      <c r="B697" s="230" t="s">
        <v>1412</v>
      </c>
      <c r="C697" s="232" t="s">
        <v>559</v>
      </c>
      <c r="D697" s="232" t="s">
        <v>1299</v>
      </c>
      <c r="E697" s="233">
        <v>30</v>
      </c>
      <c r="F697" s="233">
        <v>10</v>
      </c>
      <c r="G697" s="235">
        <v>44656</v>
      </c>
    </row>
    <row r="698" spans="2:7">
      <c r="C698" s="232" t="s">
        <v>559</v>
      </c>
      <c r="D698" s="232" t="s">
        <v>701</v>
      </c>
      <c r="E698" s="233">
        <v>20</v>
      </c>
      <c r="F698" s="233">
        <f>13/6</f>
        <v>2.1666666666666665</v>
      </c>
      <c r="G698" s="235">
        <v>44903</v>
      </c>
    </row>
    <row r="699" spans="2:7">
      <c r="C699" s="232" t="s">
        <v>559</v>
      </c>
      <c r="D699" s="232" t="s">
        <v>701</v>
      </c>
      <c r="E699" s="233">
        <v>11</v>
      </c>
      <c r="F699" s="233">
        <v>3</v>
      </c>
      <c r="G699" s="235">
        <v>44313</v>
      </c>
    </row>
    <row r="700" spans="2:7">
      <c r="C700" s="232" t="s">
        <v>564</v>
      </c>
      <c r="D700" s="232" t="s">
        <v>701</v>
      </c>
      <c r="E700" s="233">
        <v>3</v>
      </c>
      <c r="F700" s="233">
        <v>2</v>
      </c>
      <c r="G700" s="235">
        <v>44011</v>
      </c>
    </row>
    <row r="701" spans="2:7">
      <c r="G701" s="235"/>
    </row>
    <row r="702" spans="2:7">
      <c r="B702" s="230" t="s">
        <v>1300</v>
      </c>
      <c r="C702" s="232" t="s">
        <v>559</v>
      </c>
      <c r="D702" s="232" t="s">
        <v>1299</v>
      </c>
      <c r="E702" s="233">
        <v>30</v>
      </c>
      <c r="F702" s="233">
        <v>10</v>
      </c>
      <c r="G702" s="235">
        <v>44656</v>
      </c>
    </row>
    <row r="703" spans="2:7">
      <c r="G703" s="235"/>
    </row>
    <row r="704" spans="2:7">
      <c r="B704" s="230" t="s">
        <v>1329</v>
      </c>
      <c r="C704" s="232" t="s">
        <v>559</v>
      </c>
      <c r="D704" s="232" t="s">
        <v>688</v>
      </c>
      <c r="E704" s="233">
        <v>25</v>
      </c>
      <c r="F704" s="233">
        <v>10</v>
      </c>
      <c r="G704" s="235">
        <v>44699</v>
      </c>
    </row>
    <row r="705" spans="2:7">
      <c r="C705" s="232" t="s">
        <v>559</v>
      </c>
      <c r="D705" s="232" t="s">
        <v>561</v>
      </c>
      <c r="E705" s="233">
        <v>5.6</v>
      </c>
      <c r="F705" s="233">
        <v>1</v>
      </c>
      <c r="G705" s="235">
        <v>44292</v>
      </c>
    </row>
    <row r="706" spans="2:7">
      <c r="G706" s="235"/>
    </row>
    <row r="707" spans="2:7">
      <c r="B707" s="230" t="s">
        <v>1330</v>
      </c>
      <c r="C707" s="232" t="s">
        <v>559</v>
      </c>
      <c r="D707" s="232" t="s">
        <v>688</v>
      </c>
      <c r="E707" s="233">
        <v>25</v>
      </c>
      <c r="F707" s="233">
        <v>5</v>
      </c>
      <c r="G707" s="235">
        <v>44699</v>
      </c>
    </row>
    <row r="708" spans="2:7">
      <c r="C708" s="260" t="s">
        <v>564</v>
      </c>
      <c r="D708" s="260" t="s">
        <v>1180</v>
      </c>
      <c r="E708" s="233">
        <v>113</v>
      </c>
      <c r="F708" s="233">
        <v>8</v>
      </c>
      <c r="G708" s="235">
        <v>45090</v>
      </c>
    </row>
    <row r="709" spans="2:7">
      <c r="C709" s="260"/>
      <c r="D709" s="260"/>
      <c r="G709" s="235"/>
    </row>
    <row r="710" spans="2:7">
      <c r="B710" s="230" t="s">
        <v>1353</v>
      </c>
      <c r="C710" s="232" t="s">
        <v>402</v>
      </c>
      <c r="D710" s="232" t="s">
        <v>692</v>
      </c>
      <c r="E710" s="233">
        <v>25</v>
      </c>
      <c r="F710" s="233">
        <v>3</v>
      </c>
      <c r="G710" s="235">
        <v>44636</v>
      </c>
    </row>
    <row r="711" spans="2:7">
      <c r="C711" s="232" t="s">
        <v>559</v>
      </c>
      <c r="D711" s="232" t="s">
        <v>692</v>
      </c>
      <c r="E711" s="233">
        <v>12.2</v>
      </c>
      <c r="F711" s="233">
        <v>2</v>
      </c>
      <c r="G711" s="235">
        <v>44179</v>
      </c>
    </row>
    <row r="712" spans="2:7">
      <c r="G712" s="235"/>
    </row>
    <row r="713" spans="2:7">
      <c r="B713" s="230" t="s">
        <v>1354</v>
      </c>
      <c r="C713" s="232" t="s">
        <v>402</v>
      </c>
      <c r="D713" s="232" t="s">
        <v>692</v>
      </c>
      <c r="E713" s="233">
        <v>25</v>
      </c>
      <c r="F713" s="233">
        <v>3</v>
      </c>
      <c r="G713" s="235">
        <v>44636</v>
      </c>
    </row>
    <row r="714" spans="2:7">
      <c r="C714" s="232" t="s">
        <v>559</v>
      </c>
      <c r="D714" s="232" t="s">
        <v>692</v>
      </c>
      <c r="E714" s="233">
        <v>12</v>
      </c>
      <c r="F714" s="233">
        <v>2</v>
      </c>
      <c r="G714" s="235">
        <v>44179</v>
      </c>
    </row>
    <row r="715" spans="2:7">
      <c r="C715" s="232" t="s">
        <v>564</v>
      </c>
      <c r="D715" s="232" t="s">
        <v>692</v>
      </c>
      <c r="E715" s="233">
        <v>5.0999999999999996</v>
      </c>
      <c r="F715" s="233">
        <v>1</v>
      </c>
      <c r="G715" s="235">
        <v>44046</v>
      </c>
    </row>
    <row r="716" spans="2:7">
      <c r="B716" s="230" t="s">
        <v>1355</v>
      </c>
      <c r="C716" s="232" t="s">
        <v>402</v>
      </c>
      <c r="D716" s="232" t="s">
        <v>692</v>
      </c>
      <c r="E716" s="233">
        <v>25</v>
      </c>
      <c r="F716" s="233">
        <v>3</v>
      </c>
      <c r="G716" s="235">
        <v>44636</v>
      </c>
    </row>
    <row r="717" spans="2:7">
      <c r="C717" s="232" t="s">
        <v>559</v>
      </c>
      <c r="D717" s="232" t="s">
        <v>692</v>
      </c>
      <c r="E717" s="233">
        <v>12</v>
      </c>
      <c r="F717" s="233">
        <v>2</v>
      </c>
      <c r="G717" s="235">
        <v>44179</v>
      </c>
    </row>
    <row r="718" spans="2:7">
      <c r="B718" s="230" t="s">
        <v>1360</v>
      </c>
      <c r="C718" s="232" t="s">
        <v>559</v>
      </c>
      <c r="D718" s="232" t="s">
        <v>693</v>
      </c>
      <c r="E718" s="233">
        <v>25</v>
      </c>
      <c r="F718" s="233">
        <f>15/4</f>
        <v>3.75</v>
      </c>
      <c r="G718" s="235">
        <v>44615</v>
      </c>
    </row>
    <row r="719" spans="2:7">
      <c r="C719" s="232" t="s">
        <v>564</v>
      </c>
      <c r="D719" s="232" t="s">
        <v>693</v>
      </c>
      <c r="E719" s="233">
        <v>5</v>
      </c>
      <c r="F719" s="233">
        <v>2</v>
      </c>
      <c r="G719" s="235">
        <v>44292</v>
      </c>
    </row>
    <row r="720" spans="2:7">
      <c r="B720" s="230" t="s">
        <v>1361</v>
      </c>
      <c r="C720" s="232" t="s">
        <v>559</v>
      </c>
      <c r="D720" s="232" t="s">
        <v>693</v>
      </c>
      <c r="E720" s="233">
        <v>25</v>
      </c>
      <c r="F720" s="233">
        <f>15/4</f>
        <v>3.75</v>
      </c>
      <c r="G720" s="235">
        <v>44615</v>
      </c>
    </row>
    <row r="721" spans="2:7">
      <c r="C721" s="232" t="s">
        <v>564</v>
      </c>
      <c r="D721" s="232" t="s">
        <v>693</v>
      </c>
      <c r="E721" s="233">
        <v>5</v>
      </c>
      <c r="F721" s="233">
        <v>2</v>
      </c>
      <c r="G721" s="235">
        <v>44292</v>
      </c>
    </row>
    <row r="722" spans="2:7">
      <c r="B722" s="230" t="s">
        <v>1362</v>
      </c>
      <c r="C722" s="232" t="s">
        <v>559</v>
      </c>
      <c r="D722" s="232" t="s">
        <v>693</v>
      </c>
      <c r="E722" s="233">
        <v>25</v>
      </c>
      <c r="F722" s="233">
        <f>15/4</f>
        <v>3.75</v>
      </c>
      <c r="G722" s="235">
        <v>44615</v>
      </c>
    </row>
    <row r="723" spans="2:7">
      <c r="C723" s="232" t="s">
        <v>559</v>
      </c>
      <c r="D723" s="232" t="s">
        <v>694</v>
      </c>
      <c r="E723" s="233">
        <v>21</v>
      </c>
      <c r="F723" s="233">
        <f>14/5</f>
        <v>2.8</v>
      </c>
      <c r="G723" s="235">
        <v>44489</v>
      </c>
    </row>
    <row r="724" spans="2:7">
      <c r="B724" s="230" t="s">
        <v>1369</v>
      </c>
      <c r="C724" s="232" t="s">
        <v>402</v>
      </c>
      <c r="D724" s="232" t="s">
        <v>694</v>
      </c>
      <c r="E724" s="233">
        <v>25</v>
      </c>
      <c r="F724" s="233">
        <f>15/5</f>
        <v>3</v>
      </c>
      <c r="G724" s="235">
        <v>44755</v>
      </c>
    </row>
    <row r="725" spans="2:7">
      <c r="C725" s="232" t="s">
        <v>559</v>
      </c>
      <c r="D725" s="232" t="s">
        <v>694</v>
      </c>
      <c r="E725" s="233">
        <v>21</v>
      </c>
      <c r="F725" s="233">
        <f>14/5</f>
        <v>2.8</v>
      </c>
      <c r="G725" s="235">
        <v>44489</v>
      </c>
    </row>
    <row r="726" spans="2:7">
      <c r="C726" s="232" t="s">
        <v>564</v>
      </c>
      <c r="D726" s="232" t="s">
        <v>694</v>
      </c>
      <c r="E726" s="233">
        <v>9.1</v>
      </c>
      <c r="F726" s="233">
        <v>4</v>
      </c>
      <c r="G726" s="235">
        <v>44131</v>
      </c>
    </row>
    <row r="727" spans="2:7">
      <c r="B727" s="230" t="s">
        <v>1370</v>
      </c>
      <c r="C727" s="232" t="s">
        <v>402</v>
      </c>
      <c r="D727" s="232" t="s">
        <v>694</v>
      </c>
      <c r="E727" s="233">
        <v>25</v>
      </c>
      <c r="F727" s="233">
        <f>15/5</f>
        <v>3</v>
      </c>
      <c r="G727" s="235">
        <v>44755</v>
      </c>
    </row>
    <row r="728" spans="2:7">
      <c r="C728" s="232" t="s">
        <v>559</v>
      </c>
      <c r="D728" s="232" t="s">
        <v>694</v>
      </c>
      <c r="E728" s="233">
        <v>21</v>
      </c>
      <c r="F728" s="233">
        <f>14/5</f>
        <v>2.8</v>
      </c>
      <c r="G728" s="235">
        <v>44489</v>
      </c>
    </row>
    <row r="729" spans="2:7">
      <c r="C729" s="232" t="s">
        <v>564</v>
      </c>
      <c r="D729" s="232" t="s">
        <v>694</v>
      </c>
      <c r="E729" s="233">
        <v>9.1</v>
      </c>
      <c r="F729" s="233">
        <v>4</v>
      </c>
      <c r="G729" s="235">
        <v>44131</v>
      </c>
    </row>
    <row r="730" spans="2:7">
      <c r="B730" s="230" t="s">
        <v>1371</v>
      </c>
      <c r="C730" s="232" t="s">
        <v>402</v>
      </c>
      <c r="D730" s="232" t="s">
        <v>694</v>
      </c>
      <c r="E730" s="233">
        <v>25</v>
      </c>
      <c r="F730" s="233">
        <f>15/5</f>
        <v>3</v>
      </c>
      <c r="G730" s="235">
        <v>44755</v>
      </c>
    </row>
    <row r="731" spans="2:7">
      <c r="B731" s="230" t="s">
        <v>1372</v>
      </c>
      <c r="C731" s="232" t="s">
        <v>402</v>
      </c>
      <c r="D731" s="232" t="s">
        <v>694</v>
      </c>
      <c r="E731" s="233">
        <v>25</v>
      </c>
      <c r="F731" s="233">
        <f>15/5</f>
        <v>3</v>
      </c>
      <c r="G731" s="235">
        <v>44755</v>
      </c>
    </row>
    <row r="732" spans="2:7">
      <c r="C732" s="232" t="s">
        <v>559</v>
      </c>
      <c r="D732" s="232" t="s">
        <v>694</v>
      </c>
      <c r="E732" s="233">
        <v>21</v>
      </c>
      <c r="F732" s="233">
        <f>14/5</f>
        <v>2.8</v>
      </c>
      <c r="G732" s="235">
        <v>44489</v>
      </c>
    </row>
    <row r="733" spans="2:7">
      <c r="B733" s="230" t="s">
        <v>1373</v>
      </c>
      <c r="C733" s="232" t="s">
        <v>402</v>
      </c>
      <c r="D733" s="232" t="s">
        <v>694</v>
      </c>
      <c r="E733" s="233">
        <v>25</v>
      </c>
      <c r="F733" s="233">
        <f>15/5</f>
        <v>3</v>
      </c>
      <c r="G733" s="235">
        <v>44755</v>
      </c>
    </row>
    <row r="734" spans="2:7">
      <c r="B734" s="230" t="s">
        <v>1375</v>
      </c>
      <c r="C734" s="232" t="s">
        <v>559</v>
      </c>
      <c r="D734" s="232" t="s">
        <v>694</v>
      </c>
      <c r="E734" s="233">
        <v>21</v>
      </c>
      <c r="F734" s="233">
        <f>14/5</f>
        <v>2.8</v>
      </c>
      <c r="G734" s="235">
        <v>44489</v>
      </c>
    </row>
    <row r="735" spans="2:7">
      <c r="B735" s="230" t="s">
        <v>1378</v>
      </c>
      <c r="C735" s="232" t="s">
        <v>559</v>
      </c>
      <c r="D735" s="232" t="s">
        <v>695</v>
      </c>
      <c r="E735" s="233">
        <v>25</v>
      </c>
      <c r="F735" s="233">
        <v>7</v>
      </c>
      <c r="G735" s="235">
        <v>44757</v>
      </c>
    </row>
    <row r="736" spans="2:7">
      <c r="C736" s="232" t="s">
        <v>564</v>
      </c>
      <c r="D736" s="232" t="s">
        <v>695</v>
      </c>
      <c r="E736" s="233">
        <v>4</v>
      </c>
      <c r="F736" s="233">
        <v>0.5</v>
      </c>
      <c r="G736" s="235">
        <v>44340</v>
      </c>
    </row>
    <row r="737" spans="2:7">
      <c r="B737" s="230" t="s">
        <v>1379</v>
      </c>
      <c r="C737" s="232" t="s">
        <v>559</v>
      </c>
      <c r="D737" s="232" t="s">
        <v>695</v>
      </c>
      <c r="E737" s="233">
        <v>25</v>
      </c>
      <c r="F737" s="233">
        <f>18/7</f>
        <v>2.5714285714285716</v>
      </c>
      <c r="G737" s="235">
        <v>44757</v>
      </c>
    </row>
    <row r="738" spans="2:7">
      <c r="B738" s="230" t="s">
        <v>1380</v>
      </c>
      <c r="C738" s="232" t="s">
        <v>559</v>
      </c>
      <c r="D738" s="232" t="s">
        <v>695</v>
      </c>
      <c r="E738" s="233">
        <v>25</v>
      </c>
      <c r="F738" s="233">
        <f>18/7</f>
        <v>2.5714285714285716</v>
      </c>
      <c r="G738" s="235">
        <v>44757</v>
      </c>
    </row>
    <row r="739" spans="2:7">
      <c r="C739" s="232" t="s">
        <v>564</v>
      </c>
      <c r="D739" s="232" t="s">
        <v>695</v>
      </c>
      <c r="E739" s="233">
        <v>4</v>
      </c>
      <c r="F739" s="233">
        <v>0.5</v>
      </c>
      <c r="G739" s="235">
        <v>44340</v>
      </c>
    </row>
    <row r="741" spans="2:7">
      <c r="B741" s="230" t="s">
        <v>1382</v>
      </c>
      <c r="C741" s="232" t="s">
        <v>559</v>
      </c>
      <c r="D741" s="232" t="s">
        <v>695</v>
      </c>
      <c r="E741" s="233">
        <v>25</v>
      </c>
      <c r="F741" s="233">
        <f t="shared" ref="F741:F925" si="6">18/7</f>
        <v>2.5714285714285716</v>
      </c>
      <c r="G741" s="235">
        <v>44757</v>
      </c>
    </row>
    <row r="742" spans="2:7">
      <c r="C742" s="232" t="s">
        <v>564</v>
      </c>
      <c r="D742" s="232" t="s">
        <v>695</v>
      </c>
      <c r="E742" s="233">
        <v>4</v>
      </c>
      <c r="F742" s="233">
        <v>0.5</v>
      </c>
      <c r="G742" s="235">
        <v>44340</v>
      </c>
    </row>
    <row r="743" spans="2:7">
      <c r="B743" s="230" t="s">
        <v>1383</v>
      </c>
      <c r="C743" s="232" t="s">
        <v>559</v>
      </c>
      <c r="D743" s="232" t="s">
        <v>695</v>
      </c>
      <c r="E743" s="233">
        <v>25</v>
      </c>
      <c r="F743" s="233">
        <f t="shared" si="6"/>
        <v>2.5714285714285716</v>
      </c>
      <c r="G743" s="235">
        <v>44757</v>
      </c>
    </row>
    <row r="744" spans="2:7">
      <c r="C744" s="232" t="s">
        <v>564</v>
      </c>
      <c r="D744" s="232" t="s">
        <v>695</v>
      </c>
      <c r="E744" s="233">
        <v>4</v>
      </c>
      <c r="F744" s="233">
        <v>1</v>
      </c>
      <c r="G744" s="235">
        <v>44340</v>
      </c>
    </row>
    <row r="745" spans="2:7">
      <c r="C745" s="232" t="s">
        <v>564</v>
      </c>
      <c r="D745" s="232" t="s">
        <v>695</v>
      </c>
      <c r="E745" s="233">
        <v>1.5</v>
      </c>
      <c r="F745" s="233">
        <v>0.75</v>
      </c>
      <c r="G745" s="235">
        <v>43979</v>
      </c>
    </row>
    <row r="746" spans="2:7">
      <c r="G746" s="235"/>
    </row>
    <row r="747" spans="2:7">
      <c r="B747" s="230" t="s">
        <v>1398</v>
      </c>
      <c r="C747" s="232" t="s">
        <v>559</v>
      </c>
      <c r="D747" s="232" t="s">
        <v>700</v>
      </c>
      <c r="E747" s="233">
        <v>20</v>
      </c>
      <c r="F747" s="233">
        <f>13/6</f>
        <v>2.1666666666666665</v>
      </c>
      <c r="G747" s="235">
        <v>44676</v>
      </c>
    </row>
    <row r="748" spans="2:7">
      <c r="C748" s="232" t="s">
        <v>564</v>
      </c>
      <c r="D748" s="232" t="s">
        <v>700</v>
      </c>
      <c r="E748" s="233">
        <v>5</v>
      </c>
      <c r="F748" s="233">
        <v>1.5</v>
      </c>
      <c r="G748" s="235">
        <v>44060</v>
      </c>
    </row>
    <row r="749" spans="2:7">
      <c r="G749" s="235"/>
    </row>
    <row r="750" spans="2:7">
      <c r="B750" s="230" t="s">
        <v>1399</v>
      </c>
      <c r="C750" s="232" t="s">
        <v>559</v>
      </c>
      <c r="D750" s="232" t="s">
        <v>700</v>
      </c>
      <c r="E750" s="233">
        <v>20</v>
      </c>
      <c r="F750" s="233">
        <f t="shared" ref="F750:F873" si="7">13/6</f>
        <v>2.1666666666666665</v>
      </c>
      <c r="G750" s="235">
        <v>44676</v>
      </c>
    </row>
    <row r="751" spans="2:7">
      <c r="C751" s="232" t="s">
        <v>564</v>
      </c>
      <c r="D751" s="232" t="s">
        <v>700</v>
      </c>
      <c r="E751" s="233">
        <v>5</v>
      </c>
      <c r="F751" s="233">
        <v>1.5</v>
      </c>
      <c r="G751" s="235">
        <v>44060</v>
      </c>
    </row>
    <row r="752" spans="2:7">
      <c r="G752" s="235"/>
    </row>
    <row r="753" spans="2:7">
      <c r="B753" s="230" t="s">
        <v>1400</v>
      </c>
      <c r="C753" s="232" t="s">
        <v>559</v>
      </c>
      <c r="D753" s="232" t="s">
        <v>700</v>
      </c>
      <c r="E753" s="233">
        <v>20</v>
      </c>
      <c r="F753" s="233">
        <f t="shared" si="7"/>
        <v>2.1666666666666665</v>
      </c>
      <c r="G753" s="235">
        <v>44676</v>
      </c>
    </row>
    <row r="754" spans="2:7">
      <c r="C754" s="232" t="s">
        <v>564</v>
      </c>
      <c r="D754" s="232" t="s">
        <v>700</v>
      </c>
      <c r="E754" s="233">
        <v>5</v>
      </c>
      <c r="F754" s="233">
        <v>1.5</v>
      </c>
      <c r="G754" s="235">
        <v>44060</v>
      </c>
    </row>
    <row r="757" spans="2:7">
      <c r="B757" s="230" t="s">
        <v>1403</v>
      </c>
      <c r="C757" s="232" t="s">
        <v>559</v>
      </c>
      <c r="D757" s="232" t="s">
        <v>700</v>
      </c>
      <c r="E757" s="233">
        <v>20</v>
      </c>
      <c r="F757" s="233">
        <f t="shared" si="7"/>
        <v>2.1666666666666665</v>
      </c>
      <c r="G757" s="235">
        <v>44676</v>
      </c>
    </row>
    <row r="758" spans="2:7">
      <c r="C758" s="232" t="s">
        <v>564</v>
      </c>
      <c r="D758" s="232" t="s">
        <v>700</v>
      </c>
      <c r="E758" s="233">
        <v>5</v>
      </c>
      <c r="F758" s="233">
        <v>0.5</v>
      </c>
      <c r="G758" s="235">
        <v>44060</v>
      </c>
    </row>
    <row r="759" spans="2:7">
      <c r="G759" s="235"/>
    </row>
    <row r="760" spans="2:7">
      <c r="B760" s="230" t="s">
        <v>1414</v>
      </c>
      <c r="C760" s="232" t="s">
        <v>559</v>
      </c>
      <c r="D760" s="232" t="s">
        <v>701</v>
      </c>
      <c r="E760" s="233">
        <v>20</v>
      </c>
      <c r="F760" s="233">
        <f>13/6</f>
        <v>2.1666666666666665</v>
      </c>
      <c r="G760" s="235">
        <v>44903</v>
      </c>
    </row>
    <row r="761" spans="2:7">
      <c r="C761" s="232" t="s">
        <v>559</v>
      </c>
      <c r="D761" s="232" t="s">
        <v>701</v>
      </c>
      <c r="E761" s="233">
        <v>11</v>
      </c>
      <c r="F761" s="233">
        <v>3</v>
      </c>
      <c r="G761" s="235">
        <v>44313</v>
      </c>
    </row>
    <row r="762" spans="2:7">
      <c r="G762" s="235"/>
    </row>
    <row r="763" spans="2:7">
      <c r="B763" s="230" t="s">
        <v>1416</v>
      </c>
      <c r="C763" s="232" t="s">
        <v>559</v>
      </c>
      <c r="D763" s="232" t="s">
        <v>701</v>
      </c>
      <c r="E763" s="233">
        <v>20</v>
      </c>
      <c r="F763" s="233">
        <f>13/6</f>
        <v>2.1666666666666665</v>
      </c>
      <c r="G763" s="235">
        <v>44903</v>
      </c>
    </row>
    <row r="764" spans="2:7">
      <c r="C764" s="232" t="s">
        <v>559</v>
      </c>
      <c r="D764" s="232" t="s">
        <v>701</v>
      </c>
      <c r="E764" s="233">
        <v>11</v>
      </c>
      <c r="F764" s="233">
        <v>5</v>
      </c>
      <c r="G764" s="235">
        <v>44313</v>
      </c>
    </row>
    <row r="765" spans="2:7">
      <c r="G765" s="235"/>
    </row>
    <row r="766" spans="2:7">
      <c r="B766" s="230" t="s">
        <v>1524</v>
      </c>
      <c r="C766" s="232" t="s">
        <v>559</v>
      </c>
      <c r="D766" s="232" t="s">
        <v>709</v>
      </c>
      <c r="E766" s="233">
        <v>20</v>
      </c>
      <c r="F766" s="233">
        <v>7</v>
      </c>
      <c r="G766" s="235">
        <v>44455</v>
      </c>
    </row>
    <row r="767" spans="2:7">
      <c r="C767" s="232" t="s">
        <v>564</v>
      </c>
      <c r="D767" s="232" t="s">
        <v>709</v>
      </c>
      <c r="E767" s="233">
        <v>2.1</v>
      </c>
      <c r="F767" s="233">
        <v>1</v>
      </c>
      <c r="G767" s="235">
        <v>44455</v>
      </c>
    </row>
    <row r="768" spans="2:7">
      <c r="G768" s="235"/>
    </row>
    <row r="769" spans="2:7">
      <c r="B769" s="230" t="s">
        <v>1532</v>
      </c>
      <c r="C769" s="232" t="s">
        <v>559</v>
      </c>
      <c r="D769" s="232" t="s">
        <v>1517</v>
      </c>
      <c r="E769" s="233">
        <v>12.5</v>
      </c>
      <c r="F769" s="233">
        <v>2</v>
      </c>
      <c r="G769" s="235">
        <v>44784</v>
      </c>
    </row>
    <row r="770" spans="2:7">
      <c r="C770" s="232" t="s">
        <v>559</v>
      </c>
      <c r="D770" s="232" t="s">
        <v>1517</v>
      </c>
      <c r="E770" s="233">
        <v>10</v>
      </c>
      <c r="F770" s="233">
        <v>4</v>
      </c>
      <c r="G770" s="235">
        <v>44110</v>
      </c>
    </row>
    <row r="771" spans="2:7">
      <c r="C771" s="260" t="s">
        <v>559</v>
      </c>
      <c r="D771" s="260" t="s">
        <v>594</v>
      </c>
      <c r="E771" s="233">
        <v>12.7</v>
      </c>
      <c r="F771" s="233">
        <v>4.7</v>
      </c>
      <c r="G771" s="235">
        <v>44952</v>
      </c>
    </row>
    <row r="772" spans="2:7">
      <c r="G772" s="235"/>
    </row>
    <row r="773" spans="2:7">
      <c r="B773" s="230" t="s">
        <v>1533</v>
      </c>
      <c r="C773" s="232" t="s">
        <v>559</v>
      </c>
      <c r="D773" s="232" t="s">
        <v>1517</v>
      </c>
      <c r="E773" s="233">
        <v>12.5</v>
      </c>
      <c r="F773" s="233">
        <v>2</v>
      </c>
      <c r="G773" s="235">
        <v>44784</v>
      </c>
    </row>
    <row r="774" spans="2:7">
      <c r="G774" s="235"/>
    </row>
    <row r="775" spans="2:7">
      <c r="B775" s="230" t="s">
        <v>1534</v>
      </c>
      <c r="C775" s="232" t="s">
        <v>559</v>
      </c>
      <c r="D775" s="232" t="s">
        <v>1517</v>
      </c>
      <c r="E775" s="233">
        <v>12.5</v>
      </c>
      <c r="F775" s="233">
        <v>2</v>
      </c>
      <c r="G775" s="235">
        <v>44784</v>
      </c>
    </row>
    <row r="776" spans="2:7">
      <c r="C776" s="232" t="s">
        <v>559</v>
      </c>
      <c r="D776" s="232" t="s">
        <v>1517</v>
      </c>
      <c r="E776" s="233">
        <v>10</v>
      </c>
      <c r="F776" s="233">
        <v>2</v>
      </c>
      <c r="G776" s="235">
        <v>44110</v>
      </c>
    </row>
    <row r="777" spans="2:7">
      <c r="C777" s="232" t="s">
        <v>564</v>
      </c>
      <c r="D777" s="232" t="s">
        <v>1517</v>
      </c>
      <c r="E777" s="233">
        <v>5</v>
      </c>
      <c r="F777" s="233">
        <v>2</v>
      </c>
      <c r="G777" s="235">
        <v>43392</v>
      </c>
    </row>
    <row r="778" spans="2:7">
      <c r="G778" s="235"/>
    </row>
    <row r="779" spans="2:7">
      <c r="B779" s="230" t="s">
        <v>1536</v>
      </c>
      <c r="C779" s="232" t="s">
        <v>559</v>
      </c>
      <c r="D779" s="232" t="s">
        <v>1517</v>
      </c>
      <c r="E779" s="233">
        <v>10</v>
      </c>
      <c r="F779" s="233">
        <v>2</v>
      </c>
      <c r="G779" s="235">
        <v>44110</v>
      </c>
    </row>
    <row r="780" spans="2:7">
      <c r="C780" s="232" t="s">
        <v>564</v>
      </c>
      <c r="D780" s="232" t="s">
        <v>1517</v>
      </c>
      <c r="E780" s="233">
        <v>5</v>
      </c>
      <c r="F780" s="233">
        <v>2</v>
      </c>
      <c r="G780" s="235">
        <v>43423</v>
      </c>
    </row>
    <row r="781" spans="2:7">
      <c r="G781" s="235"/>
    </row>
    <row r="782" spans="2:7">
      <c r="B782" s="230" t="s">
        <v>1547</v>
      </c>
      <c r="C782" s="232" t="s">
        <v>559</v>
      </c>
      <c r="D782" s="232" t="s">
        <v>713</v>
      </c>
      <c r="E782" s="233">
        <v>17</v>
      </c>
      <c r="F782" s="233">
        <v>1.5</v>
      </c>
      <c r="G782" s="235">
        <v>44679</v>
      </c>
    </row>
    <row r="783" spans="2:7">
      <c r="C783" s="232" t="s">
        <v>564</v>
      </c>
      <c r="D783" s="232" t="s">
        <v>713</v>
      </c>
      <c r="E783" s="233">
        <v>4.5</v>
      </c>
      <c r="F783" s="233">
        <v>0.5</v>
      </c>
      <c r="G783" s="235">
        <v>44415</v>
      </c>
    </row>
    <row r="784" spans="2:7">
      <c r="G784" s="235"/>
    </row>
    <row r="785" spans="2:7">
      <c r="B785" s="230" t="s">
        <v>1548</v>
      </c>
      <c r="C785" s="232" t="s">
        <v>559</v>
      </c>
      <c r="D785" s="232" t="s">
        <v>713</v>
      </c>
      <c r="E785" s="233">
        <v>17</v>
      </c>
      <c r="F785" s="233">
        <v>1.5</v>
      </c>
      <c r="G785" s="235">
        <v>44679</v>
      </c>
    </row>
    <row r="786" spans="2:7">
      <c r="C786" s="232" t="s">
        <v>564</v>
      </c>
      <c r="D786" s="232" t="s">
        <v>713</v>
      </c>
      <c r="E786" s="233">
        <v>4.5</v>
      </c>
      <c r="F786" s="233">
        <v>0.5</v>
      </c>
      <c r="G786" s="235">
        <v>44415</v>
      </c>
    </row>
    <row r="787" spans="2:7">
      <c r="G787" s="235"/>
    </row>
    <row r="788" spans="2:7">
      <c r="B788" s="230" t="s">
        <v>1549</v>
      </c>
      <c r="C788" s="232" t="s">
        <v>559</v>
      </c>
      <c r="D788" s="232" t="s">
        <v>713</v>
      </c>
      <c r="E788" s="233">
        <v>17</v>
      </c>
      <c r="F788" s="233">
        <v>1.5</v>
      </c>
      <c r="G788" s="235">
        <v>44679</v>
      </c>
    </row>
    <row r="789" spans="2:7">
      <c r="C789" s="232" t="s">
        <v>564</v>
      </c>
      <c r="D789" s="232" t="s">
        <v>713</v>
      </c>
      <c r="E789" s="233">
        <v>4.5</v>
      </c>
      <c r="F789" s="233">
        <v>0.5</v>
      </c>
      <c r="G789" s="235">
        <v>44415</v>
      </c>
    </row>
    <row r="790" spans="2:7">
      <c r="G790" s="235"/>
    </row>
    <row r="791" spans="2:7">
      <c r="B791" s="230" t="s">
        <v>1550</v>
      </c>
      <c r="C791" s="232" t="s">
        <v>559</v>
      </c>
      <c r="D791" s="232" t="s">
        <v>713</v>
      </c>
      <c r="E791" s="233">
        <v>17</v>
      </c>
      <c r="F791" s="233">
        <v>1.5</v>
      </c>
      <c r="G791" s="235">
        <v>44679</v>
      </c>
    </row>
    <row r="792" spans="2:7">
      <c r="C792" s="232" t="s">
        <v>564</v>
      </c>
      <c r="D792" s="232" t="s">
        <v>713</v>
      </c>
      <c r="E792" s="233">
        <v>4.5</v>
      </c>
      <c r="F792" s="233">
        <v>0.5</v>
      </c>
      <c r="G792" s="235">
        <v>44415</v>
      </c>
    </row>
    <row r="793" spans="2:7">
      <c r="G793" s="235"/>
    </row>
    <row r="794" spans="2:7">
      <c r="B794" s="230" t="s">
        <v>1551</v>
      </c>
      <c r="C794" s="232" t="s">
        <v>559</v>
      </c>
      <c r="D794" s="232" t="s">
        <v>713</v>
      </c>
      <c r="E794" s="233">
        <v>17</v>
      </c>
      <c r="F794" s="233">
        <v>1.5</v>
      </c>
      <c r="G794" s="235">
        <v>44679</v>
      </c>
    </row>
    <row r="795" spans="2:7">
      <c r="C795" s="232" t="s">
        <v>564</v>
      </c>
      <c r="D795" s="232" t="s">
        <v>713</v>
      </c>
      <c r="E795" s="233">
        <v>4.5</v>
      </c>
      <c r="F795" s="233">
        <v>0.5</v>
      </c>
      <c r="G795" s="235">
        <v>44415</v>
      </c>
    </row>
    <row r="796" spans="2:7">
      <c r="G796" s="235"/>
    </row>
    <row r="797" spans="2:7">
      <c r="B797" s="230" t="s">
        <v>1552</v>
      </c>
      <c r="C797" s="232" t="s">
        <v>559</v>
      </c>
      <c r="D797" s="232" t="s">
        <v>713</v>
      </c>
      <c r="E797" s="233">
        <v>17</v>
      </c>
      <c r="F797" s="233">
        <v>1.5</v>
      </c>
      <c r="G797" s="235">
        <v>44679</v>
      </c>
    </row>
    <row r="798" spans="2:7">
      <c r="B798" s="230" t="s">
        <v>1554</v>
      </c>
      <c r="C798" s="232" t="s">
        <v>564</v>
      </c>
      <c r="D798" s="232" t="s">
        <v>713</v>
      </c>
      <c r="E798" s="233">
        <v>4.5</v>
      </c>
      <c r="F798" s="233">
        <v>0.5</v>
      </c>
      <c r="G798" s="235">
        <v>44415</v>
      </c>
    </row>
    <row r="799" spans="2:7">
      <c r="B799" s="230" t="s">
        <v>1579</v>
      </c>
      <c r="C799" s="232" t="s">
        <v>564</v>
      </c>
      <c r="D799" s="232" t="s">
        <v>591</v>
      </c>
      <c r="E799" s="233">
        <v>4.5</v>
      </c>
      <c r="F799" s="233">
        <v>2</v>
      </c>
      <c r="G799" s="235">
        <v>45056</v>
      </c>
    </row>
    <row r="800" spans="2:7">
      <c r="B800" s="230" t="s">
        <v>1582</v>
      </c>
      <c r="C800" s="232" t="s">
        <v>564</v>
      </c>
      <c r="D800" s="232" t="s">
        <v>1574</v>
      </c>
      <c r="E800" s="233">
        <v>5.5</v>
      </c>
      <c r="F800" s="233">
        <v>3</v>
      </c>
      <c r="G800" s="235">
        <v>45092</v>
      </c>
    </row>
    <row r="801" spans="2:8">
      <c r="B801" s="230" t="s">
        <v>1583</v>
      </c>
      <c r="C801" s="232" t="s">
        <v>564</v>
      </c>
      <c r="D801" s="232" t="s">
        <v>1574</v>
      </c>
      <c r="E801" s="233">
        <v>5.5</v>
      </c>
      <c r="F801" s="233">
        <v>1</v>
      </c>
      <c r="G801" s="235">
        <v>45092</v>
      </c>
    </row>
    <row r="802" spans="2:8">
      <c r="B802" s="230" t="s">
        <v>1597</v>
      </c>
      <c r="C802" s="232" t="s">
        <v>564</v>
      </c>
      <c r="D802" s="232" t="s">
        <v>714</v>
      </c>
      <c r="E802" s="233">
        <v>16</v>
      </c>
      <c r="F802" s="233">
        <v>6</v>
      </c>
      <c r="G802" s="235">
        <v>44298</v>
      </c>
    </row>
    <row r="803" spans="2:8">
      <c r="B803" s="230" t="s">
        <v>1598</v>
      </c>
      <c r="C803" s="232" t="s">
        <v>564</v>
      </c>
      <c r="D803" s="232" t="s">
        <v>714</v>
      </c>
      <c r="E803" s="233">
        <v>16</v>
      </c>
      <c r="F803" s="233">
        <f>10/4</f>
        <v>2.5</v>
      </c>
      <c r="G803" s="235">
        <v>44298</v>
      </c>
    </row>
    <row r="804" spans="2:8">
      <c r="B804" s="230" t="s">
        <v>1599</v>
      </c>
      <c r="C804" s="232" t="s">
        <v>564</v>
      </c>
      <c r="D804" s="232" t="s">
        <v>714</v>
      </c>
      <c r="E804" s="233">
        <v>16</v>
      </c>
      <c r="F804" s="233">
        <f>10/4</f>
        <v>2.5</v>
      </c>
      <c r="G804" s="235">
        <v>44298</v>
      </c>
    </row>
    <row r="805" spans="2:8">
      <c r="B805" s="230" t="s">
        <v>1600</v>
      </c>
      <c r="C805" s="232" t="s">
        <v>564</v>
      </c>
      <c r="D805" s="232" t="s">
        <v>714</v>
      </c>
      <c r="E805" s="233">
        <v>16</v>
      </c>
      <c r="F805" s="233">
        <f>10/4</f>
        <v>2.5</v>
      </c>
      <c r="G805" s="235">
        <v>44298</v>
      </c>
    </row>
    <row r="806" spans="2:8">
      <c r="B806" s="230" t="s">
        <v>1601</v>
      </c>
      <c r="C806" s="232" t="s">
        <v>564</v>
      </c>
      <c r="D806" s="232" t="s">
        <v>714</v>
      </c>
      <c r="E806" s="233">
        <v>16</v>
      </c>
      <c r="F806" s="233">
        <f>10/4</f>
        <v>2.5</v>
      </c>
      <c r="G806" s="235">
        <v>44298</v>
      </c>
    </row>
    <row r="807" spans="2:8">
      <c r="B807" s="259" t="s">
        <v>1616</v>
      </c>
      <c r="C807" s="260" t="s">
        <v>564</v>
      </c>
      <c r="D807" s="260" t="s">
        <v>1180</v>
      </c>
      <c r="E807" s="233">
        <v>113</v>
      </c>
      <c r="F807" s="233">
        <v>8</v>
      </c>
      <c r="G807" s="235">
        <v>45090</v>
      </c>
      <c r="H807" s="261"/>
    </row>
    <row r="808" spans="2:8">
      <c r="B808" s="259" t="s">
        <v>1617</v>
      </c>
      <c r="C808" s="260" t="s">
        <v>564</v>
      </c>
      <c r="D808" s="260" t="s">
        <v>1180</v>
      </c>
      <c r="E808" s="233">
        <v>113</v>
      </c>
      <c r="F808" s="233">
        <v>8</v>
      </c>
      <c r="G808" s="235">
        <v>45090</v>
      </c>
    </row>
    <row r="809" spans="2:8">
      <c r="B809" s="259" t="s">
        <v>1618</v>
      </c>
      <c r="C809" s="260" t="s">
        <v>564</v>
      </c>
      <c r="D809" s="260" t="s">
        <v>1180</v>
      </c>
      <c r="E809" s="233">
        <v>113</v>
      </c>
      <c r="F809" s="233">
        <v>8</v>
      </c>
      <c r="G809" s="235">
        <v>45090</v>
      </c>
    </row>
    <row r="810" spans="2:8">
      <c r="B810" s="259" t="s">
        <v>1619</v>
      </c>
      <c r="C810" s="260" t="s">
        <v>564</v>
      </c>
      <c r="D810" s="260" t="s">
        <v>1180</v>
      </c>
      <c r="E810" s="233">
        <v>113</v>
      </c>
      <c r="F810" s="233">
        <v>8</v>
      </c>
      <c r="G810" s="235">
        <v>45090</v>
      </c>
    </row>
    <row r="811" spans="2:8">
      <c r="B811" s="259" t="s">
        <v>1620</v>
      </c>
      <c r="C811" s="260" t="s">
        <v>564</v>
      </c>
      <c r="D811" s="260" t="s">
        <v>1180</v>
      </c>
      <c r="E811" s="233">
        <v>113</v>
      </c>
      <c r="F811" s="233">
        <v>8</v>
      </c>
      <c r="G811" s="235">
        <v>45090</v>
      </c>
    </row>
    <row r="812" spans="2:8">
      <c r="B812" s="259" t="s">
        <v>1621</v>
      </c>
      <c r="C812" s="260" t="s">
        <v>564</v>
      </c>
      <c r="D812" s="260" t="s">
        <v>1180</v>
      </c>
      <c r="E812" s="233">
        <v>113</v>
      </c>
      <c r="F812" s="233">
        <v>8</v>
      </c>
      <c r="G812" s="235">
        <v>45090</v>
      </c>
    </row>
    <row r="813" spans="2:8">
      <c r="B813" s="259" t="s">
        <v>1622</v>
      </c>
      <c r="C813" s="260" t="s">
        <v>564</v>
      </c>
      <c r="D813" s="260" t="s">
        <v>1180</v>
      </c>
      <c r="E813" s="233">
        <v>113</v>
      </c>
      <c r="F813" s="233">
        <v>8</v>
      </c>
      <c r="G813" s="235">
        <v>45090</v>
      </c>
    </row>
    <row r="814" spans="2:8">
      <c r="B814" s="259" t="s">
        <v>1623</v>
      </c>
      <c r="C814" s="260" t="s">
        <v>564</v>
      </c>
      <c r="D814" s="260" t="s">
        <v>1180</v>
      </c>
      <c r="E814" s="233">
        <v>113</v>
      </c>
      <c r="F814" s="233">
        <v>8</v>
      </c>
      <c r="G814" s="235">
        <v>45090</v>
      </c>
    </row>
    <row r="815" spans="2:8">
      <c r="B815" s="259"/>
      <c r="C815" s="260"/>
      <c r="D815" s="260"/>
      <c r="G815" s="235"/>
    </row>
    <row r="816" spans="2:8">
      <c r="B816" s="259" t="s">
        <v>1630</v>
      </c>
      <c r="C816" s="260" t="s">
        <v>559</v>
      </c>
      <c r="D816" s="260" t="s">
        <v>1624</v>
      </c>
      <c r="E816" s="233">
        <v>6</v>
      </c>
      <c r="F816" s="233">
        <v>1</v>
      </c>
      <c r="G816" s="235">
        <v>44917</v>
      </c>
    </row>
    <row r="817" spans="2:7">
      <c r="B817" s="259"/>
      <c r="C817" s="260" t="s">
        <v>564</v>
      </c>
      <c r="D817" s="260" t="s">
        <v>1624</v>
      </c>
      <c r="E817" s="233">
        <v>3.6</v>
      </c>
      <c r="F817" s="233">
        <v>1.8</v>
      </c>
      <c r="G817" s="235">
        <v>43361</v>
      </c>
    </row>
    <row r="818" spans="2:7">
      <c r="B818" s="259"/>
      <c r="C818" s="260"/>
      <c r="D818" s="260"/>
      <c r="G818" s="235"/>
    </row>
    <row r="819" spans="2:7">
      <c r="B819" s="259" t="s">
        <v>1631</v>
      </c>
      <c r="C819" s="260" t="s">
        <v>559</v>
      </c>
      <c r="D819" s="260" t="s">
        <v>1624</v>
      </c>
      <c r="E819" s="233">
        <v>6</v>
      </c>
      <c r="F819" s="233">
        <v>1</v>
      </c>
      <c r="G819" s="235">
        <v>44917</v>
      </c>
    </row>
    <row r="820" spans="2:7">
      <c r="B820" s="259"/>
      <c r="C820" s="260" t="s">
        <v>564</v>
      </c>
      <c r="D820" s="260" t="s">
        <v>1624</v>
      </c>
      <c r="E820" s="233">
        <v>5.9</v>
      </c>
      <c r="F820" s="233">
        <v>3</v>
      </c>
      <c r="G820" s="235">
        <v>44180</v>
      </c>
    </row>
    <row r="821" spans="2:7">
      <c r="G821" s="235"/>
    </row>
    <row r="822" spans="2:7">
      <c r="B822" s="230" t="s">
        <v>1125</v>
      </c>
      <c r="C822" s="232" t="s">
        <v>559</v>
      </c>
      <c r="D822" s="232" t="s">
        <v>1120</v>
      </c>
      <c r="E822" s="233">
        <v>50</v>
      </c>
      <c r="F822" s="233">
        <f t="shared" si="2"/>
        <v>2.5</v>
      </c>
      <c r="G822" s="235">
        <v>44796</v>
      </c>
    </row>
    <row r="823" spans="2:7">
      <c r="C823" s="260" t="s">
        <v>559</v>
      </c>
      <c r="D823" s="260" t="s">
        <v>594</v>
      </c>
      <c r="E823" s="233">
        <v>12.7</v>
      </c>
      <c r="F823" s="233">
        <f>8/5</f>
        <v>1.6</v>
      </c>
      <c r="G823" s="235">
        <v>44952</v>
      </c>
    </row>
    <row r="824" spans="2:7">
      <c r="G824" s="235"/>
    </row>
    <row r="825" spans="2:7">
      <c r="B825" s="230" t="s">
        <v>1126</v>
      </c>
      <c r="C825" s="232" t="s">
        <v>559</v>
      </c>
      <c r="D825" s="232" t="s">
        <v>1120</v>
      </c>
      <c r="E825" s="233">
        <v>50</v>
      </c>
      <c r="F825" s="233">
        <f t="shared" si="2"/>
        <v>2.5</v>
      </c>
      <c r="G825" s="235">
        <v>44796</v>
      </c>
    </row>
    <row r="826" spans="2:7">
      <c r="B826" s="230" t="s">
        <v>1127</v>
      </c>
      <c r="C826" s="232" t="s">
        <v>559</v>
      </c>
      <c r="D826" s="232" t="s">
        <v>1120</v>
      </c>
      <c r="E826" s="233">
        <v>50</v>
      </c>
      <c r="F826" s="233">
        <f t="shared" si="2"/>
        <v>2.5</v>
      </c>
      <c r="G826" s="235">
        <v>44796</v>
      </c>
    </row>
    <row r="827" spans="2:7">
      <c r="B827" s="230" t="s">
        <v>1442</v>
      </c>
      <c r="C827" s="232" t="s">
        <v>564</v>
      </c>
      <c r="D827" s="232" t="s">
        <v>701</v>
      </c>
      <c r="E827" s="233">
        <v>3</v>
      </c>
      <c r="F827" s="233">
        <v>0.75</v>
      </c>
      <c r="G827" s="235">
        <v>44011</v>
      </c>
    </row>
    <row r="828" spans="2:7">
      <c r="B828" s="230" t="s">
        <v>1443</v>
      </c>
      <c r="C828" s="232" t="s">
        <v>564</v>
      </c>
      <c r="D828" s="232" t="s">
        <v>701</v>
      </c>
      <c r="E828" s="233">
        <v>3</v>
      </c>
      <c r="F828" s="233">
        <v>0.75</v>
      </c>
      <c r="G828" s="235">
        <v>44011</v>
      </c>
    </row>
    <row r="829" spans="2:7">
      <c r="B829" s="230" t="s">
        <v>1454</v>
      </c>
      <c r="C829" s="232" t="s">
        <v>564</v>
      </c>
      <c r="D829" s="232" t="s">
        <v>589</v>
      </c>
      <c r="E829" s="233">
        <v>2.5</v>
      </c>
      <c r="F829" s="233">
        <v>1</v>
      </c>
      <c r="G829" s="235">
        <v>44469</v>
      </c>
    </row>
    <row r="830" spans="2:7">
      <c r="B830" s="230" t="s">
        <v>1455</v>
      </c>
      <c r="C830" s="232" t="s">
        <v>564</v>
      </c>
      <c r="D830" s="232" t="s">
        <v>589</v>
      </c>
      <c r="E830" s="233">
        <v>2.5</v>
      </c>
      <c r="F830" s="233">
        <f t="shared" ref="F830:F835" si="8">2/6</f>
        <v>0.33333333333333331</v>
      </c>
      <c r="G830" s="235">
        <v>44469</v>
      </c>
    </row>
    <row r="831" spans="2:7">
      <c r="B831" s="230" t="s">
        <v>1456</v>
      </c>
      <c r="C831" s="232" t="s">
        <v>564</v>
      </c>
      <c r="D831" s="232" t="s">
        <v>589</v>
      </c>
      <c r="E831" s="233">
        <v>2.5</v>
      </c>
      <c r="F831" s="233">
        <f t="shared" si="8"/>
        <v>0.33333333333333331</v>
      </c>
      <c r="G831" s="235">
        <v>44469</v>
      </c>
    </row>
    <row r="832" spans="2:7">
      <c r="B832" s="230" t="s">
        <v>1457</v>
      </c>
      <c r="C832" s="232" t="s">
        <v>564</v>
      </c>
      <c r="D832" s="232" t="s">
        <v>589</v>
      </c>
      <c r="E832" s="233">
        <v>2.5</v>
      </c>
      <c r="F832" s="233">
        <f t="shared" si="8"/>
        <v>0.33333333333333331</v>
      </c>
      <c r="G832" s="235">
        <v>44469</v>
      </c>
    </row>
    <row r="833" spans="2:7">
      <c r="B833" s="230" t="s">
        <v>1458</v>
      </c>
      <c r="C833" s="232" t="s">
        <v>564</v>
      </c>
      <c r="D833" s="232" t="s">
        <v>589</v>
      </c>
      <c r="E833" s="233">
        <v>2.5</v>
      </c>
      <c r="F833" s="233">
        <f t="shared" si="8"/>
        <v>0.33333333333333331</v>
      </c>
      <c r="G833" s="235">
        <v>44469</v>
      </c>
    </row>
    <row r="834" spans="2:7">
      <c r="B834" s="230" t="s">
        <v>1459</v>
      </c>
      <c r="C834" s="232" t="s">
        <v>564</v>
      </c>
      <c r="D834" s="232" t="s">
        <v>589</v>
      </c>
      <c r="E834" s="233">
        <v>2.5</v>
      </c>
      <c r="F834" s="233">
        <f t="shared" si="8"/>
        <v>0.33333333333333331</v>
      </c>
      <c r="G834" s="235">
        <v>44469</v>
      </c>
    </row>
    <row r="835" spans="2:7">
      <c r="B835" s="230" t="s">
        <v>1460</v>
      </c>
      <c r="C835" s="232" t="s">
        <v>564</v>
      </c>
      <c r="D835" s="232" t="s">
        <v>589</v>
      </c>
      <c r="E835" s="233">
        <v>2.5</v>
      </c>
      <c r="F835" s="233">
        <f t="shared" si="8"/>
        <v>0.33333333333333331</v>
      </c>
      <c r="G835" s="235">
        <v>44469</v>
      </c>
    </row>
    <row r="836" spans="2:7">
      <c r="G836" s="235"/>
    </row>
    <row r="837" spans="2:7">
      <c r="B837" s="270" t="s">
        <v>1762</v>
      </c>
      <c r="C837" s="232" t="s">
        <v>559</v>
      </c>
      <c r="D837" s="232" t="s">
        <v>561</v>
      </c>
      <c r="E837" s="233">
        <v>23.5</v>
      </c>
      <c r="F837" s="233">
        <v>2</v>
      </c>
      <c r="G837" s="235">
        <v>44875</v>
      </c>
    </row>
    <row r="838" spans="2:7">
      <c r="C838" s="272" t="s">
        <v>564</v>
      </c>
      <c r="D838" s="272" t="s">
        <v>726</v>
      </c>
      <c r="E838" s="233">
        <v>5</v>
      </c>
      <c r="F838" s="233">
        <v>5</v>
      </c>
      <c r="G838" s="235">
        <v>44562</v>
      </c>
    </row>
    <row r="839" spans="2:7">
      <c r="G839" s="235"/>
    </row>
    <row r="840" spans="2:7">
      <c r="B840" s="230" t="s">
        <v>1468</v>
      </c>
      <c r="C840" s="232" t="s">
        <v>559</v>
      </c>
      <c r="D840" s="232" t="s">
        <v>561</v>
      </c>
      <c r="E840" s="233">
        <v>23.5</v>
      </c>
      <c r="F840" s="233">
        <v>2</v>
      </c>
      <c r="G840" s="235">
        <v>44875</v>
      </c>
    </row>
    <row r="841" spans="2:7">
      <c r="B841" s="230" t="s">
        <v>1469</v>
      </c>
      <c r="C841" s="232" t="s">
        <v>564</v>
      </c>
      <c r="D841" s="232" t="s">
        <v>561</v>
      </c>
      <c r="E841" s="233">
        <v>5.6</v>
      </c>
      <c r="F841" s="233">
        <v>1</v>
      </c>
      <c r="G841" s="235">
        <v>44292</v>
      </c>
    </row>
    <row r="842" spans="2:7">
      <c r="B842" s="230" t="s">
        <v>1470</v>
      </c>
      <c r="C842" s="232" t="s">
        <v>564</v>
      </c>
      <c r="D842" s="232" t="s">
        <v>561</v>
      </c>
      <c r="E842" s="233">
        <v>5.6</v>
      </c>
      <c r="F842" s="233">
        <v>1</v>
      </c>
      <c r="G842" s="235">
        <v>44292</v>
      </c>
    </row>
    <row r="843" spans="2:7">
      <c r="B843" s="230" t="s">
        <v>1471</v>
      </c>
      <c r="C843" s="232" t="s">
        <v>564</v>
      </c>
      <c r="D843" s="232" t="s">
        <v>561</v>
      </c>
      <c r="E843" s="233">
        <v>5.6</v>
      </c>
      <c r="F843" s="233">
        <v>1</v>
      </c>
      <c r="G843" s="235">
        <v>44292</v>
      </c>
    </row>
    <row r="844" spans="2:7">
      <c r="B844" s="230" t="s">
        <v>1472</v>
      </c>
      <c r="C844" s="232" t="s">
        <v>564</v>
      </c>
      <c r="D844" s="232" t="s">
        <v>561</v>
      </c>
      <c r="E844" s="233">
        <v>5.6</v>
      </c>
      <c r="F844" s="233">
        <v>1</v>
      </c>
      <c r="G844" s="235">
        <v>44292</v>
      </c>
    </row>
    <row r="845" spans="2:7">
      <c r="B845" s="230" t="s">
        <v>1487</v>
      </c>
      <c r="C845" s="232" t="s">
        <v>559</v>
      </c>
      <c r="D845" s="232" t="s">
        <v>1486</v>
      </c>
      <c r="E845" s="233">
        <v>20</v>
      </c>
      <c r="F845" s="233">
        <v>2</v>
      </c>
      <c r="G845" s="235">
        <v>44602</v>
      </c>
    </row>
    <row r="846" spans="2:7">
      <c r="B846" s="230" t="s">
        <v>1488</v>
      </c>
      <c r="C846" s="232" t="s">
        <v>559</v>
      </c>
      <c r="D846" s="232" t="s">
        <v>1486</v>
      </c>
      <c r="E846" s="233">
        <v>20</v>
      </c>
      <c r="F846" s="233">
        <v>2</v>
      </c>
      <c r="G846" s="235">
        <v>44602</v>
      </c>
    </row>
    <row r="847" spans="2:7">
      <c r="B847" s="230" t="s">
        <v>1489</v>
      </c>
      <c r="C847" s="232" t="s">
        <v>559</v>
      </c>
      <c r="D847" s="232" t="s">
        <v>1490</v>
      </c>
      <c r="E847" s="233">
        <v>20</v>
      </c>
      <c r="F847" s="233">
        <v>5</v>
      </c>
      <c r="G847" s="235">
        <v>44578</v>
      </c>
    </row>
    <row r="848" spans="2:7">
      <c r="B848" s="230" t="s">
        <v>1491</v>
      </c>
      <c r="C848" s="232" t="s">
        <v>559</v>
      </c>
      <c r="D848" s="232" t="s">
        <v>1490</v>
      </c>
      <c r="E848" s="233">
        <v>20</v>
      </c>
      <c r="F848" s="233">
        <v>2</v>
      </c>
      <c r="G848" s="235">
        <v>44578</v>
      </c>
    </row>
    <row r="849" spans="2:7">
      <c r="B849" s="230" t="s">
        <v>1492</v>
      </c>
      <c r="C849" s="232" t="s">
        <v>559</v>
      </c>
      <c r="D849" s="232" t="s">
        <v>1490</v>
      </c>
      <c r="E849" s="233">
        <v>20</v>
      </c>
      <c r="F849" s="233">
        <v>2</v>
      </c>
      <c r="G849" s="235">
        <v>44578</v>
      </c>
    </row>
    <row r="850" spans="2:7">
      <c r="B850" s="230" t="s">
        <v>1493</v>
      </c>
      <c r="C850" s="232" t="s">
        <v>559</v>
      </c>
      <c r="D850" s="232" t="s">
        <v>1490</v>
      </c>
      <c r="E850" s="233">
        <v>20</v>
      </c>
      <c r="F850" s="233">
        <v>2</v>
      </c>
      <c r="G850" s="235">
        <v>44578</v>
      </c>
    </row>
    <row r="851" spans="2:7">
      <c r="B851" s="230" t="s">
        <v>1494</v>
      </c>
      <c r="C851" s="232" t="s">
        <v>559</v>
      </c>
      <c r="D851" s="232" t="s">
        <v>1490</v>
      </c>
      <c r="E851" s="233">
        <v>20</v>
      </c>
      <c r="F851" s="233">
        <v>2</v>
      </c>
      <c r="G851" s="235">
        <v>44578</v>
      </c>
    </row>
    <row r="852" spans="2:7">
      <c r="B852" s="230" t="s">
        <v>1495</v>
      </c>
      <c r="C852" s="232" t="s">
        <v>559</v>
      </c>
      <c r="D852" s="232" t="s">
        <v>1490</v>
      </c>
      <c r="E852" s="233">
        <v>20</v>
      </c>
      <c r="F852" s="233">
        <v>2</v>
      </c>
      <c r="G852" s="235">
        <v>44578</v>
      </c>
    </row>
    <row r="853" spans="2:7">
      <c r="B853" s="230" t="s">
        <v>1499</v>
      </c>
      <c r="C853" s="232" t="s">
        <v>559</v>
      </c>
      <c r="D853" s="232" t="s">
        <v>705</v>
      </c>
      <c r="E853" s="233">
        <v>20</v>
      </c>
      <c r="F853" s="233">
        <v>2.5</v>
      </c>
      <c r="G853" s="235">
        <v>44392</v>
      </c>
    </row>
    <row r="854" spans="2:7">
      <c r="B854" s="230" t="s">
        <v>1500</v>
      </c>
      <c r="C854" s="232" t="s">
        <v>559</v>
      </c>
      <c r="D854" s="232" t="s">
        <v>705</v>
      </c>
      <c r="E854" s="233">
        <v>20</v>
      </c>
      <c r="F854" s="233">
        <v>10</v>
      </c>
      <c r="G854" s="235">
        <v>44392</v>
      </c>
    </row>
    <row r="855" spans="2:7">
      <c r="B855" s="230" t="s">
        <v>1501</v>
      </c>
      <c r="C855" s="232" t="s">
        <v>559</v>
      </c>
      <c r="D855" s="232" t="s">
        <v>705</v>
      </c>
      <c r="E855" s="233">
        <v>20</v>
      </c>
      <c r="F855" s="233">
        <v>2.5</v>
      </c>
      <c r="G855" s="235">
        <v>44392</v>
      </c>
    </row>
    <row r="856" spans="2:7">
      <c r="B856" s="230" t="s">
        <v>1506</v>
      </c>
      <c r="C856" s="232" t="s">
        <v>559</v>
      </c>
      <c r="D856" s="232" t="s">
        <v>707</v>
      </c>
      <c r="E856" s="233">
        <v>20</v>
      </c>
      <c r="F856" s="233">
        <v>7.5</v>
      </c>
      <c r="G856" s="235">
        <v>45009</v>
      </c>
    </row>
    <row r="857" spans="2:7">
      <c r="B857" s="230" t="s">
        <v>1507</v>
      </c>
      <c r="C857" s="232" t="s">
        <v>559</v>
      </c>
      <c r="D857" s="232" t="s">
        <v>707</v>
      </c>
      <c r="E857" s="233">
        <v>20</v>
      </c>
      <c r="F857" s="233">
        <v>5</v>
      </c>
      <c r="G857" s="235">
        <v>45009</v>
      </c>
    </row>
    <row r="858" spans="2:7">
      <c r="B858" s="230" t="s">
        <v>1512</v>
      </c>
      <c r="C858" s="232" t="s">
        <v>564</v>
      </c>
      <c r="D858" s="232" t="s">
        <v>1513</v>
      </c>
      <c r="E858" s="233">
        <v>20</v>
      </c>
      <c r="F858" s="233">
        <v>10</v>
      </c>
      <c r="G858" s="235">
        <v>44614</v>
      </c>
    </row>
    <row r="859" spans="2:7">
      <c r="B859" s="230" t="s">
        <v>307</v>
      </c>
      <c r="C859" s="232" t="s">
        <v>564</v>
      </c>
      <c r="D859" s="232" t="s">
        <v>1513</v>
      </c>
      <c r="E859" s="233">
        <v>20</v>
      </c>
      <c r="F859" s="233">
        <v>5</v>
      </c>
      <c r="G859" s="235">
        <v>44614</v>
      </c>
    </row>
    <row r="860" spans="2:7">
      <c r="B860" s="230" t="s">
        <v>1415</v>
      </c>
      <c r="C860" s="232" t="s">
        <v>559</v>
      </c>
      <c r="D860" s="232" t="s">
        <v>701</v>
      </c>
      <c r="E860" s="233">
        <v>20</v>
      </c>
      <c r="F860" s="233">
        <f>13/6</f>
        <v>2.1666666666666665</v>
      </c>
      <c r="G860" s="235">
        <v>44903</v>
      </c>
    </row>
    <row r="861" spans="2:7">
      <c r="B861" s="230" t="s">
        <v>1410</v>
      </c>
      <c r="C861" s="232" t="s">
        <v>559</v>
      </c>
      <c r="D861" s="232" t="s">
        <v>701</v>
      </c>
      <c r="E861" s="233">
        <v>20</v>
      </c>
      <c r="F861" s="233">
        <v>7</v>
      </c>
      <c r="G861" s="235">
        <v>44903</v>
      </c>
    </row>
    <row r="862" spans="2:7">
      <c r="B862" s="230" t="s">
        <v>1411</v>
      </c>
      <c r="C862" s="232" t="s">
        <v>559</v>
      </c>
      <c r="D862" s="232" t="s">
        <v>701</v>
      </c>
      <c r="E862" s="233">
        <v>20</v>
      </c>
      <c r="F862" s="233">
        <f>13/6</f>
        <v>2.1666666666666665</v>
      </c>
      <c r="G862" s="235">
        <v>44903</v>
      </c>
    </row>
    <row r="863" spans="2:7">
      <c r="B863" s="230" t="s">
        <v>1413</v>
      </c>
      <c r="C863" s="232" t="s">
        <v>559</v>
      </c>
      <c r="D863" s="232" t="s">
        <v>701</v>
      </c>
      <c r="E863" s="233">
        <v>20</v>
      </c>
      <c r="F863" s="233">
        <f>13/6</f>
        <v>2.1666666666666665</v>
      </c>
      <c r="G863" s="235">
        <v>44903</v>
      </c>
    </row>
    <row r="864" spans="2:7">
      <c r="B864" s="230" t="s">
        <v>1236</v>
      </c>
      <c r="C864" s="232" t="s">
        <v>559</v>
      </c>
      <c r="D864" s="232" t="s">
        <v>584</v>
      </c>
      <c r="E864" s="233">
        <v>10.9</v>
      </c>
      <c r="F864" s="233">
        <v>3</v>
      </c>
      <c r="G864" s="235">
        <v>45070</v>
      </c>
    </row>
    <row r="865" spans="2:7">
      <c r="B865" s="230" t="s">
        <v>1237</v>
      </c>
      <c r="C865" s="232" t="s">
        <v>559</v>
      </c>
      <c r="D865" s="232" t="s">
        <v>584</v>
      </c>
      <c r="E865" s="233">
        <v>10.9</v>
      </c>
      <c r="F865" s="233">
        <f>8/8</f>
        <v>1</v>
      </c>
      <c r="G865" s="235">
        <v>45070</v>
      </c>
    </row>
    <row r="866" spans="2:7">
      <c r="B866" s="230" t="s">
        <v>1238</v>
      </c>
      <c r="C866" s="232" t="s">
        <v>559</v>
      </c>
      <c r="D866" s="232" t="s">
        <v>584</v>
      </c>
      <c r="E866" s="233">
        <v>10.9</v>
      </c>
      <c r="F866" s="233">
        <f t="shared" si="5"/>
        <v>1</v>
      </c>
      <c r="G866" s="235">
        <v>45070</v>
      </c>
    </row>
    <row r="867" spans="2:7">
      <c r="B867" s="230" t="s">
        <v>1239</v>
      </c>
      <c r="C867" s="232" t="s">
        <v>559</v>
      </c>
      <c r="D867" s="232" t="s">
        <v>584</v>
      </c>
      <c r="E867" s="233">
        <v>10.9</v>
      </c>
      <c r="F867" s="233">
        <f t="shared" si="5"/>
        <v>1</v>
      </c>
      <c r="G867" s="235">
        <v>45070</v>
      </c>
    </row>
    <row r="868" spans="2:7">
      <c r="B868" s="230" t="s">
        <v>1240</v>
      </c>
      <c r="C868" s="232" t="s">
        <v>559</v>
      </c>
      <c r="D868" s="232" t="s">
        <v>584</v>
      </c>
      <c r="E868" s="233">
        <v>10.9</v>
      </c>
      <c r="F868" s="233">
        <f t="shared" si="5"/>
        <v>1</v>
      </c>
      <c r="G868" s="235">
        <v>45070</v>
      </c>
    </row>
    <row r="869" spans="2:7">
      <c r="B869" s="230" t="s">
        <v>1241</v>
      </c>
      <c r="C869" s="232" t="s">
        <v>559</v>
      </c>
      <c r="D869" s="232" t="s">
        <v>584</v>
      </c>
      <c r="E869" s="233">
        <v>10.9</v>
      </c>
      <c r="F869" s="233">
        <f t="shared" si="5"/>
        <v>1</v>
      </c>
      <c r="G869" s="235">
        <v>45070</v>
      </c>
    </row>
    <row r="870" spans="2:7">
      <c r="B870" s="230" t="s">
        <v>1526</v>
      </c>
      <c r="C870" s="232" t="s">
        <v>564</v>
      </c>
      <c r="D870" s="232" t="s">
        <v>709</v>
      </c>
      <c r="E870" s="233">
        <v>2.1</v>
      </c>
      <c r="F870" s="233">
        <v>0.5</v>
      </c>
      <c r="G870" s="235">
        <v>44455</v>
      </c>
    </row>
    <row r="871" spans="2:7">
      <c r="B871" s="230" t="s">
        <v>1531</v>
      </c>
      <c r="C871" s="232" t="s">
        <v>559</v>
      </c>
      <c r="D871" s="232" t="s">
        <v>1517</v>
      </c>
      <c r="E871" s="233">
        <v>12.5</v>
      </c>
      <c r="F871" s="233">
        <v>5</v>
      </c>
      <c r="G871" s="235">
        <v>44784</v>
      </c>
    </row>
    <row r="872" spans="2:7">
      <c r="B872" s="230" t="s">
        <v>1401</v>
      </c>
      <c r="C872" s="232" t="s">
        <v>559</v>
      </c>
      <c r="D872" s="232" t="s">
        <v>700</v>
      </c>
      <c r="E872" s="233">
        <v>20</v>
      </c>
      <c r="F872" s="233">
        <f t="shared" si="7"/>
        <v>2.1666666666666665</v>
      </c>
      <c r="G872" s="235">
        <v>44676</v>
      </c>
    </row>
    <row r="873" spans="2:7">
      <c r="B873" s="230" t="s">
        <v>1402</v>
      </c>
      <c r="C873" s="232" t="s">
        <v>559</v>
      </c>
      <c r="D873" s="232" t="s">
        <v>700</v>
      </c>
      <c r="E873" s="233">
        <v>20</v>
      </c>
      <c r="F873" s="233">
        <f t="shared" si="7"/>
        <v>2.1666666666666665</v>
      </c>
      <c r="G873" s="235">
        <v>44676</v>
      </c>
    </row>
    <row r="874" spans="2:7">
      <c r="B874" s="230" t="s">
        <v>1108</v>
      </c>
      <c r="C874" s="232" t="s">
        <v>402</v>
      </c>
      <c r="D874" s="232" t="s">
        <v>1109</v>
      </c>
      <c r="E874" s="233">
        <v>50</v>
      </c>
      <c r="F874" s="233">
        <v>25</v>
      </c>
      <c r="G874" s="235">
        <v>44643</v>
      </c>
    </row>
    <row r="875" spans="2:7">
      <c r="B875" s="230" t="s">
        <v>1132</v>
      </c>
      <c r="C875" s="232" t="s">
        <v>564</v>
      </c>
      <c r="D875" s="232" t="s">
        <v>1120</v>
      </c>
      <c r="E875" s="233">
        <v>12.5</v>
      </c>
      <c r="F875" s="233">
        <f>8/5</f>
        <v>1.6</v>
      </c>
      <c r="G875" s="235">
        <v>44623</v>
      </c>
    </row>
    <row r="876" spans="2:7">
      <c r="B876" s="230" t="s">
        <v>13</v>
      </c>
      <c r="C876" s="232" t="s">
        <v>564</v>
      </c>
      <c r="D876" s="232" t="s">
        <v>1120</v>
      </c>
      <c r="E876" s="233">
        <v>7.2</v>
      </c>
      <c r="F876" s="233">
        <v>1</v>
      </c>
      <c r="G876" s="235">
        <v>44508</v>
      </c>
    </row>
    <row r="877" spans="2:7">
      <c r="B877" s="230" t="s">
        <v>1134</v>
      </c>
      <c r="C877" s="232" t="s">
        <v>564</v>
      </c>
      <c r="D877" s="232" t="s">
        <v>1120</v>
      </c>
      <c r="E877" s="233">
        <v>7.2</v>
      </c>
      <c r="F877" s="233">
        <v>1</v>
      </c>
      <c r="G877" s="235">
        <v>44508</v>
      </c>
    </row>
    <row r="878" spans="2:7">
      <c r="B878" s="259" t="s">
        <v>1140</v>
      </c>
      <c r="C878" s="232" t="s">
        <v>564</v>
      </c>
      <c r="D878" s="232" t="s">
        <v>455</v>
      </c>
      <c r="E878" s="233">
        <v>42</v>
      </c>
      <c r="F878" s="233">
        <v>20</v>
      </c>
      <c r="G878" s="235">
        <v>44882</v>
      </c>
    </row>
    <row r="879" spans="2:7">
      <c r="B879" s="230" t="s">
        <v>1142</v>
      </c>
      <c r="C879" s="232" t="s">
        <v>564</v>
      </c>
      <c r="D879" s="232" t="s">
        <v>455</v>
      </c>
      <c r="E879" s="233">
        <v>42</v>
      </c>
      <c r="F879" s="233">
        <v>7</v>
      </c>
      <c r="G879" s="235">
        <v>44882</v>
      </c>
    </row>
    <row r="880" spans="2:7">
      <c r="B880" s="230" t="s">
        <v>1143</v>
      </c>
      <c r="C880" s="232" t="s">
        <v>564</v>
      </c>
      <c r="D880" s="232" t="s">
        <v>455</v>
      </c>
      <c r="E880" s="233">
        <v>42</v>
      </c>
      <c r="F880" s="233">
        <v>7</v>
      </c>
      <c r="G880" s="235">
        <v>44882</v>
      </c>
    </row>
    <row r="881" spans="2:7">
      <c r="B881" s="230" t="s">
        <v>1152</v>
      </c>
      <c r="C881" s="232" t="s">
        <v>402</v>
      </c>
      <c r="D881" s="232" t="s">
        <v>672</v>
      </c>
      <c r="E881" s="233">
        <v>38</v>
      </c>
      <c r="F881" s="233">
        <v>18</v>
      </c>
      <c r="G881" s="235">
        <v>44812</v>
      </c>
    </row>
    <row r="882" spans="2:7">
      <c r="B882" s="230" t="s">
        <v>1166</v>
      </c>
      <c r="C882" s="247" t="s">
        <v>1165</v>
      </c>
      <c r="D882" s="247" t="s">
        <v>674</v>
      </c>
      <c r="E882" s="248">
        <v>3</v>
      </c>
      <c r="F882" s="248">
        <v>1</v>
      </c>
      <c r="G882" s="249">
        <v>44183</v>
      </c>
    </row>
    <row r="883" spans="2:7">
      <c r="C883" s="247"/>
      <c r="D883" s="247"/>
      <c r="E883" s="248"/>
      <c r="F883" s="248"/>
      <c r="G883" s="249"/>
    </row>
    <row r="884" spans="2:7">
      <c r="B884" s="230" t="s">
        <v>1183</v>
      </c>
      <c r="C884" s="232" t="s">
        <v>564</v>
      </c>
      <c r="D884" s="232" t="s">
        <v>457</v>
      </c>
      <c r="E884" s="233">
        <v>30</v>
      </c>
      <c r="F884" s="233">
        <v>5</v>
      </c>
      <c r="G884" s="235">
        <v>44742</v>
      </c>
    </row>
    <row r="885" spans="2:7">
      <c r="C885" s="272" t="s">
        <v>559</v>
      </c>
      <c r="D885" s="272" t="s">
        <v>597</v>
      </c>
      <c r="E885" s="233">
        <v>29</v>
      </c>
      <c r="F885" s="233">
        <v>3</v>
      </c>
      <c r="G885" s="235">
        <v>44691</v>
      </c>
    </row>
    <row r="886" spans="2:7">
      <c r="C886" s="272" t="s">
        <v>559</v>
      </c>
      <c r="D886" s="272" t="s">
        <v>726</v>
      </c>
      <c r="E886" s="233">
        <v>13</v>
      </c>
      <c r="F886" s="233">
        <v>3</v>
      </c>
      <c r="G886" s="235">
        <v>45005</v>
      </c>
    </row>
    <row r="887" spans="2:7">
      <c r="C887" s="272"/>
      <c r="D887" s="272"/>
      <c r="G887" s="235"/>
    </row>
    <row r="888" spans="2:7">
      <c r="B888" s="230" t="s">
        <v>1255</v>
      </c>
      <c r="C888" s="232" t="s">
        <v>564</v>
      </c>
      <c r="D888" s="232" t="s">
        <v>566</v>
      </c>
      <c r="E888" s="233">
        <v>2.6</v>
      </c>
      <c r="F888" s="233">
        <f>1.6/4</f>
        <v>0.4</v>
      </c>
      <c r="G888" s="235">
        <v>44147</v>
      </c>
    </row>
    <row r="889" spans="2:7">
      <c r="B889" s="230" t="s">
        <v>1256</v>
      </c>
      <c r="C889" s="232" t="s">
        <v>564</v>
      </c>
      <c r="D889" s="232" t="s">
        <v>566</v>
      </c>
      <c r="E889" s="233">
        <v>2.6</v>
      </c>
      <c r="F889" s="233">
        <f>1.6/4</f>
        <v>0.4</v>
      </c>
      <c r="G889" s="235">
        <v>44147</v>
      </c>
    </row>
    <row r="890" spans="2:7">
      <c r="B890" s="230" t="s">
        <v>1257</v>
      </c>
      <c r="C890" s="232" t="s">
        <v>564</v>
      </c>
      <c r="D890" s="232" t="s">
        <v>566</v>
      </c>
      <c r="E890" s="233">
        <v>2.6</v>
      </c>
      <c r="F890" s="233">
        <f>1.6/4</f>
        <v>0.4</v>
      </c>
      <c r="G890" s="235">
        <v>44147</v>
      </c>
    </row>
    <row r="891" spans="2:7">
      <c r="B891" s="230" t="s">
        <v>1272</v>
      </c>
      <c r="C891" s="232" t="s">
        <v>402</v>
      </c>
      <c r="D891" s="232" t="s">
        <v>392</v>
      </c>
      <c r="E891" s="233">
        <v>97.4</v>
      </c>
      <c r="F891" s="233">
        <f>47/6</f>
        <v>7.833333333333333</v>
      </c>
      <c r="G891" s="235">
        <v>45041</v>
      </c>
    </row>
    <row r="892" spans="2:7">
      <c r="B892" s="230" t="s">
        <v>1273</v>
      </c>
      <c r="C892" s="232" t="s">
        <v>402</v>
      </c>
      <c r="D892" s="232" t="s">
        <v>392</v>
      </c>
      <c r="E892" s="233">
        <v>97.4</v>
      </c>
      <c r="F892" s="233">
        <f>47/6</f>
        <v>7.833333333333333</v>
      </c>
      <c r="G892" s="235">
        <v>45041</v>
      </c>
    </row>
    <row r="893" spans="2:7">
      <c r="B893" s="230" t="s">
        <v>1276</v>
      </c>
      <c r="C893" s="232" t="s">
        <v>559</v>
      </c>
      <c r="D893" s="232" t="s">
        <v>392</v>
      </c>
      <c r="E893" s="233">
        <v>80</v>
      </c>
      <c r="F893" s="233">
        <f>40/6</f>
        <v>6.666666666666667</v>
      </c>
      <c r="G893" s="235">
        <v>44539</v>
      </c>
    </row>
    <row r="894" spans="2:7">
      <c r="B894" s="230" t="s">
        <v>1277</v>
      </c>
      <c r="C894" s="232" t="s">
        <v>559</v>
      </c>
      <c r="D894" s="232" t="s">
        <v>392</v>
      </c>
      <c r="E894" s="233">
        <v>80</v>
      </c>
      <c r="F894" s="233">
        <f>40/6</f>
        <v>6.666666666666667</v>
      </c>
      <c r="G894" s="235">
        <v>44539</v>
      </c>
    </row>
    <row r="895" spans="2:7">
      <c r="B895" s="230" t="s">
        <v>1278</v>
      </c>
      <c r="C895" s="232" t="s">
        <v>559</v>
      </c>
      <c r="D895" s="232" t="s">
        <v>392</v>
      </c>
      <c r="E895" s="233">
        <v>80</v>
      </c>
      <c r="F895" s="233">
        <f>40/6</f>
        <v>6.666666666666667</v>
      </c>
      <c r="G895" s="235">
        <v>44539</v>
      </c>
    </row>
    <row r="896" spans="2:7">
      <c r="B896" s="230" t="s">
        <v>1279</v>
      </c>
      <c r="C896" s="232" t="s">
        <v>559</v>
      </c>
      <c r="D896" s="232" t="s">
        <v>392</v>
      </c>
      <c r="E896" s="233">
        <v>80</v>
      </c>
      <c r="F896" s="233">
        <f>40/6</f>
        <v>6.666666666666667</v>
      </c>
      <c r="G896" s="235">
        <v>44539</v>
      </c>
    </row>
    <row r="897" spans="2:7">
      <c r="B897" s="230" t="s">
        <v>1286</v>
      </c>
      <c r="C897" s="232" t="s">
        <v>564</v>
      </c>
      <c r="D897" s="232" t="s">
        <v>458</v>
      </c>
      <c r="E897" s="233">
        <v>30</v>
      </c>
      <c r="F897" s="233">
        <v>5</v>
      </c>
      <c r="G897" s="235">
        <v>44601</v>
      </c>
    </row>
    <row r="898" spans="2:7">
      <c r="B898" s="230" t="s">
        <v>1287</v>
      </c>
      <c r="C898" s="232" t="s">
        <v>564</v>
      </c>
      <c r="D898" s="232" t="s">
        <v>458</v>
      </c>
      <c r="E898" s="233">
        <v>30</v>
      </c>
      <c r="F898" s="233">
        <v>5</v>
      </c>
      <c r="G898" s="235">
        <v>44601</v>
      </c>
    </row>
    <row r="899" spans="2:7">
      <c r="B899" s="230" t="s">
        <v>1384</v>
      </c>
      <c r="C899" s="232" t="s">
        <v>559</v>
      </c>
      <c r="D899" s="232" t="s">
        <v>695</v>
      </c>
      <c r="E899" s="233">
        <v>25</v>
      </c>
      <c r="F899" s="233">
        <f t="shared" si="6"/>
        <v>2.5714285714285716</v>
      </c>
      <c r="G899" s="235">
        <v>44757</v>
      </c>
    </row>
    <row r="900" spans="2:7">
      <c r="B900" s="230" t="s">
        <v>1386</v>
      </c>
      <c r="C900" s="232" t="s">
        <v>564</v>
      </c>
      <c r="D900" s="232" t="s">
        <v>695</v>
      </c>
      <c r="E900" s="233">
        <v>4</v>
      </c>
      <c r="F900" s="233">
        <v>0.5</v>
      </c>
      <c r="G900" s="235">
        <v>44340</v>
      </c>
    </row>
    <row r="901" spans="2:7">
      <c r="B901" s="230" t="s">
        <v>1388</v>
      </c>
      <c r="C901" s="232" t="s">
        <v>564</v>
      </c>
      <c r="D901" s="232" t="s">
        <v>695</v>
      </c>
      <c r="E901" s="233">
        <v>1.5</v>
      </c>
      <c r="F901" s="233">
        <v>0.5</v>
      </c>
      <c r="G901" s="235">
        <v>43979</v>
      </c>
    </row>
    <row r="902" spans="2:7">
      <c r="B902" s="230" t="s">
        <v>1331</v>
      </c>
      <c r="C902" s="232" t="s">
        <v>559</v>
      </c>
      <c r="D902" s="232" t="s">
        <v>688</v>
      </c>
      <c r="E902" s="233">
        <v>25</v>
      </c>
      <c r="F902" s="233">
        <v>5</v>
      </c>
      <c r="G902" s="235">
        <v>44699</v>
      </c>
    </row>
    <row r="903" spans="2:7">
      <c r="B903" s="230" t="s">
        <v>1348</v>
      </c>
      <c r="C903" s="232" t="s">
        <v>559</v>
      </c>
      <c r="D903" s="232" t="s">
        <v>691</v>
      </c>
      <c r="E903" s="233">
        <v>25</v>
      </c>
      <c r="F903" s="233">
        <v>15</v>
      </c>
      <c r="G903" s="235">
        <v>44944</v>
      </c>
    </row>
    <row r="904" spans="2:7">
      <c r="B904" s="230" t="s">
        <v>1349</v>
      </c>
      <c r="C904" s="232" t="s">
        <v>559</v>
      </c>
      <c r="D904" s="232" t="s">
        <v>691</v>
      </c>
      <c r="E904" s="233">
        <v>25</v>
      </c>
      <c r="F904" s="233">
        <v>10</v>
      </c>
      <c r="G904" s="235">
        <v>44944</v>
      </c>
    </row>
    <row r="905" spans="2:7">
      <c r="B905" s="230" t="s">
        <v>1352</v>
      </c>
      <c r="C905" s="232" t="s">
        <v>402</v>
      </c>
      <c r="D905" s="232" t="s">
        <v>692</v>
      </c>
      <c r="E905" s="233">
        <v>25</v>
      </c>
      <c r="F905" s="233">
        <v>3</v>
      </c>
      <c r="G905" s="235">
        <v>44636</v>
      </c>
    </row>
    <row r="906" spans="2:7">
      <c r="B906" s="230" t="s">
        <v>1189</v>
      </c>
      <c r="C906" s="232" t="s">
        <v>559</v>
      </c>
      <c r="D906" s="232" t="s">
        <v>1188</v>
      </c>
      <c r="E906" s="233">
        <v>21</v>
      </c>
      <c r="F906" s="233">
        <f>11/3</f>
        <v>3.6666666666666665</v>
      </c>
      <c r="G906" s="235">
        <v>45027</v>
      </c>
    </row>
    <row r="907" spans="2:7">
      <c r="B907" s="230" t="s">
        <v>1197</v>
      </c>
      <c r="C907" s="232" t="s">
        <v>559</v>
      </c>
      <c r="D907" s="232" t="s">
        <v>1193</v>
      </c>
      <c r="E907" s="233">
        <v>21.4</v>
      </c>
      <c r="F907" s="233">
        <f>11.4/3</f>
        <v>3.8000000000000003</v>
      </c>
      <c r="G907" s="235">
        <v>44232</v>
      </c>
    </row>
    <row r="908" spans="2:7">
      <c r="B908" s="259" t="s">
        <v>1633</v>
      </c>
      <c r="C908" s="260" t="s">
        <v>564</v>
      </c>
      <c r="D908" s="260" t="s">
        <v>1624</v>
      </c>
      <c r="E908" s="233">
        <v>6</v>
      </c>
      <c r="F908" s="233">
        <v>2</v>
      </c>
      <c r="G908" s="235">
        <v>44180</v>
      </c>
    </row>
    <row r="909" spans="2:7">
      <c r="B909" s="259"/>
      <c r="C909" s="260"/>
      <c r="D909" s="260"/>
      <c r="G909" s="235"/>
    </row>
    <row r="910" spans="2:7">
      <c r="B910" s="259" t="s">
        <v>1639</v>
      </c>
      <c r="C910" s="260" t="s">
        <v>559</v>
      </c>
      <c r="D910" s="260" t="s">
        <v>718</v>
      </c>
      <c r="E910" s="233">
        <v>15</v>
      </c>
      <c r="F910" s="233">
        <v>5</v>
      </c>
      <c r="G910" s="235">
        <v>44838</v>
      </c>
    </row>
    <row r="911" spans="2:7">
      <c r="B911" s="259"/>
      <c r="C911" s="272" t="s">
        <v>559</v>
      </c>
      <c r="D911" s="272" t="s">
        <v>726</v>
      </c>
      <c r="E911" s="233">
        <v>13</v>
      </c>
      <c r="F911" s="233">
        <v>3</v>
      </c>
      <c r="G911" s="235">
        <v>45005</v>
      </c>
    </row>
    <row r="912" spans="2:7">
      <c r="B912" s="259"/>
      <c r="C912" s="272"/>
      <c r="D912" s="272"/>
      <c r="G912" s="235"/>
    </row>
    <row r="913" spans="2:7">
      <c r="B913" s="259" t="s">
        <v>1640</v>
      </c>
      <c r="C913" s="260" t="s">
        <v>559</v>
      </c>
      <c r="D913" s="260" t="s">
        <v>718</v>
      </c>
      <c r="E913" s="233">
        <v>15</v>
      </c>
      <c r="F913" s="233">
        <f>10/3</f>
        <v>3.3333333333333335</v>
      </c>
      <c r="G913" s="235">
        <v>44838</v>
      </c>
    </row>
    <row r="914" spans="2:7">
      <c r="B914" s="259" t="s">
        <v>1641</v>
      </c>
      <c r="C914" s="260" t="s">
        <v>559</v>
      </c>
      <c r="D914" s="260" t="s">
        <v>718</v>
      </c>
      <c r="E914" s="233">
        <v>15</v>
      </c>
      <c r="F914" s="233">
        <f>10/3</f>
        <v>3.3333333333333335</v>
      </c>
      <c r="G914" s="235">
        <v>44838</v>
      </c>
    </row>
    <row r="915" spans="2:7">
      <c r="B915" s="259" t="s">
        <v>1646</v>
      </c>
      <c r="C915" s="260" t="s">
        <v>564</v>
      </c>
      <c r="D915" s="260" t="s">
        <v>587</v>
      </c>
      <c r="E915" s="233">
        <v>5.3</v>
      </c>
      <c r="F915" s="233">
        <v>3.3</v>
      </c>
      <c r="G915" s="235">
        <v>45069</v>
      </c>
    </row>
    <row r="916" spans="2:7">
      <c r="B916" s="259" t="s">
        <v>1647</v>
      </c>
      <c r="C916" s="260" t="s">
        <v>564</v>
      </c>
      <c r="D916" s="260" t="s">
        <v>587</v>
      </c>
      <c r="E916" s="233">
        <v>5.3</v>
      </c>
      <c r="F916" s="233">
        <v>2</v>
      </c>
      <c r="G916" s="235">
        <v>45069</v>
      </c>
    </row>
    <row r="917" spans="2:7">
      <c r="B917" s="259" t="s">
        <v>1653</v>
      </c>
      <c r="C917" s="260" t="s">
        <v>564</v>
      </c>
      <c r="D917" s="260" t="s">
        <v>470</v>
      </c>
      <c r="E917" s="233">
        <v>15</v>
      </c>
      <c r="F917" s="233">
        <f t="shared" ref="F917:F923" si="9">15/7</f>
        <v>2.1428571428571428</v>
      </c>
      <c r="G917" s="235">
        <v>44691</v>
      </c>
    </row>
    <row r="918" spans="2:7">
      <c r="B918" s="259" t="s">
        <v>1654</v>
      </c>
      <c r="C918" s="260" t="s">
        <v>564</v>
      </c>
      <c r="D918" s="260" t="s">
        <v>470</v>
      </c>
      <c r="E918" s="233">
        <v>15</v>
      </c>
      <c r="F918" s="233">
        <f t="shared" si="9"/>
        <v>2.1428571428571428</v>
      </c>
      <c r="G918" s="235">
        <v>44691</v>
      </c>
    </row>
    <row r="919" spans="2:7">
      <c r="B919" s="259" t="s">
        <v>1655</v>
      </c>
      <c r="C919" s="260" t="s">
        <v>564</v>
      </c>
      <c r="D919" s="260" t="s">
        <v>470</v>
      </c>
      <c r="E919" s="233">
        <v>15</v>
      </c>
      <c r="F919" s="233">
        <f t="shared" si="9"/>
        <v>2.1428571428571428</v>
      </c>
      <c r="G919" s="235">
        <v>44691</v>
      </c>
    </row>
    <row r="920" spans="2:7">
      <c r="B920" s="259" t="s">
        <v>1656</v>
      </c>
      <c r="C920" s="260" t="s">
        <v>564</v>
      </c>
      <c r="D920" s="260" t="s">
        <v>470</v>
      </c>
      <c r="E920" s="233">
        <v>15</v>
      </c>
      <c r="F920" s="233">
        <f t="shared" si="9"/>
        <v>2.1428571428571428</v>
      </c>
      <c r="G920" s="235">
        <v>44691</v>
      </c>
    </row>
    <row r="921" spans="2:7">
      <c r="B921" s="259" t="s">
        <v>1657</v>
      </c>
      <c r="C921" s="260" t="s">
        <v>564</v>
      </c>
      <c r="D921" s="260" t="s">
        <v>470</v>
      </c>
      <c r="E921" s="233">
        <v>15</v>
      </c>
      <c r="F921" s="233">
        <f t="shared" si="9"/>
        <v>2.1428571428571428</v>
      </c>
      <c r="G921" s="235">
        <v>44691</v>
      </c>
    </row>
    <row r="922" spans="2:7">
      <c r="B922" s="259" t="s">
        <v>1658</v>
      </c>
      <c r="C922" s="260" t="s">
        <v>564</v>
      </c>
      <c r="D922" s="260" t="s">
        <v>470</v>
      </c>
      <c r="E922" s="233">
        <v>15</v>
      </c>
      <c r="F922" s="233">
        <f t="shared" si="9"/>
        <v>2.1428571428571428</v>
      </c>
      <c r="G922" s="235">
        <v>44691</v>
      </c>
    </row>
    <row r="923" spans="2:7">
      <c r="B923" s="259" t="s">
        <v>1659</v>
      </c>
      <c r="C923" s="260" t="s">
        <v>564</v>
      </c>
      <c r="D923" s="260" t="s">
        <v>470</v>
      </c>
      <c r="E923" s="233">
        <v>15</v>
      </c>
      <c r="F923" s="233">
        <f t="shared" si="9"/>
        <v>2.1428571428571428</v>
      </c>
      <c r="G923" s="235">
        <v>44691</v>
      </c>
    </row>
    <row r="924" spans="2:7">
      <c r="B924" s="230" t="s">
        <v>1219</v>
      </c>
      <c r="C924" s="232" t="s">
        <v>559</v>
      </c>
      <c r="D924" s="232" t="s">
        <v>679</v>
      </c>
      <c r="E924" s="233">
        <v>30</v>
      </c>
      <c r="F924" s="233">
        <v>14</v>
      </c>
      <c r="G924" s="235">
        <v>44522</v>
      </c>
    </row>
    <row r="925" spans="2:7">
      <c r="B925" s="230" t="s">
        <v>1381</v>
      </c>
      <c r="C925" s="232" t="s">
        <v>559</v>
      </c>
      <c r="D925" s="232" t="s">
        <v>695</v>
      </c>
      <c r="E925" s="233">
        <v>25</v>
      </c>
      <c r="F925" s="233">
        <f t="shared" si="6"/>
        <v>2.5714285714285716</v>
      </c>
      <c r="G925" s="235">
        <v>44757</v>
      </c>
    </row>
    <row r="926" spans="2:7">
      <c r="B926" s="259" t="s">
        <v>1665</v>
      </c>
      <c r="C926" s="260" t="s">
        <v>559</v>
      </c>
      <c r="D926" s="260" t="s">
        <v>720</v>
      </c>
      <c r="E926" s="233">
        <v>15</v>
      </c>
      <c r="F926" s="233">
        <v>3</v>
      </c>
      <c r="G926" s="235">
        <v>44482</v>
      </c>
    </row>
    <row r="927" spans="2:7">
      <c r="C927" s="260" t="s">
        <v>564</v>
      </c>
      <c r="D927" s="260" t="s">
        <v>720</v>
      </c>
      <c r="E927" s="233">
        <v>4.5</v>
      </c>
      <c r="F927" s="233">
        <v>0.5</v>
      </c>
      <c r="G927" s="235">
        <v>44362</v>
      </c>
    </row>
    <row r="928" spans="2:7">
      <c r="B928" s="259" t="s">
        <v>1666</v>
      </c>
      <c r="C928" s="260" t="s">
        <v>564</v>
      </c>
      <c r="D928" s="260" t="s">
        <v>720</v>
      </c>
      <c r="E928" s="233">
        <v>4.5</v>
      </c>
      <c r="F928" s="233">
        <v>0.5</v>
      </c>
      <c r="G928" s="235">
        <v>44362</v>
      </c>
    </row>
    <row r="929" spans="2:7">
      <c r="B929" s="259" t="s">
        <v>1667</v>
      </c>
      <c r="C929" s="260" t="s">
        <v>564</v>
      </c>
      <c r="D929" s="260" t="s">
        <v>720</v>
      </c>
      <c r="E929" s="233">
        <v>4.5</v>
      </c>
      <c r="F929" s="233">
        <v>0.5</v>
      </c>
      <c r="G929" s="235">
        <v>44362</v>
      </c>
    </row>
    <row r="930" spans="2:7">
      <c r="B930" s="259" t="s">
        <v>1671</v>
      </c>
      <c r="C930" s="260" t="s">
        <v>559</v>
      </c>
      <c r="D930" s="260" t="s">
        <v>721</v>
      </c>
      <c r="E930" s="233">
        <v>14.5</v>
      </c>
      <c r="F930" s="233">
        <v>4.5</v>
      </c>
      <c r="G930" s="235">
        <v>44389</v>
      </c>
    </row>
    <row r="931" spans="2:7">
      <c r="B931" s="259" t="s">
        <v>1672</v>
      </c>
      <c r="C931" s="260" t="s">
        <v>559</v>
      </c>
      <c r="D931" s="260" t="s">
        <v>721</v>
      </c>
      <c r="E931" s="233">
        <v>14.5</v>
      </c>
      <c r="F931" s="233">
        <v>2.5</v>
      </c>
      <c r="G931" s="235">
        <v>44389</v>
      </c>
    </row>
    <row r="932" spans="2:7">
      <c r="B932" s="259"/>
      <c r="C932" s="260" t="s">
        <v>564</v>
      </c>
      <c r="D932" s="260" t="s">
        <v>721</v>
      </c>
      <c r="E932" s="233">
        <v>3</v>
      </c>
      <c r="F932" s="233">
        <v>0.5</v>
      </c>
      <c r="G932" s="235">
        <v>43993</v>
      </c>
    </row>
    <row r="933" spans="2:7">
      <c r="B933" s="259" t="s">
        <v>1673</v>
      </c>
      <c r="C933" s="260" t="s">
        <v>559</v>
      </c>
      <c r="D933" s="260" t="s">
        <v>721</v>
      </c>
      <c r="E933" s="233">
        <v>14.5</v>
      </c>
      <c r="F933" s="233">
        <v>2.5</v>
      </c>
      <c r="G933" s="235">
        <v>44389</v>
      </c>
    </row>
    <row r="934" spans="2:7">
      <c r="B934" s="259"/>
      <c r="C934" s="260" t="s">
        <v>564</v>
      </c>
      <c r="D934" s="260" t="s">
        <v>721</v>
      </c>
      <c r="E934" s="233">
        <v>3</v>
      </c>
      <c r="F934" s="233">
        <v>1</v>
      </c>
      <c r="G934" s="235">
        <v>43993</v>
      </c>
    </row>
    <row r="935" spans="2:7">
      <c r="B935" s="259" t="s">
        <v>1674</v>
      </c>
      <c r="C935" s="260" t="s">
        <v>559</v>
      </c>
      <c r="D935" s="260" t="s">
        <v>721</v>
      </c>
      <c r="E935" s="233">
        <v>14.5</v>
      </c>
      <c r="F935" s="233">
        <v>2.5</v>
      </c>
      <c r="G935" s="235">
        <v>44389</v>
      </c>
    </row>
    <row r="936" spans="2:7">
      <c r="B936" s="259"/>
      <c r="C936" s="260" t="s">
        <v>564</v>
      </c>
      <c r="D936" s="260" t="s">
        <v>721</v>
      </c>
      <c r="E936" s="233">
        <v>3</v>
      </c>
      <c r="F936" s="233">
        <v>0.5</v>
      </c>
      <c r="G936" s="235">
        <v>43993</v>
      </c>
    </row>
    <row r="937" spans="2:7">
      <c r="B937" s="259" t="s">
        <v>1675</v>
      </c>
      <c r="C937" s="260" t="s">
        <v>564</v>
      </c>
      <c r="D937" s="260" t="s">
        <v>721</v>
      </c>
      <c r="E937" s="233">
        <v>3</v>
      </c>
      <c r="F937" s="233">
        <v>0.5</v>
      </c>
      <c r="G937" s="235">
        <v>43993</v>
      </c>
    </row>
    <row r="938" spans="2:7">
      <c r="B938" s="259" t="s">
        <v>1676</v>
      </c>
      <c r="C938" s="260" t="s">
        <v>564</v>
      </c>
      <c r="D938" s="260" t="s">
        <v>721</v>
      </c>
      <c r="E938" s="233">
        <v>3</v>
      </c>
      <c r="F938" s="233">
        <v>0.5</v>
      </c>
      <c r="G938" s="235">
        <v>43993</v>
      </c>
    </row>
    <row r="939" spans="2:7">
      <c r="B939" s="259" t="s">
        <v>1677</v>
      </c>
      <c r="C939" s="260" t="s">
        <v>564</v>
      </c>
      <c r="D939" s="260" t="s">
        <v>721</v>
      </c>
      <c r="E939" s="233">
        <v>3</v>
      </c>
      <c r="F939" s="233">
        <v>0.5</v>
      </c>
      <c r="G939" s="235">
        <v>43993</v>
      </c>
    </row>
    <row r="940" spans="2:7">
      <c r="B940" s="259" t="s">
        <v>1682</v>
      </c>
      <c r="C940" s="260" t="s">
        <v>1165</v>
      </c>
      <c r="D940" s="260" t="s">
        <v>722</v>
      </c>
      <c r="E940" s="233">
        <v>4.5</v>
      </c>
      <c r="F940" s="233">
        <v>1</v>
      </c>
      <c r="G940" s="235">
        <v>44691</v>
      </c>
    </row>
    <row r="941" spans="2:7">
      <c r="B941" s="259" t="s">
        <v>1683</v>
      </c>
      <c r="C941" s="260" t="s">
        <v>1165</v>
      </c>
      <c r="D941" s="260" t="s">
        <v>722</v>
      </c>
      <c r="E941" s="233">
        <v>4.5</v>
      </c>
      <c r="F941" s="233">
        <v>1</v>
      </c>
      <c r="G941" s="235">
        <v>44691</v>
      </c>
    </row>
    <row r="942" spans="2:7">
      <c r="B942" s="259" t="s">
        <v>1688</v>
      </c>
      <c r="C942" s="260" t="s">
        <v>559</v>
      </c>
      <c r="D942" s="260" t="s">
        <v>723</v>
      </c>
      <c r="E942" s="233">
        <v>14</v>
      </c>
      <c r="F942" s="233">
        <v>3</v>
      </c>
      <c r="G942" s="235">
        <v>44705</v>
      </c>
    </row>
    <row r="943" spans="2:7">
      <c r="C943" s="260" t="s">
        <v>1165</v>
      </c>
      <c r="D943" s="260" t="s">
        <v>723</v>
      </c>
      <c r="E943" s="233">
        <v>0.62</v>
      </c>
      <c r="F943" s="233">
        <v>0.62</v>
      </c>
      <c r="G943" s="235">
        <v>44105</v>
      </c>
    </row>
    <row r="944" spans="2:7">
      <c r="B944" s="259" t="s">
        <v>1699</v>
      </c>
      <c r="C944" s="260" t="s">
        <v>402</v>
      </c>
      <c r="D944" s="260" t="s">
        <v>562</v>
      </c>
      <c r="E944" s="233">
        <v>27</v>
      </c>
      <c r="F944" s="233">
        <v>2</v>
      </c>
      <c r="G944" s="235">
        <v>44882</v>
      </c>
    </row>
    <row r="945" spans="2:7">
      <c r="B945" s="259" t="s">
        <v>1701</v>
      </c>
      <c r="C945" s="260" t="s">
        <v>559</v>
      </c>
      <c r="D945" s="260" t="s">
        <v>562</v>
      </c>
      <c r="E945" s="233">
        <v>11</v>
      </c>
      <c r="F945" s="233">
        <v>6</v>
      </c>
      <c r="G945" s="235">
        <v>44044</v>
      </c>
    </row>
    <row r="946" spans="2:7">
      <c r="B946" s="259" t="s">
        <v>1707</v>
      </c>
      <c r="C946" s="260" t="s">
        <v>581</v>
      </c>
      <c r="D946" s="260" t="s">
        <v>433</v>
      </c>
      <c r="E946" s="233">
        <v>200</v>
      </c>
      <c r="F946" s="233">
        <f>100/5</f>
        <v>20</v>
      </c>
      <c r="G946" s="235">
        <v>44377</v>
      </c>
    </row>
    <row r="947" spans="2:7">
      <c r="C947" s="260" t="s">
        <v>402</v>
      </c>
      <c r="D947" s="260" t="s">
        <v>433</v>
      </c>
      <c r="E947" s="233">
        <v>75</v>
      </c>
      <c r="F947" s="233">
        <v>20</v>
      </c>
      <c r="G947" s="235">
        <v>43783</v>
      </c>
    </row>
    <row r="948" spans="2:7">
      <c r="B948" s="259" t="s">
        <v>1709</v>
      </c>
      <c r="C948" s="260" t="s">
        <v>402</v>
      </c>
      <c r="D948" s="260" t="s">
        <v>433</v>
      </c>
      <c r="E948" s="233">
        <v>75</v>
      </c>
      <c r="F948" s="233">
        <v>5</v>
      </c>
      <c r="G948" s="235">
        <v>43783</v>
      </c>
    </row>
    <row r="949" spans="2:7">
      <c r="B949" s="259" t="s">
        <v>1715</v>
      </c>
      <c r="C949" s="260" t="s">
        <v>559</v>
      </c>
      <c r="D949" s="260" t="s">
        <v>594</v>
      </c>
      <c r="E949" s="233">
        <v>12.7</v>
      </c>
      <c r="F949" s="233">
        <f>8/5</f>
        <v>1.6</v>
      </c>
      <c r="G949" s="235">
        <v>44952</v>
      </c>
    </row>
    <row r="950" spans="2:7">
      <c r="B950" s="259" t="s">
        <v>1716</v>
      </c>
      <c r="C950" s="260" t="s">
        <v>559</v>
      </c>
      <c r="D950" s="260" t="s">
        <v>594</v>
      </c>
      <c r="E950" s="233">
        <v>12.7</v>
      </c>
      <c r="F950" s="233">
        <f>8/5</f>
        <v>1.6</v>
      </c>
      <c r="G950" s="235">
        <v>44952</v>
      </c>
    </row>
    <row r="951" spans="2:7">
      <c r="B951" s="259" t="s">
        <v>1717</v>
      </c>
      <c r="C951" s="260" t="s">
        <v>559</v>
      </c>
      <c r="D951" s="260" t="s">
        <v>594</v>
      </c>
      <c r="E951" s="233">
        <v>12.7</v>
      </c>
      <c r="F951" s="233">
        <f>8/5</f>
        <v>1.6</v>
      </c>
      <c r="G951" s="235">
        <v>44952</v>
      </c>
    </row>
    <row r="952" spans="2:7">
      <c r="B952" s="259" t="s">
        <v>1718</v>
      </c>
      <c r="C952" s="260" t="s">
        <v>564</v>
      </c>
      <c r="D952" s="260" t="s">
        <v>594</v>
      </c>
      <c r="E952" s="233">
        <v>5</v>
      </c>
      <c r="F952" s="233">
        <v>2.5</v>
      </c>
      <c r="G952" s="235">
        <v>44277</v>
      </c>
    </row>
    <row r="953" spans="2:7">
      <c r="B953" s="259" t="s">
        <v>1726</v>
      </c>
      <c r="C953" s="260" t="s">
        <v>559</v>
      </c>
      <c r="D953" s="260" t="s">
        <v>640</v>
      </c>
      <c r="E953" s="233">
        <v>70</v>
      </c>
      <c r="F953" s="233">
        <v>30</v>
      </c>
      <c r="G953" s="235">
        <v>45035</v>
      </c>
    </row>
    <row r="954" spans="2:7">
      <c r="B954" s="259" t="s">
        <v>1727</v>
      </c>
      <c r="C954" s="260" t="s">
        <v>559</v>
      </c>
      <c r="D954" s="260" t="s">
        <v>640</v>
      </c>
      <c r="E954" s="233">
        <v>70</v>
      </c>
      <c r="F954" s="233">
        <f t="shared" ref="F954:F959" si="10">40/6</f>
        <v>6.666666666666667</v>
      </c>
      <c r="G954" s="235">
        <v>45035</v>
      </c>
    </row>
    <row r="955" spans="2:7">
      <c r="B955" s="259" t="s">
        <v>1728</v>
      </c>
      <c r="C955" s="260" t="s">
        <v>559</v>
      </c>
      <c r="D955" s="260" t="s">
        <v>640</v>
      </c>
      <c r="E955" s="233">
        <v>70</v>
      </c>
      <c r="F955" s="233">
        <f t="shared" si="10"/>
        <v>6.666666666666667</v>
      </c>
      <c r="G955" s="235">
        <v>45035</v>
      </c>
    </row>
    <row r="956" spans="2:7">
      <c r="B956" s="259" t="s">
        <v>1729</v>
      </c>
      <c r="C956" s="260" t="s">
        <v>559</v>
      </c>
      <c r="D956" s="260" t="s">
        <v>640</v>
      </c>
      <c r="E956" s="233">
        <v>70</v>
      </c>
      <c r="F956" s="233">
        <f t="shared" si="10"/>
        <v>6.666666666666667</v>
      </c>
      <c r="G956" s="235">
        <v>45035</v>
      </c>
    </row>
    <row r="957" spans="2:7">
      <c r="B957" s="259" t="s">
        <v>1730</v>
      </c>
      <c r="C957" s="260" t="s">
        <v>559</v>
      </c>
      <c r="D957" s="260" t="s">
        <v>640</v>
      </c>
      <c r="E957" s="233">
        <v>70</v>
      </c>
      <c r="F957" s="233">
        <f t="shared" si="10"/>
        <v>6.666666666666667</v>
      </c>
      <c r="G957" s="235">
        <v>45035</v>
      </c>
    </row>
    <row r="958" spans="2:7">
      <c r="B958" s="259" t="s">
        <v>1731</v>
      </c>
      <c r="C958" s="260" t="s">
        <v>559</v>
      </c>
      <c r="D958" s="260" t="s">
        <v>640</v>
      </c>
      <c r="E958" s="233">
        <v>70</v>
      </c>
      <c r="F958" s="233">
        <f t="shared" si="10"/>
        <v>6.666666666666667</v>
      </c>
      <c r="G958" s="235">
        <v>45035</v>
      </c>
    </row>
    <row r="959" spans="2:7">
      <c r="B959" s="259" t="s">
        <v>1732</v>
      </c>
      <c r="C959" s="260" t="s">
        <v>559</v>
      </c>
      <c r="D959" s="260" t="s">
        <v>640</v>
      </c>
      <c r="E959" s="233">
        <v>70</v>
      </c>
      <c r="F959" s="233">
        <f t="shared" si="10"/>
        <v>6.666666666666667</v>
      </c>
      <c r="G959" s="235">
        <v>45035</v>
      </c>
    </row>
    <row r="960" spans="2:7">
      <c r="B960" s="230" t="s">
        <v>1545</v>
      </c>
      <c r="C960" s="232" t="s">
        <v>559</v>
      </c>
      <c r="D960" s="232" t="s">
        <v>713</v>
      </c>
      <c r="E960" s="233">
        <v>17</v>
      </c>
      <c r="F960" s="233">
        <v>6</v>
      </c>
      <c r="G960" s="235">
        <v>44679</v>
      </c>
    </row>
    <row r="961" spans="2:7">
      <c r="B961" s="230" t="s">
        <v>1546</v>
      </c>
      <c r="C961" s="232" t="s">
        <v>559</v>
      </c>
      <c r="D961" s="232" t="s">
        <v>713</v>
      </c>
      <c r="E961" s="233">
        <v>17</v>
      </c>
      <c r="F961" s="233">
        <v>1.5</v>
      </c>
      <c r="G961" s="235">
        <v>44679</v>
      </c>
    </row>
    <row r="962" spans="2:7">
      <c r="B962" s="230" t="s">
        <v>1122</v>
      </c>
      <c r="C962" s="232" t="s">
        <v>559</v>
      </c>
      <c r="D962" s="232" t="s">
        <v>1120</v>
      </c>
      <c r="E962" s="233">
        <v>50</v>
      </c>
      <c r="F962" s="233">
        <f t="shared" si="2"/>
        <v>2.5</v>
      </c>
      <c r="G962" s="235">
        <v>44796</v>
      </c>
    </row>
    <row r="963" spans="2:7">
      <c r="B963" s="230" t="s">
        <v>1123</v>
      </c>
      <c r="C963" s="232" t="s">
        <v>559</v>
      </c>
      <c r="D963" s="232" t="s">
        <v>1120</v>
      </c>
      <c r="E963" s="233">
        <v>50</v>
      </c>
      <c r="F963" s="233">
        <f t="shared" si="2"/>
        <v>2.5</v>
      </c>
      <c r="G963" s="235">
        <v>44796</v>
      </c>
    </row>
    <row r="964" spans="2:7">
      <c r="B964" s="230" t="s">
        <v>1124</v>
      </c>
      <c r="C964" s="232" t="s">
        <v>559</v>
      </c>
      <c r="D964" s="232" t="s">
        <v>1120</v>
      </c>
      <c r="E964" s="233">
        <v>50</v>
      </c>
      <c r="F964" s="233">
        <f t="shared" si="2"/>
        <v>2.5</v>
      </c>
      <c r="G964" s="235">
        <v>44796</v>
      </c>
    </row>
    <row r="965" spans="2:7">
      <c r="B965" s="270" t="s">
        <v>1752</v>
      </c>
      <c r="C965" s="272" t="s">
        <v>564</v>
      </c>
      <c r="D965" s="272" t="s">
        <v>725</v>
      </c>
      <c r="E965" s="233">
        <v>13</v>
      </c>
      <c r="F965" s="233">
        <v>6</v>
      </c>
      <c r="G965" s="235">
        <v>44896</v>
      </c>
    </row>
    <row r="966" spans="2:7">
      <c r="B966" s="270" t="s">
        <v>1753</v>
      </c>
      <c r="C966" s="272" t="s">
        <v>564</v>
      </c>
      <c r="D966" s="272" t="s">
        <v>725</v>
      </c>
      <c r="E966" s="233">
        <v>13</v>
      </c>
      <c r="F966" s="233">
        <f>7/2</f>
        <v>3.5</v>
      </c>
      <c r="G966" s="235">
        <v>44896</v>
      </c>
    </row>
    <row r="967" spans="2:7">
      <c r="B967" s="270" t="s">
        <v>1754</v>
      </c>
      <c r="C967" s="272" t="s">
        <v>564</v>
      </c>
      <c r="D967" s="272" t="s">
        <v>725</v>
      </c>
      <c r="E967" s="233">
        <v>13</v>
      </c>
      <c r="F967" s="233">
        <f>7/2</f>
        <v>3.5</v>
      </c>
      <c r="G967" s="235">
        <v>44896</v>
      </c>
    </row>
  </sheetData>
  <sortState xmlns:xlrd2="http://schemas.microsoft.com/office/spreadsheetml/2017/richdata2" ref="B524:G558">
    <sortCondition descending="1" ref="F524:F558"/>
  </sortState>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C89C9-C58C-431A-80D5-5C7D568EC13B}">
  <dimension ref="A1:AA322"/>
  <sheetViews>
    <sheetView tabSelected="1" zoomScale="160" zoomScaleNormal="160" workbookViewId="0">
      <pane xSplit="2" ySplit="2" topLeftCell="C121" activePane="bottomRight" state="frozen"/>
      <selection pane="topRight" activeCell="C1" sqref="C1"/>
      <selection pane="bottomLeft" activeCell="A3" sqref="A3"/>
      <selection pane="bottomRight" activeCell="D134" sqref="D134"/>
    </sheetView>
  </sheetViews>
  <sheetFormatPr defaultColWidth="9.140625" defaultRowHeight="12.75"/>
  <cols>
    <col min="1" max="1" width="5" style="178" bestFit="1" customWidth="1"/>
    <col min="2" max="2" width="25.140625" style="178" customWidth="1"/>
    <col min="3" max="3" width="10.85546875" style="181" customWidth="1"/>
    <col min="4" max="4" width="9.140625" style="251"/>
    <col min="5" max="5" width="11" style="178" customWidth="1"/>
    <col min="6" max="6" width="9.140625" style="251"/>
    <col min="7" max="7" width="11.28515625" style="179" customWidth="1"/>
    <col min="8" max="8" width="23.42578125" style="178" customWidth="1"/>
    <col min="9" max="9" width="20.7109375" style="178" customWidth="1"/>
    <col min="10" max="10" width="10.140625" style="178" bestFit="1" customWidth="1"/>
    <col min="11" max="11" width="11.42578125" style="178" customWidth="1"/>
    <col min="12" max="12" width="10.140625" style="178" bestFit="1" customWidth="1"/>
    <col min="13" max="13" width="14.85546875" style="178" customWidth="1"/>
    <col min="14" max="14" width="9.140625" style="178"/>
    <col min="15" max="26" width="9.140625" style="239"/>
    <col min="27" max="27" width="16" style="178" customWidth="1"/>
    <col min="28" max="16384" width="9.140625" style="178"/>
  </cols>
  <sheetData>
    <row r="1" spans="1:27">
      <c r="A1" s="5" t="s">
        <v>146</v>
      </c>
    </row>
    <row r="2" spans="1:27">
      <c r="B2" s="178" t="s">
        <v>0</v>
      </c>
      <c r="C2" s="181" t="s">
        <v>1</v>
      </c>
      <c r="D2" s="251" t="s">
        <v>3</v>
      </c>
      <c r="E2" s="178" t="s">
        <v>411</v>
      </c>
      <c r="F2" s="251" t="s">
        <v>412</v>
      </c>
      <c r="G2" s="232" t="s">
        <v>776</v>
      </c>
      <c r="H2" s="178" t="s">
        <v>413</v>
      </c>
      <c r="I2" s="178" t="s">
        <v>414</v>
      </c>
      <c r="J2" s="206" t="s">
        <v>631</v>
      </c>
      <c r="K2" s="206" t="s">
        <v>661</v>
      </c>
      <c r="L2" s="179" t="s">
        <v>222</v>
      </c>
      <c r="M2" s="206" t="s">
        <v>429</v>
      </c>
      <c r="N2" s="202" t="s">
        <v>248</v>
      </c>
      <c r="O2" s="240" t="s">
        <v>617</v>
      </c>
      <c r="P2" s="240" t="s">
        <v>412</v>
      </c>
      <c r="Q2" s="241" t="s">
        <v>248</v>
      </c>
      <c r="R2" s="241" t="s">
        <v>617</v>
      </c>
      <c r="S2" s="241" t="s">
        <v>412</v>
      </c>
      <c r="T2" s="241" t="s">
        <v>248</v>
      </c>
      <c r="U2" s="241" t="s">
        <v>617</v>
      </c>
      <c r="V2" s="241" t="s">
        <v>412</v>
      </c>
      <c r="W2" s="241" t="s">
        <v>248</v>
      </c>
      <c r="X2" s="241" t="s">
        <v>617</v>
      </c>
      <c r="Y2" s="241" t="s">
        <v>412</v>
      </c>
      <c r="Z2" s="241" t="s">
        <v>248</v>
      </c>
      <c r="AA2" s="230" t="s">
        <v>844</v>
      </c>
    </row>
    <row r="3" spans="1:27">
      <c r="A3" s="178">
        <v>3</v>
      </c>
      <c r="B3" s="178" t="s">
        <v>7</v>
      </c>
      <c r="C3" s="181" t="s">
        <v>8</v>
      </c>
      <c r="D3" s="251">
        <v>2000000</v>
      </c>
      <c r="E3" s="178" t="s">
        <v>499</v>
      </c>
      <c r="F3" s="251" t="s">
        <v>499</v>
      </c>
      <c r="G3" s="179" t="s">
        <v>499</v>
      </c>
      <c r="H3" s="230" t="s">
        <v>799</v>
      </c>
      <c r="I3" s="230" t="s">
        <v>759</v>
      </c>
      <c r="J3" s="206" t="s">
        <v>633</v>
      </c>
      <c r="K3" s="206" t="s">
        <v>656</v>
      </c>
      <c r="L3" s="178">
        <v>1975</v>
      </c>
      <c r="N3" s="230" t="s">
        <v>499</v>
      </c>
      <c r="O3" s="241" t="s">
        <v>499</v>
      </c>
      <c r="P3" s="241" t="s">
        <v>499</v>
      </c>
      <c r="Q3" s="241" t="s">
        <v>499</v>
      </c>
      <c r="R3" s="241" t="s">
        <v>499</v>
      </c>
      <c r="S3" s="241" t="s">
        <v>499</v>
      </c>
      <c r="T3" s="241" t="s">
        <v>499</v>
      </c>
      <c r="U3" s="241" t="s">
        <v>499</v>
      </c>
      <c r="V3" s="241" t="s">
        <v>499</v>
      </c>
      <c r="W3" s="241" t="s">
        <v>499</v>
      </c>
      <c r="X3" s="241" t="s">
        <v>499</v>
      </c>
      <c r="Y3" s="241" t="s">
        <v>499</v>
      </c>
      <c r="Z3" s="241" t="s">
        <v>499</v>
      </c>
      <c r="AA3" s="230" t="s">
        <v>867</v>
      </c>
    </row>
    <row r="4" spans="1:27">
      <c r="A4" s="178">
        <v>4</v>
      </c>
      <c r="B4" s="178" t="s">
        <v>9</v>
      </c>
      <c r="C4" s="181" t="s">
        <v>10</v>
      </c>
      <c r="D4" s="251">
        <v>1000000</v>
      </c>
      <c r="E4" s="178" t="s">
        <v>499</v>
      </c>
      <c r="F4" s="251" t="s">
        <v>499</v>
      </c>
      <c r="G4" s="179" t="s">
        <v>499</v>
      </c>
      <c r="H4" s="230" t="s">
        <v>800</v>
      </c>
      <c r="I4" s="230" t="s">
        <v>760</v>
      </c>
      <c r="J4" s="206" t="s">
        <v>632</v>
      </c>
      <c r="K4" s="206" t="s">
        <v>462</v>
      </c>
      <c r="L4" s="178">
        <v>1998</v>
      </c>
      <c r="N4" s="230" t="s">
        <v>499</v>
      </c>
      <c r="O4" s="241" t="s">
        <v>499</v>
      </c>
      <c r="P4" s="241" t="s">
        <v>499</v>
      </c>
      <c r="Q4" s="241" t="s">
        <v>499</v>
      </c>
      <c r="R4" s="241" t="s">
        <v>499</v>
      </c>
      <c r="S4" s="241" t="s">
        <v>499</v>
      </c>
      <c r="T4" s="241" t="s">
        <v>499</v>
      </c>
      <c r="U4" s="241" t="s">
        <v>499</v>
      </c>
      <c r="V4" s="241" t="s">
        <v>499</v>
      </c>
      <c r="W4" s="241" t="s">
        <v>499</v>
      </c>
      <c r="X4" s="241" t="s">
        <v>499</v>
      </c>
      <c r="Y4" s="241" t="s">
        <v>499</v>
      </c>
      <c r="Z4" s="241" t="s">
        <v>499</v>
      </c>
      <c r="AA4" s="230" t="s">
        <v>861</v>
      </c>
    </row>
    <row r="5" spans="1:27">
      <c r="A5" s="178">
        <v>6</v>
      </c>
      <c r="B5" s="178" t="s">
        <v>427</v>
      </c>
      <c r="C5" s="181" t="s">
        <v>497</v>
      </c>
      <c r="D5" s="251">
        <v>1000000</v>
      </c>
      <c r="E5" s="178" t="s">
        <v>499</v>
      </c>
      <c r="F5" s="251" t="s">
        <v>499</v>
      </c>
      <c r="G5" s="179" t="s">
        <v>499</v>
      </c>
      <c r="H5" s="178" t="s">
        <v>495</v>
      </c>
      <c r="J5" s="206" t="s">
        <v>632</v>
      </c>
      <c r="K5" s="206" t="s">
        <v>665</v>
      </c>
      <c r="L5" s="178">
        <v>2003</v>
      </c>
      <c r="N5" s="230" t="s">
        <v>499</v>
      </c>
      <c r="O5" s="241" t="s">
        <v>499</v>
      </c>
      <c r="P5" s="241" t="s">
        <v>499</v>
      </c>
      <c r="Q5" s="241" t="s">
        <v>499</v>
      </c>
      <c r="R5" s="241" t="s">
        <v>499</v>
      </c>
      <c r="S5" s="241" t="s">
        <v>499</v>
      </c>
      <c r="T5" s="241" t="s">
        <v>499</v>
      </c>
      <c r="U5" s="241" t="s">
        <v>499</v>
      </c>
      <c r="V5" s="241" t="s">
        <v>499</v>
      </c>
      <c r="W5" s="241" t="s">
        <v>499</v>
      </c>
      <c r="X5" s="241" t="s">
        <v>499</v>
      </c>
      <c r="Y5" s="241" t="s">
        <v>499</v>
      </c>
      <c r="Z5" s="241" t="s">
        <v>499</v>
      </c>
      <c r="AA5" s="230" t="s">
        <v>866</v>
      </c>
    </row>
    <row r="6" spans="1:27">
      <c r="B6" s="184" t="s">
        <v>481</v>
      </c>
      <c r="C6" s="185" t="s">
        <v>12</v>
      </c>
      <c r="D6" s="251">
        <v>1000000</v>
      </c>
      <c r="E6" s="178" t="s">
        <v>499</v>
      </c>
      <c r="F6" s="251" t="s">
        <v>499</v>
      </c>
      <c r="G6" s="179" t="s">
        <v>499</v>
      </c>
      <c r="H6" s="184" t="s">
        <v>525</v>
      </c>
      <c r="J6" s="206" t="s">
        <v>633</v>
      </c>
      <c r="K6" s="206" t="s">
        <v>656</v>
      </c>
      <c r="L6" s="178">
        <v>2006</v>
      </c>
      <c r="N6" s="230" t="s">
        <v>499</v>
      </c>
      <c r="O6" s="241" t="s">
        <v>499</v>
      </c>
      <c r="P6" s="241" t="s">
        <v>499</v>
      </c>
      <c r="Q6" s="241" t="s">
        <v>499</v>
      </c>
      <c r="R6" s="241" t="s">
        <v>499</v>
      </c>
      <c r="S6" s="241" t="s">
        <v>499</v>
      </c>
      <c r="T6" s="241" t="s">
        <v>499</v>
      </c>
      <c r="U6" s="241" t="s">
        <v>499</v>
      </c>
      <c r="V6" s="241" t="s">
        <v>499</v>
      </c>
      <c r="W6" s="241" t="s">
        <v>499</v>
      </c>
      <c r="X6" s="241" t="s">
        <v>499</v>
      </c>
      <c r="Y6" s="241" t="s">
        <v>499</v>
      </c>
      <c r="Z6" s="241" t="s">
        <v>499</v>
      </c>
      <c r="AA6" s="230" t="s">
        <v>865</v>
      </c>
    </row>
    <row r="7" spans="1:27">
      <c r="A7" s="178">
        <v>5</v>
      </c>
      <c r="B7" s="206" t="s">
        <v>620</v>
      </c>
      <c r="C7" s="207" t="s">
        <v>621</v>
      </c>
      <c r="D7" s="251">
        <v>1000000</v>
      </c>
      <c r="E7" s="178" t="s">
        <v>499</v>
      </c>
      <c r="F7" s="251" t="s">
        <v>499</v>
      </c>
      <c r="G7" s="179" t="s">
        <v>499</v>
      </c>
      <c r="H7" s="184"/>
      <c r="J7" s="206" t="s">
        <v>633</v>
      </c>
      <c r="K7" s="206" t="s">
        <v>666</v>
      </c>
      <c r="L7" s="178">
        <v>1993</v>
      </c>
      <c r="N7" s="230" t="s">
        <v>499</v>
      </c>
      <c r="O7" s="241" t="s">
        <v>499</v>
      </c>
      <c r="P7" s="241" t="s">
        <v>499</v>
      </c>
      <c r="Q7" s="241" t="s">
        <v>499</v>
      </c>
      <c r="R7" s="241" t="s">
        <v>499</v>
      </c>
      <c r="S7" s="241" t="s">
        <v>499</v>
      </c>
      <c r="T7" s="241" t="s">
        <v>499</v>
      </c>
      <c r="U7" s="241" t="s">
        <v>499</v>
      </c>
      <c r="V7" s="241" t="s">
        <v>499</v>
      </c>
      <c r="W7" s="241" t="s">
        <v>499</v>
      </c>
      <c r="X7" s="241" t="s">
        <v>499</v>
      </c>
      <c r="Y7" s="241" t="s">
        <v>499</v>
      </c>
      <c r="Z7" s="241" t="s">
        <v>499</v>
      </c>
      <c r="AA7" s="230" t="s">
        <v>864</v>
      </c>
    </row>
    <row r="8" spans="1:27">
      <c r="A8" s="178">
        <v>2</v>
      </c>
      <c r="B8" s="178" t="s">
        <v>13</v>
      </c>
      <c r="C8" s="181" t="s">
        <v>500</v>
      </c>
      <c r="D8" s="251">
        <v>500000</v>
      </c>
      <c r="E8" s="178" t="s">
        <v>499</v>
      </c>
      <c r="F8" s="251" t="s">
        <v>499</v>
      </c>
      <c r="G8" s="179" t="s">
        <v>499</v>
      </c>
      <c r="H8" s="178" t="s">
        <v>501</v>
      </c>
      <c r="I8" s="178" t="s">
        <v>502</v>
      </c>
      <c r="J8" s="206" t="s">
        <v>632</v>
      </c>
      <c r="K8" s="206" t="s">
        <v>639</v>
      </c>
      <c r="L8" s="178">
        <v>2004</v>
      </c>
      <c r="N8" s="230" t="s">
        <v>499</v>
      </c>
      <c r="O8" s="241" t="s">
        <v>499</v>
      </c>
      <c r="P8" s="241" t="s">
        <v>499</v>
      </c>
      <c r="Q8" s="241" t="s">
        <v>499</v>
      </c>
      <c r="R8" s="241" t="s">
        <v>499</v>
      </c>
      <c r="S8" s="241" t="s">
        <v>499</v>
      </c>
      <c r="T8" s="241" t="s">
        <v>499</v>
      </c>
      <c r="U8" s="241" t="s">
        <v>499</v>
      </c>
      <c r="V8" s="241" t="s">
        <v>499</v>
      </c>
      <c r="W8" s="241" t="s">
        <v>499</v>
      </c>
      <c r="X8" s="241" t="s">
        <v>499</v>
      </c>
      <c r="Y8" s="241" t="s">
        <v>499</v>
      </c>
      <c r="Z8" s="241" t="s">
        <v>499</v>
      </c>
      <c r="AA8" s="230" t="s">
        <v>863</v>
      </c>
    </row>
    <row r="9" spans="1:27">
      <c r="A9" s="178">
        <v>1</v>
      </c>
      <c r="B9" s="64" t="s">
        <v>401</v>
      </c>
      <c r="C9" s="200" t="s">
        <v>256</v>
      </c>
      <c r="D9" s="197">
        <v>35000</v>
      </c>
      <c r="E9" s="64"/>
      <c r="F9" s="251">
        <v>10000</v>
      </c>
      <c r="H9" s="178" t="s">
        <v>504</v>
      </c>
      <c r="I9" s="178" t="s">
        <v>503</v>
      </c>
      <c r="J9" s="206" t="s">
        <v>634</v>
      </c>
      <c r="K9" s="206" t="s">
        <v>662</v>
      </c>
      <c r="L9" s="178">
        <v>2015</v>
      </c>
      <c r="AA9" s="230" t="s">
        <v>858</v>
      </c>
    </row>
    <row r="10" spans="1:27">
      <c r="B10" s="178" t="s">
        <v>426</v>
      </c>
      <c r="C10" s="181" t="s">
        <v>256</v>
      </c>
      <c r="D10" s="251">
        <v>25000</v>
      </c>
      <c r="F10" s="251">
        <v>1600</v>
      </c>
      <c r="J10" s="206" t="s">
        <v>633</v>
      </c>
      <c r="K10" s="206" t="s">
        <v>660</v>
      </c>
      <c r="L10" s="178">
        <v>2013</v>
      </c>
      <c r="AA10" s="230" t="s">
        <v>858</v>
      </c>
    </row>
    <row r="11" spans="1:27">
      <c r="A11" s="178">
        <v>7</v>
      </c>
      <c r="B11" s="178" t="s">
        <v>425</v>
      </c>
      <c r="C11" s="181" t="s">
        <v>256</v>
      </c>
      <c r="D11" s="251">
        <v>21000</v>
      </c>
      <c r="F11" s="251">
        <v>2100</v>
      </c>
      <c r="H11" s="213" t="s">
        <v>495</v>
      </c>
      <c r="J11" s="206" t="s">
        <v>632</v>
      </c>
      <c r="K11" s="206" t="s">
        <v>665</v>
      </c>
      <c r="L11" s="178">
        <v>2013</v>
      </c>
      <c r="AA11" s="230" t="s">
        <v>858</v>
      </c>
    </row>
    <row r="12" spans="1:27">
      <c r="B12" s="213" t="s">
        <v>697</v>
      </c>
      <c r="C12" s="238" t="s">
        <v>256</v>
      </c>
      <c r="D12" s="251">
        <v>30000</v>
      </c>
      <c r="E12" s="230" t="s">
        <v>402</v>
      </c>
      <c r="F12" s="251">
        <v>2500</v>
      </c>
      <c r="G12" s="236">
        <v>44363</v>
      </c>
      <c r="H12" s="230" t="s">
        <v>495</v>
      </c>
      <c r="I12" s="230" t="s">
        <v>974</v>
      </c>
      <c r="J12" s="230" t="s">
        <v>632</v>
      </c>
      <c r="K12" s="230" t="s">
        <v>751</v>
      </c>
      <c r="L12" s="178">
        <v>2009</v>
      </c>
      <c r="M12" s="230" t="s">
        <v>972</v>
      </c>
      <c r="N12" s="230" t="s">
        <v>962</v>
      </c>
      <c r="O12" s="241" t="s">
        <v>559</v>
      </c>
      <c r="P12" s="239">
        <v>3000</v>
      </c>
      <c r="Q12" s="241" t="s">
        <v>973</v>
      </c>
      <c r="R12" s="241" t="s">
        <v>499</v>
      </c>
      <c r="S12" s="241" t="s">
        <v>499</v>
      </c>
      <c r="T12" s="241" t="s">
        <v>499</v>
      </c>
      <c r="U12" s="241" t="s">
        <v>499</v>
      </c>
      <c r="V12" s="241" t="s">
        <v>499</v>
      </c>
      <c r="W12" s="241" t="s">
        <v>499</v>
      </c>
      <c r="X12" s="241" t="s">
        <v>499</v>
      </c>
      <c r="Y12" s="241" t="s">
        <v>499</v>
      </c>
      <c r="Z12" s="241" t="s">
        <v>499</v>
      </c>
      <c r="AA12" s="230" t="s">
        <v>861</v>
      </c>
    </row>
    <row r="13" spans="1:27">
      <c r="A13" s="178">
        <v>8</v>
      </c>
      <c r="B13" s="194" t="s">
        <v>534</v>
      </c>
      <c r="C13" s="198" t="s">
        <v>535</v>
      </c>
      <c r="D13" s="251">
        <v>20000</v>
      </c>
      <c r="E13" s="230" t="s">
        <v>835</v>
      </c>
      <c r="F13" s="233" t="s">
        <v>499</v>
      </c>
      <c r="G13" s="236">
        <v>39591</v>
      </c>
      <c r="H13" s="230" t="s">
        <v>928</v>
      </c>
      <c r="I13" s="230" t="s">
        <v>929</v>
      </c>
      <c r="J13" s="206" t="s">
        <v>632</v>
      </c>
      <c r="K13" s="206" t="s">
        <v>664</v>
      </c>
      <c r="L13" s="178">
        <v>1999</v>
      </c>
      <c r="M13" s="213" t="s">
        <v>624</v>
      </c>
      <c r="N13" s="230" t="s">
        <v>835</v>
      </c>
      <c r="O13" s="241" t="s">
        <v>499</v>
      </c>
      <c r="P13" s="241" t="s">
        <v>499</v>
      </c>
      <c r="Q13" s="241" t="s">
        <v>499</v>
      </c>
      <c r="R13" s="241" t="s">
        <v>499</v>
      </c>
      <c r="S13" s="241" t="s">
        <v>499</v>
      </c>
      <c r="T13" s="241" t="s">
        <v>499</v>
      </c>
      <c r="U13" s="241" t="s">
        <v>499</v>
      </c>
      <c r="V13" s="241" t="s">
        <v>499</v>
      </c>
      <c r="W13" s="241" t="s">
        <v>499</v>
      </c>
      <c r="X13" s="241" t="s">
        <v>499</v>
      </c>
      <c r="Y13" s="241" t="s">
        <v>499</v>
      </c>
      <c r="Z13" s="241" t="s">
        <v>499</v>
      </c>
      <c r="AA13" s="230" t="s">
        <v>860</v>
      </c>
    </row>
    <row r="14" spans="1:27">
      <c r="A14" s="178">
        <v>9</v>
      </c>
      <c r="B14" s="194" t="s">
        <v>545</v>
      </c>
      <c r="C14" s="198" t="s">
        <v>544</v>
      </c>
      <c r="D14" s="251">
        <v>11000</v>
      </c>
      <c r="E14" s="230" t="s">
        <v>835</v>
      </c>
      <c r="F14" s="251">
        <v>740</v>
      </c>
      <c r="G14" s="236">
        <v>44560</v>
      </c>
      <c r="H14" s="230" t="s">
        <v>663</v>
      </c>
      <c r="I14" s="230" t="s">
        <v>913</v>
      </c>
      <c r="J14" s="206" t="s">
        <v>633</v>
      </c>
      <c r="K14" s="206" t="s">
        <v>663</v>
      </c>
      <c r="L14" s="231">
        <v>41913</v>
      </c>
      <c r="M14" s="230" t="s">
        <v>624</v>
      </c>
      <c r="N14" s="230" t="s">
        <v>835</v>
      </c>
      <c r="O14" s="241" t="s">
        <v>908</v>
      </c>
      <c r="P14" s="239">
        <v>1000</v>
      </c>
      <c r="Q14" s="241" t="s">
        <v>907</v>
      </c>
      <c r="R14" s="241" t="s">
        <v>909</v>
      </c>
      <c r="S14" s="239">
        <v>320</v>
      </c>
      <c r="T14" s="241" t="s">
        <v>910</v>
      </c>
      <c r="U14" s="241" t="s">
        <v>581</v>
      </c>
      <c r="V14" s="239">
        <v>600</v>
      </c>
      <c r="W14" s="241" t="s">
        <v>911</v>
      </c>
      <c r="X14" s="241" t="s">
        <v>402</v>
      </c>
      <c r="Y14" s="239">
        <v>410</v>
      </c>
      <c r="Z14" s="241" t="s">
        <v>912</v>
      </c>
      <c r="AA14" s="230" t="s">
        <v>859</v>
      </c>
    </row>
    <row r="15" spans="1:27">
      <c r="A15" s="178">
        <v>9</v>
      </c>
      <c r="B15" s="217" t="s">
        <v>698</v>
      </c>
      <c r="C15" s="218" t="s">
        <v>256</v>
      </c>
      <c r="D15" s="251">
        <v>7000</v>
      </c>
      <c r="E15" s="230" t="s">
        <v>761</v>
      </c>
      <c r="F15" s="251">
        <v>325</v>
      </c>
      <c r="G15" s="236">
        <v>44299</v>
      </c>
      <c r="H15" s="230" t="s">
        <v>762</v>
      </c>
      <c r="I15" s="230" t="s">
        <v>777</v>
      </c>
      <c r="J15" s="217" t="s">
        <v>634</v>
      </c>
      <c r="K15" s="217" t="s">
        <v>656</v>
      </c>
      <c r="L15" s="231">
        <v>42522</v>
      </c>
      <c r="M15" s="230" t="s">
        <v>780</v>
      </c>
      <c r="N15" s="230" t="s">
        <v>818</v>
      </c>
      <c r="O15" s="241" t="s">
        <v>781</v>
      </c>
      <c r="P15" s="239">
        <v>155</v>
      </c>
      <c r="Q15" s="241" t="s">
        <v>779</v>
      </c>
      <c r="R15" s="241" t="s">
        <v>581</v>
      </c>
      <c r="S15" s="239">
        <v>100</v>
      </c>
      <c r="T15" s="241" t="s">
        <v>784</v>
      </c>
      <c r="U15" s="241" t="s">
        <v>402</v>
      </c>
      <c r="V15" s="239">
        <v>18</v>
      </c>
      <c r="W15" s="241" t="s">
        <v>790</v>
      </c>
      <c r="X15" s="241" t="s">
        <v>559</v>
      </c>
      <c r="Y15" s="239">
        <v>4.5</v>
      </c>
      <c r="Z15" s="241" t="s">
        <v>791</v>
      </c>
      <c r="AA15" s="230" t="s">
        <v>858</v>
      </c>
    </row>
    <row r="16" spans="1:27">
      <c r="A16" s="217">
        <f>A14+1</f>
        <v>10</v>
      </c>
      <c r="B16" s="217" t="s">
        <v>144</v>
      </c>
      <c r="C16" s="218" t="s">
        <v>256</v>
      </c>
      <c r="D16" s="252">
        <v>4100</v>
      </c>
      <c r="E16" s="217" t="s">
        <v>581</v>
      </c>
      <c r="F16" s="252">
        <v>450</v>
      </c>
      <c r="G16" s="237">
        <v>45069</v>
      </c>
      <c r="H16" s="217" t="s">
        <v>403</v>
      </c>
      <c r="I16" s="230" t="s">
        <v>1449</v>
      </c>
      <c r="J16" s="217" t="s">
        <v>634</v>
      </c>
      <c r="K16" s="217" t="s">
        <v>662</v>
      </c>
      <c r="L16" s="217">
        <v>2021</v>
      </c>
      <c r="M16" s="230" t="s">
        <v>886</v>
      </c>
      <c r="N16" s="230" t="s">
        <v>793</v>
      </c>
      <c r="O16" s="241" t="s">
        <v>798</v>
      </c>
      <c r="P16" s="239">
        <v>300</v>
      </c>
      <c r="Q16" s="241" t="s">
        <v>9</v>
      </c>
      <c r="R16" s="242" t="s">
        <v>402</v>
      </c>
      <c r="S16" s="239">
        <v>580</v>
      </c>
      <c r="T16" s="241" t="s">
        <v>59</v>
      </c>
      <c r="U16" s="241" t="s">
        <v>559</v>
      </c>
      <c r="V16" s="239">
        <v>124</v>
      </c>
      <c r="W16" s="241" t="s">
        <v>801</v>
      </c>
      <c r="X16" s="241" t="s">
        <v>499</v>
      </c>
      <c r="Y16" s="241" t="s">
        <v>499</v>
      </c>
      <c r="Z16" s="241" t="s">
        <v>499</v>
      </c>
      <c r="AA16" s="230" t="s">
        <v>858</v>
      </c>
    </row>
    <row r="17" spans="1:27">
      <c r="A17" s="178">
        <v>12</v>
      </c>
      <c r="B17" s="178" t="s">
        <v>415</v>
      </c>
      <c r="C17" s="181" t="s">
        <v>256</v>
      </c>
      <c r="D17" s="251">
        <v>3000</v>
      </c>
      <c r="E17" s="206" t="s">
        <v>564</v>
      </c>
      <c r="F17" s="251">
        <v>100</v>
      </c>
      <c r="G17" s="236">
        <v>44846</v>
      </c>
      <c r="H17" s="202" t="s">
        <v>568</v>
      </c>
      <c r="I17" s="202" t="s">
        <v>569</v>
      </c>
      <c r="J17" s="206" t="s">
        <v>632</v>
      </c>
      <c r="K17" s="206" t="s">
        <v>639</v>
      </c>
      <c r="L17" s="178">
        <v>2019</v>
      </c>
      <c r="M17" s="230" t="s">
        <v>803</v>
      </c>
      <c r="N17" s="230" t="s">
        <v>802</v>
      </c>
      <c r="O17" s="241" t="s">
        <v>499</v>
      </c>
      <c r="P17" s="241" t="s">
        <v>499</v>
      </c>
      <c r="Q17" s="241" t="s">
        <v>499</v>
      </c>
      <c r="R17" s="241" t="s">
        <v>499</v>
      </c>
      <c r="S17" s="241" t="s">
        <v>499</v>
      </c>
      <c r="T17" s="241" t="s">
        <v>499</v>
      </c>
      <c r="U17" s="241" t="s">
        <v>499</v>
      </c>
      <c r="V17" s="241" t="s">
        <v>499</v>
      </c>
      <c r="W17" s="241" t="s">
        <v>499</v>
      </c>
      <c r="X17" s="241" t="s">
        <v>499</v>
      </c>
      <c r="Y17" s="241" t="s">
        <v>499</v>
      </c>
      <c r="Z17" s="241" t="s">
        <v>499</v>
      </c>
      <c r="AA17" s="230" t="s">
        <v>857</v>
      </c>
    </row>
    <row r="18" spans="1:27">
      <c r="A18" s="178">
        <v>13</v>
      </c>
      <c r="B18" s="178" t="s">
        <v>404</v>
      </c>
      <c r="C18" s="181" t="s">
        <v>256</v>
      </c>
      <c r="D18" s="251">
        <v>2000</v>
      </c>
      <c r="E18" s="230" t="s">
        <v>581</v>
      </c>
      <c r="F18" s="251">
        <v>270</v>
      </c>
      <c r="G18" s="236">
        <v>45048</v>
      </c>
      <c r="H18" s="178" t="s">
        <v>496</v>
      </c>
      <c r="I18" s="202" t="s">
        <v>570</v>
      </c>
      <c r="J18" s="206" t="s">
        <v>634</v>
      </c>
      <c r="K18" s="206" t="s">
        <v>662</v>
      </c>
      <c r="L18" s="178">
        <v>2019</v>
      </c>
      <c r="M18" s="230" t="s">
        <v>887</v>
      </c>
      <c r="N18" s="230" t="s">
        <v>808</v>
      </c>
      <c r="O18" s="241" t="s">
        <v>402</v>
      </c>
      <c r="P18" s="239">
        <v>130</v>
      </c>
      <c r="Q18" s="241" t="s">
        <v>814</v>
      </c>
      <c r="R18" s="241" t="s">
        <v>559</v>
      </c>
      <c r="S18" s="239">
        <v>40</v>
      </c>
      <c r="T18" s="241" t="s">
        <v>817</v>
      </c>
      <c r="U18" s="241" t="s">
        <v>499</v>
      </c>
      <c r="V18" s="241" t="s">
        <v>499</v>
      </c>
      <c r="W18" s="241" t="s">
        <v>499</v>
      </c>
      <c r="X18" s="241" t="s">
        <v>499</v>
      </c>
      <c r="Y18" s="241" t="s">
        <v>499</v>
      </c>
      <c r="Z18" s="241" t="s">
        <v>499</v>
      </c>
      <c r="AA18" s="230" t="s">
        <v>856</v>
      </c>
    </row>
    <row r="19" spans="1:27">
      <c r="A19" s="178">
        <v>11</v>
      </c>
      <c r="B19" s="178" t="s">
        <v>419</v>
      </c>
      <c r="C19" s="181" t="s">
        <v>256</v>
      </c>
      <c r="D19" s="251">
        <v>2000</v>
      </c>
      <c r="E19" s="202" t="s">
        <v>581</v>
      </c>
      <c r="F19" s="251">
        <v>100</v>
      </c>
      <c r="G19" s="236">
        <v>44690</v>
      </c>
      <c r="H19" s="178" t="s">
        <v>522</v>
      </c>
      <c r="I19" s="178" t="s">
        <v>523</v>
      </c>
      <c r="J19" s="206" t="s">
        <v>634</v>
      </c>
      <c r="K19" s="206" t="s">
        <v>656</v>
      </c>
      <c r="L19" s="178">
        <v>2016</v>
      </c>
      <c r="M19" s="183" t="s">
        <v>524</v>
      </c>
      <c r="N19" s="230" t="s">
        <v>819</v>
      </c>
      <c r="O19" s="241" t="s">
        <v>402</v>
      </c>
      <c r="P19" s="239">
        <v>40</v>
      </c>
      <c r="Q19" s="241" t="s">
        <v>830</v>
      </c>
      <c r="R19" s="241" t="s">
        <v>559</v>
      </c>
      <c r="S19" s="239">
        <v>15</v>
      </c>
      <c r="T19" s="241" t="s">
        <v>831</v>
      </c>
      <c r="U19" s="241" t="s">
        <v>564</v>
      </c>
      <c r="V19" s="239">
        <v>4</v>
      </c>
      <c r="W19" s="241" t="s">
        <v>832</v>
      </c>
      <c r="X19" s="241" t="s">
        <v>689</v>
      </c>
      <c r="Y19" s="239">
        <v>1.2</v>
      </c>
      <c r="Z19" s="241" t="s">
        <v>833</v>
      </c>
      <c r="AA19" s="230" t="s">
        <v>1137</v>
      </c>
    </row>
    <row r="20" spans="1:27">
      <c r="A20" s="178">
        <v>14</v>
      </c>
      <c r="B20" s="178" t="s">
        <v>416</v>
      </c>
      <c r="C20" s="181" t="s">
        <v>214</v>
      </c>
      <c r="D20" s="251">
        <v>3500</v>
      </c>
      <c r="E20" s="230" t="s">
        <v>835</v>
      </c>
      <c r="F20" s="251">
        <v>651</v>
      </c>
      <c r="G20" s="236">
        <v>44174</v>
      </c>
      <c r="H20" s="230" t="s">
        <v>633</v>
      </c>
      <c r="I20" s="230" t="s">
        <v>836</v>
      </c>
      <c r="J20" s="206" t="s">
        <v>633</v>
      </c>
      <c r="K20" s="206" t="s">
        <v>660</v>
      </c>
      <c r="L20" s="178">
        <v>2009</v>
      </c>
      <c r="N20" s="230" t="s">
        <v>835</v>
      </c>
      <c r="O20" s="241" t="s">
        <v>837</v>
      </c>
      <c r="P20" s="239">
        <v>106</v>
      </c>
      <c r="Q20" s="241" t="s">
        <v>838</v>
      </c>
      <c r="S20" s="241" t="s">
        <v>499</v>
      </c>
      <c r="T20" s="241" t="s">
        <v>499</v>
      </c>
      <c r="U20" s="241" t="s">
        <v>499</v>
      </c>
      <c r="V20" s="241" t="s">
        <v>499</v>
      </c>
      <c r="W20" s="241" t="s">
        <v>499</v>
      </c>
      <c r="X20" s="241" t="s">
        <v>499</v>
      </c>
      <c r="Y20" s="241" t="s">
        <v>499</v>
      </c>
      <c r="Z20" s="241" t="s">
        <v>499</v>
      </c>
      <c r="AA20" s="230" t="s">
        <v>862</v>
      </c>
    </row>
    <row r="21" spans="1:27" s="64" customFormat="1">
      <c r="B21" s="64" t="s">
        <v>433</v>
      </c>
      <c r="C21" s="200" t="s">
        <v>256</v>
      </c>
      <c r="D21" s="197">
        <v>2100</v>
      </c>
      <c r="E21" s="64" t="s">
        <v>581</v>
      </c>
      <c r="F21" s="197">
        <v>200</v>
      </c>
      <c r="G21" s="256">
        <v>44377</v>
      </c>
      <c r="H21" s="64" t="s">
        <v>1514</v>
      </c>
      <c r="I21" s="64" t="s">
        <v>1703</v>
      </c>
      <c r="J21" s="64" t="s">
        <v>633</v>
      </c>
      <c r="K21" s="64" t="s">
        <v>1711</v>
      </c>
      <c r="L21" s="64">
        <v>2016</v>
      </c>
      <c r="N21" s="64" t="s">
        <v>1706</v>
      </c>
      <c r="O21" s="243" t="s">
        <v>402</v>
      </c>
      <c r="P21" s="243">
        <v>75</v>
      </c>
      <c r="Q21" s="243" t="s">
        <v>1708</v>
      </c>
      <c r="R21" s="243" t="s">
        <v>559</v>
      </c>
      <c r="S21" s="243">
        <v>30</v>
      </c>
      <c r="T21" s="243" t="s">
        <v>1710</v>
      </c>
      <c r="U21" s="243" t="s">
        <v>499</v>
      </c>
      <c r="V21" s="243" t="s">
        <v>499</v>
      </c>
      <c r="W21" s="243" t="s">
        <v>499</v>
      </c>
      <c r="X21" s="243" t="s">
        <v>499</v>
      </c>
      <c r="Y21" s="243" t="s">
        <v>499</v>
      </c>
      <c r="Z21" s="243" t="s">
        <v>499</v>
      </c>
      <c r="AA21" s="64" t="s">
        <v>858</v>
      </c>
    </row>
    <row r="22" spans="1:27">
      <c r="A22" s="178">
        <f>A20+1</f>
        <v>15</v>
      </c>
      <c r="B22" s="178" t="s">
        <v>420</v>
      </c>
      <c r="C22" s="181" t="s">
        <v>256</v>
      </c>
      <c r="D22" s="251">
        <v>1500</v>
      </c>
      <c r="E22" s="230" t="s">
        <v>559</v>
      </c>
      <c r="F22" s="251">
        <v>125</v>
      </c>
      <c r="G22" s="236">
        <v>44852</v>
      </c>
      <c r="H22" s="230" t="s">
        <v>845</v>
      </c>
      <c r="I22" s="230" t="s">
        <v>839</v>
      </c>
      <c r="J22" s="206" t="s">
        <v>632</v>
      </c>
      <c r="K22" s="206" t="s">
        <v>639</v>
      </c>
      <c r="L22" s="178">
        <v>2021</v>
      </c>
      <c r="M22" s="230" t="s">
        <v>885</v>
      </c>
      <c r="N22" s="178" t="s">
        <v>840</v>
      </c>
      <c r="O22" s="241" t="s">
        <v>564</v>
      </c>
      <c r="P22" s="239">
        <v>6</v>
      </c>
      <c r="Q22" s="239" t="s">
        <v>842</v>
      </c>
      <c r="R22" s="241" t="s">
        <v>689</v>
      </c>
      <c r="S22" s="239">
        <v>1</v>
      </c>
      <c r="T22" s="239" t="s">
        <v>841</v>
      </c>
      <c r="U22" s="241" t="s">
        <v>499</v>
      </c>
      <c r="V22" s="241" t="s">
        <v>499</v>
      </c>
      <c r="W22" s="241" t="s">
        <v>499</v>
      </c>
      <c r="X22" s="241" t="s">
        <v>499</v>
      </c>
      <c r="Y22" s="241" t="s">
        <v>499</v>
      </c>
      <c r="Z22" s="241" t="s">
        <v>499</v>
      </c>
      <c r="AA22" s="230" t="s">
        <v>843</v>
      </c>
    </row>
    <row r="23" spans="1:27">
      <c r="A23" s="178">
        <f t="shared" ref="A23:A27" si="0">A22+1</f>
        <v>16</v>
      </c>
      <c r="B23" s="178" t="s">
        <v>432</v>
      </c>
      <c r="C23" s="203" t="s">
        <v>256</v>
      </c>
      <c r="D23" s="251">
        <v>1200</v>
      </c>
      <c r="E23" s="206" t="s">
        <v>559</v>
      </c>
      <c r="F23" s="251">
        <v>225</v>
      </c>
      <c r="G23" s="236">
        <v>44694</v>
      </c>
      <c r="H23" s="202" t="s">
        <v>576</v>
      </c>
      <c r="I23" s="230" t="s">
        <v>869</v>
      </c>
      <c r="J23" s="206" t="s">
        <v>632</v>
      </c>
      <c r="K23" s="202" t="s">
        <v>577</v>
      </c>
      <c r="L23" s="178">
        <v>2022</v>
      </c>
      <c r="M23" s="230" t="s">
        <v>871</v>
      </c>
      <c r="N23" s="230" t="s">
        <v>870</v>
      </c>
      <c r="O23" s="241" t="s">
        <v>499</v>
      </c>
      <c r="P23" s="241" t="s">
        <v>499</v>
      </c>
      <c r="Q23" s="241" t="s">
        <v>499</v>
      </c>
      <c r="R23" s="241" t="s">
        <v>499</v>
      </c>
      <c r="S23" s="241" t="s">
        <v>499</v>
      </c>
      <c r="T23" s="241" t="s">
        <v>499</v>
      </c>
      <c r="U23" s="241" t="s">
        <v>499</v>
      </c>
      <c r="V23" s="241" t="s">
        <v>499</v>
      </c>
      <c r="W23" s="241" t="s">
        <v>499</v>
      </c>
      <c r="X23" s="241" t="s">
        <v>499</v>
      </c>
      <c r="Y23" s="241" t="s">
        <v>499</v>
      </c>
      <c r="Z23" s="241" t="s">
        <v>499</v>
      </c>
      <c r="AA23" s="230" t="s">
        <v>868</v>
      </c>
    </row>
    <row r="24" spans="1:27">
      <c r="A24" s="178">
        <f t="shared" si="0"/>
        <v>17</v>
      </c>
      <c r="B24" s="178" t="s">
        <v>422</v>
      </c>
      <c r="C24" s="181" t="s">
        <v>256</v>
      </c>
      <c r="D24" s="251">
        <v>1000</v>
      </c>
      <c r="E24" s="230" t="s">
        <v>581</v>
      </c>
      <c r="F24" s="251">
        <v>135</v>
      </c>
      <c r="G24" s="236">
        <v>44482</v>
      </c>
      <c r="H24" s="230" t="s">
        <v>872</v>
      </c>
      <c r="I24" s="230" t="s">
        <v>883</v>
      </c>
      <c r="J24" s="206" t="s">
        <v>634</v>
      </c>
      <c r="K24" s="206" t="s">
        <v>656</v>
      </c>
      <c r="L24" s="178">
        <v>2017</v>
      </c>
      <c r="M24" s="230" t="s">
        <v>884</v>
      </c>
      <c r="N24" s="178" t="s">
        <v>873</v>
      </c>
      <c r="O24" s="241" t="s">
        <v>402</v>
      </c>
      <c r="P24" s="239">
        <v>45</v>
      </c>
      <c r="Q24" s="241" t="s">
        <v>877</v>
      </c>
      <c r="R24" s="241" t="s">
        <v>559</v>
      </c>
      <c r="S24" s="241">
        <v>5</v>
      </c>
      <c r="T24" s="241" t="s">
        <v>880</v>
      </c>
      <c r="U24" s="241" t="s">
        <v>499</v>
      </c>
      <c r="V24" s="241" t="s">
        <v>499</v>
      </c>
      <c r="W24" s="241" t="s">
        <v>499</v>
      </c>
      <c r="X24" s="241" t="s">
        <v>499</v>
      </c>
      <c r="Y24" s="241" t="s">
        <v>499</v>
      </c>
      <c r="Z24" s="241" t="s">
        <v>499</v>
      </c>
      <c r="AA24" s="230" t="s">
        <v>858</v>
      </c>
    </row>
    <row r="25" spans="1:27">
      <c r="A25" s="64">
        <f t="shared" si="0"/>
        <v>18</v>
      </c>
      <c r="B25" s="64" t="s">
        <v>418</v>
      </c>
      <c r="C25" s="200" t="s">
        <v>256</v>
      </c>
      <c r="D25" s="197">
        <v>1000</v>
      </c>
      <c r="E25" s="64" t="s">
        <v>559</v>
      </c>
      <c r="F25" s="197">
        <v>150</v>
      </c>
      <c r="G25" s="234">
        <v>45008</v>
      </c>
      <c r="H25" s="64" t="s">
        <v>618</v>
      </c>
      <c r="I25" s="64" t="s">
        <v>451</v>
      </c>
      <c r="J25" s="64" t="s">
        <v>632</v>
      </c>
      <c r="K25" s="64" t="s">
        <v>577</v>
      </c>
      <c r="L25" s="64">
        <v>2021</v>
      </c>
      <c r="M25" s="230" t="s">
        <v>891</v>
      </c>
      <c r="N25" s="178" t="s">
        <v>890</v>
      </c>
      <c r="O25" s="241" t="s">
        <v>564</v>
      </c>
      <c r="P25" s="241" t="s">
        <v>499</v>
      </c>
      <c r="Q25" s="241" t="s">
        <v>895</v>
      </c>
      <c r="R25" s="241" t="s">
        <v>499</v>
      </c>
      <c r="S25" s="241" t="s">
        <v>499</v>
      </c>
      <c r="T25" s="241" t="s">
        <v>499</v>
      </c>
      <c r="U25" s="241" t="s">
        <v>499</v>
      </c>
      <c r="V25" s="241" t="s">
        <v>499</v>
      </c>
      <c r="W25" s="241" t="s">
        <v>499</v>
      </c>
      <c r="X25" s="241" t="s">
        <v>499</v>
      </c>
      <c r="Y25" s="241" t="s">
        <v>499</v>
      </c>
      <c r="Z25" s="241" t="s">
        <v>499</v>
      </c>
      <c r="AA25" s="230" t="s">
        <v>863</v>
      </c>
    </row>
    <row r="26" spans="1:27">
      <c r="A26" s="178">
        <f t="shared" si="0"/>
        <v>19</v>
      </c>
      <c r="B26" s="178" t="s">
        <v>431</v>
      </c>
      <c r="C26" s="181" t="s">
        <v>256</v>
      </c>
      <c r="D26" s="251">
        <v>1000</v>
      </c>
      <c r="E26" s="206" t="s">
        <v>402</v>
      </c>
      <c r="F26" s="251">
        <v>350</v>
      </c>
      <c r="G26" s="236">
        <v>44999</v>
      </c>
      <c r="H26" s="206" t="s">
        <v>499</v>
      </c>
      <c r="I26" s="230" t="s">
        <v>896</v>
      </c>
      <c r="J26" s="214" t="s">
        <v>633</v>
      </c>
      <c r="K26" s="214" t="s">
        <v>575</v>
      </c>
      <c r="L26" s="178">
        <v>2022</v>
      </c>
      <c r="M26" s="230" t="s">
        <v>897</v>
      </c>
      <c r="N26" s="230" t="s">
        <v>899</v>
      </c>
      <c r="O26" s="241" t="s">
        <v>559</v>
      </c>
      <c r="P26" s="239">
        <v>65</v>
      </c>
      <c r="Q26" s="241" t="s">
        <v>898</v>
      </c>
      <c r="R26" s="241" t="s">
        <v>499</v>
      </c>
      <c r="S26" s="241" t="s">
        <v>499</v>
      </c>
      <c r="T26" s="241" t="s">
        <v>499</v>
      </c>
      <c r="U26" s="241" t="s">
        <v>499</v>
      </c>
      <c r="V26" s="241" t="s">
        <v>499</v>
      </c>
      <c r="W26" s="241" t="s">
        <v>499</v>
      </c>
      <c r="X26" s="241" t="s">
        <v>499</v>
      </c>
      <c r="Y26" s="241" t="s">
        <v>499</v>
      </c>
      <c r="Z26" s="241" t="s">
        <v>499</v>
      </c>
      <c r="AA26" s="230" t="s">
        <v>858</v>
      </c>
    </row>
    <row r="27" spans="1:27">
      <c r="A27" s="178">
        <f t="shared" si="0"/>
        <v>20</v>
      </c>
      <c r="B27" s="178" t="s">
        <v>498</v>
      </c>
      <c r="C27" s="181" t="s">
        <v>256</v>
      </c>
      <c r="D27" s="251">
        <v>1000</v>
      </c>
      <c r="E27" s="178" t="s">
        <v>505</v>
      </c>
      <c r="F27" s="251">
        <v>0</v>
      </c>
      <c r="G27" s="232" t="s">
        <v>499</v>
      </c>
      <c r="H27" s="230" t="s">
        <v>903</v>
      </c>
      <c r="I27" s="230" t="s">
        <v>904</v>
      </c>
      <c r="J27" s="206" t="s">
        <v>632</v>
      </c>
      <c r="K27" s="206" t="s">
        <v>639</v>
      </c>
      <c r="L27" s="231">
        <v>44754</v>
      </c>
      <c r="M27" s="230" t="s">
        <v>905</v>
      </c>
      <c r="N27" s="230" t="s">
        <v>499</v>
      </c>
      <c r="O27" s="241" t="s">
        <v>499</v>
      </c>
      <c r="P27" s="241" t="s">
        <v>499</v>
      </c>
      <c r="Q27" s="241" t="s">
        <v>499</v>
      </c>
      <c r="R27" s="241" t="s">
        <v>499</v>
      </c>
      <c r="S27" s="241" t="s">
        <v>499</v>
      </c>
      <c r="T27" s="241" t="s">
        <v>499</v>
      </c>
      <c r="U27" s="241" t="s">
        <v>499</v>
      </c>
      <c r="V27" s="241" t="s">
        <v>499</v>
      </c>
      <c r="W27" s="241" t="s">
        <v>499</v>
      </c>
      <c r="X27" s="241" t="s">
        <v>499</v>
      </c>
      <c r="Y27" s="241" t="s">
        <v>499</v>
      </c>
      <c r="Z27" s="241" t="s">
        <v>499</v>
      </c>
      <c r="AA27" s="230" t="s">
        <v>906</v>
      </c>
    </row>
    <row r="28" spans="1:27">
      <c r="A28" s="178">
        <v>20</v>
      </c>
      <c r="B28" s="230" t="s">
        <v>888</v>
      </c>
      <c r="C28" s="238" t="s">
        <v>256</v>
      </c>
      <c r="D28" s="251">
        <v>1400</v>
      </c>
      <c r="E28" s="230" t="s">
        <v>778</v>
      </c>
      <c r="F28" s="251">
        <v>100</v>
      </c>
      <c r="G28" s="236">
        <v>45051</v>
      </c>
      <c r="H28" s="230" t="s">
        <v>889</v>
      </c>
      <c r="I28" s="230" t="s">
        <v>923</v>
      </c>
      <c r="J28" s="230" t="s">
        <v>632</v>
      </c>
      <c r="K28" s="230" t="s">
        <v>659</v>
      </c>
      <c r="L28" s="231">
        <v>43101</v>
      </c>
      <c r="M28" s="230" t="s">
        <v>924</v>
      </c>
      <c r="N28" s="230" t="s">
        <v>914</v>
      </c>
      <c r="O28" s="241" t="s">
        <v>581</v>
      </c>
      <c r="P28" s="239">
        <v>50</v>
      </c>
      <c r="Q28" s="241" t="s">
        <v>919</v>
      </c>
      <c r="R28" s="241" t="s">
        <v>402</v>
      </c>
      <c r="S28" s="241">
        <v>35</v>
      </c>
      <c r="T28" s="241" t="s">
        <v>920</v>
      </c>
      <c r="U28" s="241" t="s">
        <v>559</v>
      </c>
      <c r="V28" s="239">
        <v>8.5</v>
      </c>
      <c r="W28" s="241" t="s">
        <v>922</v>
      </c>
      <c r="X28" s="241" t="s">
        <v>564</v>
      </c>
      <c r="Y28" s="239">
        <v>2</v>
      </c>
      <c r="Z28" s="241" t="s">
        <v>921</v>
      </c>
      <c r="AA28" s="230" t="s">
        <v>1137</v>
      </c>
    </row>
    <row r="29" spans="1:27">
      <c r="B29" s="206" t="s">
        <v>622</v>
      </c>
      <c r="C29" s="207" t="s">
        <v>256</v>
      </c>
      <c r="D29" s="251">
        <v>1000</v>
      </c>
      <c r="E29" s="206" t="s">
        <v>402</v>
      </c>
      <c r="F29" s="251">
        <v>300</v>
      </c>
      <c r="G29" s="236">
        <v>44453</v>
      </c>
      <c r="H29" s="206" t="s">
        <v>623</v>
      </c>
      <c r="I29" s="230" t="s">
        <v>927</v>
      </c>
      <c r="J29" s="206" t="s">
        <v>632</v>
      </c>
      <c r="K29" s="206" t="s">
        <v>624</v>
      </c>
      <c r="L29" s="231">
        <v>43817</v>
      </c>
      <c r="M29" s="230" t="s">
        <v>624</v>
      </c>
      <c r="N29" s="230" t="s">
        <v>925</v>
      </c>
      <c r="O29" s="241" t="s">
        <v>499</v>
      </c>
      <c r="P29" s="241" t="s">
        <v>499</v>
      </c>
      <c r="Q29" s="241" t="s">
        <v>499</v>
      </c>
      <c r="R29" s="241" t="s">
        <v>499</v>
      </c>
      <c r="S29" s="241" t="s">
        <v>499</v>
      </c>
      <c r="T29" s="241" t="s">
        <v>499</v>
      </c>
      <c r="U29" s="241" t="s">
        <v>499</v>
      </c>
      <c r="V29" s="241" t="s">
        <v>499</v>
      </c>
      <c r="W29" s="241" t="s">
        <v>499</v>
      </c>
      <c r="X29" s="241" t="s">
        <v>499</v>
      </c>
      <c r="Y29" s="241" t="s">
        <v>499</v>
      </c>
      <c r="Z29" s="241" t="s">
        <v>499</v>
      </c>
      <c r="AA29" s="230" t="s">
        <v>926</v>
      </c>
    </row>
    <row r="30" spans="1:27">
      <c r="A30" s="178">
        <f>A27+1</f>
        <v>21</v>
      </c>
      <c r="B30" s="178" t="s">
        <v>409</v>
      </c>
      <c r="C30" s="181" t="s">
        <v>256</v>
      </c>
      <c r="D30" s="251">
        <v>750</v>
      </c>
      <c r="E30" s="206" t="s">
        <v>402</v>
      </c>
      <c r="F30" s="251">
        <v>100</v>
      </c>
      <c r="G30" s="236">
        <v>45042</v>
      </c>
      <c r="H30" s="230" t="s">
        <v>930</v>
      </c>
      <c r="I30" s="230" t="s">
        <v>931</v>
      </c>
      <c r="J30" s="206" t="s">
        <v>634</v>
      </c>
      <c r="K30" s="202" t="s">
        <v>574</v>
      </c>
      <c r="L30" s="178">
        <v>2019</v>
      </c>
      <c r="M30" s="230" t="s">
        <v>932</v>
      </c>
      <c r="N30" s="230" t="s">
        <v>933</v>
      </c>
      <c r="O30" s="241" t="s">
        <v>559</v>
      </c>
      <c r="P30" s="239">
        <v>28</v>
      </c>
      <c r="Q30" s="241" t="s">
        <v>935</v>
      </c>
      <c r="R30" s="241" t="s">
        <v>564</v>
      </c>
      <c r="S30" s="241">
        <v>10</v>
      </c>
      <c r="T30" s="241" t="s">
        <v>936</v>
      </c>
      <c r="U30" s="241" t="s">
        <v>499</v>
      </c>
      <c r="V30" s="241" t="s">
        <v>499</v>
      </c>
      <c r="W30" s="241" t="s">
        <v>499</v>
      </c>
      <c r="X30" s="241" t="s">
        <v>499</v>
      </c>
      <c r="Y30" s="241" t="s">
        <v>499</v>
      </c>
      <c r="Z30" s="241" t="s">
        <v>499</v>
      </c>
      <c r="AA30" s="230" t="s">
        <v>1137</v>
      </c>
    </row>
    <row r="31" spans="1:27">
      <c r="A31" s="178">
        <v>22</v>
      </c>
      <c r="B31" s="206" t="s">
        <v>636</v>
      </c>
      <c r="C31" s="207" t="s">
        <v>256</v>
      </c>
      <c r="D31" s="251">
        <v>750</v>
      </c>
      <c r="E31" s="206" t="s">
        <v>581</v>
      </c>
      <c r="F31" s="251">
        <v>85</v>
      </c>
      <c r="G31" s="236">
        <v>44501</v>
      </c>
      <c r="H31" s="230" t="s">
        <v>940</v>
      </c>
      <c r="I31" s="230" t="s">
        <v>938</v>
      </c>
      <c r="J31" s="206" t="s">
        <v>634</v>
      </c>
      <c r="K31" s="206" t="s">
        <v>656</v>
      </c>
      <c r="L31" s="231">
        <v>43670</v>
      </c>
      <c r="M31" s="230" t="s">
        <v>939</v>
      </c>
      <c r="N31" s="230" t="s">
        <v>937</v>
      </c>
      <c r="O31" s="241" t="s">
        <v>402</v>
      </c>
      <c r="P31" s="239">
        <v>28</v>
      </c>
      <c r="Q31" s="241" t="s">
        <v>941</v>
      </c>
      <c r="R31" s="241" t="s">
        <v>559</v>
      </c>
      <c r="S31" s="239">
        <v>15</v>
      </c>
      <c r="T31" s="241" t="s">
        <v>942</v>
      </c>
      <c r="U31" s="241" t="s">
        <v>564</v>
      </c>
      <c r="V31" s="239">
        <v>3.9</v>
      </c>
      <c r="W31" s="241" t="s">
        <v>943</v>
      </c>
      <c r="X31" s="241" t="s">
        <v>499</v>
      </c>
      <c r="Y31" s="241" t="s">
        <v>499</v>
      </c>
      <c r="Z31" s="241" t="s">
        <v>499</v>
      </c>
      <c r="AA31" s="230" t="s">
        <v>865</v>
      </c>
    </row>
    <row r="32" spans="1:27">
      <c r="A32" s="178">
        <v>23</v>
      </c>
      <c r="B32" s="206" t="s">
        <v>637</v>
      </c>
      <c r="C32" s="207" t="s">
        <v>256</v>
      </c>
      <c r="D32" s="251">
        <v>1000</v>
      </c>
      <c r="E32" s="206" t="s">
        <v>581</v>
      </c>
      <c r="F32" s="251">
        <v>85</v>
      </c>
      <c r="G32" s="236">
        <v>44417</v>
      </c>
      <c r="H32" s="230" t="s">
        <v>947</v>
      </c>
      <c r="I32" s="230" t="s">
        <v>945</v>
      </c>
      <c r="J32" s="206" t="s">
        <v>633</v>
      </c>
      <c r="K32" s="213" t="s">
        <v>656</v>
      </c>
      <c r="L32" s="178">
        <v>2019</v>
      </c>
      <c r="M32" s="230" t="s">
        <v>946</v>
      </c>
      <c r="N32" s="230" t="s">
        <v>944</v>
      </c>
      <c r="O32" s="241" t="s">
        <v>402</v>
      </c>
      <c r="P32" s="239">
        <v>35</v>
      </c>
      <c r="Q32" s="241" t="s">
        <v>952</v>
      </c>
      <c r="R32" s="241" t="s">
        <v>559</v>
      </c>
      <c r="S32" s="239">
        <v>12</v>
      </c>
      <c r="T32" s="241" t="s">
        <v>955</v>
      </c>
      <c r="U32" s="241" t="s">
        <v>564</v>
      </c>
      <c r="V32" s="239">
        <v>3.3</v>
      </c>
      <c r="W32" s="241" t="s">
        <v>956</v>
      </c>
      <c r="X32" s="241" t="s">
        <v>499</v>
      </c>
      <c r="Y32" s="241" t="s">
        <v>499</v>
      </c>
      <c r="Z32" s="241" t="s">
        <v>499</v>
      </c>
      <c r="AA32" s="230" t="s">
        <v>862</v>
      </c>
    </row>
    <row r="33" spans="1:27">
      <c r="A33" s="178">
        <v>24</v>
      </c>
      <c r="B33" s="178" t="s">
        <v>405</v>
      </c>
      <c r="C33" s="181" t="s">
        <v>256</v>
      </c>
      <c r="D33" s="251">
        <v>600</v>
      </c>
      <c r="E33" s="230" t="s">
        <v>402</v>
      </c>
      <c r="F33" s="251">
        <v>64</v>
      </c>
      <c r="G33" s="236">
        <v>44754</v>
      </c>
      <c r="H33" s="178" t="s">
        <v>515</v>
      </c>
      <c r="I33" s="230" t="s">
        <v>958</v>
      </c>
      <c r="J33" s="206" t="s">
        <v>634</v>
      </c>
      <c r="K33" s="213" t="s">
        <v>662</v>
      </c>
      <c r="L33" s="178">
        <v>2017</v>
      </c>
      <c r="M33" s="5" t="s">
        <v>347</v>
      </c>
      <c r="N33" s="214" t="s">
        <v>959</v>
      </c>
      <c r="O33" s="241" t="s">
        <v>402</v>
      </c>
      <c r="P33" s="239">
        <v>20</v>
      </c>
      <c r="Q33" s="241" t="s">
        <v>960</v>
      </c>
      <c r="R33" s="241" t="s">
        <v>559</v>
      </c>
      <c r="S33" s="239">
        <v>34.5</v>
      </c>
      <c r="T33" s="241" t="s">
        <v>961</v>
      </c>
      <c r="U33" s="241" t="s">
        <v>564</v>
      </c>
      <c r="V33" s="241" t="s">
        <v>499</v>
      </c>
      <c r="W33" s="241" t="s">
        <v>961</v>
      </c>
      <c r="X33" s="241" t="s">
        <v>499</v>
      </c>
      <c r="Y33" s="241" t="s">
        <v>499</v>
      </c>
      <c r="Z33" s="241" t="s">
        <v>499</v>
      </c>
      <c r="AA33" s="230" t="s">
        <v>957</v>
      </c>
    </row>
    <row r="34" spans="1:27">
      <c r="B34" s="202" t="s">
        <v>560</v>
      </c>
      <c r="C34" s="203" t="s">
        <v>256</v>
      </c>
      <c r="D34" s="251">
        <v>550</v>
      </c>
      <c r="E34" s="202" t="s">
        <v>581</v>
      </c>
      <c r="F34" s="251">
        <v>50</v>
      </c>
      <c r="G34" s="236">
        <v>44861</v>
      </c>
      <c r="H34" s="230" t="s">
        <v>975</v>
      </c>
      <c r="I34" s="202" t="s">
        <v>582</v>
      </c>
      <c r="J34" s="206" t="s">
        <v>632</v>
      </c>
      <c r="K34" s="230" t="s">
        <v>659</v>
      </c>
      <c r="L34" s="178">
        <v>2017</v>
      </c>
      <c r="M34" s="230" t="s">
        <v>990</v>
      </c>
      <c r="N34" s="230" t="s">
        <v>976</v>
      </c>
      <c r="O34" s="241" t="s">
        <v>402</v>
      </c>
      <c r="P34" s="239">
        <v>30</v>
      </c>
      <c r="Q34" s="241" t="s">
        <v>977</v>
      </c>
      <c r="R34" s="241" t="s">
        <v>559</v>
      </c>
      <c r="S34" s="239">
        <v>15</v>
      </c>
      <c r="T34" s="241" t="s">
        <v>978</v>
      </c>
      <c r="U34" s="241" t="s">
        <v>564</v>
      </c>
      <c r="V34" s="239">
        <v>5</v>
      </c>
      <c r="W34" s="241" t="s">
        <v>892</v>
      </c>
      <c r="X34" s="241" t="s">
        <v>499</v>
      </c>
      <c r="Y34" s="241" t="s">
        <v>499</v>
      </c>
      <c r="Z34" s="241" t="s">
        <v>499</v>
      </c>
      <c r="AA34" s="230" t="s">
        <v>858</v>
      </c>
    </row>
    <row r="35" spans="1:27">
      <c r="A35" s="178">
        <v>25</v>
      </c>
      <c r="B35" s="206" t="s">
        <v>628</v>
      </c>
      <c r="C35" s="203" t="s">
        <v>256</v>
      </c>
      <c r="D35" s="251">
        <v>500</v>
      </c>
      <c r="E35" s="206" t="s">
        <v>402</v>
      </c>
      <c r="F35" s="251">
        <v>140</v>
      </c>
      <c r="G35" s="245">
        <v>44393</v>
      </c>
      <c r="H35" s="230" t="s">
        <v>979</v>
      </c>
      <c r="I35" s="230" t="s">
        <v>980</v>
      </c>
      <c r="J35" s="206" t="s">
        <v>633</v>
      </c>
      <c r="K35" s="206" t="s">
        <v>656</v>
      </c>
      <c r="L35" s="178">
        <v>2019</v>
      </c>
      <c r="M35" s="230" t="s">
        <v>982</v>
      </c>
      <c r="N35" s="230" t="s">
        <v>981</v>
      </c>
      <c r="O35" s="241" t="s">
        <v>564</v>
      </c>
      <c r="P35" s="239">
        <v>50</v>
      </c>
      <c r="Q35" s="241" t="s">
        <v>499</v>
      </c>
      <c r="R35" s="241" t="s">
        <v>499</v>
      </c>
      <c r="S35" s="241" t="s">
        <v>499</v>
      </c>
      <c r="T35" s="241" t="s">
        <v>499</v>
      </c>
      <c r="U35" s="241" t="s">
        <v>499</v>
      </c>
      <c r="V35" s="241" t="s">
        <v>499</v>
      </c>
      <c r="W35" s="241" t="s">
        <v>499</v>
      </c>
      <c r="X35" s="241" t="s">
        <v>499</v>
      </c>
      <c r="Y35" s="241" t="s">
        <v>499</v>
      </c>
      <c r="Z35" s="241" t="s">
        <v>499</v>
      </c>
      <c r="AA35" s="230" t="s">
        <v>868</v>
      </c>
    </row>
    <row r="36" spans="1:27">
      <c r="A36" s="178">
        <f>A35+1</f>
        <v>26</v>
      </c>
      <c r="B36" s="178" t="s">
        <v>423</v>
      </c>
      <c r="C36" s="203" t="s">
        <v>256</v>
      </c>
      <c r="D36" s="251">
        <v>1000</v>
      </c>
      <c r="E36" s="206" t="s">
        <v>581</v>
      </c>
      <c r="F36" s="251">
        <v>100</v>
      </c>
      <c r="G36" s="236">
        <v>44699</v>
      </c>
      <c r="H36" s="230" t="s">
        <v>983</v>
      </c>
      <c r="I36" s="230" t="s">
        <v>985</v>
      </c>
      <c r="J36" s="206" t="s">
        <v>633</v>
      </c>
      <c r="K36" s="206" t="s">
        <v>660</v>
      </c>
      <c r="L36" s="178">
        <v>2019</v>
      </c>
      <c r="M36" s="230" t="s">
        <v>991</v>
      </c>
      <c r="N36" s="230" t="s">
        <v>984</v>
      </c>
      <c r="O36" s="241" t="s">
        <v>402</v>
      </c>
      <c r="P36" s="239">
        <v>40</v>
      </c>
      <c r="Q36" s="241" t="s">
        <v>988</v>
      </c>
      <c r="R36" s="241" t="s">
        <v>559</v>
      </c>
      <c r="S36" s="239">
        <v>15</v>
      </c>
      <c r="T36" s="241" t="s">
        <v>989</v>
      </c>
      <c r="U36" s="241" t="s">
        <v>499</v>
      </c>
      <c r="V36" s="241" t="s">
        <v>499</v>
      </c>
      <c r="W36" s="241" t="s">
        <v>499</v>
      </c>
      <c r="X36" s="241" t="s">
        <v>499</v>
      </c>
      <c r="Y36" s="241" t="s">
        <v>499</v>
      </c>
      <c r="Z36" s="241" t="s">
        <v>499</v>
      </c>
      <c r="AA36" s="230" t="s">
        <v>868</v>
      </c>
    </row>
    <row r="37" spans="1:27">
      <c r="A37" s="178">
        <f t="shared" ref="A37:A45" si="1">A36+1</f>
        <v>27</v>
      </c>
      <c r="B37" s="206" t="s">
        <v>629</v>
      </c>
      <c r="C37" s="207" t="s">
        <v>256</v>
      </c>
      <c r="D37" s="251">
        <v>1000</v>
      </c>
      <c r="E37" s="206" t="s">
        <v>581</v>
      </c>
      <c r="F37" s="251">
        <v>100</v>
      </c>
      <c r="G37" s="236">
        <v>44754</v>
      </c>
      <c r="H37" s="230" t="s">
        <v>992</v>
      </c>
      <c r="I37" s="230" t="s">
        <v>1003</v>
      </c>
      <c r="J37" s="206" t="s">
        <v>634</v>
      </c>
      <c r="K37" s="206" t="s">
        <v>656</v>
      </c>
      <c r="L37" s="178">
        <v>2019</v>
      </c>
      <c r="M37" s="230" t="s">
        <v>994</v>
      </c>
      <c r="N37" s="230" t="s">
        <v>993</v>
      </c>
      <c r="O37" s="241" t="s">
        <v>402</v>
      </c>
      <c r="P37" s="239">
        <v>35</v>
      </c>
      <c r="Q37" s="241" t="s">
        <v>996</v>
      </c>
      <c r="R37" s="241" t="s">
        <v>559</v>
      </c>
      <c r="S37" s="239">
        <v>20</v>
      </c>
      <c r="T37" s="241" t="s">
        <v>997</v>
      </c>
      <c r="U37" s="241" t="s">
        <v>564</v>
      </c>
      <c r="V37" s="239">
        <v>5</v>
      </c>
      <c r="W37" s="241" t="s">
        <v>998</v>
      </c>
      <c r="X37" s="241" t="s">
        <v>499</v>
      </c>
      <c r="Y37" s="241" t="s">
        <v>499</v>
      </c>
      <c r="Z37" s="241" t="s">
        <v>499</v>
      </c>
      <c r="AA37" s="230" t="s">
        <v>858</v>
      </c>
    </row>
    <row r="38" spans="1:27">
      <c r="A38" s="64">
        <f t="shared" si="1"/>
        <v>28</v>
      </c>
      <c r="B38" s="64" t="s">
        <v>447</v>
      </c>
      <c r="C38" s="200" t="s">
        <v>256</v>
      </c>
      <c r="D38" s="197">
        <v>1000</v>
      </c>
      <c r="E38" s="64" t="s">
        <v>402</v>
      </c>
      <c r="F38" s="197">
        <v>100</v>
      </c>
      <c r="G38" s="234">
        <v>44565</v>
      </c>
      <c r="H38" s="64" t="s">
        <v>1001</v>
      </c>
      <c r="I38" s="64" t="s">
        <v>1002</v>
      </c>
      <c r="J38" s="64" t="s">
        <v>632</v>
      </c>
      <c r="K38" s="64" t="s">
        <v>449</v>
      </c>
      <c r="L38" s="231">
        <v>43466</v>
      </c>
      <c r="M38" s="213" t="s">
        <v>624</v>
      </c>
      <c r="N38" s="214" t="s">
        <v>999</v>
      </c>
      <c r="O38" s="241" t="s">
        <v>559</v>
      </c>
      <c r="P38" s="239">
        <v>30</v>
      </c>
      <c r="Q38" s="241" t="s">
        <v>1000</v>
      </c>
      <c r="R38" s="241" t="s">
        <v>499</v>
      </c>
      <c r="S38" s="241" t="s">
        <v>499</v>
      </c>
      <c r="T38" s="241" t="s">
        <v>499</v>
      </c>
      <c r="U38" s="241" t="s">
        <v>499</v>
      </c>
      <c r="V38" s="241" t="s">
        <v>499</v>
      </c>
      <c r="W38" s="241" t="s">
        <v>499</v>
      </c>
      <c r="X38" s="241" t="s">
        <v>499</v>
      </c>
      <c r="Y38" s="241" t="s">
        <v>499</v>
      </c>
      <c r="Z38" s="241" t="s">
        <v>499</v>
      </c>
      <c r="AA38" s="230" t="s">
        <v>926</v>
      </c>
    </row>
    <row r="39" spans="1:27">
      <c r="A39" s="178">
        <f t="shared" si="1"/>
        <v>29</v>
      </c>
      <c r="B39" s="206" t="s">
        <v>635</v>
      </c>
      <c r="C39" s="207" t="s">
        <v>256</v>
      </c>
      <c r="D39" s="251">
        <v>1000</v>
      </c>
      <c r="E39" s="206" t="s">
        <v>581</v>
      </c>
      <c r="F39" s="251">
        <v>99</v>
      </c>
      <c r="G39" s="236">
        <v>44796</v>
      </c>
      <c r="H39" s="230" t="s">
        <v>1032</v>
      </c>
      <c r="I39" s="230" t="s">
        <v>1010</v>
      </c>
      <c r="J39" s="206" t="s">
        <v>634</v>
      </c>
      <c r="K39" s="206" t="s">
        <v>656</v>
      </c>
      <c r="L39" s="178">
        <v>2019</v>
      </c>
      <c r="M39" s="230" t="s">
        <v>1009</v>
      </c>
      <c r="N39" s="230" t="s">
        <v>1011</v>
      </c>
      <c r="O39" s="241" t="s">
        <v>1007</v>
      </c>
      <c r="P39" s="239">
        <v>100</v>
      </c>
      <c r="Q39" s="241" t="s">
        <v>1012</v>
      </c>
      <c r="R39" s="241" t="s">
        <v>402</v>
      </c>
      <c r="S39" s="239">
        <v>40</v>
      </c>
      <c r="T39" s="241" t="s">
        <v>1013</v>
      </c>
      <c r="U39" s="241" t="s">
        <v>559</v>
      </c>
      <c r="V39" s="241">
        <v>20</v>
      </c>
      <c r="W39" s="241" t="s">
        <v>1014</v>
      </c>
      <c r="X39" s="241" t="s">
        <v>499</v>
      </c>
      <c r="Y39" s="241" t="s">
        <v>499</v>
      </c>
      <c r="Z39" s="241" t="s">
        <v>499</v>
      </c>
      <c r="AA39" s="230" t="s">
        <v>858</v>
      </c>
    </row>
    <row r="40" spans="1:27">
      <c r="B40" s="206" t="s">
        <v>641</v>
      </c>
      <c r="C40" s="207" t="s">
        <v>256</v>
      </c>
      <c r="D40" s="251">
        <v>500</v>
      </c>
      <c r="E40" s="206" t="s">
        <v>581</v>
      </c>
      <c r="F40" s="251">
        <v>80</v>
      </c>
      <c r="G40" s="236">
        <v>44782</v>
      </c>
      <c r="J40" s="259" t="s">
        <v>633</v>
      </c>
      <c r="K40" s="206" t="s">
        <v>642</v>
      </c>
      <c r="L40" s="180">
        <v>43497</v>
      </c>
      <c r="M40" s="259" t="s">
        <v>624</v>
      </c>
      <c r="N40" s="259" t="s">
        <v>1738</v>
      </c>
      <c r="O40" s="262" t="s">
        <v>564</v>
      </c>
      <c r="P40" s="262">
        <v>14</v>
      </c>
      <c r="Q40" s="262" t="s">
        <v>1739</v>
      </c>
      <c r="R40" s="262" t="s">
        <v>834</v>
      </c>
      <c r="S40" s="239">
        <v>10</v>
      </c>
      <c r="T40" s="262" t="s">
        <v>1740</v>
      </c>
      <c r="U40" s="262" t="s">
        <v>499</v>
      </c>
      <c r="V40" s="262" t="s">
        <v>499</v>
      </c>
      <c r="W40" s="262" t="s">
        <v>499</v>
      </c>
      <c r="X40" s="262" t="s">
        <v>499</v>
      </c>
      <c r="Y40" s="262" t="s">
        <v>499</v>
      </c>
      <c r="Z40" s="262" t="s">
        <v>499</v>
      </c>
      <c r="AA40" s="259" t="s">
        <v>1736</v>
      </c>
    </row>
    <row r="41" spans="1:27">
      <c r="A41" s="178">
        <f>A53+1</f>
        <v>38</v>
      </c>
      <c r="B41" s="206" t="s">
        <v>667</v>
      </c>
      <c r="C41" s="207" t="s">
        <v>256</v>
      </c>
      <c r="D41" s="251">
        <v>257</v>
      </c>
      <c r="E41" s="206" t="s">
        <v>402</v>
      </c>
      <c r="F41" s="251">
        <v>43</v>
      </c>
      <c r="G41" s="236">
        <v>44978</v>
      </c>
      <c r="H41" s="230" t="s">
        <v>1087</v>
      </c>
      <c r="J41" s="206" t="s">
        <v>633</v>
      </c>
      <c r="K41" s="206" t="s">
        <v>639</v>
      </c>
      <c r="L41" s="209" t="s">
        <v>668</v>
      </c>
      <c r="N41" s="230" t="s">
        <v>1082</v>
      </c>
      <c r="O41" s="241" t="s">
        <v>559</v>
      </c>
      <c r="P41" s="239">
        <v>26</v>
      </c>
      <c r="Q41" s="241" t="s">
        <v>1085</v>
      </c>
      <c r="R41" s="241" t="s">
        <v>564</v>
      </c>
      <c r="S41" s="241" t="s">
        <v>499</v>
      </c>
      <c r="T41" s="241" t="s">
        <v>1086</v>
      </c>
      <c r="U41" s="241" t="s">
        <v>499</v>
      </c>
      <c r="V41" s="241" t="s">
        <v>499</v>
      </c>
      <c r="W41" s="241" t="s">
        <v>499</v>
      </c>
      <c r="X41" s="241" t="s">
        <v>499</v>
      </c>
      <c r="Y41" s="241" t="s">
        <v>499</v>
      </c>
      <c r="Z41" s="241" t="s">
        <v>499</v>
      </c>
      <c r="AA41" s="230" t="s">
        <v>858</v>
      </c>
    </row>
    <row r="42" spans="1:27">
      <c r="B42" s="230" t="s">
        <v>1180</v>
      </c>
      <c r="C42" s="238" t="s">
        <v>256</v>
      </c>
      <c r="D42" s="251">
        <v>240</v>
      </c>
      <c r="E42" s="257" t="s">
        <v>564</v>
      </c>
      <c r="F42" s="251">
        <v>120</v>
      </c>
      <c r="G42" s="236">
        <v>45090</v>
      </c>
      <c r="H42" s="259" t="s">
        <v>1611</v>
      </c>
      <c r="I42" s="259" t="s">
        <v>1614</v>
      </c>
      <c r="J42" s="259" t="s">
        <v>634</v>
      </c>
      <c r="K42" s="259" t="s">
        <v>662</v>
      </c>
      <c r="L42" s="258" t="s">
        <v>1610</v>
      </c>
      <c r="M42" s="259" t="s">
        <v>1615</v>
      </c>
      <c r="N42" s="259" t="s">
        <v>1612</v>
      </c>
      <c r="O42" s="241" t="s">
        <v>499</v>
      </c>
      <c r="P42" s="241" t="s">
        <v>499</v>
      </c>
      <c r="Q42" s="241" t="s">
        <v>499</v>
      </c>
      <c r="R42" s="241" t="s">
        <v>499</v>
      </c>
      <c r="S42" s="241" t="s">
        <v>499</v>
      </c>
      <c r="T42" s="241" t="s">
        <v>499</v>
      </c>
      <c r="U42" s="241" t="s">
        <v>499</v>
      </c>
      <c r="V42" s="241" t="s">
        <v>499</v>
      </c>
      <c r="W42" s="241" t="s">
        <v>499</v>
      </c>
      <c r="X42" s="241" t="s">
        <v>499</v>
      </c>
      <c r="Y42" s="241" t="s">
        <v>499</v>
      </c>
      <c r="Z42" s="241" t="s">
        <v>499</v>
      </c>
      <c r="AA42" s="259" t="s">
        <v>1338</v>
      </c>
    </row>
    <row r="43" spans="1:27">
      <c r="A43" s="178">
        <v>30</v>
      </c>
      <c r="B43" s="178" t="s">
        <v>410</v>
      </c>
      <c r="C43" s="181" t="s">
        <v>256</v>
      </c>
      <c r="D43" s="251">
        <v>200</v>
      </c>
      <c r="E43" s="230" t="s">
        <v>564</v>
      </c>
      <c r="F43" s="251">
        <v>10</v>
      </c>
      <c r="G43" s="236">
        <v>45005</v>
      </c>
      <c r="H43" s="230" t="s">
        <v>1031</v>
      </c>
      <c r="I43" s="230" t="s">
        <v>1020</v>
      </c>
      <c r="J43" s="206" t="s">
        <v>634</v>
      </c>
      <c r="K43" s="206" t="s">
        <v>658</v>
      </c>
      <c r="L43" s="231">
        <v>41275</v>
      </c>
      <c r="M43" s="230" t="s">
        <v>1019</v>
      </c>
      <c r="N43" s="230" t="s">
        <v>1018</v>
      </c>
      <c r="O43" s="241" t="s">
        <v>499</v>
      </c>
      <c r="P43" s="241" t="s">
        <v>499</v>
      </c>
      <c r="Q43" s="241" t="s">
        <v>499</v>
      </c>
      <c r="R43" s="241" t="s">
        <v>499</v>
      </c>
      <c r="S43" s="241" t="s">
        <v>499</v>
      </c>
      <c r="T43" s="241" t="s">
        <v>499</v>
      </c>
      <c r="U43" s="241" t="s">
        <v>499</v>
      </c>
      <c r="V43" s="241" t="s">
        <v>499</v>
      </c>
      <c r="W43" s="241" t="s">
        <v>499</v>
      </c>
      <c r="X43" s="241" t="s">
        <v>499</v>
      </c>
      <c r="Y43" s="241" t="s">
        <v>499</v>
      </c>
      <c r="Z43" s="241" t="s">
        <v>499</v>
      </c>
      <c r="AA43" s="230" t="s">
        <v>858</v>
      </c>
    </row>
    <row r="44" spans="1:27">
      <c r="A44" s="178">
        <f t="shared" si="1"/>
        <v>31</v>
      </c>
      <c r="B44" s="213" t="s">
        <v>646</v>
      </c>
      <c r="C44" s="207" t="s">
        <v>256</v>
      </c>
      <c r="D44" s="251">
        <v>250</v>
      </c>
      <c r="E44" s="206" t="s">
        <v>581</v>
      </c>
      <c r="F44" s="251">
        <v>50</v>
      </c>
      <c r="G44" s="245">
        <v>44496</v>
      </c>
      <c r="H44" s="230" t="s">
        <v>1030</v>
      </c>
      <c r="I44" s="230" t="s">
        <v>1021</v>
      </c>
      <c r="J44" s="206" t="s">
        <v>634</v>
      </c>
      <c r="K44" s="206" t="s">
        <v>656</v>
      </c>
      <c r="L44" s="180">
        <v>43556</v>
      </c>
      <c r="N44" s="230" t="s">
        <v>1022</v>
      </c>
      <c r="O44" s="241" t="s">
        <v>402</v>
      </c>
      <c r="P44" s="239">
        <v>22</v>
      </c>
      <c r="Q44" s="241" t="s">
        <v>1024</v>
      </c>
      <c r="R44" s="241" t="s">
        <v>1026</v>
      </c>
      <c r="S44" s="239">
        <v>13</v>
      </c>
      <c r="T44" s="241" t="s">
        <v>1027</v>
      </c>
      <c r="U44" s="241" t="s">
        <v>1028</v>
      </c>
      <c r="V44" s="239">
        <v>5.3</v>
      </c>
      <c r="W44" s="241" t="s">
        <v>1029</v>
      </c>
      <c r="X44" s="241" t="s">
        <v>499</v>
      </c>
      <c r="Y44" s="241" t="s">
        <v>499</v>
      </c>
      <c r="Z44" s="241" t="s">
        <v>499</v>
      </c>
      <c r="AA44" s="230" t="s">
        <v>858</v>
      </c>
    </row>
    <row r="45" spans="1:27">
      <c r="A45" s="178">
        <f t="shared" si="1"/>
        <v>32</v>
      </c>
      <c r="B45" s="213" t="s">
        <v>655</v>
      </c>
      <c r="C45" s="207" t="s">
        <v>256</v>
      </c>
      <c r="D45" s="251">
        <v>250</v>
      </c>
      <c r="E45" s="206" t="s">
        <v>559</v>
      </c>
      <c r="F45" s="251">
        <v>50</v>
      </c>
      <c r="G45" s="236">
        <v>44655</v>
      </c>
      <c r="H45" s="230" t="s">
        <v>1034</v>
      </c>
      <c r="J45" s="214" t="s">
        <v>633</v>
      </c>
      <c r="K45" s="214" t="s">
        <v>657</v>
      </c>
      <c r="L45" s="180">
        <v>44075</v>
      </c>
      <c r="N45" s="230" t="s">
        <v>1036</v>
      </c>
      <c r="O45" s="241" t="s">
        <v>564</v>
      </c>
      <c r="P45" s="239">
        <v>6</v>
      </c>
      <c r="Q45" s="241" t="s">
        <v>1037</v>
      </c>
      <c r="R45" s="241" t="s">
        <v>499</v>
      </c>
      <c r="S45" s="241" t="s">
        <v>499</v>
      </c>
      <c r="T45" s="241" t="s">
        <v>499</v>
      </c>
      <c r="U45" s="241" t="s">
        <v>499</v>
      </c>
      <c r="V45" s="241" t="s">
        <v>499</v>
      </c>
      <c r="W45" s="241" t="s">
        <v>499</v>
      </c>
      <c r="X45" s="241" t="s">
        <v>499</v>
      </c>
      <c r="Y45" s="241" t="s">
        <v>499</v>
      </c>
      <c r="Z45" s="241" t="s">
        <v>499</v>
      </c>
      <c r="AA45" s="230" t="s">
        <v>1035</v>
      </c>
    </row>
    <row r="46" spans="1:27">
      <c r="B46" s="230" t="s">
        <v>1190</v>
      </c>
      <c r="C46" s="207" t="s">
        <v>256</v>
      </c>
      <c r="D46" s="251">
        <v>245</v>
      </c>
      <c r="E46" s="206" t="s">
        <v>402</v>
      </c>
      <c r="F46" s="251">
        <v>30</v>
      </c>
      <c r="G46" s="245">
        <v>44510</v>
      </c>
      <c r="H46" s="230" t="s">
        <v>1191</v>
      </c>
      <c r="J46" s="206" t="s">
        <v>633</v>
      </c>
      <c r="K46" s="215" t="s">
        <v>430</v>
      </c>
      <c r="L46" s="216">
        <v>43497</v>
      </c>
      <c r="M46" s="214" t="s">
        <v>430</v>
      </c>
      <c r="N46" s="230" t="s">
        <v>1192</v>
      </c>
      <c r="O46" s="241" t="s">
        <v>559</v>
      </c>
      <c r="P46" s="239">
        <v>21.4</v>
      </c>
      <c r="Q46" s="241" t="s">
        <v>1194</v>
      </c>
      <c r="R46" s="241" t="s">
        <v>1200</v>
      </c>
      <c r="S46" s="241" t="s">
        <v>499</v>
      </c>
      <c r="T46" s="241" t="s">
        <v>1198</v>
      </c>
      <c r="U46" s="241" t="s">
        <v>499</v>
      </c>
      <c r="V46" s="241" t="s">
        <v>499</v>
      </c>
      <c r="W46" s="241" t="s">
        <v>499</v>
      </c>
      <c r="X46" s="241" t="s">
        <v>499</v>
      </c>
      <c r="Y46" s="241" t="s">
        <v>499</v>
      </c>
      <c r="Z46" s="241" t="s">
        <v>499</v>
      </c>
      <c r="AA46" s="230" t="s">
        <v>858</v>
      </c>
    </row>
    <row r="47" spans="1:27">
      <c r="A47" s="64">
        <f>A45+1</f>
        <v>33</v>
      </c>
      <c r="B47" s="64" t="s">
        <v>417</v>
      </c>
      <c r="C47" s="200" t="s">
        <v>256</v>
      </c>
      <c r="D47" s="197">
        <v>150</v>
      </c>
      <c r="E47" s="64" t="s">
        <v>559</v>
      </c>
      <c r="F47" s="197">
        <v>26</v>
      </c>
      <c r="G47" s="234">
        <v>45013</v>
      </c>
      <c r="H47" s="230" t="s">
        <v>1039</v>
      </c>
      <c r="I47" s="230" t="s">
        <v>1038</v>
      </c>
      <c r="J47" s="214" t="s">
        <v>632</v>
      </c>
      <c r="K47" s="214" t="s">
        <v>462</v>
      </c>
      <c r="L47" s="178">
        <v>2022</v>
      </c>
      <c r="N47" s="230" t="s">
        <v>1040</v>
      </c>
      <c r="O47" s="241" t="s">
        <v>564</v>
      </c>
      <c r="P47" s="239">
        <v>3.1</v>
      </c>
      <c r="Q47" s="241" t="s">
        <v>1042</v>
      </c>
      <c r="R47" s="241" t="s">
        <v>499</v>
      </c>
      <c r="S47" s="241" t="s">
        <v>499</v>
      </c>
      <c r="T47" s="241" t="s">
        <v>499</v>
      </c>
      <c r="U47" s="241" t="s">
        <v>499</v>
      </c>
      <c r="V47" s="241" t="s">
        <v>499</v>
      </c>
      <c r="W47" s="241" t="s">
        <v>499</v>
      </c>
      <c r="X47" s="241" t="s">
        <v>499</v>
      </c>
      <c r="Y47" s="241" t="s">
        <v>499</v>
      </c>
      <c r="Z47" s="241" t="s">
        <v>499</v>
      </c>
      <c r="AA47" s="230" t="s">
        <v>858</v>
      </c>
    </row>
    <row r="48" spans="1:27">
      <c r="A48" s="178">
        <v>36</v>
      </c>
      <c r="B48" s="213" t="s">
        <v>643</v>
      </c>
      <c r="C48" s="207" t="s">
        <v>256</v>
      </c>
      <c r="D48" s="251">
        <v>150</v>
      </c>
      <c r="E48" s="206" t="s">
        <v>402</v>
      </c>
      <c r="F48" s="251">
        <v>60</v>
      </c>
      <c r="G48" s="236">
        <v>45036</v>
      </c>
      <c r="H48" s="230" t="s">
        <v>930</v>
      </c>
      <c r="J48" s="206" t="s">
        <v>634</v>
      </c>
      <c r="K48" s="206" t="s">
        <v>574</v>
      </c>
      <c r="L48" s="209" t="s">
        <v>644</v>
      </c>
      <c r="N48" s="230" t="s">
        <v>1063</v>
      </c>
      <c r="O48" s="241" t="s">
        <v>559</v>
      </c>
      <c r="P48" s="239">
        <v>16.5</v>
      </c>
      <c r="Q48" s="241" t="s">
        <v>1068</v>
      </c>
      <c r="R48" s="241" t="s">
        <v>564</v>
      </c>
      <c r="S48" s="241">
        <v>1.2</v>
      </c>
      <c r="T48" s="241" t="s">
        <v>1071</v>
      </c>
      <c r="U48" s="241" t="s">
        <v>499</v>
      </c>
      <c r="V48" s="241" t="s">
        <v>499</v>
      </c>
      <c r="W48" s="241" t="s">
        <v>499</v>
      </c>
      <c r="X48" s="241" t="s">
        <v>499</v>
      </c>
      <c r="Y48" s="241" t="s">
        <v>499</v>
      </c>
      <c r="Z48" s="241" t="s">
        <v>499</v>
      </c>
      <c r="AA48" s="230" t="s">
        <v>1062</v>
      </c>
    </row>
    <row r="49" spans="1:27">
      <c r="A49" s="178">
        <f>A47+1</f>
        <v>34</v>
      </c>
      <c r="B49" s="206" t="s">
        <v>650</v>
      </c>
      <c r="C49" s="207" t="s">
        <v>256</v>
      </c>
      <c r="D49" s="251">
        <v>150</v>
      </c>
      <c r="E49" s="206" t="s">
        <v>402</v>
      </c>
      <c r="F49" s="251">
        <v>50</v>
      </c>
      <c r="G49" s="236">
        <v>44628</v>
      </c>
      <c r="H49" s="230" t="s">
        <v>1043</v>
      </c>
      <c r="J49" s="206" t="s">
        <v>634</v>
      </c>
      <c r="K49" s="206" t="s">
        <v>651</v>
      </c>
      <c r="L49" s="209">
        <v>43647</v>
      </c>
      <c r="N49" s="230" t="s">
        <v>1044</v>
      </c>
      <c r="O49" s="241" t="s">
        <v>559</v>
      </c>
      <c r="P49" s="239">
        <v>10</v>
      </c>
      <c r="Q49" s="241" t="s">
        <v>1050</v>
      </c>
      <c r="R49" s="241" t="s">
        <v>564</v>
      </c>
      <c r="S49" s="241" t="s">
        <v>499</v>
      </c>
      <c r="T49" s="241" t="s">
        <v>1055</v>
      </c>
      <c r="U49" s="241" t="s">
        <v>499</v>
      </c>
      <c r="V49" s="241" t="s">
        <v>499</v>
      </c>
      <c r="W49" s="241" t="s">
        <v>499</v>
      </c>
      <c r="X49" s="241" t="s">
        <v>499</v>
      </c>
      <c r="Y49" s="241" t="s">
        <v>499</v>
      </c>
      <c r="Z49" s="241" t="s">
        <v>499</v>
      </c>
      <c r="AA49" s="230" t="s">
        <v>1056</v>
      </c>
    </row>
    <row r="50" spans="1:27">
      <c r="A50" s="178">
        <v>54</v>
      </c>
      <c r="B50" s="202" t="s">
        <v>557</v>
      </c>
      <c r="C50" s="203" t="s">
        <v>256</v>
      </c>
      <c r="D50" s="197">
        <v>150</v>
      </c>
      <c r="E50" s="202" t="s">
        <v>559</v>
      </c>
      <c r="F50" s="251">
        <v>21</v>
      </c>
      <c r="G50" s="236">
        <v>45027</v>
      </c>
      <c r="H50" s="230" t="s">
        <v>1172</v>
      </c>
      <c r="I50" s="230" t="s">
        <v>1185</v>
      </c>
      <c r="J50" s="214" t="s">
        <v>633</v>
      </c>
      <c r="K50" s="214" t="s">
        <v>558</v>
      </c>
      <c r="L50" s="180">
        <v>44562</v>
      </c>
      <c r="M50" s="230" t="s">
        <v>1187</v>
      </c>
      <c r="N50" s="230" t="s">
        <v>1186</v>
      </c>
      <c r="O50" s="241" t="s">
        <v>564</v>
      </c>
      <c r="P50" s="239">
        <v>5</v>
      </c>
      <c r="Q50" s="241" t="s">
        <v>1201</v>
      </c>
      <c r="R50" s="241" t="s">
        <v>499</v>
      </c>
      <c r="S50" s="241" t="s">
        <v>499</v>
      </c>
      <c r="T50" s="241" t="s">
        <v>499</v>
      </c>
      <c r="U50" s="241" t="s">
        <v>499</v>
      </c>
      <c r="V50" s="241" t="s">
        <v>499</v>
      </c>
      <c r="W50" s="241" t="s">
        <v>499</v>
      </c>
      <c r="X50" s="241" t="s">
        <v>499</v>
      </c>
      <c r="Y50" s="241" t="s">
        <v>499</v>
      </c>
      <c r="Z50" s="241" t="s">
        <v>499</v>
      </c>
      <c r="AA50" s="230" t="s">
        <v>858</v>
      </c>
    </row>
    <row r="51" spans="1:27">
      <c r="A51" s="178">
        <f>A49+1</f>
        <v>35</v>
      </c>
      <c r="B51" s="178" t="s">
        <v>424</v>
      </c>
      <c r="C51" s="203" t="s">
        <v>256</v>
      </c>
      <c r="D51" s="251">
        <v>125</v>
      </c>
      <c r="E51" s="206" t="s">
        <v>559</v>
      </c>
      <c r="F51" s="251">
        <v>65</v>
      </c>
      <c r="G51" s="236">
        <v>44984</v>
      </c>
      <c r="I51" s="230" t="s">
        <v>1057</v>
      </c>
      <c r="J51" s="206" t="s">
        <v>634</v>
      </c>
      <c r="K51" s="206" t="s">
        <v>639</v>
      </c>
      <c r="L51" s="178">
        <v>2022</v>
      </c>
      <c r="N51" s="230" t="s">
        <v>573</v>
      </c>
      <c r="O51" s="241" t="s">
        <v>499</v>
      </c>
      <c r="P51" s="241" t="s">
        <v>499</v>
      </c>
      <c r="Q51" s="241" t="s">
        <v>499</v>
      </c>
      <c r="R51" s="241" t="s">
        <v>499</v>
      </c>
      <c r="S51" s="241" t="s">
        <v>499</v>
      </c>
      <c r="T51" s="241" t="s">
        <v>499</v>
      </c>
      <c r="U51" s="241" t="s">
        <v>499</v>
      </c>
      <c r="V51" s="241" t="s">
        <v>499</v>
      </c>
      <c r="W51" s="241" t="s">
        <v>499</v>
      </c>
      <c r="X51" s="241" t="s">
        <v>499</v>
      </c>
      <c r="Y51" s="241" t="s">
        <v>499</v>
      </c>
      <c r="Z51" s="241" t="s">
        <v>499</v>
      </c>
      <c r="AA51" s="230" t="s">
        <v>858</v>
      </c>
    </row>
    <row r="52" spans="1:27">
      <c r="B52" s="230" t="s">
        <v>1059</v>
      </c>
      <c r="C52" s="203" t="s">
        <v>256</v>
      </c>
      <c r="D52" s="251">
        <v>125</v>
      </c>
      <c r="E52" s="230" t="s">
        <v>559</v>
      </c>
      <c r="F52" s="251">
        <v>65</v>
      </c>
      <c r="G52" s="245">
        <v>44287</v>
      </c>
      <c r="H52" s="230" t="s">
        <v>1039</v>
      </c>
      <c r="I52" s="230" t="s">
        <v>1061</v>
      </c>
      <c r="J52" s="206" t="s">
        <v>632</v>
      </c>
      <c r="K52" s="202" t="s">
        <v>462</v>
      </c>
      <c r="L52" s="180">
        <v>44228</v>
      </c>
      <c r="N52" s="230" t="s">
        <v>499</v>
      </c>
      <c r="O52" s="230" t="s">
        <v>499</v>
      </c>
      <c r="P52" s="230" t="s">
        <v>499</v>
      </c>
      <c r="Q52" s="230" t="s">
        <v>499</v>
      </c>
      <c r="R52" s="230" t="s">
        <v>499</v>
      </c>
      <c r="S52" s="230" t="s">
        <v>499</v>
      </c>
      <c r="T52" s="241" t="s">
        <v>499</v>
      </c>
      <c r="U52" s="241" t="s">
        <v>499</v>
      </c>
      <c r="V52" s="241" t="s">
        <v>499</v>
      </c>
      <c r="W52" s="241" t="s">
        <v>499</v>
      </c>
      <c r="X52" s="230" t="s">
        <v>499</v>
      </c>
      <c r="Y52" s="241" t="s">
        <v>499</v>
      </c>
      <c r="Z52" s="241" t="s">
        <v>499</v>
      </c>
      <c r="AA52" s="230" t="s">
        <v>1060</v>
      </c>
    </row>
    <row r="53" spans="1:27">
      <c r="A53" s="178">
        <f>A48+1</f>
        <v>37</v>
      </c>
      <c r="B53" s="206" t="s">
        <v>652</v>
      </c>
      <c r="C53" s="207" t="s">
        <v>256</v>
      </c>
      <c r="D53" s="251">
        <v>125</v>
      </c>
      <c r="E53" s="206" t="s">
        <v>559</v>
      </c>
      <c r="F53" s="251">
        <v>44</v>
      </c>
      <c r="G53" s="236">
        <v>44671</v>
      </c>
      <c r="H53" s="230" t="s">
        <v>1080</v>
      </c>
      <c r="I53" s="230" t="s">
        <v>1081</v>
      </c>
      <c r="J53" s="206" t="s">
        <v>634</v>
      </c>
      <c r="K53" s="206" t="s">
        <v>653</v>
      </c>
      <c r="L53" s="209" t="s">
        <v>644</v>
      </c>
      <c r="M53" s="230" t="s">
        <v>1080</v>
      </c>
      <c r="N53" s="230" t="s">
        <v>1072</v>
      </c>
      <c r="O53" s="241" t="s">
        <v>1078</v>
      </c>
      <c r="P53" s="230" t="s">
        <v>499</v>
      </c>
      <c r="Q53" s="241" t="s">
        <v>1079</v>
      </c>
      <c r="R53" s="230" t="s">
        <v>499</v>
      </c>
      <c r="S53" s="230" t="s">
        <v>499</v>
      </c>
      <c r="T53" s="241" t="s">
        <v>499</v>
      </c>
      <c r="U53" s="241" t="s">
        <v>499</v>
      </c>
      <c r="V53" s="241" t="s">
        <v>499</v>
      </c>
      <c r="W53" s="241" t="s">
        <v>499</v>
      </c>
      <c r="X53" s="230" t="s">
        <v>499</v>
      </c>
      <c r="Y53" s="241" t="s">
        <v>499</v>
      </c>
      <c r="Z53" s="241" t="s">
        <v>499</v>
      </c>
      <c r="AA53" s="230" t="s">
        <v>858</v>
      </c>
    </row>
    <row r="54" spans="1:27">
      <c r="A54" s="178">
        <f>A41+1</f>
        <v>39</v>
      </c>
      <c r="B54" s="206" t="s">
        <v>669</v>
      </c>
      <c r="C54" s="207" t="s">
        <v>256</v>
      </c>
      <c r="D54" s="251">
        <v>150</v>
      </c>
      <c r="E54" s="206" t="s">
        <v>402</v>
      </c>
      <c r="F54" s="251">
        <v>40</v>
      </c>
      <c r="G54" s="236">
        <v>44728</v>
      </c>
      <c r="H54" s="230" t="s">
        <v>1088</v>
      </c>
      <c r="J54" s="206" t="s">
        <v>634</v>
      </c>
      <c r="K54" s="206" t="s">
        <v>656</v>
      </c>
      <c r="L54" s="209" t="s">
        <v>644</v>
      </c>
      <c r="N54" s="230" t="s">
        <v>1089</v>
      </c>
      <c r="O54" s="241" t="s">
        <v>559</v>
      </c>
      <c r="P54" s="239">
        <v>18.600000000000001</v>
      </c>
      <c r="Q54" s="241" t="s">
        <v>1092</v>
      </c>
      <c r="R54" s="241" t="s">
        <v>564</v>
      </c>
      <c r="S54" s="241" t="s">
        <v>499</v>
      </c>
      <c r="T54" s="241" t="s">
        <v>1093</v>
      </c>
      <c r="U54" s="241" t="s">
        <v>499</v>
      </c>
      <c r="V54" s="241" t="s">
        <v>499</v>
      </c>
      <c r="W54" s="241" t="s">
        <v>499</v>
      </c>
      <c r="X54" s="230" t="s">
        <v>499</v>
      </c>
      <c r="Y54" s="241" t="s">
        <v>499</v>
      </c>
      <c r="Z54" s="241" t="s">
        <v>499</v>
      </c>
      <c r="AA54" s="230" t="s">
        <v>1137</v>
      </c>
    </row>
    <row r="55" spans="1:27">
      <c r="A55" s="178">
        <f t="shared" ref="A55:A58" si="2">A54+1</f>
        <v>40</v>
      </c>
      <c r="B55" s="206" t="s">
        <v>670</v>
      </c>
      <c r="C55" s="207" t="s">
        <v>256</v>
      </c>
      <c r="D55" s="251">
        <v>150</v>
      </c>
      <c r="E55" s="206" t="s">
        <v>402</v>
      </c>
      <c r="F55" s="251">
        <v>40</v>
      </c>
      <c r="G55" s="236">
        <v>44650</v>
      </c>
      <c r="J55" s="206" t="s">
        <v>633</v>
      </c>
      <c r="K55" s="206" t="s">
        <v>660</v>
      </c>
      <c r="L55" s="209">
        <v>43361</v>
      </c>
      <c r="N55" s="230" t="s">
        <v>1094</v>
      </c>
      <c r="O55" s="241" t="s">
        <v>559</v>
      </c>
      <c r="P55" s="239">
        <v>14</v>
      </c>
      <c r="Q55" s="241" t="s">
        <v>1100</v>
      </c>
      <c r="R55" s="241" t="s">
        <v>499</v>
      </c>
      <c r="S55" s="241" t="s">
        <v>499</v>
      </c>
      <c r="T55" s="241" t="s">
        <v>499</v>
      </c>
      <c r="U55" s="241" t="s">
        <v>499</v>
      </c>
      <c r="V55" s="241" t="s">
        <v>499</v>
      </c>
      <c r="W55" s="241" t="s">
        <v>499</v>
      </c>
      <c r="X55" s="241" t="s">
        <v>499</v>
      </c>
      <c r="Y55" s="241" t="s">
        <v>499</v>
      </c>
      <c r="Z55" s="241" t="s">
        <v>499</v>
      </c>
      <c r="AA55" s="230" t="s">
        <v>858</v>
      </c>
    </row>
    <row r="56" spans="1:27">
      <c r="A56" s="178">
        <f t="shared" si="2"/>
        <v>41</v>
      </c>
      <c r="B56" s="204" t="s">
        <v>586</v>
      </c>
      <c r="C56" s="205" t="s">
        <v>256</v>
      </c>
      <c r="D56" s="251">
        <v>100</v>
      </c>
      <c r="E56" s="204" t="s">
        <v>564</v>
      </c>
      <c r="F56" s="251">
        <v>50</v>
      </c>
      <c r="G56" s="236">
        <v>45062</v>
      </c>
      <c r="H56" s="230" t="s">
        <v>1102</v>
      </c>
      <c r="I56" s="230" t="s">
        <v>1103</v>
      </c>
      <c r="J56" s="215" t="s">
        <v>633</v>
      </c>
      <c r="K56" s="215" t="s">
        <v>430</v>
      </c>
      <c r="L56" s="210" t="s">
        <v>645</v>
      </c>
      <c r="N56" s="230" t="s">
        <v>1104</v>
      </c>
      <c r="O56" s="241" t="s">
        <v>499</v>
      </c>
      <c r="P56" s="241" t="s">
        <v>499</v>
      </c>
      <c r="Q56" s="241" t="s">
        <v>499</v>
      </c>
      <c r="R56" s="241" t="s">
        <v>499</v>
      </c>
      <c r="S56" s="241" t="s">
        <v>499</v>
      </c>
      <c r="T56" s="241" t="s">
        <v>499</v>
      </c>
      <c r="U56" s="241" t="s">
        <v>499</v>
      </c>
      <c r="V56" s="241" t="s">
        <v>499</v>
      </c>
      <c r="W56" s="241" t="s">
        <v>499</v>
      </c>
      <c r="X56" s="241" t="s">
        <v>499</v>
      </c>
      <c r="Y56" s="241" t="s">
        <v>499</v>
      </c>
      <c r="Z56" s="241" t="s">
        <v>499</v>
      </c>
      <c r="AA56" s="230" t="s">
        <v>1105</v>
      </c>
    </row>
    <row r="57" spans="1:27">
      <c r="A57" s="64">
        <f t="shared" si="2"/>
        <v>42</v>
      </c>
      <c r="B57" s="230" t="s">
        <v>647</v>
      </c>
      <c r="C57" s="238" t="s">
        <v>256</v>
      </c>
      <c r="D57" s="233">
        <v>100</v>
      </c>
      <c r="E57" s="230" t="s">
        <v>402</v>
      </c>
      <c r="F57" s="233">
        <v>50</v>
      </c>
      <c r="G57" s="235">
        <v>44643</v>
      </c>
      <c r="H57" s="230" t="s">
        <v>1119</v>
      </c>
      <c r="I57" s="230" t="s">
        <v>1117</v>
      </c>
      <c r="J57" s="230" t="s">
        <v>634</v>
      </c>
      <c r="K57" s="230" t="s">
        <v>648</v>
      </c>
      <c r="L57" s="246" t="s">
        <v>649</v>
      </c>
      <c r="N57" s="230" t="s">
        <v>1107</v>
      </c>
      <c r="O57" s="241" t="s">
        <v>559</v>
      </c>
      <c r="P57" s="239">
        <v>18.5</v>
      </c>
      <c r="Q57" s="241" t="s">
        <v>1112</v>
      </c>
      <c r="R57" s="241" t="s">
        <v>564</v>
      </c>
      <c r="S57" s="239">
        <v>3.5</v>
      </c>
      <c r="T57" s="241" t="s">
        <v>1116</v>
      </c>
      <c r="U57" s="241" t="s">
        <v>499</v>
      </c>
      <c r="V57" s="241" t="s">
        <v>499</v>
      </c>
      <c r="W57" s="241" t="s">
        <v>499</v>
      </c>
      <c r="X57" s="241" t="s">
        <v>499</v>
      </c>
      <c r="Y57" s="241" t="s">
        <v>499</v>
      </c>
      <c r="Z57" s="241" t="s">
        <v>499</v>
      </c>
      <c r="AA57" s="230" t="s">
        <v>957</v>
      </c>
    </row>
    <row r="58" spans="1:27">
      <c r="A58" s="178">
        <f t="shared" si="2"/>
        <v>43</v>
      </c>
      <c r="B58" s="64" t="s">
        <v>452</v>
      </c>
      <c r="C58" s="200" t="s">
        <v>256</v>
      </c>
      <c r="D58" s="197">
        <v>100</v>
      </c>
      <c r="E58" s="64" t="s">
        <v>559</v>
      </c>
      <c r="F58" s="197">
        <v>50</v>
      </c>
      <c r="G58" s="234">
        <v>44796</v>
      </c>
      <c r="H58" s="64" t="s">
        <v>1135</v>
      </c>
      <c r="I58" s="64" t="s">
        <v>1118</v>
      </c>
      <c r="J58" s="215" t="s">
        <v>632</v>
      </c>
      <c r="K58" s="215" t="s">
        <v>247</v>
      </c>
      <c r="L58" s="211">
        <v>44378</v>
      </c>
      <c r="N58" s="230" t="s">
        <v>1130</v>
      </c>
      <c r="O58" s="241" t="s">
        <v>564</v>
      </c>
      <c r="P58" s="239">
        <v>12.5</v>
      </c>
      <c r="Q58" s="241" t="s">
        <v>1131</v>
      </c>
      <c r="R58" s="241" t="s">
        <v>564</v>
      </c>
      <c r="S58" s="239">
        <v>7.2</v>
      </c>
      <c r="T58" s="241" t="s">
        <v>1133</v>
      </c>
      <c r="V58" s="241" t="s">
        <v>499</v>
      </c>
      <c r="W58" s="241" t="s">
        <v>499</v>
      </c>
      <c r="X58" s="241" t="s">
        <v>499</v>
      </c>
      <c r="Y58" s="241" t="s">
        <v>499</v>
      </c>
      <c r="Z58" s="241" t="s">
        <v>499</v>
      </c>
      <c r="AA58" s="230" t="s">
        <v>858</v>
      </c>
    </row>
    <row r="59" spans="1:27">
      <c r="B59" s="178" t="s">
        <v>453</v>
      </c>
      <c r="C59" s="203" t="s">
        <v>256</v>
      </c>
      <c r="D59" s="251">
        <v>100</v>
      </c>
      <c r="E59" s="202" t="s">
        <v>559</v>
      </c>
      <c r="F59" s="251">
        <v>50</v>
      </c>
      <c r="G59" s="245">
        <v>44475</v>
      </c>
      <c r="H59" s="230" t="s">
        <v>1167</v>
      </c>
      <c r="I59" s="230" t="s">
        <v>1138</v>
      </c>
      <c r="J59" s="206" t="s">
        <v>633</v>
      </c>
      <c r="K59" s="178" t="s">
        <v>454</v>
      </c>
      <c r="L59" s="180">
        <v>44440</v>
      </c>
      <c r="N59" s="230" t="s">
        <v>1136</v>
      </c>
      <c r="O59" s="241" t="s">
        <v>499</v>
      </c>
      <c r="P59" s="241" t="s">
        <v>499</v>
      </c>
      <c r="Q59" s="241" t="s">
        <v>499</v>
      </c>
      <c r="R59" s="241" t="s">
        <v>499</v>
      </c>
      <c r="S59" s="241" t="s">
        <v>499</v>
      </c>
      <c r="T59" s="241" t="s">
        <v>499</v>
      </c>
      <c r="U59" s="241" t="s">
        <v>499</v>
      </c>
      <c r="V59" s="241" t="s">
        <v>499</v>
      </c>
      <c r="W59" s="241" t="s">
        <v>499</v>
      </c>
      <c r="X59" s="241" t="s">
        <v>499</v>
      </c>
      <c r="Y59" s="241" t="s">
        <v>499</v>
      </c>
      <c r="Z59" s="241" t="s">
        <v>499</v>
      </c>
      <c r="AA59" s="230" t="s">
        <v>1137</v>
      </c>
    </row>
    <row r="60" spans="1:27">
      <c r="A60" s="178">
        <v>47</v>
      </c>
      <c r="B60" s="178" t="s">
        <v>455</v>
      </c>
      <c r="C60" s="207" t="s">
        <v>256</v>
      </c>
      <c r="D60" s="251">
        <v>100</v>
      </c>
      <c r="E60" s="206" t="s">
        <v>564</v>
      </c>
      <c r="F60" s="251">
        <v>42</v>
      </c>
      <c r="G60" s="236">
        <v>44882</v>
      </c>
      <c r="H60" s="64" t="s">
        <v>1144</v>
      </c>
      <c r="J60" s="214" t="s">
        <v>633</v>
      </c>
      <c r="K60" s="215" t="s">
        <v>430</v>
      </c>
      <c r="L60" s="180">
        <v>44440</v>
      </c>
      <c r="N60" s="230" t="s">
        <v>1139</v>
      </c>
      <c r="O60" s="241" t="s">
        <v>499</v>
      </c>
      <c r="P60" s="241" t="s">
        <v>499</v>
      </c>
      <c r="Q60" s="241" t="s">
        <v>499</v>
      </c>
      <c r="R60" s="241" t="s">
        <v>499</v>
      </c>
      <c r="S60" s="241" t="s">
        <v>499</v>
      </c>
      <c r="T60" s="241" t="s">
        <v>499</v>
      </c>
      <c r="U60" s="241" t="s">
        <v>499</v>
      </c>
      <c r="V60" s="241" t="s">
        <v>499</v>
      </c>
      <c r="W60" s="241" t="s">
        <v>499</v>
      </c>
      <c r="X60" s="241" t="s">
        <v>499</v>
      </c>
      <c r="Y60" s="241" t="s">
        <v>499</v>
      </c>
      <c r="Z60" s="241" t="s">
        <v>499</v>
      </c>
      <c r="AA60" s="230" t="s">
        <v>857</v>
      </c>
    </row>
    <row r="61" spans="1:27">
      <c r="A61" s="178">
        <f>A60+1</f>
        <v>48</v>
      </c>
      <c r="B61" s="178" t="s">
        <v>456</v>
      </c>
      <c r="C61" s="207" t="s">
        <v>256</v>
      </c>
      <c r="D61" s="251">
        <v>100</v>
      </c>
      <c r="E61" s="206" t="s">
        <v>559</v>
      </c>
      <c r="F61" s="251">
        <v>40</v>
      </c>
      <c r="G61" s="236">
        <v>44690</v>
      </c>
      <c r="H61" s="230" t="s">
        <v>1147</v>
      </c>
      <c r="I61" s="230" t="s">
        <v>1145</v>
      </c>
      <c r="J61" s="206" t="s">
        <v>632</v>
      </c>
      <c r="K61" s="206" t="s">
        <v>671</v>
      </c>
      <c r="L61" s="180">
        <v>44501</v>
      </c>
      <c r="N61" s="230" t="s">
        <v>1146</v>
      </c>
      <c r="O61" s="241" t="s">
        <v>1148</v>
      </c>
      <c r="P61" s="239">
        <v>5</v>
      </c>
      <c r="Q61" s="241" t="s">
        <v>1149</v>
      </c>
      <c r="R61" s="241" t="s">
        <v>499</v>
      </c>
      <c r="S61" s="241" t="s">
        <v>499</v>
      </c>
      <c r="T61" s="241" t="s">
        <v>499</v>
      </c>
      <c r="U61" s="241" t="s">
        <v>499</v>
      </c>
      <c r="V61" s="241" t="s">
        <v>499</v>
      </c>
      <c r="W61" s="241" t="s">
        <v>499</v>
      </c>
      <c r="X61" s="241" t="s">
        <v>499</v>
      </c>
      <c r="Y61" s="241" t="s">
        <v>499</v>
      </c>
      <c r="Z61" s="241" t="s">
        <v>499</v>
      </c>
      <c r="AA61" s="230" t="s">
        <v>865</v>
      </c>
    </row>
    <row r="62" spans="1:27">
      <c r="A62" s="178">
        <f>A61+1</f>
        <v>49</v>
      </c>
      <c r="B62" s="206" t="s">
        <v>672</v>
      </c>
      <c r="C62" s="207" t="s">
        <v>256</v>
      </c>
      <c r="D62" s="251">
        <v>125</v>
      </c>
      <c r="E62" s="206" t="s">
        <v>402</v>
      </c>
      <c r="F62" s="251">
        <v>38</v>
      </c>
      <c r="G62" s="236">
        <v>44812</v>
      </c>
      <c r="H62" s="230" t="s">
        <v>1157</v>
      </c>
      <c r="I62" s="230" t="s">
        <v>1151</v>
      </c>
      <c r="J62" s="206" t="s">
        <v>634</v>
      </c>
      <c r="K62" s="206" t="s">
        <v>656</v>
      </c>
      <c r="L62" s="209" t="s">
        <v>668</v>
      </c>
      <c r="N62" s="230" t="s">
        <v>1155</v>
      </c>
      <c r="O62" s="241" t="s">
        <v>559</v>
      </c>
      <c r="P62" s="239">
        <v>19</v>
      </c>
      <c r="Q62" s="241" t="s">
        <v>1154</v>
      </c>
      <c r="R62" s="241" t="s">
        <v>564</v>
      </c>
      <c r="S62" s="239">
        <v>4</v>
      </c>
      <c r="T62" s="241" t="s">
        <v>1156</v>
      </c>
      <c r="U62" s="241" t="s">
        <v>689</v>
      </c>
      <c r="V62" s="241" t="s">
        <v>499</v>
      </c>
      <c r="W62" s="241" t="s">
        <v>1153</v>
      </c>
      <c r="X62" s="241" t="s">
        <v>499</v>
      </c>
      <c r="Y62" s="241" t="s">
        <v>499</v>
      </c>
      <c r="Z62" s="241" t="s">
        <v>499</v>
      </c>
      <c r="AA62" s="230" t="s">
        <v>1150</v>
      </c>
    </row>
    <row r="63" spans="1:27">
      <c r="A63" s="178">
        <v>51</v>
      </c>
      <c r="B63" s="206" t="s">
        <v>674</v>
      </c>
      <c r="C63" s="207" t="s">
        <v>256</v>
      </c>
      <c r="D63" s="251">
        <v>100</v>
      </c>
      <c r="E63" s="206" t="s">
        <v>559</v>
      </c>
      <c r="F63" s="251">
        <v>30</v>
      </c>
      <c r="G63" s="236">
        <v>44893</v>
      </c>
      <c r="H63" s="230" t="s">
        <v>762</v>
      </c>
      <c r="I63" s="230" t="s">
        <v>1160</v>
      </c>
      <c r="J63" s="206" t="s">
        <v>634</v>
      </c>
      <c r="K63" s="206" t="s">
        <v>656</v>
      </c>
      <c r="L63" s="209">
        <v>43313</v>
      </c>
      <c r="N63" s="230" t="s">
        <v>1159</v>
      </c>
      <c r="O63" s="241" t="s">
        <v>564</v>
      </c>
      <c r="P63" s="239">
        <v>7</v>
      </c>
      <c r="Q63" s="241" t="s">
        <v>499</v>
      </c>
      <c r="R63" s="241" t="s">
        <v>689</v>
      </c>
      <c r="S63" s="239">
        <v>3</v>
      </c>
      <c r="T63" s="241" t="s">
        <v>1164</v>
      </c>
      <c r="U63" s="241" t="s">
        <v>499</v>
      </c>
      <c r="V63" s="241" t="s">
        <v>499</v>
      </c>
      <c r="W63" s="241" t="s">
        <v>499</v>
      </c>
      <c r="X63" s="241" t="s">
        <v>499</v>
      </c>
      <c r="Y63" s="241" t="s">
        <v>499</v>
      </c>
      <c r="Z63" s="241" t="s">
        <v>499</v>
      </c>
      <c r="AA63" s="230" t="s">
        <v>857</v>
      </c>
    </row>
    <row r="64" spans="1:27">
      <c r="A64" s="178">
        <v>52</v>
      </c>
      <c r="B64" s="230" t="s">
        <v>1168</v>
      </c>
      <c r="C64" s="205" t="s">
        <v>256</v>
      </c>
      <c r="D64" s="251">
        <v>100</v>
      </c>
      <c r="E64" s="204" t="s">
        <v>559</v>
      </c>
      <c r="F64" s="251">
        <v>23</v>
      </c>
      <c r="G64" s="236">
        <v>44963</v>
      </c>
      <c r="H64" s="64" t="s">
        <v>1170</v>
      </c>
      <c r="J64" s="206" t="s">
        <v>634</v>
      </c>
      <c r="K64" s="178" t="s">
        <v>464</v>
      </c>
      <c r="L64" s="180">
        <v>44621</v>
      </c>
      <c r="N64" s="230" t="s">
        <v>1171</v>
      </c>
      <c r="O64" s="241" t="s">
        <v>564</v>
      </c>
      <c r="P64" s="239">
        <v>5.0999999999999996</v>
      </c>
      <c r="Q64" s="241" t="s">
        <v>894</v>
      </c>
      <c r="R64" s="241" t="s">
        <v>499</v>
      </c>
      <c r="S64" s="241" t="s">
        <v>499</v>
      </c>
      <c r="T64" s="241" t="s">
        <v>499</v>
      </c>
      <c r="U64" s="241" t="s">
        <v>499</v>
      </c>
      <c r="V64" s="241" t="s">
        <v>499</v>
      </c>
      <c r="W64" s="241" t="s">
        <v>499</v>
      </c>
      <c r="X64" s="241" t="s">
        <v>499</v>
      </c>
      <c r="Y64" s="241" t="s">
        <v>499</v>
      </c>
      <c r="Z64" s="241" t="s">
        <v>499</v>
      </c>
      <c r="AA64" s="230" t="s">
        <v>858</v>
      </c>
    </row>
    <row r="65" spans="1:27">
      <c r="A65" s="178">
        <v>53</v>
      </c>
      <c r="B65" s="206" t="s">
        <v>457</v>
      </c>
      <c r="C65" s="207" t="s">
        <v>256</v>
      </c>
      <c r="D65" s="251">
        <v>100</v>
      </c>
      <c r="E65" s="206" t="s">
        <v>564</v>
      </c>
      <c r="F65" s="251">
        <v>30</v>
      </c>
      <c r="G65" s="236">
        <v>44742</v>
      </c>
      <c r="H65" s="230" t="s">
        <v>250</v>
      </c>
      <c r="I65" s="230" t="s">
        <v>1184</v>
      </c>
      <c r="J65" s="206" t="s">
        <v>634</v>
      </c>
      <c r="K65" s="206" t="s">
        <v>653</v>
      </c>
      <c r="L65" s="180">
        <v>44562</v>
      </c>
      <c r="M65" s="230" t="s">
        <v>250</v>
      </c>
      <c r="N65" s="230" t="s">
        <v>1181</v>
      </c>
      <c r="O65" s="241" t="s">
        <v>499</v>
      </c>
      <c r="P65" s="241" t="s">
        <v>499</v>
      </c>
      <c r="Q65" s="241" t="s">
        <v>499</v>
      </c>
      <c r="R65" s="241" t="s">
        <v>499</v>
      </c>
      <c r="S65" s="241" t="s">
        <v>499</v>
      </c>
      <c r="T65" s="241" t="s">
        <v>499</v>
      </c>
      <c r="U65" s="241" t="s">
        <v>499</v>
      </c>
      <c r="V65" s="241" t="s">
        <v>499</v>
      </c>
      <c r="W65" s="241" t="s">
        <v>499</v>
      </c>
      <c r="X65" s="241" t="s">
        <v>499</v>
      </c>
      <c r="Y65" s="241" t="s">
        <v>499</v>
      </c>
      <c r="Z65" s="241" t="s">
        <v>499</v>
      </c>
      <c r="AA65" s="230" t="s">
        <v>858</v>
      </c>
    </row>
    <row r="66" spans="1:27">
      <c r="A66" s="178">
        <v>55</v>
      </c>
      <c r="B66" s="206" t="s">
        <v>675</v>
      </c>
      <c r="C66" s="207" t="s">
        <v>256</v>
      </c>
      <c r="D66" s="251">
        <v>100</v>
      </c>
      <c r="E66" s="206" t="s">
        <v>402</v>
      </c>
      <c r="F66" s="251">
        <v>30</v>
      </c>
      <c r="G66" s="245">
        <v>44539</v>
      </c>
      <c r="H66" s="230" t="s">
        <v>1204</v>
      </c>
      <c r="I66" s="230" t="s">
        <v>1202</v>
      </c>
      <c r="J66" s="206" t="s">
        <v>633</v>
      </c>
      <c r="K66" s="206" t="s">
        <v>656</v>
      </c>
      <c r="L66" s="209" t="s">
        <v>644</v>
      </c>
      <c r="N66" s="230" t="s">
        <v>1203</v>
      </c>
      <c r="O66" s="241" t="s">
        <v>559</v>
      </c>
      <c r="P66" s="239">
        <v>11</v>
      </c>
      <c r="Q66" s="241" t="s">
        <v>1207</v>
      </c>
      <c r="R66" s="241" t="s">
        <v>564</v>
      </c>
      <c r="S66" s="239">
        <v>3</v>
      </c>
      <c r="T66" s="241" t="s">
        <v>1208</v>
      </c>
      <c r="U66" s="241" t="s">
        <v>499</v>
      </c>
      <c r="V66" s="241" t="s">
        <v>499</v>
      </c>
      <c r="W66" s="241" t="s">
        <v>499</v>
      </c>
      <c r="X66" s="241" t="s">
        <v>499</v>
      </c>
      <c r="Y66" s="241" t="s">
        <v>499</v>
      </c>
      <c r="Z66" s="241" t="s">
        <v>499</v>
      </c>
      <c r="AA66" s="230" t="s">
        <v>858</v>
      </c>
    </row>
    <row r="67" spans="1:27">
      <c r="B67" s="206" t="s">
        <v>676</v>
      </c>
      <c r="C67" s="207" t="s">
        <v>256</v>
      </c>
      <c r="D67" s="251">
        <v>100</v>
      </c>
      <c r="E67" s="206" t="s">
        <v>559</v>
      </c>
      <c r="F67" s="251">
        <v>30</v>
      </c>
      <c r="G67" s="236">
        <v>44914</v>
      </c>
      <c r="H67" s="230" t="s">
        <v>1210</v>
      </c>
      <c r="I67" s="230" t="s">
        <v>1209</v>
      </c>
      <c r="J67" s="206" t="s">
        <v>632</v>
      </c>
      <c r="K67" s="206" t="s">
        <v>677</v>
      </c>
      <c r="L67" s="209" t="s">
        <v>668</v>
      </c>
      <c r="N67" s="230" t="s">
        <v>1211</v>
      </c>
      <c r="O67" s="241" t="s">
        <v>564</v>
      </c>
      <c r="P67" s="239">
        <v>4</v>
      </c>
      <c r="Q67" s="241" t="s">
        <v>1212</v>
      </c>
      <c r="R67" s="241" t="s">
        <v>499</v>
      </c>
      <c r="S67" s="241" t="s">
        <v>499</v>
      </c>
      <c r="T67" s="241" t="s">
        <v>499</v>
      </c>
      <c r="U67" s="241" t="s">
        <v>499</v>
      </c>
      <c r="V67" s="241" t="s">
        <v>499</v>
      </c>
      <c r="W67" s="241" t="s">
        <v>499</v>
      </c>
      <c r="X67" s="241" t="s">
        <v>499</v>
      </c>
      <c r="Y67" s="241" t="s">
        <v>499</v>
      </c>
      <c r="Z67" s="241" t="s">
        <v>499</v>
      </c>
      <c r="AA67" s="230" t="s">
        <v>957</v>
      </c>
    </row>
    <row r="68" spans="1:27">
      <c r="A68" s="178">
        <v>56</v>
      </c>
      <c r="B68" s="206" t="s">
        <v>679</v>
      </c>
      <c r="C68" s="207" t="s">
        <v>256</v>
      </c>
      <c r="D68" s="251">
        <v>100</v>
      </c>
      <c r="E68" s="206" t="s">
        <v>559</v>
      </c>
      <c r="F68" s="251">
        <v>30</v>
      </c>
      <c r="G68" s="245">
        <v>44522</v>
      </c>
      <c r="H68" s="230" t="s">
        <v>1218</v>
      </c>
      <c r="I68" s="230" t="s">
        <v>1214</v>
      </c>
      <c r="J68" s="206" t="s">
        <v>634</v>
      </c>
      <c r="K68" s="206" t="s">
        <v>656</v>
      </c>
      <c r="L68" s="209">
        <v>43862</v>
      </c>
      <c r="N68" s="230" t="s">
        <v>1215</v>
      </c>
      <c r="O68" s="241" t="s">
        <v>564</v>
      </c>
      <c r="P68" s="239">
        <v>5.5</v>
      </c>
      <c r="Q68" s="241" t="s">
        <v>1216</v>
      </c>
      <c r="R68" s="241" t="s">
        <v>564</v>
      </c>
      <c r="S68" s="239">
        <v>2</v>
      </c>
      <c r="T68" s="241" t="s">
        <v>1217</v>
      </c>
      <c r="U68" s="241" t="s">
        <v>499</v>
      </c>
      <c r="V68" s="241" t="s">
        <v>499</v>
      </c>
      <c r="W68" s="241" t="s">
        <v>499</v>
      </c>
      <c r="X68" s="241" t="s">
        <v>499</v>
      </c>
      <c r="Y68" s="241" t="s">
        <v>499</v>
      </c>
      <c r="Z68" s="241" t="s">
        <v>499</v>
      </c>
      <c r="AA68" s="230" t="s">
        <v>1213</v>
      </c>
    </row>
    <row r="69" spans="1:27">
      <c r="A69" s="178">
        <f>+A68+1</f>
        <v>57</v>
      </c>
      <c r="B69" s="64" t="s">
        <v>588</v>
      </c>
      <c r="C69" s="200" t="s">
        <v>256</v>
      </c>
      <c r="D69" s="197">
        <v>100</v>
      </c>
      <c r="E69" s="64" t="s">
        <v>499</v>
      </c>
      <c r="F69" s="197">
        <v>18.5</v>
      </c>
      <c r="G69" s="234">
        <v>45063</v>
      </c>
      <c r="H69" s="64" t="s">
        <v>1229</v>
      </c>
      <c r="I69" s="64" t="s">
        <v>1225</v>
      </c>
      <c r="J69" s="64" t="s">
        <v>634</v>
      </c>
      <c r="K69" s="206" t="s">
        <v>664</v>
      </c>
      <c r="L69" s="180">
        <v>44652</v>
      </c>
      <c r="N69" s="214" t="s">
        <v>1230</v>
      </c>
      <c r="O69" s="241" t="s">
        <v>564</v>
      </c>
      <c r="P69" s="241" t="s">
        <v>499</v>
      </c>
      <c r="Q69" s="241" t="s">
        <v>1228</v>
      </c>
      <c r="R69" s="241" t="s">
        <v>564</v>
      </c>
      <c r="S69" s="239">
        <v>2</v>
      </c>
      <c r="T69" s="241" t="s">
        <v>1227</v>
      </c>
      <c r="U69" s="241" t="s">
        <v>499</v>
      </c>
      <c r="V69" s="241" t="s">
        <v>499</v>
      </c>
      <c r="W69" s="241" t="s">
        <v>499</v>
      </c>
      <c r="X69" s="241" t="s">
        <v>499</v>
      </c>
      <c r="Y69" s="241" t="s">
        <v>499</v>
      </c>
      <c r="Z69" s="241" t="s">
        <v>499</v>
      </c>
      <c r="AA69" s="230" t="s">
        <v>1137</v>
      </c>
    </row>
    <row r="70" spans="1:27">
      <c r="A70" s="178">
        <f t="shared" ref="A70:A75" si="3">+A69+1</f>
        <v>58</v>
      </c>
      <c r="B70" s="191" t="s">
        <v>529</v>
      </c>
      <c r="C70" s="192" t="s">
        <v>256</v>
      </c>
      <c r="D70" s="251">
        <v>50</v>
      </c>
      <c r="E70" s="230" t="s">
        <v>564</v>
      </c>
      <c r="F70" s="197">
        <v>18.5</v>
      </c>
      <c r="G70" s="236">
        <v>45050</v>
      </c>
      <c r="H70" s="230" t="s">
        <v>1232</v>
      </c>
      <c r="I70" s="213" t="s">
        <v>578</v>
      </c>
      <c r="J70" s="230" t="s">
        <v>633</v>
      </c>
      <c r="K70" s="230" t="s">
        <v>656</v>
      </c>
      <c r="L70" s="213">
        <v>2023</v>
      </c>
      <c r="N70" s="213" t="s">
        <v>579</v>
      </c>
      <c r="O70" s="241" t="s">
        <v>499</v>
      </c>
      <c r="P70" s="241" t="s">
        <v>499</v>
      </c>
      <c r="Q70" s="241" t="s">
        <v>499</v>
      </c>
      <c r="R70" s="241" t="s">
        <v>499</v>
      </c>
      <c r="S70" s="241" t="s">
        <v>499</v>
      </c>
      <c r="T70" s="241" t="s">
        <v>499</v>
      </c>
      <c r="U70" s="241" t="s">
        <v>499</v>
      </c>
      <c r="V70" s="241" t="s">
        <v>499</v>
      </c>
      <c r="W70" s="241" t="s">
        <v>499</v>
      </c>
      <c r="X70" s="241" t="s">
        <v>499</v>
      </c>
      <c r="Y70" s="241" t="s">
        <v>499</v>
      </c>
      <c r="Z70" s="241" t="s">
        <v>499</v>
      </c>
      <c r="AA70" s="230" t="s">
        <v>858</v>
      </c>
    </row>
    <row r="71" spans="1:27" s="64" customFormat="1">
      <c r="A71" s="64">
        <f t="shared" si="3"/>
        <v>59</v>
      </c>
      <c r="B71" s="64" t="s">
        <v>584</v>
      </c>
      <c r="C71" s="200" t="s">
        <v>256</v>
      </c>
      <c r="D71" s="197">
        <v>50</v>
      </c>
      <c r="E71" s="64" t="s">
        <v>559</v>
      </c>
      <c r="F71" s="197">
        <v>11</v>
      </c>
      <c r="G71" s="234">
        <v>45070</v>
      </c>
      <c r="H71" s="64" t="s">
        <v>748</v>
      </c>
      <c r="J71" s="215" t="s">
        <v>633</v>
      </c>
      <c r="K71" s="215" t="s">
        <v>558</v>
      </c>
      <c r="L71" s="64">
        <v>2018</v>
      </c>
      <c r="N71" s="64" t="s">
        <v>1235</v>
      </c>
      <c r="O71" s="243" t="s">
        <v>564</v>
      </c>
      <c r="P71" s="243" t="s">
        <v>499</v>
      </c>
      <c r="Q71" s="243" t="s">
        <v>1244</v>
      </c>
      <c r="R71" s="243" t="s">
        <v>689</v>
      </c>
      <c r="S71" s="243" t="s">
        <v>499</v>
      </c>
      <c r="T71" s="243" t="s">
        <v>1245</v>
      </c>
      <c r="U71" s="241" t="s">
        <v>499</v>
      </c>
      <c r="V71" s="241" t="s">
        <v>499</v>
      </c>
      <c r="W71" s="241" t="s">
        <v>499</v>
      </c>
      <c r="X71" s="241" t="s">
        <v>499</v>
      </c>
      <c r="Y71" s="241" t="s">
        <v>499</v>
      </c>
      <c r="Z71" s="241" t="s">
        <v>499</v>
      </c>
      <c r="AA71" s="64" t="s">
        <v>856</v>
      </c>
    </row>
    <row r="72" spans="1:27">
      <c r="A72" s="178">
        <f t="shared" si="3"/>
        <v>60</v>
      </c>
      <c r="B72" s="202" t="s">
        <v>585</v>
      </c>
      <c r="C72" s="203" t="s">
        <v>256</v>
      </c>
      <c r="D72" s="251">
        <v>30</v>
      </c>
      <c r="E72" s="230" t="s">
        <v>564</v>
      </c>
      <c r="F72" s="251">
        <v>6</v>
      </c>
      <c r="G72" s="236">
        <v>45070</v>
      </c>
      <c r="H72" s="230" t="s">
        <v>1248</v>
      </c>
      <c r="I72" s="230" t="s">
        <v>1247</v>
      </c>
      <c r="J72" s="206" t="s">
        <v>632</v>
      </c>
      <c r="K72" s="206" t="s">
        <v>664</v>
      </c>
      <c r="L72" s="178">
        <v>2021</v>
      </c>
      <c r="N72" s="230" t="s">
        <v>499</v>
      </c>
      <c r="O72" s="230" t="s">
        <v>499</v>
      </c>
      <c r="P72" s="230" t="s">
        <v>499</v>
      </c>
      <c r="Q72" s="230" t="s">
        <v>499</v>
      </c>
      <c r="R72" s="230" t="s">
        <v>499</v>
      </c>
      <c r="S72" s="230" t="s">
        <v>499</v>
      </c>
      <c r="T72" s="230" t="s">
        <v>499</v>
      </c>
      <c r="U72" s="230" t="s">
        <v>499</v>
      </c>
      <c r="V72" s="230" t="s">
        <v>499</v>
      </c>
      <c r="W72" s="230" t="s">
        <v>499</v>
      </c>
      <c r="X72" s="230" t="s">
        <v>499</v>
      </c>
      <c r="Y72" s="230" t="s">
        <v>499</v>
      </c>
      <c r="Z72" s="230" t="s">
        <v>499</v>
      </c>
      <c r="AA72" s="230" t="s">
        <v>1246</v>
      </c>
    </row>
    <row r="73" spans="1:27">
      <c r="A73" s="178">
        <f t="shared" si="3"/>
        <v>61</v>
      </c>
      <c r="B73" s="202" t="s">
        <v>566</v>
      </c>
      <c r="C73" s="203" t="s">
        <v>256</v>
      </c>
      <c r="D73" s="251">
        <v>25</v>
      </c>
      <c r="E73" s="202" t="s">
        <v>564</v>
      </c>
      <c r="F73" s="251">
        <v>2.6</v>
      </c>
      <c r="G73" s="236">
        <v>44994</v>
      </c>
      <c r="H73" s="202" t="s">
        <v>565</v>
      </c>
      <c r="I73" s="230" t="s">
        <v>1250</v>
      </c>
      <c r="J73" s="206" t="s">
        <v>632</v>
      </c>
      <c r="K73" s="202" t="s">
        <v>563</v>
      </c>
      <c r="L73" s="231">
        <v>44013</v>
      </c>
      <c r="N73" s="230" t="s">
        <v>1251</v>
      </c>
      <c r="O73" s="241" t="s">
        <v>564</v>
      </c>
      <c r="P73" s="241" t="s">
        <v>1254</v>
      </c>
      <c r="R73" s="241" t="s">
        <v>689</v>
      </c>
      <c r="S73" s="241" t="s">
        <v>499</v>
      </c>
      <c r="T73" s="241" t="s">
        <v>1255</v>
      </c>
      <c r="U73" s="230" t="s">
        <v>499</v>
      </c>
      <c r="V73" s="230" t="s">
        <v>499</v>
      </c>
      <c r="W73" s="230" t="s">
        <v>499</v>
      </c>
      <c r="X73" s="230" t="s">
        <v>499</v>
      </c>
      <c r="Y73" s="230" t="s">
        <v>499</v>
      </c>
      <c r="Z73" s="230" t="s">
        <v>499</v>
      </c>
      <c r="AA73" s="230" t="s">
        <v>1137</v>
      </c>
    </row>
    <row r="74" spans="1:27">
      <c r="A74" s="178">
        <f t="shared" si="3"/>
        <v>62</v>
      </c>
      <c r="B74" s="206" t="s">
        <v>654</v>
      </c>
      <c r="C74" s="207" t="s">
        <v>256</v>
      </c>
      <c r="D74" s="251">
        <v>400</v>
      </c>
      <c r="E74" s="230" t="s">
        <v>402</v>
      </c>
      <c r="F74" s="251">
        <v>44</v>
      </c>
      <c r="G74" s="236">
        <v>45006</v>
      </c>
      <c r="H74" s="230" t="s">
        <v>1262</v>
      </c>
      <c r="I74" s="230" t="s">
        <v>1261</v>
      </c>
      <c r="J74" s="206" t="s">
        <v>633</v>
      </c>
      <c r="K74" s="206" t="s">
        <v>666</v>
      </c>
      <c r="L74" s="178">
        <v>2012</v>
      </c>
      <c r="N74" s="230" t="s">
        <v>1263</v>
      </c>
      <c r="O74" s="241" t="s">
        <v>499</v>
      </c>
      <c r="P74" s="239">
        <v>39.700000000000003</v>
      </c>
      <c r="Q74" s="241" t="s">
        <v>499</v>
      </c>
      <c r="R74" s="241" t="s">
        <v>559</v>
      </c>
      <c r="S74" s="239">
        <v>15</v>
      </c>
      <c r="T74" s="241" t="s">
        <v>1264</v>
      </c>
      <c r="U74" s="241" t="s">
        <v>564</v>
      </c>
      <c r="V74" s="239">
        <v>4</v>
      </c>
      <c r="W74" s="241" t="s">
        <v>1265</v>
      </c>
      <c r="X74" s="241" t="s">
        <v>689</v>
      </c>
      <c r="Y74" s="241" t="s">
        <v>499</v>
      </c>
      <c r="Z74" s="241" t="s">
        <v>499</v>
      </c>
      <c r="AA74" s="230" t="s">
        <v>858</v>
      </c>
    </row>
    <row r="75" spans="1:27">
      <c r="A75" s="178">
        <f t="shared" si="3"/>
        <v>63</v>
      </c>
      <c r="B75" s="206" t="s">
        <v>392</v>
      </c>
      <c r="C75" s="207" t="s">
        <v>256</v>
      </c>
      <c r="D75" s="251">
        <v>1100</v>
      </c>
      <c r="E75" s="230" t="s">
        <v>402</v>
      </c>
      <c r="F75" s="251">
        <v>97.4</v>
      </c>
      <c r="G75" s="236">
        <v>45041</v>
      </c>
      <c r="H75" s="230" t="s">
        <v>1271</v>
      </c>
      <c r="I75" s="230" t="s">
        <v>1269</v>
      </c>
      <c r="J75" s="206" t="s">
        <v>633</v>
      </c>
      <c r="K75" s="206" t="s">
        <v>464</v>
      </c>
      <c r="L75" s="178">
        <v>2016</v>
      </c>
      <c r="N75" s="230" t="s">
        <v>1270</v>
      </c>
      <c r="O75" s="241" t="s">
        <v>1274</v>
      </c>
      <c r="P75" s="239">
        <v>80</v>
      </c>
      <c r="Q75" s="241" t="s">
        <v>1275</v>
      </c>
      <c r="R75" s="241" t="s">
        <v>559</v>
      </c>
      <c r="S75" s="239">
        <v>20</v>
      </c>
      <c r="T75" s="241" t="s">
        <v>1280</v>
      </c>
      <c r="U75" s="241" t="s">
        <v>564</v>
      </c>
      <c r="V75" s="239">
        <v>4.5</v>
      </c>
      <c r="W75" s="241" t="s">
        <v>1281</v>
      </c>
      <c r="X75" s="241" t="s">
        <v>689</v>
      </c>
      <c r="Y75" s="239">
        <v>0.12</v>
      </c>
      <c r="Z75" s="241" t="s">
        <v>1282</v>
      </c>
      <c r="AA75" s="230" t="s">
        <v>858</v>
      </c>
    </row>
    <row r="76" spans="1:27" s="64" customFormat="1">
      <c r="A76" s="64">
        <v>70</v>
      </c>
      <c r="B76" s="64" t="s">
        <v>467</v>
      </c>
      <c r="C76" s="200" t="s">
        <v>256</v>
      </c>
      <c r="D76" s="197">
        <v>125</v>
      </c>
      <c r="E76" s="64" t="s">
        <v>559</v>
      </c>
      <c r="F76" s="197">
        <v>20</v>
      </c>
      <c r="G76" s="234">
        <v>44854</v>
      </c>
      <c r="H76" s="64" t="s">
        <v>1445</v>
      </c>
      <c r="I76" s="64" t="s">
        <v>1446</v>
      </c>
      <c r="J76" s="64" t="s">
        <v>459</v>
      </c>
      <c r="K76" s="64" t="s">
        <v>1196</v>
      </c>
      <c r="L76" s="64">
        <v>2021</v>
      </c>
      <c r="N76" s="64" t="s">
        <v>1448</v>
      </c>
      <c r="O76" s="243" t="s">
        <v>564</v>
      </c>
      <c r="P76" s="243" t="s">
        <v>499</v>
      </c>
      <c r="Q76" s="243" t="s">
        <v>1450</v>
      </c>
      <c r="R76" s="243" t="s">
        <v>499</v>
      </c>
      <c r="S76" s="243" t="s">
        <v>499</v>
      </c>
      <c r="T76" s="243" t="s">
        <v>499</v>
      </c>
      <c r="U76" s="243" t="s">
        <v>499</v>
      </c>
      <c r="V76" s="243" t="s">
        <v>499</v>
      </c>
      <c r="W76" s="243" t="s">
        <v>499</v>
      </c>
      <c r="X76" s="243" t="s">
        <v>499</v>
      </c>
      <c r="Y76" s="243" t="s">
        <v>499</v>
      </c>
      <c r="Z76" s="243" t="s">
        <v>499</v>
      </c>
      <c r="AA76" s="64" t="s">
        <v>858</v>
      </c>
    </row>
    <row r="77" spans="1:27">
      <c r="B77" s="202" t="s">
        <v>561</v>
      </c>
      <c r="C77" s="203" t="s">
        <v>256</v>
      </c>
      <c r="D77" s="251">
        <v>110</v>
      </c>
      <c r="E77" s="230" t="s">
        <v>559</v>
      </c>
      <c r="F77" s="251">
        <v>23.5</v>
      </c>
      <c r="G77" s="236">
        <v>44875</v>
      </c>
      <c r="H77" s="230" t="s">
        <v>1464</v>
      </c>
      <c r="I77" s="230" t="s">
        <v>1463</v>
      </c>
      <c r="J77" s="230" t="s">
        <v>633</v>
      </c>
      <c r="K77" s="230" t="s">
        <v>634</v>
      </c>
      <c r="L77" s="231">
        <v>44292</v>
      </c>
      <c r="N77" s="230" t="s">
        <v>1465</v>
      </c>
      <c r="O77" s="241" t="s">
        <v>564</v>
      </c>
      <c r="P77" s="239">
        <v>5.6</v>
      </c>
      <c r="Q77" s="241" t="s">
        <v>1466</v>
      </c>
      <c r="R77" s="241" t="s">
        <v>689</v>
      </c>
      <c r="S77" s="241" t="s">
        <v>499</v>
      </c>
      <c r="T77" s="241" t="s">
        <v>1467</v>
      </c>
      <c r="U77" s="241" t="s">
        <v>499</v>
      </c>
      <c r="V77" s="241" t="s">
        <v>499</v>
      </c>
      <c r="W77" s="241" t="s">
        <v>499</v>
      </c>
      <c r="X77" s="241" t="s">
        <v>499</v>
      </c>
      <c r="Y77" s="241" t="s">
        <v>499</v>
      </c>
      <c r="Z77" s="241" t="s">
        <v>499</v>
      </c>
      <c r="AA77" s="230" t="s">
        <v>1462</v>
      </c>
    </row>
    <row r="78" spans="1:27">
      <c r="B78" s="178" t="s">
        <v>458</v>
      </c>
      <c r="C78" s="207" t="s">
        <v>256</v>
      </c>
      <c r="D78" s="251">
        <v>100</v>
      </c>
      <c r="E78" s="206" t="s">
        <v>564</v>
      </c>
      <c r="F78" s="251">
        <v>30</v>
      </c>
      <c r="G78" s="236">
        <v>44601</v>
      </c>
      <c r="H78" s="230" t="s">
        <v>459</v>
      </c>
      <c r="I78" s="230" t="s">
        <v>1284</v>
      </c>
      <c r="J78" s="206" t="s">
        <v>459</v>
      </c>
      <c r="K78" s="206" t="s">
        <v>678</v>
      </c>
      <c r="L78" s="178">
        <v>2021</v>
      </c>
      <c r="N78" s="230" t="s">
        <v>1285</v>
      </c>
      <c r="O78" s="241" t="s">
        <v>499</v>
      </c>
      <c r="P78" s="241" t="s">
        <v>499</v>
      </c>
      <c r="Q78" s="241" t="s">
        <v>499</v>
      </c>
      <c r="R78" s="241" t="s">
        <v>499</v>
      </c>
      <c r="S78" s="241" t="s">
        <v>499</v>
      </c>
      <c r="T78" s="241" t="s">
        <v>499</v>
      </c>
      <c r="U78" s="241" t="s">
        <v>499</v>
      </c>
      <c r="V78" s="241" t="s">
        <v>499</v>
      </c>
      <c r="W78" s="241" t="s">
        <v>499</v>
      </c>
      <c r="X78" s="241" t="s">
        <v>499</v>
      </c>
      <c r="Y78" s="241" t="s">
        <v>499</v>
      </c>
      <c r="Z78" s="241" t="s">
        <v>499</v>
      </c>
      <c r="AA78" s="230" t="s">
        <v>1283</v>
      </c>
    </row>
    <row r="79" spans="1:27">
      <c r="A79" s="178">
        <v>64</v>
      </c>
      <c r="B79" s="206" t="s">
        <v>682</v>
      </c>
      <c r="C79" s="207" t="s">
        <v>256</v>
      </c>
      <c r="D79" s="251">
        <v>100</v>
      </c>
      <c r="E79" s="230" t="s">
        <v>499</v>
      </c>
      <c r="F79" s="251">
        <v>29</v>
      </c>
      <c r="G79" s="245">
        <v>44368</v>
      </c>
      <c r="H79" s="230" t="s">
        <v>1291</v>
      </c>
      <c r="I79" s="230" t="s">
        <v>1288</v>
      </c>
      <c r="J79" s="206" t="s">
        <v>633</v>
      </c>
      <c r="K79" s="206" t="s">
        <v>666</v>
      </c>
      <c r="L79" s="180">
        <v>43344</v>
      </c>
      <c r="N79" s="230" t="s">
        <v>1290</v>
      </c>
      <c r="O79" s="241" t="s">
        <v>499</v>
      </c>
      <c r="P79" s="241" t="s">
        <v>499</v>
      </c>
      <c r="Q79" s="241" t="s">
        <v>499</v>
      </c>
      <c r="R79" s="241" t="s">
        <v>499</v>
      </c>
      <c r="S79" s="241" t="s">
        <v>499</v>
      </c>
      <c r="T79" s="241" t="s">
        <v>499</v>
      </c>
      <c r="U79" s="241" t="s">
        <v>499</v>
      </c>
      <c r="V79" s="241" t="s">
        <v>499</v>
      </c>
      <c r="W79" s="241" t="s">
        <v>499</v>
      </c>
      <c r="X79" s="241" t="s">
        <v>499</v>
      </c>
      <c r="Y79" s="241" t="s">
        <v>499</v>
      </c>
      <c r="Z79" s="241" t="s">
        <v>499</v>
      </c>
      <c r="AA79" s="230" t="s">
        <v>1137</v>
      </c>
    </row>
    <row r="80" spans="1:27">
      <c r="B80" s="206" t="s">
        <v>683</v>
      </c>
      <c r="C80" s="207" t="s">
        <v>256</v>
      </c>
      <c r="D80" s="251">
        <v>100</v>
      </c>
      <c r="E80" s="206" t="s">
        <v>559</v>
      </c>
      <c r="F80" s="251">
        <v>28</v>
      </c>
      <c r="G80" s="245">
        <v>44442</v>
      </c>
      <c r="H80" s="230" t="s">
        <v>1293</v>
      </c>
      <c r="J80" s="230" t="s">
        <v>1294</v>
      </c>
      <c r="K80" s="230" t="s">
        <v>1294</v>
      </c>
      <c r="L80" s="209" t="s">
        <v>668</v>
      </c>
      <c r="N80" s="230" t="s">
        <v>1295</v>
      </c>
      <c r="O80" s="241" t="s">
        <v>499</v>
      </c>
      <c r="P80" s="241" t="s">
        <v>499</v>
      </c>
      <c r="Q80" s="241" t="s">
        <v>499</v>
      </c>
      <c r="R80" s="241" t="s">
        <v>499</v>
      </c>
      <c r="S80" s="241" t="s">
        <v>499</v>
      </c>
      <c r="T80" s="241" t="s">
        <v>499</v>
      </c>
      <c r="U80" s="241" t="s">
        <v>499</v>
      </c>
      <c r="V80" s="241" t="s">
        <v>499</v>
      </c>
      <c r="W80" s="241" t="s">
        <v>499</v>
      </c>
      <c r="X80" s="241" t="s">
        <v>499</v>
      </c>
      <c r="Y80" s="241" t="s">
        <v>499</v>
      </c>
      <c r="Z80" s="241" t="s">
        <v>499</v>
      </c>
      <c r="AA80" s="230" t="s">
        <v>1292</v>
      </c>
    </row>
    <row r="81" spans="1:27">
      <c r="B81" s="206" t="s">
        <v>684</v>
      </c>
      <c r="C81" s="207" t="s">
        <v>256</v>
      </c>
      <c r="D81" s="251">
        <v>100</v>
      </c>
      <c r="E81" s="206" t="s">
        <v>559</v>
      </c>
      <c r="F81" s="251">
        <v>28</v>
      </c>
      <c r="G81" s="236">
        <v>44656</v>
      </c>
      <c r="H81" s="230" t="s">
        <v>1296</v>
      </c>
      <c r="J81" s="206" t="s">
        <v>632</v>
      </c>
      <c r="K81" s="206" t="s">
        <v>685</v>
      </c>
      <c r="L81" s="209">
        <v>43556</v>
      </c>
      <c r="N81" s="230" t="s">
        <v>1298</v>
      </c>
      <c r="O81" s="241" t="s">
        <v>564</v>
      </c>
      <c r="P81" s="239">
        <v>5</v>
      </c>
      <c r="Q81" s="241" t="s">
        <v>1301</v>
      </c>
      <c r="R81" s="241" t="s">
        <v>834</v>
      </c>
      <c r="S81" s="241" t="s">
        <v>499</v>
      </c>
      <c r="T81" s="241" t="s">
        <v>1302</v>
      </c>
      <c r="U81" s="241" t="s">
        <v>564</v>
      </c>
      <c r="V81" s="241" t="s">
        <v>499</v>
      </c>
      <c r="W81" s="241" t="s">
        <v>1303</v>
      </c>
      <c r="X81" s="241" t="s">
        <v>499</v>
      </c>
      <c r="Y81" s="241" t="s">
        <v>499</v>
      </c>
      <c r="Z81" s="241" t="s">
        <v>499</v>
      </c>
      <c r="AA81" s="230" t="s">
        <v>1304</v>
      </c>
    </row>
    <row r="82" spans="1:27">
      <c r="B82" s="230" t="s">
        <v>1195</v>
      </c>
      <c r="C82" s="238" t="s">
        <v>256</v>
      </c>
      <c r="D82" s="251">
        <v>100</v>
      </c>
      <c r="E82" s="230" t="s">
        <v>564</v>
      </c>
      <c r="F82" s="251">
        <v>20</v>
      </c>
      <c r="G82" s="236">
        <v>44792</v>
      </c>
      <c r="H82" s="230" t="s">
        <v>1196</v>
      </c>
      <c r="I82" s="230" t="s">
        <v>1305</v>
      </c>
      <c r="J82" s="230" t="s">
        <v>633</v>
      </c>
      <c r="K82" s="230" t="s">
        <v>1196</v>
      </c>
      <c r="L82" s="250" t="s">
        <v>1306</v>
      </c>
      <c r="M82" s="230" t="s">
        <v>1308</v>
      </c>
      <c r="N82" s="230" t="s">
        <v>1307</v>
      </c>
      <c r="O82" s="241" t="s">
        <v>499</v>
      </c>
      <c r="P82" s="241" t="s">
        <v>499</v>
      </c>
      <c r="Q82" s="241" t="s">
        <v>499</v>
      </c>
      <c r="R82" s="241" t="s">
        <v>499</v>
      </c>
      <c r="S82" s="241" t="s">
        <v>499</v>
      </c>
      <c r="T82" s="241" t="s">
        <v>499</v>
      </c>
      <c r="U82" s="241" t="s">
        <v>499</v>
      </c>
      <c r="V82" s="241" t="s">
        <v>499</v>
      </c>
      <c r="W82" s="241" t="s">
        <v>499</v>
      </c>
      <c r="X82" s="241" t="s">
        <v>499</v>
      </c>
      <c r="Y82" s="241" t="s">
        <v>499</v>
      </c>
      <c r="Z82" s="241" t="s">
        <v>499</v>
      </c>
      <c r="AA82" s="230" t="s">
        <v>1309</v>
      </c>
    </row>
    <row r="83" spans="1:27">
      <c r="B83" s="206" t="s">
        <v>686</v>
      </c>
      <c r="C83" s="207" t="s">
        <v>256</v>
      </c>
      <c r="D83" s="251">
        <v>100</v>
      </c>
      <c r="E83" s="206" t="s">
        <v>559</v>
      </c>
      <c r="F83" s="251">
        <v>25</v>
      </c>
      <c r="G83" s="236">
        <v>44404</v>
      </c>
      <c r="H83" s="230" t="s">
        <v>1312</v>
      </c>
      <c r="I83" s="230" t="s">
        <v>1310</v>
      </c>
      <c r="J83" s="206" t="s">
        <v>634</v>
      </c>
      <c r="K83" s="206" t="s">
        <v>662</v>
      </c>
      <c r="L83" s="209">
        <v>43496</v>
      </c>
      <c r="N83" s="214" t="s">
        <v>1313</v>
      </c>
      <c r="O83" s="241" t="s">
        <v>564</v>
      </c>
      <c r="P83" s="241" t="s">
        <v>1314</v>
      </c>
      <c r="Q83" s="241" t="s">
        <v>499</v>
      </c>
      <c r="R83" s="241" t="s">
        <v>499</v>
      </c>
      <c r="S83" s="241" t="s">
        <v>499</v>
      </c>
      <c r="T83" s="241" t="s">
        <v>499</v>
      </c>
      <c r="U83" s="241" t="s">
        <v>499</v>
      </c>
      <c r="V83" s="241" t="s">
        <v>499</v>
      </c>
      <c r="W83" s="241" t="s">
        <v>499</v>
      </c>
      <c r="X83" s="241" t="s">
        <v>499</v>
      </c>
      <c r="Y83" s="241" t="s">
        <v>499</v>
      </c>
      <c r="Z83" s="241" t="s">
        <v>499</v>
      </c>
      <c r="AA83" s="230" t="s">
        <v>1311</v>
      </c>
    </row>
    <row r="84" spans="1:27">
      <c r="B84" s="230" t="s">
        <v>1315</v>
      </c>
      <c r="C84" s="207" t="s">
        <v>256</v>
      </c>
      <c r="D84" s="251">
        <v>100</v>
      </c>
      <c r="E84" s="230" t="s">
        <v>499</v>
      </c>
      <c r="F84" s="251">
        <v>26</v>
      </c>
      <c r="G84" s="245">
        <v>43852</v>
      </c>
      <c r="H84" s="230" t="s">
        <v>1316</v>
      </c>
      <c r="J84" s="206" t="s">
        <v>633</v>
      </c>
      <c r="K84" s="206" t="s">
        <v>660</v>
      </c>
      <c r="L84" s="209">
        <v>43374</v>
      </c>
      <c r="N84" s="230" t="s">
        <v>499</v>
      </c>
      <c r="O84" s="230" t="s">
        <v>499</v>
      </c>
      <c r="P84" s="230" t="s">
        <v>499</v>
      </c>
      <c r="Q84" s="230" t="s">
        <v>499</v>
      </c>
      <c r="R84" s="230" t="s">
        <v>499</v>
      </c>
      <c r="S84" s="230" t="s">
        <v>499</v>
      </c>
      <c r="T84" s="230" t="s">
        <v>499</v>
      </c>
      <c r="U84" s="230" t="s">
        <v>499</v>
      </c>
      <c r="V84" s="230" t="s">
        <v>499</v>
      </c>
      <c r="W84" s="230" t="s">
        <v>499</v>
      </c>
      <c r="X84" s="230" t="s">
        <v>499</v>
      </c>
      <c r="Y84" s="230" t="s">
        <v>499</v>
      </c>
      <c r="Z84" s="230" t="s">
        <v>499</v>
      </c>
      <c r="AA84" s="230" t="s">
        <v>858</v>
      </c>
    </row>
    <row r="85" spans="1:27">
      <c r="A85" s="64">
        <v>61</v>
      </c>
      <c r="B85" s="64" t="s">
        <v>687</v>
      </c>
      <c r="C85" s="200" t="s">
        <v>256</v>
      </c>
      <c r="D85" s="197">
        <v>100</v>
      </c>
      <c r="E85" s="64" t="s">
        <v>559</v>
      </c>
      <c r="F85" s="197">
        <v>25</v>
      </c>
      <c r="G85" s="234">
        <v>44013</v>
      </c>
      <c r="H85" s="64" t="s">
        <v>762</v>
      </c>
      <c r="I85" s="64" t="s">
        <v>1317</v>
      </c>
      <c r="J85" s="64" t="s">
        <v>634</v>
      </c>
      <c r="K85" s="64" t="s">
        <v>656</v>
      </c>
      <c r="L85" s="212" t="s">
        <v>668</v>
      </c>
      <c r="N85" s="230" t="s">
        <v>499</v>
      </c>
      <c r="O85" s="230" t="s">
        <v>499</v>
      </c>
      <c r="P85" s="230" t="s">
        <v>499</v>
      </c>
      <c r="Q85" s="230" t="s">
        <v>499</v>
      </c>
      <c r="R85" s="230" t="s">
        <v>499</v>
      </c>
      <c r="S85" s="230" t="s">
        <v>499</v>
      </c>
      <c r="T85" s="230" t="s">
        <v>499</v>
      </c>
      <c r="U85" s="230" t="s">
        <v>499</v>
      </c>
      <c r="V85" s="230" t="s">
        <v>499</v>
      </c>
      <c r="W85" s="230" t="s">
        <v>499</v>
      </c>
      <c r="X85" s="230" t="s">
        <v>499</v>
      </c>
      <c r="Y85" s="230" t="s">
        <v>499</v>
      </c>
      <c r="Z85" s="230" t="s">
        <v>499</v>
      </c>
      <c r="AA85" s="230" t="s">
        <v>858</v>
      </c>
    </row>
    <row r="86" spans="1:27">
      <c r="B86" s="204" t="s">
        <v>597</v>
      </c>
      <c r="C86" s="226" t="s">
        <v>256</v>
      </c>
      <c r="D86" s="251">
        <v>100</v>
      </c>
      <c r="E86" s="225" t="s">
        <v>559</v>
      </c>
      <c r="F86" s="251">
        <f>12.2+16.3</f>
        <v>28.5</v>
      </c>
      <c r="G86" s="236">
        <v>45077</v>
      </c>
      <c r="H86" s="270" t="s">
        <v>1744</v>
      </c>
      <c r="I86" s="270" t="s">
        <v>1745</v>
      </c>
      <c r="J86" s="225" t="s">
        <v>633</v>
      </c>
      <c r="K86" s="225" t="s">
        <v>656</v>
      </c>
      <c r="L86" s="178">
        <v>2021</v>
      </c>
      <c r="N86" s="270" t="s">
        <v>1746</v>
      </c>
      <c r="O86" s="271" t="s">
        <v>499</v>
      </c>
      <c r="P86" s="271" t="s">
        <v>499</v>
      </c>
      <c r="Q86" s="271" t="s">
        <v>499</v>
      </c>
      <c r="R86" s="271" t="s">
        <v>499</v>
      </c>
      <c r="S86" s="271" t="s">
        <v>499</v>
      </c>
      <c r="T86" s="271" t="s">
        <v>499</v>
      </c>
      <c r="U86" s="271" t="s">
        <v>499</v>
      </c>
      <c r="V86" s="271" t="s">
        <v>499</v>
      </c>
      <c r="W86" s="271" t="s">
        <v>499</v>
      </c>
      <c r="X86" s="271" t="s">
        <v>499</v>
      </c>
      <c r="Y86" s="271" t="s">
        <v>499</v>
      </c>
      <c r="Z86" s="271" t="s">
        <v>499</v>
      </c>
      <c r="AA86" s="270" t="s">
        <v>858</v>
      </c>
    </row>
    <row r="87" spans="1:27">
      <c r="B87" s="178" t="s">
        <v>460</v>
      </c>
      <c r="C87" s="238" t="s">
        <v>256</v>
      </c>
      <c r="D87" s="251">
        <v>100</v>
      </c>
      <c r="E87" s="230" t="s">
        <v>559</v>
      </c>
      <c r="F87" s="251">
        <v>27</v>
      </c>
      <c r="G87" s="245">
        <v>44299</v>
      </c>
      <c r="H87" s="230" t="s">
        <v>1323</v>
      </c>
      <c r="J87" s="230" t="s">
        <v>634</v>
      </c>
      <c r="K87" s="178" t="s">
        <v>461</v>
      </c>
      <c r="L87" s="178">
        <v>2021</v>
      </c>
      <c r="N87" s="230" t="s">
        <v>499</v>
      </c>
      <c r="O87" s="230" t="s">
        <v>499</v>
      </c>
      <c r="P87" s="230" t="s">
        <v>499</v>
      </c>
      <c r="Q87" s="230" t="s">
        <v>499</v>
      </c>
      <c r="R87" s="230" t="s">
        <v>499</v>
      </c>
      <c r="S87" s="230" t="s">
        <v>499</v>
      </c>
      <c r="T87" s="230" t="s">
        <v>499</v>
      </c>
      <c r="U87" s="230" t="s">
        <v>499</v>
      </c>
      <c r="V87" s="230" t="s">
        <v>499</v>
      </c>
      <c r="W87" s="230" t="s">
        <v>499</v>
      </c>
      <c r="X87" s="230" t="s">
        <v>499</v>
      </c>
      <c r="Y87" s="230" t="s">
        <v>499</v>
      </c>
      <c r="Z87" s="230" t="s">
        <v>499</v>
      </c>
      <c r="AA87" s="230" t="s">
        <v>1321</v>
      </c>
    </row>
    <row r="88" spans="1:27">
      <c r="A88" s="178">
        <v>62</v>
      </c>
      <c r="B88" s="259" t="s">
        <v>1692</v>
      </c>
      <c r="C88" s="203" t="s">
        <v>256</v>
      </c>
      <c r="D88" s="251">
        <v>100</v>
      </c>
      <c r="E88" s="259" t="s">
        <v>402</v>
      </c>
      <c r="F88" s="251">
        <v>27</v>
      </c>
      <c r="G88" s="236">
        <v>44882</v>
      </c>
      <c r="H88" s="259" t="s">
        <v>1698</v>
      </c>
      <c r="I88" s="259" t="s">
        <v>1693</v>
      </c>
      <c r="J88" s="259" t="s">
        <v>632</v>
      </c>
      <c r="K88" s="259" t="s">
        <v>1694</v>
      </c>
      <c r="L88" s="178">
        <v>2016</v>
      </c>
      <c r="N88" s="259" t="s">
        <v>1697</v>
      </c>
      <c r="O88" s="262" t="s">
        <v>559</v>
      </c>
      <c r="P88" s="239">
        <v>11</v>
      </c>
      <c r="Q88" s="262" t="s">
        <v>1700</v>
      </c>
      <c r="R88" s="262" t="s">
        <v>564</v>
      </c>
      <c r="S88" s="262" t="s">
        <v>499</v>
      </c>
      <c r="T88" s="262" t="s">
        <v>1702</v>
      </c>
      <c r="U88" s="262" t="s">
        <v>499</v>
      </c>
      <c r="V88" s="262" t="s">
        <v>499</v>
      </c>
      <c r="W88" s="262" t="s">
        <v>499</v>
      </c>
      <c r="X88" s="262" t="s">
        <v>499</v>
      </c>
      <c r="Y88" s="262" t="s">
        <v>499</v>
      </c>
      <c r="Z88" s="262" t="s">
        <v>499</v>
      </c>
      <c r="AA88" s="259" t="s">
        <v>858</v>
      </c>
    </row>
    <row r="89" spans="1:27">
      <c r="A89" s="178">
        <v>62</v>
      </c>
      <c r="B89" s="206" t="s">
        <v>688</v>
      </c>
      <c r="C89" s="207" t="s">
        <v>256</v>
      </c>
      <c r="D89" s="251">
        <v>100</v>
      </c>
      <c r="E89" s="206" t="s">
        <v>559</v>
      </c>
      <c r="F89" s="251">
        <v>25</v>
      </c>
      <c r="G89" s="236">
        <v>44699</v>
      </c>
      <c r="H89" s="230" t="s">
        <v>762</v>
      </c>
      <c r="I89" s="230" t="s">
        <v>1324</v>
      </c>
      <c r="J89" s="206" t="s">
        <v>634</v>
      </c>
      <c r="K89" s="206" t="s">
        <v>656</v>
      </c>
      <c r="L89" s="210" t="s">
        <v>644</v>
      </c>
      <c r="N89" s="230" t="s">
        <v>1328</v>
      </c>
      <c r="O89" s="230" t="s">
        <v>499</v>
      </c>
      <c r="P89" s="230" t="s">
        <v>499</v>
      </c>
      <c r="Q89" s="230" t="s">
        <v>499</v>
      </c>
      <c r="R89" s="230" t="s">
        <v>499</v>
      </c>
      <c r="S89" s="230" t="s">
        <v>499</v>
      </c>
      <c r="T89" s="230" t="s">
        <v>499</v>
      </c>
      <c r="U89" s="230" t="s">
        <v>499</v>
      </c>
      <c r="V89" s="230" t="s">
        <v>499</v>
      </c>
      <c r="W89" s="230" t="s">
        <v>499</v>
      </c>
      <c r="X89" s="230" t="s">
        <v>499</v>
      </c>
      <c r="Y89" s="230" t="s">
        <v>499</v>
      </c>
      <c r="Z89" s="230" t="s">
        <v>499</v>
      </c>
      <c r="AA89" s="230" t="s">
        <v>858</v>
      </c>
    </row>
    <row r="90" spans="1:27">
      <c r="A90" s="178">
        <v>63</v>
      </c>
      <c r="B90" s="178" t="s">
        <v>465</v>
      </c>
      <c r="C90" s="207" t="s">
        <v>256</v>
      </c>
      <c r="D90" s="251">
        <v>100</v>
      </c>
      <c r="E90" s="206" t="s">
        <v>559</v>
      </c>
      <c r="F90" s="251">
        <v>25</v>
      </c>
      <c r="G90" s="236">
        <v>44679</v>
      </c>
      <c r="H90" s="230" t="s">
        <v>1334</v>
      </c>
      <c r="I90" s="230" t="s">
        <v>1333</v>
      </c>
      <c r="J90" s="206" t="s">
        <v>634</v>
      </c>
      <c r="K90" s="206" t="s">
        <v>656</v>
      </c>
      <c r="L90" s="178">
        <v>2021</v>
      </c>
      <c r="N90" s="230" t="s">
        <v>1335</v>
      </c>
      <c r="O90" s="241" t="s">
        <v>564</v>
      </c>
      <c r="P90" s="239">
        <v>3</v>
      </c>
      <c r="Q90" s="241" t="s">
        <v>1336</v>
      </c>
      <c r="R90" s="230" t="s">
        <v>499</v>
      </c>
      <c r="S90" s="230" t="s">
        <v>499</v>
      </c>
      <c r="T90" s="230" t="s">
        <v>499</v>
      </c>
      <c r="U90" s="230" t="s">
        <v>499</v>
      </c>
      <c r="V90" s="230" t="s">
        <v>499</v>
      </c>
      <c r="W90" s="230" t="s">
        <v>499</v>
      </c>
      <c r="X90" s="230" t="s">
        <v>499</v>
      </c>
      <c r="Y90" s="230" t="s">
        <v>499</v>
      </c>
      <c r="Z90" s="230" t="s">
        <v>499</v>
      </c>
      <c r="AA90" s="230" t="s">
        <v>1332</v>
      </c>
    </row>
    <row r="91" spans="1:27">
      <c r="A91" s="178">
        <v>64</v>
      </c>
      <c r="B91" s="230" t="s">
        <v>1337</v>
      </c>
      <c r="C91" s="207" t="s">
        <v>256</v>
      </c>
      <c r="D91" s="251">
        <v>100</v>
      </c>
      <c r="E91" s="206" t="s">
        <v>559</v>
      </c>
      <c r="F91" s="251">
        <v>25</v>
      </c>
      <c r="G91" s="245">
        <v>44404</v>
      </c>
      <c r="H91" s="230" t="s">
        <v>1339</v>
      </c>
      <c r="I91" s="230" t="s">
        <v>1340</v>
      </c>
      <c r="J91" s="206" t="s">
        <v>634</v>
      </c>
      <c r="K91" s="206" t="s">
        <v>656</v>
      </c>
      <c r="L91" s="180">
        <v>43435</v>
      </c>
      <c r="N91" s="214" t="s">
        <v>1341</v>
      </c>
      <c r="O91" s="241" t="s">
        <v>564</v>
      </c>
      <c r="P91" s="239">
        <v>6</v>
      </c>
      <c r="Q91" s="241" t="s">
        <v>1342</v>
      </c>
      <c r="R91" s="241" t="s">
        <v>499</v>
      </c>
      <c r="S91" s="230" t="s">
        <v>499</v>
      </c>
      <c r="T91" s="230" t="s">
        <v>499</v>
      </c>
      <c r="U91" s="230" t="s">
        <v>499</v>
      </c>
      <c r="V91" s="230" t="s">
        <v>499</v>
      </c>
      <c r="W91" s="230" t="s">
        <v>499</v>
      </c>
      <c r="X91" s="230" t="s">
        <v>499</v>
      </c>
      <c r="Y91" s="230" t="s">
        <v>499</v>
      </c>
      <c r="Z91" s="230" t="s">
        <v>499</v>
      </c>
      <c r="AA91" s="230" t="s">
        <v>1338</v>
      </c>
    </row>
    <row r="92" spans="1:27">
      <c r="A92" s="178">
        <v>65</v>
      </c>
      <c r="B92" s="206" t="s">
        <v>691</v>
      </c>
      <c r="C92" s="207" t="s">
        <v>256</v>
      </c>
      <c r="D92" s="251">
        <v>100</v>
      </c>
      <c r="E92" s="206" t="s">
        <v>559</v>
      </c>
      <c r="F92" s="251">
        <v>25</v>
      </c>
      <c r="G92" s="236">
        <v>44944</v>
      </c>
      <c r="H92" s="230" t="s">
        <v>1347</v>
      </c>
      <c r="I92" s="230" t="s">
        <v>1343</v>
      </c>
      <c r="J92" s="206" t="s">
        <v>633</v>
      </c>
      <c r="K92" s="206" t="s">
        <v>664</v>
      </c>
      <c r="L92" s="209" t="s">
        <v>668</v>
      </c>
      <c r="N92" s="230" t="s">
        <v>1346</v>
      </c>
      <c r="O92" s="241" t="s">
        <v>564</v>
      </c>
      <c r="P92" s="239">
        <v>5</v>
      </c>
      <c r="Q92" s="241" t="s">
        <v>1220</v>
      </c>
      <c r="R92" s="241" t="s">
        <v>689</v>
      </c>
      <c r="S92" s="239">
        <v>3</v>
      </c>
      <c r="T92" s="241" t="s">
        <v>499</v>
      </c>
      <c r="U92" s="230" t="s">
        <v>499</v>
      </c>
      <c r="V92" s="230" t="s">
        <v>499</v>
      </c>
      <c r="W92" s="230" t="s">
        <v>499</v>
      </c>
      <c r="X92" s="230" t="s">
        <v>499</v>
      </c>
      <c r="Y92" s="230" t="s">
        <v>499</v>
      </c>
      <c r="Z92" s="230" t="s">
        <v>499</v>
      </c>
      <c r="AA92" s="230" t="s">
        <v>957</v>
      </c>
    </row>
    <row r="93" spans="1:27">
      <c r="A93" s="178">
        <v>66</v>
      </c>
      <c r="B93" s="206" t="s">
        <v>692</v>
      </c>
      <c r="C93" s="207" t="s">
        <v>256</v>
      </c>
      <c r="D93" s="251">
        <v>100</v>
      </c>
      <c r="E93" s="206" t="s">
        <v>402</v>
      </c>
      <c r="F93" s="251">
        <v>25</v>
      </c>
      <c r="G93" s="236">
        <v>44636</v>
      </c>
      <c r="H93" s="217" t="s">
        <v>712</v>
      </c>
      <c r="I93" s="230" t="s">
        <v>1350</v>
      </c>
      <c r="J93" s="206" t="s">
        <v>634</v>
      </c>
      <c r="K93" s="206" t="s">
        <v>656</v>
      </c>
      <c r="L93" s="209" t="s">
        <v>644</v>
      </c>
      <c r="N93" s="230" t="s">
        <v>1351</v>
      </c>
      <c r="O93" s="241" t="s">
        <v>559</v>
      </c>
      <c r="P93" s="239">
        <v>12.2</v>
      </c>
      <c r="Q93" s="241" t="s">
        <v>1356</v>
      </c>
      <c r="R93" s="241" t="s">
        <v>564</v>
      </c>
      <c r="S93" s="239">
        <v>5.0999999999999996</v>
      </c>
      <c r="T93" s="241" t="s">
        <v>1357</v>
      </c>
      <c r="U93" s="241" t="s">
        <v>499</v>
      </c>
      <c r="V93" s="230" t="s">
        <v>499</v>
      </c>
      <c r="W93" s="230" t="s">
        <v>499</v>
      </c>
      <c r="X93" s="230" t="s">
        <v>499</v>
      </c>
      <c r="Y93" s="230" t="s">
        <v>499</v>
      </c>
      <c r="Z93" s="230" t="s">
        <v>499</v>
      </c>
      <c r="AA93" s="230" t="s">
        <v>862</v>
      </c>
    </row>
    <row r="94" spans="1:27">
      <c r="A94" s="178">
        <v>67</v>
      </c>
      <c r="B94" s="206" t="s">
        <v>693</v>
      </c>
      <c r="C94" s="207" t="s">
        <v>256</v>
      </c>
      <c r="D94" s="251">
        <v>100</v>
      </c>
      <c r="E94" s="206" t="s">
        <v>559</v>
      </c>
      <c r="F94" s="251">
        <v>25</v>
      </c>
      <c r="G94" s="236">
        <v>44615</v>
      </c>
      <c r="H94" s="230" t="s">
        <v>1157</v>
      </c>
      <c r="I94" s="230" t="s">
        <v>1358</v>
      </c>
      <c r="J94" s="206" t="s">
        <v>634</v>
      </c>
      <c r="K94" s="206" t="s">
        <v>656</v>
      </c>
      <c r="L94" s="209">
        <v>43709</v>
      </c>
      <c r="N94" s="230" t="s">
        <v>1359</v>
      </c>
      <c r="O94" s="241" t="s">
        <v>564</v>
      </c>
      <c r="P94" s="239">
        <v>5</v>
      </c>
      <c r="Q94" s="241" t="s">
        <v>1363</v>
      </c>
      <c r="R94" s="241" t="s">
        <v>499</v>
      </c>
      <c r="S94" s="241" t="s">
        <v>499</v>
      </c>
      <c r="T94" s="241" t="s">
        <v>499</v>
      </c>
      <c r="U94" s="241" t="s">
        <v>499</v>
      </c>
      <c r="V94" s="241" t="s">
        <v>499</v>
      </c>
      <c r="W94" s="241" t="s">
        <v>499</v>
      </c>
      <c r="X94" s="241" t="s">
        <v>499</v>
      </c>
      <c r="Y94" s="241" t="s">
        <v>499</v>
      </c>
      <c r="Z94" s="241" t="s">
        <v>499</v>
      </c>
      <c r="AA94" s="230" t="s">
        <v>957</v>
      </c>
    </row>
    <row r="95" spans="1:27">
      <c r="A95" s="178">
        <v>68</v>
      </c>
      <c r="B95" s="206" t="s">
        <v>694</v>
      </c>
      <c r="C95" s="207" t="s">
        <v>256</v>
      </c>
      <c r="D95" s="251">
        <v>100</v>
      </c>
      <c r="E95" s="206" t="s">
        <v>402</v>
      </c>
      <c r="F95" s="251">
        <v>25</v>
      </c>
      <c r="G95" s="236">
        <v>44764</v>
      </c>
      <c r="H95" s="230" t="s">
        <v>1364</v>
      </c>
      <c r="I95" s="230" t="s">
        <v>1365</v>
      </c>
      <c r="J95" s="206" t="s">
        <v>634</v>
      </c>
      <c r="K95" s="206" t="s">
        <v>656</v>
      </c>
      <c r="L95" s="209" t="s">
        <v>644</v>
      </c>
      <c r="N95" s="241" t="s">
        <v>1368</v>
      </c>
      <c r="O95" s="241" t="s">
        <v>559</v>
      </c>
      <c r="P95" s="241">
        <v>21</v>
      </c>
      <c r="Q95" s="241" t="s">
        <v>1374</v>
      </c>
      <c r="R95" s="241" t="s">
        <v>564</v>
      </c>
      <c r="S95" s="239">
        <v>9.1</v>
      </c>
      <c r="T95" s="241" t="s">
        <v>1376</v>
      </c>
      <c r="U95" s="241" t="s">
        <v>499</v>
      </c>
      <c r="V95" s="241" t="s">
        <v>499</v>
      </c>
      <c r="W95" s="241" t="s">
        <v>499</v>
      </c>
      <c r="X95" s="241" t="s">
        <v>499</v>
      </c>
      <c r="Y95" s="241" t="s">
        <v>499</v>
      </c>
      <c r="Z95" s="241" t="s">
        <v>499</v>
      </c>
      <c r="AA95" s="230" t="s">
        <v>957</v>
      </c>
    </row>
    <row r="96" spans="1:27">
      <c r="A96" s="178">
        <v>69</v>
      </c>
      <c r="B96" s="206" t="s">
        <v>695</v>
      </c>
      <c r="C96" s="207" t="s">
        <v>256</v>
      </c>
      <c r="D96" s="251">
        <v>100</v>
      </c>
      <c r="E96" s="206" t="s">
        <v>559</v>
      </c>
      <c r="F96" s="251">
        <v>25</v>
      </c>
      <c r="G96" s="236">
        <v>44757</v>
      </c>
      <c r="H96" s="230" t="s">
        <v>1389</v>
      </c>
      <c r="J96" s="206" t="s">
        <v>633</v>
      </c>
      <c r="K96" s="206" t="s">
        <v>696</v>
      </c>
      <c r="L96" s="209" t="s">
        <v>644</v>
      </c>
      <c r="N96" s="230" t="s">
        <v>1377</v>
      </c>
      <c r="O96" s="241" t="s">
        <v>564</v>
      </c>
      <c r="P96" s="239">
        <v>4</v>
      </c>
      <c r="Q96" s="241" t="s">
        <v>1385</v>
      </c>
      <c r="R96" s="241" t="s">
        <v>564</v>
      </c>
      <c r="S96" s="239">
        <v>1.5</v>
      </c>
      <c r="T96" s="241" t="s">
        <v>1387</v>
      </c>
      <c r="U96" s="241" t="s">
        <v>499</v>
      </c>
      <c r="V96" s="241" t="s">
        <v>499</v>
      </c>
      <c r="W96" s="241" t="s">
        <v>499</v>
      </c>
      <c r="X96" s="241" t="s">
        <v>499</v>
      </c>
      <c r="Y96" s="241" t="s">
        <v>499</v>
      </c>
      <c r="Z96" s="241" t="s">
        <v>499</v>
      </c>
      <c r="AA96" s="230" t="s">
        <v>865</v>
      </c>
    </row>
    <row r="97" spans="1:27">
      <c r="A97" s="178">
        <f t="shared" ref="A97:A115" si="4">+A96+1</f>
        <v>70</v>
      </c>
      <c r="B97" s="217" t="s">
        <v>699</v>
      </c>
      <c r="C97" s="218" t="s">
        <v>256</v>
      </c>
      <c r="D97" s="251">
        <v>100</v>
      </c>
      <c r="E97" s="217" t="s">
        <v>559</v>
      </c>
      <c r="F97" s="251">
        <v>21</v>
      </c>
      <c r="G97" s="245">
        <v>44295</v>
      </c>
      <c r="H97" s="230" t="s">
        <v>1393</v>
      </c>
      <c r="I97" s="230" t="s">
        <v>1395</v>
      </c>
      <c r="J97" s="217" t="s">
        <v>633</v>
      </c>
      <c r="K97" s="217" t="s">
        <v>430</v>
      </c>
      <c r="L97" s="209">
        <v>43282</v>
      </c>
      <c r="N97" s="230" t="s">
        <v>499</v>
      </c>
      <c r="O97" s="241" t="s">
        <v>564</v>
      </c>
      <c r="P97" s="241" t="s">
        <v>499</v>
      </c>
      <c r="Q97" s="241" t="s">
        <v>1394</v>
      </c>
      <c r="R97" s="241" t="s">
        <v>499</v>
      </c>
      <c r="S97" s="241" t="s">
        <v>499</v>
      </c>
      <c r="T97" s="241" t="s">
        <v>499</v>
      </c>
      <c r="U97" s="241" t="s">
        <v>499</v>
      </c>
      <c r="V97" s="241" t="s">
        <v>499</v>
      </c>
      <c r="W97" s="241" t="s">
        <v>499</v>
      </c>
      <c r="X97" s="241" t="s">
        <v>499</v>
      </c>
      <c r="Y97" s="241" t="s">
        <v>499</v>
      </c>
      <c r="Z97" s="241" t="s">
        <v>499</v>
      </c>
      <c r="AA97" s="230" t="s">
        <v>1338</v>
      </c>
    </row>
    <row r="98" spans="1:27">
      <c r="A98" s="178">
        <f t="shared" si="4"/>
        <v>71</v>
      </c>
      <c r="B98" s="217" t="s">
        <v>700</v>
      </c>
      <c r="C98" s="218" t="s">
        <v>256</v>
      </c>
      <c r="D98" s="251">
        <v>100</v>
      </c>
      <c r="E98" s="217" t="s">
        <v>559</v>
      </c>
      <c r="F98" s="251">
        <v>20</v>
      </c>
      <c r="G98" s="236">
        <v>44676</v>
      </c>
      <c r="H98" s="230" t="s">
        <v>1396</v>
      </c>
      <c r="J98" s="217" t="s">
        <v>633</v>
      </c>
      <c r="K98" s="217" t="s">
        <v>659</v>
      </c>
      <c r="L98" s="219" t="s">
        <v>644</v>
      </c>
      <c r="N98" s="230" t="s">
        <v>1397</v>
      </c>
      <c r="O98" s="241" t="s">
        <v>564</v>
      </c>
      <c r="P98" s="239">
        <v>5</v>
      </c>
      <c r="Q98" s="241" t="s">
        <v>1404</v>
      </c>
      <c r="R98" s="241" t="s">
        <v>689</v>
      </c>
      <c r="S98" s="241" t="s">
        <v>499</v>
      </c>
      <c r="T98" s="241" t="s">
        <v>1405</v>
      </c>
      <c r="U98" s="241" t="s">
        <v>499</v>
      </c>
      <c r="V98" s="241" t="s">
        <v>499</v>
      </c>
      <c r="W98" s="241" t="s">
        <v>499</v>
      </c>
      <c r="X98" s="241" t="s">
        <v>499</v>
      </c>
      <c r="Y98" s="241" t="s">
        <v>499</v>
      </c>
      <c r="Z98" s="241" t="s">
        <v>499</v>
      </c>
      <c r="AA98" s="230" t="s">
        <v>957</v>
      </c>
    </row>
    <row r="99" spans="1:27">
      <c r="A99" s="178">
        <f t="shared" si="4"/>
        <v>72</v>
      </c>
      <c r="B99" s="217" t="s">
        <v>707</v>
      </c>
      <c r="C99" s="218" t="s">
        <v>256</v>
      </c>
      <c r="D99" s="251">
        <v>80</v>
      </c>
      <c r="E99" s="217" t="s">
        <v>559</v>
      </c>
      <c r="F99" s="251">
        <v>20</v>
      </c>
      <c r="G99" s="236">
        <v>45009</v>
      </c>
      <c r="H99" s="230" t="s">
        <v>1503</v>
      </c>
      <c r="I99" s="230" t="s">
        <v>1504</v>
      </c>
      <c r="J99" s="217" t="s">
        <v>633</v>
      </c>
      <c r="K99" s="217" t="s">
        <v>639</v>
      </c>
      <c r="L99" s="178">
        <v>2021</v>
      </c>
      <c r="N99" s="230" t="s">
        <v>1505</v>
      </c>
      <c r="O99" s="241" t="s">
        <v>499</v>
      </c>
      <c r="P99" s="241" t="s">
        <v>499</v>
      </c>
      <c r="Q99" s="241" t="s">
        <v>499</v>
      </c>
      <c r="R99" s="241" t="s">
        <v>499</v>
      </c>
      <c r="S99" s="241" t="s">
        <v>499</v>
      </c>
      <c r="T99" s="241" t="s">
        <v>499</v>
      </c>
      <c r="U99" s="241" t="s">
        <v>499</v>
      </c>
      <c r="V99" s="241" t="s">
        <v>499</v>
      </c>
      <c r="W99" s="241" t="s">
        <v>499</v>
      </c>
      <c r="X99" s="241" t="s">
        <v>499</v>
      </c>
      <c r="Y99" s="241" t="s">
        <v>499</v>
      </c>
      <c r="Z99" s="241" t="s">
        <v>499</v>
      </c>
      <c r="AA99" s="230" t="s">
        <v>1060</v>
      </c>
    </row>
    <row r="100" spans="1:27">
      <c r="A100" s="178">
        <f t="shared" si="4"/>
        <v>73</v>
      </c>
      <c r="B100" s="217" t="s">
        <v>701</v>
      </c>
      <c r="C100" s="218" t="s">
        <v>256</v>
      </c>
      <c r="D100" s="251">
        <v>75</v>
      </c>
      <c r="E100" s="217" t="s">
        <v>559</v>
      </c>
      <c r="F100" s="251">
        <v>20</v>
      </c>
      <c r="G100" s="236">
        <v>44903</v>
      </c>
      <c r="H100" s="230" t="s">
        <v>1407</v>
      </c>
      <c r="I100" s="230" t="s">
        <v>1408</v>
      </c>
      <c r="J100" s="217" t="s">
        <v>633</v>
      </c>
      <c r="K100" s="217" t="s">
        <v>702</v>
      </c>
      <c r="L100" s="219" t="s">
        <v>644</v>
      </c>
      <c r="N100" s="230" t="s">
        <v>1409</v>
      </c>
      <c r="O100" s="241" t="s">
        <v>559</v>
      </c>
      <c r="P100" s="239">
        <v>11</v>
      </c>
      <c r="Q100" s="241" t="s">
        <v>1417</v>
      </c>
      <c r="R100" s="241" t="s">
        <v>564</v>
      </c>
      <c r="S100" s="239">
        <v>3</v>
      </c>
      <c r="T100" s="241" t="s">
        <v>1440</v>
      </c>
      <c r="U100" s="241" t="s">
        <v>689</v>
      </c>
      <c r="V100" s="239">
        <v>1.2</v>
      </c>
      <c r="W100" s="241" t="s">
        <v>1444</v>
      </c>
      <c r="X100" s="241" t="s">
        <v>499</v>
      </c>
      <c r="Y100" s="241" t="s">
        <v>499</v>
      </c>
      <c r="Z100" s="241" t="s">
        <v>499</v>
      </c>
      <c r="AA100" s="230" t="s">
        <v>861</v>
      </c>
    </row>
    <row r="101" spans="1:27">
      <c r="A101" s="178">
        <f t="shared" si="4"/>
        <v>74</v>
      </c>
      <c r="B101" s="217" t="s">
        <v>703</v>
      </c>
      <c r="C101" s="218" t="s">
        <v>256</v>
      </c>
      <c r="D101" s="251">
        <v>75</v>
      </c>
      <c r="E101" s="217" t="s">
        <v>559</v>
      </c>
      <c r="F101" s="251">
        <v>20</v>
      </c>
      <c r="G101" s="236">
        <v>44578</v>
      </c>
      <c r="H101" s="230" t="s">
        <v>1482</v>
      </c>
      <c r="J101" s="217" t="s">
        <v>633</v>
      </c>
      <c r="K101" s="217" t="s">
        <v>664</v>
      </c>
      <c r="L101" s="231">
        <v>43510</v>
      </c>
      <c r="N101" s="230" t="s">
        <v>1479</v>
      </c>
      <c r="O101" s="241" t="s">
        <v>564</v>
      </c>
      <c r="P101" s="239">
        <v>6</v>
      </c>
      <c r="Q101" s="241" t="s">
        <v>1480</v>
      </c>
      <c r="R101" s="241" t="s">
        <v>564</v>
      </c>
      <c r="S101" s="241" t="s">
        <v>499</v>
      </c>
      <c r="T101" s="241" t="s">
        <v>1481</v>
      </c>
      <c r="U101" s="241" t="s">
        <v>499</v>
      </c>
      <c r="V101" s="241" t="s">
        <v>499</v>
      </c>
      <c r="W101" s="241" t="s">
        <v>499</v>
      </c>
      <c r="X101" s="241" t="s">
        <v>499</v>
      </c>
      <c r="Y101" s="241" t="s">
        <v>499</v>
      </c>
      <c r="Z101" s="241" t="s">
        <v>499</v>
      </c>
      <c r="AA101" s="230" t="s">
        <v>1056</v>
      </c>
    </row>
    <row r="102" spans="1:27">
      <c r="A102" s="178">
        <f t="shared" si="4"/>
        <v>75</v>
      </c>
      <c r="B102" s="217" t="s">
        <v>704</v>
      </c>
      <c r="C102" s="218" t="s">
        <v>256</v>
      </c>
      <c r="D102" s="251">
        <v>75</v>
      </c>
      <c r="E102" s="217" t="s">
        <v>559</v>
      </c>
      <c r="F102" s="251">
        <v>20</v>
      </c>
      <c r="G102" s="236">
        <v>44602</v>
      </c>
      <c r="H102" s="230" t="s">
        <v>1483</v>
      </c>
      <c r="I102" s="230" t="s">
        <v>1484</v>
      </c>
      <c r="J102" s="217" t="s">
        <v>633</v>
      </c>
      <c r="K102" s="217" t="s">
        <v>664</v>
      </c>
      <c r="L102" s="178">
        <v>2019</v>
      </c>
      <c r="N102" s="230" t="s">
        <v>1485</v>
      </c>
      <c r="O102" s="241" t="s">
        <v>499</v>
      </c>
      <c r="P102" s="241" t="s">
        <v>499</v>
      </c>
      <c r="Q102" s="241" t="s">
        <v>499</v>
      </c>
      <c r="R102" s="241" t="s">
        <v>499</v>
      </c>
      <c r="S102" s="241" t="s">
        <v>499</v>
      </c>
      <c r="T102" s="241" t="s">
        <v>499</v>
      </c>
      <c r="U102" s="241" t="s">
        <v>499</v>
      </c>
      <c r="V102" s="241" t="s">
        <v>499</v>
      </c>
      <c r="W102" s="241" t="s">
        <v>499</v>
      </c>
      <c r="X102" s="241" t="s">
        <v>499</v>
      </c>
      <c r="Y102" s="241" t="s">
        <v>499</v>
      </c>
      <c r="Z102" s="241" t="s">
        <v>499</v>
      </c>
      <c r="AA102" s="230" t="s">
        <v>957</v>
      </c>
    </row>
    <row r="103" spans="1:27" s="64" customFormat="1">
      <c r="A103" s="64">
        <f t="shared" si="4"/>
        <v>76</v>
      </c>
      <c r="B103" s="64" t="s">
        <v>705</v>
      </c>
      <c r="C103" s="200" t="s">
        <v>256</v>
      </c>
      <c r="D103" s="197">
        <v>75</v>
      </c>
      <c r="E103" s="64" t="s">
        <v>559</v>
      </c>
      <c r="F103" s="197">
        <v>20</v>
      </c>
      <c r="G103" s="256">
        <v>44392</v>
      </c>
      <c r="H103" s="64" t="s">
        <v>1497</v>
      </c>
      <c r="I103" s="64" t="s">
        <v>1496</v>
      </c>
      <c r="J103" s="215" t="s">
        <v>633</v>
      </c>
      <c r="K103" s="215" t="s">
        <v>706</v>
      </c>
      <c r="L103" s="64">
        <v>2019</v>
      </c>
      <c r="N103" s="64" t="s">
        <v>1498</v>
      </c>
      <c r="O103" s="243" t="s">
        <v>564</v>
      </c>
      <c r="P103" s="243">
        <v>3.4</v>
      </c>
      <c r="Q103" s="243" t="s">
        <v>1499</v>
      </c>
      <c r="R103" s="243" t="s">
        <v>499</v>
      </c>
      <c r="S103" s="243" t="s">
        <v>499</v>
      </c>
      <c r="T103" s="243" t="s">
        <v>499</v>
      </c>
      <c r="U103" s="243" t="s">
        <v>499</v>
      </c>
      <c r="V103" s="243" t="s">
        <v>499</v>
      </c>
      <c r="W103" s="243" t="s">
        <v>499</v>
      </c>
      <c r="X103" s="243" t="s">
        <v>499</v>
      </c>
      <c r="Y103" s="243" t="s">
        <v>499</v>
      </c>
      <c r="Z103" s="243" t="s">
        <v>499</v>
      </c>
      <c r="AA103" s="64" t="s">
        <v>1137</v>
      </c>
    </row>
    <row r="104" spans="1:27" s="64" customFormat="1">
      <c r="A104" s="64">
        <f t="shared" si="4"/>
        <v>77</v>
      </c>
      <c r="B104" s="64" t="s">
        <v>1510</v>
      </c>
      <c r="C104" s="200" t="s">
        <v>256</v>
      </c>
      <c r="D104" s="197">
        <v>75</v>
      </c>
      <c r="E104" s="64" t="s">
        <v>559</v>
      </c>
      <c r="F104" s="197">
        <v>20</v>
      </c>
      <c r="G104" s="234">
        <v>44614</v>
      </c>
      <c r="H104" s="64" t="s">
        <v>1511</v>
      </c>
      <c r="J104" s="64" t="s">
        <v>634</v>
      </c>
      <c r="K104" s="64" t="s">
        <v>708</v>
      </c>
      <c r="L104" s="64">
        <v>2021</v>
      </c>
      <c r="N104" s="64" t="s">
        <v>1509</v>
      </c>
      <c r="O104" s="243" t="s">
        <v>499</v>
      </c>
      <c r="P104" s="243" t="s">
        <v>499</v>
      </c>
      <c r="Q104" s="243" t="s">
        <v>499</v>
      </c>
      <c r="R104" s="243" t="s">
        <v>499</v>
      </c>
      <c r="S104" s="243" t="s">
        <v>499</v>
      </c>
      <c r="T104" s="243" t="s">
        <v>499</v>
      </c>
      <c r="U104" s="243" t="s">
        <v>499</v>
      </c>
      <c r="V104" s="243" t="s">
        <v>499</v>
      </c>
      <c r="W104" s="243" t="s">
        <v>499</v>
      </c>
      <c r="X104" s="243" t="s">
        <v>499</v>
      </c>
      <c r="Y104" s="243" t="s">
        <v>499</v>
      </c>
      <c r="Z104" s="243" t="s">
        <v>499</v>
      </c>
      <c r="AA104" s="64" t="s">
        <v>1508</v>
      </c>
    </row>
    <row r="105" spans="1:27">
      <c r="A105" s="64">
        <f t="shared" si="4"/>
        <v>78</v>
      </c>
      <c r="B105" s="64" t="s">
        <v>709</v>
      </c>
      <c r="C105" s="218" t="s">
        <v>256</v>
      </c>
      <c r="D105" s="251">
        <v>75</v>
      </c>
      <c r="E105" s="217" t="s">
        <v>559</v>
      </c>
      <c r="F105" s="251">
        <v>20</v>
      </c>
      <c r="G105" s="245">
        <v>44455</v>
      </c>
      <c r="H105" s="230" t="s">
        <v>1523</v>
      </c>
      <c r="I105" s="230" t="s">
        <v>1521</v>
      </c>
      <c r="J105" s="217" t="s">
        <v>634</v>
      </c>
      <c r="K105" s="217" t="s">
        <v>710</v>
      </c>
      <c r="L105" s="220" t="s">
        <v>644</v>
      </c>
      <c r="N105" s="230" t="s">
        <v>1522</v>
      </c>
      <c r="O105" s="241" t="s">
        <v>564</v>
      </c>
      <c r="P105" s="241" t="s">
        <v>1525</v>
      </c>
      <c r="Q105" s="241" t="s">
        <v>499</v>
      </c>
      <c r="R105" s="241" t="s">
        <v>499</v>
      </c>
      <c r="S105" s="241" t="s">
        <v>499</v>
      </c>
      <c r="T105" s="241" t="s">
        <v>499</v>
      </c>
      <c r="U105" s="241" t="s">
        <v>499</v>
      </c>
      <c r="V105" s="241" t="s">
        <v>499</v>
      </c>
      <c r="W105" s="241" t="s">
        <v>499</v>
      </c>
      <c r="X105" s="241" t="s">
        <v>499</v>
      </c>
      <c r="Y105" s="241" t="s">
        <v>499</v>
      </c>
      <c r="Z105" s="241" t="s">
        <v>499</v>
      </c>
      <c r="AA105" s="230" t="s">
        <v>1520</v>
      </c>
    </row>
    <row r="106" spans="1:27">
      <c r="A106" s="178">
        <f t="shared" si="4"/>
        <v>79</v>
      </c>
      <c r="B106" s="217" t="s">
        <v>711</v>
      </c>
      <c r="C106" s="218" t="s">
        <v>256</v>
      </c>
      <c r="D106" s="251">
        <v>75</v>
      </c>
      <c r="E106" s="217" t="s">
        <v>559</v>
      </c>
      <c r="F106" s="251">
        <v>20</v>
      </c>
      <c r="G106" s="245">
        <v>44371</v>
      </c>
      <c r="H106" s="230" t="s">
        <v>1539</v>
      </c>
      <c r="I106" s="230" t="s">
        <v>1540</v>
      </c>
      <c r="J106" s="217" t="s">
        <v>633</v>
      </c>
      <c r="K106" s="217" t="s">
        <v>660</v>
      </c>
      <c r="L106" s="220">
        <v>2020</v>
      </c>
      <c r="N106" s="230" t="s">
        <v>1541</v>
      </c>
      <c r="O106" s="241" t="s">
        <v>499</v>
      </c>
      <c r="P106" s="241" t="s">
        <v>499</v>
      </c>
      <c r="Q106" s="241" t="s">
        <v>499</v>
      </c>
      <c r="R106" s="241" t="s">
        <v>499</v>
      </c>
      <c r="S106" s="241" t="s">
        <v>499</v>
      </c>
      <c r="T106" s="241" t="s">
        <v>499</v>
      </c>
      <c r="U106" s="241" t="s">
        <v>499</v>
      </c>
      <c r="V106" s="241" t="s">
        <v>499</v>
      </c>
      <c r="W106" s="241" t="s">
        <v>499</v>
      </c>
      <c r="X106" s="241" t="s">
        <v>499</v>
      </c>
      <c r="Y106" s="241" t="s">
        <v>499</v>
      </c>
      <c r="Z106" s="241" t="s">
        <v>499</v>
      </c>
      <c r="AA106" s="230" t="s">
        <v>1137</v>
      </c>
    </row>
    <row r="107" spans="1:27">
      <c r="A107" s="64">
        <f t="shared" si="4"/>
        <v>80</v>
      </c>
      <c r="B107" s="64" t="s">
        <v>713</v>
      </c>
      <c r="C107" s="200" t="s">
        <v>256</v>
      </c>
      <c r="D107" s="197">
        <v>75</v>
      </c>
      <c r="E107" s="64" t="s">
        <v>559</v>
      </c>
      <c r="F107" s="197">
        <v>17</v>
      </c>
      <c r="G107" s="234">
        <v>44679</v>
      </c>
      <c r="H107" s="64" t="s">
        <v>1542</v>
      </c>
      <c r="I107" s="64" t="s">
        <v>1543</v>
      </c>
      <c r="J107" s="64" t="s">
        <v>634</v>
      </c>
      <c r="K107" s="64" t="s">
        <v>710</v>
      </c>
      <c r="L107" s="64">
        <v>2019</v>
      </c>
      <c r="N107" s="230" t="s">
        <v>1544</v>
      </c>
      <c r="O107" s="241" t="s">
        <v>564</v>
      </c>
      <c r="P107" s="239">
        <v>4.5</v>
      </c>
      <c r="Q107" s="241" t="s">
        <v>1553</v>
      </c>
      <c r="R107" s="241" t="s">
        <v>499</v>
      </c>
      <c r="S107" s="241" t="s">
        <v>499</v>
      </c>
      <c r="T107" s="241" t="s">
        <v>499</v>
      </c>
      <c r="U107" s="241" t="s">
        <v>499</v>
      </c>
      <c r="V107" s="241" t="s">
        <v>499</v>
      </c>
      <c r="W107" s="241" t="s">
        <v>499</v>
      </c>
      <c r="X107" s="241" t="s">
        <v>499</v>
      </c>
      <c r="Y107" s="241" t="s">
        <v>499</v>
      </c>
      <c r="Z107" s="241" t="s">
        <v>499</v>
      </c>
      <c r="AA107" s="230" t="s">
        <v>858</v>
      </c>
    </row>
    <row r="108" spans="1:27">
      <c r="A108" s="178">
        <f t="shared" si="4"/>
        <v>81</v>
      </c>
      <c r="B108" s="204" t="s">
        <v>591</v>
      </c>
      <c r="C108" s="238" t="s">
        <v>256</v>
      </c>
      <c r="D108" s="251">
        <v>50</v>
      </c>
      <c r="E108" s="230" t="s">
        <v>564</v>
      </c>
      <c r="F108" s="251">
        <v>4.5</v>
      </c>
      <c r="G108" s="236">
        <v>45056</v>
      </c>
      <c r="H108" s="230" t="s">
        <v>1580</v>
      </c>
      <c r="I108" s="230" t="s">
        <v>1578</v>
      </c>
      <c r="J108" s="230" t="s">
        <v>633</v>
      </c>
      <c r="K108" s="230" t="s">
        <v>1576</v>
      </c>
      <c r="L108" s="178">
        <v>2022</v>
      </c>
      <c r="N108" s="230" t="s">
        <v>1577</v>
      </c>
      <c r="O108" s="241" t="s">
        <v>499</v>
      </c>
      <c r="P108" s="241" t="s">
        <v>499</v>
      </c>
      <c r="Q108" s="241" t="s">
        <v>499</v>
      </c>
      <c r="R108" s="241" t="s">
        <v>499</v>
      </c>
      <c r="S108" s="241" t="s">
        <v>499</v>
      </c>
      <c r="T108" s="241" t="s">
        <v>499</v>
      </c>
      <c r="U108" s="241" t="s">
        <v>499</v>
      </c>
      <c r="V108" s="241" t="s">
        <v>499</v>
      </c>
      <c r="W108" s="241" t="s">
        <v>499</v>
      </c>
      <c r="X108" s="241" t="s">
        <v>499</v>
      </c>
      <c r="Y108" s="241" t="s">
        <v>499</v>
      </c>
      <c r="Z108" s="241" t="s">
        <v>499</v>
      </c>
      <c r="AA108" s="230" t="s">
        <v>861</v>
      </c>
    </row>
    <row r="109" spans="1:27">
      <c r="A109" s="178">
        <f t="shared" si="4"/>
        <v>82</v>
      </c>
      <c r="B109" s="230" t="s">
        <v>1574</v>
      </c>
      <c r="C109" s="238" t="s">
        <v>256</v>
      </c>
      <c r="D109" s="251">
        <v>50</v>
      </c>
      <c r="E109" s="230" t="s">
        <v>564</v>
      </c>
      <c r="F109" s="251">
        <v>5.5</v>
      </c>
      <c r="G109" s="236">
        <v>45092</v>
      </c>
      <c r="H109" s="230" t="s">
        <v>1575</v>
      </c>
      <c r="J109" s="230" t="s">
        <v>633</v>
      </c>
      <c r="K109" s="230" t="s">
        <v>656</v>
      </c>
      <c r="L109" s="231">
        <v>44176</v>
      </c>
      <c r="N109" s="230" t="s">
        <v>1581</v>
      </c>
      <c r="O109" s="241" t="s">
        <v>689</v>
      </c>
      <c r="P109" s="239">
        <v>0.125</v>
      </c>
      <c r="Q109" s="241" t="s">
        <v>1450</v>
      </c>
      <c r="R109" s="241" t="s">
        <v>499</v>
      </c>
      <c r="S109" s="241" t="s">
        <v>499</v>
      </c>
      <c r="T109" s="241" t="s">
        <v>499</v>
      </c>
      <c r="U109" s="241" t="s">
        <v>499</v>
      </c>
      <c r="V109" s="241" t="s">
        <v>499</v>
      </c>
      <c r="W109" s="241" t="s">
        <v>499</v>
      </c>
      <c r="X109" s="241" t="s">
        <v>499</v>
      </c>
      <c r="Y109" s="241" t="s">
        <v>499</v>
      </c>
      <c r="Z109" s="241" t="s">
        <v>499</v>
      </c>
      <c r="AA109" s="230" t="s">
        <v>858</v>
      </c>
    </row>
    <row r="110" spans="1:27">
      <c r="A110" s="178">
        <f t="shared" si="4"/>
        <v>83</v>
      </c>
      <c r="B110" s="221" t="s">
        <v>714</v>
      </c>
      <c r="C110" s="222" t="s">
        <v>256</v>
      </c>
      <c r="D110" s="251">
        <v>75</v>
      </c>
      <c r="E110" s="230" t="s">
        <v>564</v>
      </c>
      <c r="F110" s="251">
        <v>16</v>
      </c>
      <c r="G110" s="245">
        <v>44298</v>
      </c>
      <c r="H110" s="230"/>
      <c r="I110" s="230" t="s">
        <v>1595</v>
      </c>
      <c r="J110" s="221" t="s">
        <v>633</v>
      </c>
      <c r="K110" s="221" t="s">
        <v>715</v>
      </c>
      <c r="L110" s="178">
        <v>2019</v>
      </c>
      <c r="N110" s="230" t="s">
        <v>1596</v>
      </c>
      <c r="O110" s="241" t="s">
        <v>564</v>
      </c>
      <c r="P110" s="241" t="s">
        <v>499</v>
      </c>
      <c r="Q110" s="241" t="s">
        <v>1602</v>
      </c>
      <c r="R110" s="241" t="s">
        <v>499</v>
      </c>
      <c r="S110" s="241" t="s">
        <v>499</v>
      </c>
      <c r="T110" s="241" t="s">
        <v>499</v>
      </c>
      <c r="U110" s="241" t="s">
        <v>499</v>
      </c>
      <c r="V110" s="241" t="s">
        <v>499</v>
      </c>
      <c r="W110" s="241" t="s">
        <v>499</v>
      </c>
      <c r="X110" s="241" t="s">
        <v>499</v>
      </c>
      <c r="Y110" s="241" t="s">
        <v>499</v>
      </c>
      <c r="Z110" s="241" t="s">
        <v>499</v>
      </c>
      <c r="AA110" s="230" t="s">
        <v>858</v>
      </c>
    </row>
    <row r="111" spans="1:27">
      <c r="A111" s="178">
        <f t="shared" si="4"/>
        <v>84</v>
      </c>
      <c r="B111" s="221" t="s">
        <v>717</v>
      </c>
      <c r="C111" s="222" t="s">
        <v>256</v>
      </c>
      <c r="D111" s="251">
        <v>75</v>
      </c>
      <c r="E111" s="230" t="s">
        <v>559</v>
      </c>
      <c r="F111" s="251">
        <v>15</v>
      </c>
      <c r="G111" s="236">
        <v>44468</v>
      </c>
      <c r="H111" s="64" t="s">
        <v>1608</v>
      </c>
      <c r="J111" s="221" t="s">
        <v>633</v>
      </c>
      <c r="K111" s="221" t="s">
        <v>558</v>
      </c>
      <c r="L111" s="178">
        <v>2021</v>
      </c>
      <c r="N111" s="230" t="s">
        <v>1607</v>
      </c>
      <c r="O111" s="241" t="s">
        <v>499</v>
      </c>
      <c r="P111" s="241" t="s">
        <v>499</v>
      </c>
      <c r="Q111" s="241" t="s">
        <v>499</v>
      </c>
      <c r="R111" s="241" t="s">
        <v>499</v>
      </c>
      <c r="S111" s="241" t="s">
        <v>499</v>
      </c>
      <c r="T111" s="241" t="s">
        <v>499</v>
      </c>
      <c r="U111" s="241" t="s">
        <v>499</v>
      </c>
      <c r="V111" s="241" t="s">
        <v>499</v>
      </c>
      <c r="W111" s="241" t="s">
        <v>499</v>
      </c>
      <c r="X111" s="241" t="s">
        <v>499</v>
      </c>
      <c r="Y111" s="241" t="s">
        <v>499</v>
      </c>
      <c r="Z111" s="241" t="s">
        <v>499</v>
      </c>
      <c r="AA111" s="230" t="s">
        <v>856</v>
      </c>
    </row>
    <row r="112" spans="1:27">
      <c r="A112" s="178">
        <f t="shared" si="4"/>
        <v>85</v>
      </c>
      <c r="B112" s="259" t="s">
        <v>1624</v>
      </c>
      <c r="C112" s="222" t="s">
        <v>256</v>
      </c>
      <c r="D112" s="251">
        <v>50</v>
      </c>
      <c r="E112" s="230" t="s">
        <v>559</v>
      </c>
      <c r="F112" s="251">
        <v>6</v>
      </c>
      <c r="G112" s="236">
        <v>44917</v>
      </c>
      <c r="H112" s="259" t="s">
        <v>1629</v>
      </c>
      <c r="J112" s="259" t="s">
        <v>633</v>
      </c>
      <c r="K112" s="259" t="s">
        <v>1628</v>
      </c>
      <c r="N112" s="259" t="s">
        <v>1627</v>
      </c>
      <c r="O112" s="262" t="s">
        <v>564</v>
      </c>
      <c r="P112" s="239">
        <v>5.9</v>
      </c>
      <c r="Q112" s="262" t="s">
        <v>1632</v>
      </c>
      <c r="R112" s="262" t="s">
        <v>564</v>
      </c>
      <c r="S112" s="262" t="s">
        <v>499</v>
      </c>
      <c r="T112" s="262" t="s">
        <v>1634</v>
      </c>
      <c r="U112" s="262" t="s">
        <v>564</v>
      </c>
      <c r="V112" s="239">
        <v>3.6</v>
      </c>
      <c r="W112" s="262" t="s">
        <v>1635</v>
      </c>
      <c r="X112" s="241" t="s">
        <v>499</v>
      </c>
      <c r="Y112" s="241" t="s">
        <v>499</v>
      </c>
      <c r="Z112" s="241" t="s">
        <v>499</v>
      </c>
      <c r="AA112" s="259" t="s">
        <v>1625</v>
      </c>
    </row>
    <row r="113" spans="1:27">
      <c r="A113" s="178">
        <f t="shared" si="4"/>
        <v>86</v>
      </c>
      <c r="B113" s="204" t="s">
        <v>589</v>
      </c>
      <c r="C113" s="238" t="s">
        <v>256</v>
      </c>
      <c r="D113" s="251">
        <v>50</v>
      </c>
      <c r="E113" s="230" t="s">
        <v>564</v>
      </c>
      <c r="F113" s="251">
        <v>2.5</v>
      </c>
      <c r="G113" s="236">
        <v>44469</v>
      </c>
      <c r="H113" s="230" t="s">
        <v>1461</v>
      </c>
      <c r="I113" s="230" t="s">
        <v>1451</v>
      </c>
      <c r="J113" s="230" t="s">
        <v>633</v>
      </c>
      <c r="K113" s="230" t="s">
        <v>639</v>
      </c>
      <c r="L113" s="180">
        <v>44211</v>
      </c>
      <c r="N113" s="230" t="s">
        <v>1452</v>
      </c>
      <c r="O113" s="241" t="s">
        <v>689</v>
      </c>
      <c r="P113" s="241" t="s">
        <v>499</v>
      </c>
      <c r="Q113" s="241" t="s">
        <v>1450</v>
      </c>
      <c r="R113" s="241" t="s">
        <v>499</v>
      </c>
      <c r="S113" s="241" t="s">
        <v>499</v>
      </c>
      <c r="T113" s="241" t="s">
        <v>499</v>
      </c>
      <c r="U113" s="241" t="s">
        <v>499</v>
      </c>
      <c r="V113" s="241" t="s">
        <v>499</v>
      </c>
      <c r="W113" s="241" t="s">
        <v>499</v>
      </c>
      <c r="X113" s="241" t="s">
        <v>499</v>
      </c>
      <c r="Y113" s="241" t="s">
        <v>499</v>
      </c>
      <c r="Z113" s="241" t="s">
        <v>499</v>
      </c>
      <c r="AA113" s="230" t="s">
        <v>858</v>
      </c>
    </row>
    <row r="114" spans="1:27">
      <c r="A114" s="178">
        <f t="shared" si="4"/>
        <v>87</v>
      </c>
      <c r="B114" s="204" t="s">
        <v>590</v>
      </c>
      <c r="C114" s="238" t="s">
        <v>256</v>
      </c>
      <c r="D114" s="251">
        <v>50</v>
      </c>
      <c r="E114" s="230" t="s">
        <v>564</v>
      </c>
      <c r="F114" s="251">
        <v>1.5</v>
      </c>
      <c r="G114" s="236">
        <v>45061</v>
      </c>
      <c r="H114" s="230" t="s">
        <v>1514</v>
      </c>
      <c r="I114" s="230" t="s">
        <v>1519</v>
      </c>
      <c r="J114" s="230" t="s">
        <v>632</v>
      </c>
      <c r="K114" s="230" t="s">
        <v>1515</v>
      </c>
      <c r="L114" s="178">
        <v>2023</v>
      </c>
      <c r="N114" s="230" t="s">
        <v>1516</v>
      </c>
      <c r="O114" s="241" t="s">
        <v>499</v>
      </c>
      <c r="P114" s="241" t="s">
        <v>499</v>
      </c>
      <c r="Q114" s="241" t="s">
        <v>499</v>
      </c>
      <c r="R114" s="241" t="s">
        <v>499</v>
      </c>
      <c r="S114" s="241" t="s">
        <v>499</v>
      </c>
      <c r="T114" s="241" t="s">
        <v>499</v>
      </c>
      <c r="U114" s="241" t="s">
        <v>499</v>
      </c>
      <c r="V114" s="241" t="s">
        <v>499</v>
      </c>
      <c r="W114" s="241" t="s">
        <v>499</v>
      </c>
      <c r="X114" s="241" t="s">
        <v>499</v>
      </c>
      <c r="Y114" s="241" t="s">
        <v>499</v>
      </c>
      <c r="Z114" s="241" t="s">
        <v>499</v>
      </c>
      <c r="AA114" s="230" t="s">
        <v>1518</v>
      </c>
    </row>
    <row r="115" spans="1:27">
      <c r="A115" s="178">
        <f t="shared" si="4"/>
        <v>88</v>
      </c>
      <c r="B115" s="221" t="s">
        <v>718</v>
      </c>
      <c r="C115" s="222" t="s">
        <v>256</v>
      </c>
      <c r="D115" s="251">
        <v>50</v>
      </c>
      <c r="E115" s="259" t="s">
        <v>559</v>
      </c>
      <c r="F115" s="251">
        <v>15</v>
      </c>
      <c r="G115" s="236">
        <v>44838</v>
      </c>
      <c r="H115" s="259" t="s">
        <v>1636</v>
      </c>
      <c r="I115" s="259" t="s">
        <v>1637</v>
      </c>
      <c r="J115" s="221" t="s">
        <v>633</v>
      </c>
      <c r="K115" s="221" t="s">
        <v>575</v>
      </c>
      <c r="L115" s="178">
        <v>2020</v>
      </c>
      <c r="N115" s="259" t="s">
        <v>1638</v>
      </c>
      <c r="O115" s="262" t="s">
        <v>499</v>
      </c>
      <c r="P115" s="262" t="s">
        <v>499</v>
      </c>
      <c r="Q115" s="262" t="s">
        <v>499</v>
      </c>
      <c r="R115" s="262" t="s">
        <v>499</v>
      </c>
      <c r="S115" s="262" t="s">
        <v>499</v>
      </c>
      <c r="T115" s="262" t="s">
        <v>499</v>
      </c>
      <c r="U115" s="262" t="s">
        <v>499</v>
      </c>
      <c r="V115" s="262" t="s">
        <v>499</v>
      </c>
      <c r="W115" s="262" t="s">
        <v>499</v>
      </c>
      <c r="X115" s="262" t="s">
        <v>499</v>
      </c>
      <c r="Y115" s="262" t="s">
        <v>499</v>
      </c>
      <c r="Z115" s="262" t="s">
        <v>499</v>
      </c>
      <c r="AA115" s="259" t="s">
        <v>865</v>
      </c>
    </row>
    <row r="116" spans="1:27">
      <c r="B116" s="230" t="s">
        <v>1517</v>
      </c>
      <c r="C116" s="238" t="s">
        <v>256</v>
      </c>
      <c r="D116" s="251">
        <v>50</v>
      </c>
      <c r="E116" s="230" t="s">
        <v>559</v>
      </c>
      <c r="F116" s="251">
        <v>12.5</v>
      </c>
      <c r="G116" s="236">
        <v>44784</v>
      </c>
      <c r="H116" s="230" t="s">
        <v>1529</v>
      </c>
      <c r="I116" s="230" t="s">
        <v>1530</v>
      </c>
      <c r="J116" s="230" t="s">
        <v>633</v>
      </c>
      <c r="K116" s="230" t="s">
        <v>430</v>
      </c>
      <c r="L116" s="220">
        <v>2018</v>
      </c>
      <c r="N116" s="230" t="s">
        <v>1528</v>
      </c>
      <c r="O116" s="241" t="s">
        <v>559</v>
      </c>
      <c r="P116" s="241">
        <v>10</v>
      </c>
      <c r="Q116" s="241" t="s">
        <v>1535</v>
      </c>
      <c r="R116" s="241" t="s">
        <v>689</v>
      </c>
      <c r="S116" s="241" t="s">
        <v>499</v>
      </c>
      <c r="T116" s="241" t="s">
        <v>1537</v>
      </c>
      <c r="U116" s="241" t="s">
        <v>564</v>
      </c>
      <c r="V116" s="241" t="s">
        <v>499</v>
      </c>
      <c r="W116" s="241" t="s">
        <v>1538</v>
      </c>
      <c r="X116" s="241" t="s">
        <v>499</v>
      </c>
      <c r="Y116" s="241" t="s">
        <v>499</v>
      </c>
      <c r="Z116" s="241" t="s">
        <v>499</v>
      </c>
      <c r="AA116" s="230" t="s">
        <v>1527</v>
      </c>
    </row>
    <row r="117" spans="1:27" s="64" customFormat="1">
      <c r="B117" s="64" t="s">
        <v>587</v>
      </c>
      <c r="C117" s="200" t="s">
        <v>256</v>
      </c>
      <c r="D117" s="197">
        <v>50</v>
      </c>
      <c r="E117" s="64" t="s">
        <v>564</v>
      </c>
      <c r="F117" s="197">
        <v>5.3</v>
      </c>
      <c r="G117" s="234">
        <v>45069</v>
      </c>
      <c r="H117" s="64" t="s">
        <v>1644</v>
      </c>
      <c r="I117" s="64" t="s">
        <v>1643</v>
      </c>
      <c r="J117" s="64" t="s">
        <v>633</v>
      </c>
      <c r="K117" s="64" t="s">
        <v>659</v>
      </c>
      <c r="L117" s="211">
        <v>44531</v>
      </c>
      <c r="N117" s="64" t="s">
        <v>1645</v>
      </c>
      <c r="O117" s="243" t="s">
        <v>689</v>
      </c>
      <c r="P117" s="243" t="s">
        <v>499</v>
      </c>
      <c r="Q117" s="243" t="s">
        <v>1646</v>
      </c>
      <c r="R117" s="243" t="s">
        <v>499</v>
      </c>
      <c r="S117" s="243" t="s">
        <v>499</v>
      </c>
      <c r="T117" s="243" t="s">
        <v>499</v>
      </c>
      <c r="U117" s="243" t="s">
        <v>499</v>
      </c>
      <c r="V117" s="243" t="s">
        <v>499</v>
      </c>
      <c r="W117" s="243" t="s">
        <v>499</v>
      </c>
      <c r="X117" s="243" t="s">
        <v>499</v>
      </c>
      <c r="Y117" s="243" t="s">
        <v>499</v>
      </c>
      <c r="Z117" s="243" t="s">
        <v>499</v>
      </c>
      <c r="AA117" s="64" t="s">
        <v>1642</v>
      </c>
    </row>
    <row r="118" spans="1:27">
      <c r="B118" s="221" t="s">
        <v>470</v>
      </c>
      <c r="C118" s="222" t="s">
        <v>256</v>
      </c>
      <c r="D118" s="251">
        <v>50</v>
      </c>
      <c r="E118" s="259" t="s">
        <v>564</v>
      </c>
      <c r="F118" s="251">
        <v>15</v>
      </c>
      <c r="G118" s="236">
        <v>44691</v>
      </c>
      <c r="H118" s="259" t="s">
        <v>1482</v>
      </c>
      <c r="I118" s="259" t="s">
        <v>1649</v>
      </c>
      <c r="J118" s="221" t="s">
        <v>633</v>
      </c>
      <c r="K118" s="221" t="s">
        <v>719</v>
      </c>
      <c r="L118" s="231">
        <v>44362</v>
      </c>
      <c r="N118" s="259" t="s">
        <v>1652</v>
      </c>
      <c r="O118" s="262" t="s">
        <v>499</v>
      </c>
      <c r="P118" s="262" t="s">
        <v>499</v>
      </c>
      <c r="Q118" s="262" t="s">
        <v>499</v>
      </c>
      <c r="R118" s="262" t="s">
        <v>499</v>
      </c>
      <c r="S118" s="262" t="s">
        <v>499</v>
      </c>
      <c r="T118" s="262" t="s">
        <v>499</v>
      </c>
      <c r="U118" s="262" t="s">
        <v>499</v>
      </c>
      <c r="V118" s="262" t="s">
        <v>499</v>
      </c>
      <c r="W118" s="262" t="s">
        <v>499</v>
      </c>
      <c r="X118" s="262" t="s">
        <v>499</v>
      </c>
      <c r="Y118" s="262" t="s">
        <v>499</v>
      </c>
      <c r="Z118" s="262" t="s">
        <v>499</v>
      </c>
      <c r="AA118" s="259" t="s">
        <v>868</v>
      </c>
    </row>
    <row r="119" spans="1:27">
      <c r="B119" s="221" t="s">
        <v>720</v>
      </c>
      <c r="C119" s="222" t="s">
        <v>256</v>
      </c>
      <c r="D119" s="251">
        <v>50</v>
      </c>
      <c r="E119" s="259" t="s">
        <v>559</v>
      </c>
      <c r="F119" s="251">
        <v>15</v>
      </c>
      <c r="G119" s="245">
        <v>44482</v>
      </c>
      <c r="H119" s="259" t="s">
        <v>1663</v>
      </c>
      <c r="I119" s="259" t="s">
        <v>1660</v>
      </c>
      <c r="J119" s="221" t="s">
        <v>633</v>
      </c>
      <c r="K119" s="221" t="s">
        <v>656</v>
      </c>
      <c r="L119" s="178">
        <v>2020</v>
      </c>
      <c r="N119" s="259" t="s">
        <v>1662</v>
      </c>
      <c r="O119" s="262" t="s">
        <v>564</v>
      </c>
      <c r="P119" s="239">
        <v>4.5</v>
      </c>
      <c r="Q119" s="262" t="s">
        <v>1664</v>
      </c>
      <c r="R119" s="262" t="s">
        <v>689</v>
      </c>
      <c r="S119" s="239">
        <v>0.125</v>
      </c>
      <c r="T119" s="262" t="s">
        <v>763</v>
      </c>
      <c r="U119" s="262" t="s">
        <v>499</v>
      </c>
      <c r="V119" s="262" t="s">
        <v>499</v>
      </c>
      <c r="W119" s="262" t="s">
        <v>499</v>
      </c>
      <c r="X119" s="262" t="s">
        <v>499</v>
      </c>
      <c r="Y119" s="262" t="s">
        <v>499</v>
      </c>
      <c r="Z119" s="262" t="s">
        <v>499</v>
      </c>
      <c r="AA119" s="259" t="s">
        <v>857</v>
      </c>
    </row>
    <row r="120" spans="1:27">
      <c r="B120" s="221" t="s">
        <v>721</v>
      </c>
      <c r="C120" s="222" t="s">
        <v>256</v>
      </c>
      <c r="D120" s="251">
        <v>50</v>
      </c>
      <c r="E120" s="223" t="s">
        <v>559</v>
      </c>
      <c r="F120" s="251">
        <v>14.5</v>
      </c>
      <c r="G120" s="245">
        <v>44389</v>
      </c>
      <c r="H120" s="259" t="s">
        <v>1670</v>
      </c>
      <c r="I120" s="259" t="s">
        <v>1668</v>
      </c>
      <c r="J120" s="221" t="s">
        <v>633</v>
      </c>
      <c r="K120" s="221" t="s">
        <v>656</v>
      </c>
      <c r="L120" s="178">
        <v>2019</v>
      </c>
      <c r="N120" s="259" t="s">
        <v>1669</v>
      </c>
      <c r="O120" s="262" t="s">
        <v>564</v>
      </c>
      <c r="P120" s="239">
        <v>3</v>
      </c>
      <c r="Q120" s="262" t="s">
        <v>1678</v>
      </c>
      <c r="R120" s="262" t="s">
        <v>689</v>
      </c>
      <c r="S120" s="262" t="s">
        <v>499</v>
      </c>
      <c r="T120" s="262" t="s">
        <v>1679</v>
      </c>
      <c r="U120" s="262" t="s">
        <v>499</v>
      </c>
      <c r="V120" s="262" t="s">
        <v>499</v>
      </c>
      <c r="W120" s="262" t="s">
        <v>499</v>
      </c>
      <c r="X120" s="262" t="s">
        <v>499</v>
      </c>
      <c r="Y120" s="262" t="s">
        <v>499</v>
      </c>
      <c r="Z120" s="262" t="s">
        <v>499</v>
      </c>
      <c r="AA120" s="259" t="s">
        <v>858</v>
      </c>
    </row>
    <row r="121" spans="1:27">
      <c r="B121" s="223" t="s">
        <v>722</v>
      </c>
      <c r="C121" s="224" t="s">
        <v>256</v>
      </c>
      <c r="D121" s="251">
        <v>50</v>
      </c>
      <c r="E121" s="259" t="s">
        <v>564</v>
      </c>
      <c r="F121" s="251">
        <v>15</v>
      </c>
      <c r="G121" s="236">
        <v>44999</v>
      </c>
      <c r="H121" s="259" t="s">
        <v>940</v>
      </c>
      <c r="I121" s="259" t="s">
        <v>1684</v>
      </c>
      <c r="J121" s="223" t="s">
        <v>633</v>
      </c>
      <c r="K121" s="221" t="s">
        <v>656</v>
      </c>
      <c r="L121" s="178">
        <v>2021</v>
      </c>
      <c r="M121" s="259" t="s">
        <v>1685</v>
      </c>
      <c r="N121" s="259" t="s">
        <v>499</v>
      </c>
      <c r="O121" s="262" t="s">
        <v>689</v>
      </c>
      <c r="P121" s="239">
        <v>4.5</v>
      </c>
      <c r="Q121" s="262" t="s">
        <v>1681</v>
      </c>
      <c r="R121" s="262" t="s">
        <v>499</v>
      </c>
      <c r="S121" s="262" t="s">
        <v>499</v>
      </c>
      <c r="T121" s="262" t="s">
        <v>499</v>
      </c>
      <c r="U121" s="262" t="s">
        <v>499</v>
      </c>
      <c r="V121" s="262" t="s">
        <v>499</v>
      </c>
      <c r="W121" s="262" t="s">
        <v>499</v>
      </c>
      <c r="X121" s="262" t="s">
        <v>499</v>
      </c>
      <c r="Y121" s="262" t="s">
        <v>499</v>
      </c>
      <c r="Z121" s="262" t="s">
        <v>499</v>
      </c>
      <c r="AA121" s="259" t="s">
        <v>858</v>
      </c>
    </row>
    <row r="122" spans="1:27">
      <c r="B122" s="223" t="s">
        <v>723</v>
      </c>
      <c r="C122" s="224" t="s">
        <v>256</v>
      </c>
      <c r="D122" s="251">
        <v>50</v>
      </c>
      <c r="E122" s="223" t="s">
        <v>559</v>
      </c>
      <c r="F122" s="251">
        <v>14</v>
      </c>
      <c r="G122" s="236">
        <v>44705</v>
      </c>
      <c r="H122" s="259" t="s">
        <v>1482</v>
      </c>
      <c r="I122" s="259" t="s">
        <v>1686</v>
      </c>
      <c r="J122" s="223" t="s">
        <v>633</v>
      </c>
      <c r="K122" s="223" t="s">
        <v>719</v>
      </c>
      <c r="L122" s="178">
        <v>2019</v>
      </c>
      <c r="N122" s="259" t="s">
        <v>1687</v>
      </c>
      <c r="O122" s="262" t="s">
        <v>564</v>
      </c>
      <c r="P122" s="239">
        <v>5</v>
      </c>
      <c r="Q122" s="262" t="s">
        <v>1689</v>
      </c>
      <c r="R122" s="262" t="s">
        <v>689</v>
      </c>
      <c r="S122" s="239">
        <v>0.62</v>
      </c>
      <c r="T122" s="262" t="s">
        <v>1690</v>
      </c>
      <c r="U122" s="262" t="s">
        <v>499</v>
      </c>
      <c r="V122" s="262" t="s">
        <v>499</v>
      </c>
      <c r="W122" s="262" t="s">
        <v>499</v>
      </c>
      <c r="X122" s="262" t="s">
        <v>499</v>
      </c>
      <c r="Y122" s="262" t="s">
        <v>499</v>
      </c>
      <c r="Z122" s="262" t="s">
        <v>499</v>
      </c>
      <c r="AA122" s="259" t="s">
        <v>1518</v>
      </c>
    </row>
    <row r="123" spans="1:27" s="259" customFormat="1">
      <c r="B123" s="259" t="s">
        <v>471</v>
      </c>
      <c r="C123" s="264" t="s">
        <v>256</v>
      </c>
      <c r="D123" s="263">
        <v>50</v>
      </c>
      <c r="E123" s="259" t="s">
        <v>564</v>
      </c>
      <c r="F123" s="263">
        <v>13.75</v>
      </c>
      <c r="G123" s="265">
        <v>45014</v>
      </c>
      <c r="I123" s="259" t="s">
        <v>1742</v>
      </c>
      <c r="J123" s="259" t="s">
        <v>634</v>
      </c>
      <c r="K123" s="259" t="s">
        <v>724</v>
      </c>
      <c r="L123" s="259">
        <v>2021</v>
      </c>
      <c r="M123" s="259" t="s">
        <v>1741</v>
      </c>
      <c r="N123" s="259" t="s">
        <v>499</v>
      </c>
      <c r="O123" s="262" t="s">
        <v>564</v>
      </c>
      <c r="P123" s="262">
        <v>5.4</v>
      </c>
      <c r="Q123" s="262" t="s">
        <v>499</v>
      </c>
      <c r="R123" s="262" t="s">
        <v>499</v>
      </c>
      <c r="S123" s="262" t="s">
        <v>499</v>
      </c>
      <c r="T123" s="262" t="s">
        <v>499</v>
      </c>
      <c r="U123" s="262" t="s">
        <v>499</v>
      </c>
      <c r="V123" s="262" t="s">
        <v>499</v>
      </c>
      <c r="W123" s="262" t="s">
        <v>499</v>
      </c>
      <c r="X123" s="262" t="s">
        <v>499</v>
      </c>
      <c r="Y123" s="262" t="s">
        <v>499</v>
      </c>
      <c r="Z123" s="262" t="s">
        <v>499</v>
      </c>
      <c r="AA123" s="259" t="s">
        <v>857</v>
      </c>
    </row>
    <row r="124" spans="1:27">
      <c r="B124" s="204" t="s">
        <v>594</v>
      </c>
      <c r="C124" s="226" t="s">
        <v>256</v>
      </c>
      <c r="D124" s="251">
        <v>50</v>
      </c>
      <c r="E124" s="206" t="s">
        <v>559</v>
      </c>
      <c r="F124" s="251">
        <v>12.7</v>
      </c>
      <c r="G124" s="236">
        <v>44952</v>
      </c>
      <c r="H124" s="259" t="s">
        <v>1719</v>
      </c>
      <c r="I124" s="259" t="s">
        <v>1712</v>
      </c>
      <c r="J124" s="225" t="s">
        <v>633</v>
      </c>
      <c r="K124" s="225" t="s">
        <v>729</v>
      </c>
      <c r="L124" s="178">
        <v>2021</v>
      </c>
      <c r="N124" s="259" t="s">
        <v>1714</v>
      </c>
      <c r="O124" s="262" t="s">
        <v>564</v>
      </c>
      <c r="P124" s="239">
        <v>5</v>
      </c>
      <c r="Q124" s="262" t="s">
        <v>1718</v>
      </c>
      <c r="R124" s="262" t="s">
        <v>499</v>
      </c>
      <c r="S124" s="262" t="s">
        <v>499</v>
      </c>
      <c r="T124" s="262" t="s">
        <v>499</v>
      </c>
      <c r="U124" s="262" t="s">
        <v>499</v>
      </c>
      <c r="V124" s="262" t="s">
        <v>499</v>
      </c>
      <c r="W124" s="262" t="s">
        <v>499</v>
      </c>
      <c r="X124" s="262" t="s">
        <v>499</v>
      </c>
      <c r="Y124" s="262" t="s">
        <v>499</v>
      </c>
      <c r="Z124" s="262" t="s">
        <v>499</v>
      </c>
      <c r="AA124" s="259" t="s">
        <v>1137</v>
      </c>
    </row>
    <row r="125" spans="1:27">
      <c r="B125" s="64" t="s">
        <v>725</v>
      </c>
      <c r="C125" s="200" t="s">
        <v>256</v>
      </c>
      <c r="D125" s="197">
        <v>50</v>
      </c>
      <c r="E125" s="64" t="s">
        <v>564</v>
      </c>
      <c r="F125" s="197">
        <v>13</v>
      </c>
      <c r="G125" s="234">
        <v>44896</v>
      </c>
      <c r="H125" s="64" t="s">
        <v>1751</v>
      </c>
      <c r="I125" s="270" t="s">
        <v>1748</v>
      </c>
      <c r="J125" s="64" t="s">
        <v>633</v>
      </c>
      <c r="K125" s="64" t="s">
        <v>706</v>
      </c>
      <c r="L125" s="64">
        <v>2019</v>
      </c>
      <c r="N125" s="270" t="s">
        <v>1750</v>
      </c>
      <c r="O125" s="271" t="s">
        <v>689</v>
      </c>
      <c r="P125" s="271">
        <v>1</v>
      </c>
      <c r="Q125" s="271" t="s">
        <v>499</v>
      </c>
      <c r="R125" s="271" t="s">
        <v>499</v>
      </c>
      <c r="S125" s="271" t="s">
        <v>499</v>
      </c>
      <c r="T125" s="271" t="s">
        <v>499</v>
      </c>
      <c r="U125" s="271" t="s">
        <v>499</v>
      </c>
      <c r="V125" s="271" t="s">
        <v>499</v>
      </c>
      <c r="W125" s="271" t="s">
        <v>499</v>
      </c>
      <c r="X125" s="271" t="s">
        <v>499</v>
      </c>
      <c r="Y125" s="271" t="s">
        <v>499</v>
      </c>
      <c r="Z125" s="271" t="s">
        <v>499</v>
      </c>
      <c r="AA125" s="270" t="s">
        <v>1747</v>
      </c>
    </row>
    <row r="126" spans="1:27">
      <c r="B126" s="225" t="s">
        <v>726</v>
      </c>
      <c r="C126" s="226" t="s">
        <v>256</v>
      </c>
      <c r="D126" s="251">
        <v>50</v>
      </c>
      <c r="E126" s="225" t="s">
        <v>559</v>
      </c>
      <c r="F126" s="251">
        <v>12.5</v>
      </c>
      <c r="G126" s="236">
        <v>45005</v>
      </c>
      <c r="H126" s="270" t="s">
        <v>1760</v>
      </c>
      <c r="J126" s="225" t="s">
        <v>633</v>
      </c>
      <c r="K126" s="225" t="s">
        <v>656</v>
      </c>
      <c r="L126" s="178">
        <v>2021</v>
      </c>
      <c r="N126" s="270" t="s">
        <v>1759</v>
      </c>
      <c r="O126" s="271" t="s">
        <v>564</v>
      </c>
      <c r="P126" s="239">
        <v>5</v>
      </c>
      <c r="Q126" s="271" t="s">
        <v>1762</v>
      </c>
      <c r="R126" s="271" t="s">
        <v>499</v>
      </c>
      <c r="S126" s="271" t="s">
        <v>499</v>
      </c>
      <c r="T126" s="271" t="s">
        <v>499</v>
      </c>
      <c r="U126" s="271" t="s">
        <v>499</v>
      </c>
      <c r="V126" s="271" t="s">
        <v>499</v>
      </c>
      <c r="W126" s="271" t="s">
        <v>499</v>
      </c>
      <c r="X126" s="271" t="s">
        <v>499</v>
      </c>
      <c r="Y126" s="271" t="s">
        <v>499</v>
      </c>
      <c r="Z126" s="271" t="s">
        <v>499</v>
      </c>
      <c r="AA126" s="270" t="s">
        <v>1758</v>
      </c>
    </row>
    <row r="127" spans="1:27" s="64" customFormat="1">
      <c r="B127" s="64" t="s">
        <v>727</v>
      </c>
      <c r="C127" s="200" t="s">
        <v>256</v>
      </c>
      <c r="D127" s="197">
        <v>50</v>
      </c>
      <c r="E127" s="64" t="s">
        <v>559</v>
      </c>
      <c r="F127" s="197">
        <v>12.5</v>
      </c>
      <c r="G127" s="234">
        <v>44978</v>
      </c>
      <c r="H127" s="64" t="s">
        <v>1766</v>
      </c>
      <c r="I127" s="64" t="s">
        <v>1763</v>
      </c>
      <c r="J127" s="64" t="s">
        <v>633</v>
      </c>
      <c r="K127" s="64" t="s">
        <v>656</v>
      </c>
      <c r="L127" s="64">
        <v>2019</v>
      </c>
      <c r="N127" s="64" t="s">
        <v>1765</v>
      </c>
      <c r="O127" s="243" t="s">
        <v>564</v>
      </c>
      <c r="P127" s="243" t="s">
        <v>499</v>
      </c>
      <c r="Q127" s="243" t="s">
        <v>763</v>
      </c>
      <c r="R127" s="243" t="s">
        <v>499</v>
      </c>
      <c r="S127" s="243" t="s">
        <v>499</v>
      </c>
      <c r="T127" s="243" t="s">
        <v>499</v>
      </c>
      <c r="U127" s="243" t="s">
        <v>499</v>
      </c>
      <c r="V127" s="243" t="s">
        <v>499</v>
      </c>
      <c r="W127" s="243" t="s">
        <v>499</v>
      </c>
      <c r="X127" s="243" t="s">
        <v>499</v>
      </c>
      <c r="Y127" s="243" t="s">
        <v>499</v>
      </c>
      <c r="Z127" s="243" t="s">
        <v>499</v>
      </c>
      <c r="AA127" s="64" t="s">
        <v>858</v>
      </c>
    </row>
    <row r="128" spans="1:27">
      <c r="B128" s="206" t="s">
        <v>640</v>
      </c>
      <c r="C128" s="207" t="s">
        <v>256</v>
      </c>
      <c r="D128" s="251">
        <v>400</v>
      </c>
      <c r="E128" s="206" t="s">
        <v>559</v>
      </c>
      <c r="F128" s="251">
        <v>70</v>
      </c>
      <c r="G128" s="236">
        <v>45035</v>
      </c>
      <c r="H128" s="259" t="s">
        <v>1724</v>
      </c>
      <c r="I128" s="259" t="s">
        <v>1720</v>
      </c>
      <c r="J128" s="259" t="s">
        <v>633</v>
      </c>
      <c r="K128" s="259" t="s">
        <v>678</v>
      </c>
      <c r="L128" s="178">
        <v>2022</v>
      </c>
      <c r="N128" s="259" t="s">
        <v>1725</v>
      </c>
      <c r="O128" s="262" t="s">
        <v>499</v>
      </c>
      <c r="P128" s="262" t="s">
        <v>499</v>
      </c>
      <c r="Q128" s="262" t="s">
        <v>499</v>
      </c>
      <c r="R128" s="262" t="s">
        <v>499</v>
      </c>
      <c r="S128" s="262" t="s">
        <v>499</v>
      </c>
      <c r="T128" s="262" t="s">
        <v>499</v>
      </c>
      <c r="U128" s="262" t="s">
        <v>499</v>
      </c>
      <c r="V128" s="262" t="s">
        <v>499</v>
      </c>
      <c r="W128" s="262" t="s">
        <v>499</v>
      </c>
      <c r="X128" s="262" t="s">
        <v>499</v>
      </c>
      <c r="Y128" s="262" t="s">
        <v>499</v>
      </c>
      <c r="Z128" s="262" t="s">
        <v>499</v>
      </c>
      <c r="AA128" s="259" t="s">
        <v>1723</v>
      </c>
    </row>
    <row r="129" spans="2:27">
      <c r="B129" s="230" t="s">
        <v>1441</v>
      </c>
      <c r="C129" s="264" t="s">
        <v>256</v>
      </c>
      <c r="D129" s="251">
        <v>50</v>
      </c>
      <c r="E129" s="259" t="s">
        <v>402</v>
      </c>
      <c r="F129" s="251">
        <v>5</v>
      </c>
      <c r="G129" s="269" t="s">
        <v>499</v>
      </c>
      <c r="H129" s="259" t="s">
        <v>1735</v>
      </c>
      <c r="J129" s="259" t="s">
        <v>633</v>
      </c>
      <c r="K129" s="259" t="s">
        <v>659</v>
      </c>
      <c r="L129" s="231">
        <v>40483</v>
      </c>
      <c r="N129" s="259" t="s">
        <v>402</v>
      </c>
      <c r="O129" s="262" t="s">
        <v>499</v>
      </c>
      <c r="P129" s="262" t="s">
        <v>499</v>
      </c>
      <c r="Q129" s="262" t="s">
        <v>559</v>
      </c>
      <c r="R129" s="262" t="s">
        <v>499</v>
      </c>
      <c r="S129" s="262" t="s">
        <v>499</v>
      </c>
      <c r="T129" s="262" t="s">
        <v>499</v>
      </c>
      <c r="U129" s="262" t="s">
        <v>499</v>
      </c>
      <c r="V129" s="262" t="s">
        <v>499</v>
      </c>
      <c r="W129" s="262" t="s">
        <v>499</v>
      </c>
      <c r="X129" s="262" t="s">
        <v>499</v>
      </c>
      <c r="Y129" s="262" t="s">
        <v>499</v>
      </c>
      <c r="Z129" s="262" t="s">
        <v>499</v>
      </c>
      <c r="AA129" s="259" t="s">
        <v>1734</v>
      </c>
    </row>
    <row r="130" spans="2:27">
      <c r="B130" s="204" t="s">
        <v>598</v>
      </c>
      <c r="C130" s="273" t="s">
        <v>256</v>
      </c>
      <c r="D130" s="251">
        <v>30</v>
      </c>
      <c r="E130" s="270" t="s">
        <v>689</v>
      </c>
      <c r="F130" s="251">
        <v>3</v>
      </c>
      <c r="G130" s="236">
        <v>45044</v>
      </c>
      <c r="H130" s="270" t="s">
        <v>1768</v>
      </c>
      <c r="I130" s="270" t="s">
        <v>1767</v>
      </c>
      <c r="J130" s="270" t="s">
        <v>633</v>
      </c>
      <c r="K130" s="270" t="s">
        <v>1769</v>
      </c>
      <c r="L130" s="180">
        <v>44986</v>
      </c>
      <c r="N130" s="270" t="s">
        <v>499</v>
      </c>
      <c r="O130" s="270" t="s">
        <v>499</v>
      </c>
      <c r="P130" s="270" t="s">
        <v>499</v>
      </c>
      <c r="Q130" s="270" t="s">
        <v>499</v>
      </c>
      <c r="R130" s="270" t="s">
        <v>499</v>
      </c>
      <c r="S130" s="270" t="s">
        <v>499</v>
      </c>
      <c r="T130" s="270" t="s">
        <v>499</v>
      </c>
      <c r="U130" s="270" t="s">
        <v>499</v>
      </c>
      <c r="V130" s="270" t="s">
        <v>499</v>
      </c>
      <c r="W130" s="270" t="s">
        <v>499</v>
      </c>
      <c r="X130" s="270" t="s">
        <v>499</v>
      </c>
      <c r="Y130" s="270" t="s">
        <v>499</v>
      </c>
      <c r="Z130" s="270" t="s">
        <v>499</v>
      </c>
      <c r="AA130" s="270" t="s">
        <v>858</v>
      </c>
    </row>
    <row r="131" spans="2:27">
      <c r="B131" s="230"/>
      <c r="C131" s="207"/>
      <c r="E131" s="206"/>
    </row>
    <row r="132" spans="2:27">
      <c r="B132" s="230" t="s">
        <v>1447</v>
      </c>
      <c r="C132" s="238" t="s">
        <v>256</v>
      </c>
      <c r="D132" s="251">
        <v>40</v>
      </c>
      <c r="E132" s="230" t="s">
        <v>402</v>
      </c>
      <c r="F132" s="251">
        <v>5</v>
      </c>
      <c r="G132" s="245">
        <v>44008</v>
      </c>
      <c r="H132" s="230" t="s">
        <v>1478</v>
      </c>
      <c r="J132" s="230" t="s">
        <v>633</v>
      </c>
      <c r="K132" s="230" t="s">
        <v>666</v>
      </c>
      <c r="L132" s="178">
        <v>2016</v>
      </c>
      <c r="N132" s="230" t="s">
        <v>1474</v>
      </c>
      <c r="O132" s="241" t="s">
        <v>402</v>
      </c>
      <c r="P132" s="239">
        <v>14</v>
      </c>
      <c r="Q132" s="241" t="s">
        <v>1475</v>
      </c>
      <c r="R132" s="241" t="s">
        <v>559</v>
      </c>
      <c r="S132" s="239">
        <v>4</v>
      </c>
      <c r="T132" s="241" t="s">
        <v>1476</v>
      </c>
      <c r="U132" s="241" t="s">
        <v>564</v>
      </c>
      <c r="V132" s="239">
        <v>0.6</v>
      </c>
      <c r="W132" s="241" t="s">
        <v>1477</v>
      </c>
      <c r="X132" s="241" t="s">
        <v>499</v>
      </c>
      <c r="Y132" s="241" t="s">
        <v>499</v>
      </c>
      <c r="Z132" s="241" t="s">
        <v>499</v>
      </c>
      <c r="AA132" s="230" t="s">
        <v>1473</v>
      </c>
    </row>
    <row r="133" spans="2:27">
      <c r="B133" s="221" t="s">
        <v>716</v>
      </c>
      <c r="C133" s="222" t="s">
        <v>256</v>
      </c>
      <c r="D133" s="251">
        <v>75</v>
      </c>
      <c r="E133" s="230" t="s">
        <v>564</v>
      </c>
      <c r="F133" s="251">
        <v>16</v>
      </c>
      <c r="G133" s="245">
        <v>44434</v>
      </c>
      <c r="H133" s="230" t="s">
        <v>1603</v>
      </c>
      <c r="I133" s="230" t="s">
        <v>1604</v>
      </c>
      <c r="J133" s="221" t="s">
        <v>632</v>
      </c>
      <c r="K133" s="221" t="s">
        <v>639</v>
      </c>
      <c r="L133" s="178">
        <v>2020</v>
      </c>
      <c r="N133" s="230" t="s">
        <v>1606</v>
      </c>
      <c r="O133" s="241" t="s">
        <v>689</v>
      </c>
      <c r="P133" s="241" t="s">
        <v>499</v>
      </c>
      <c r="Q133" s="241" t="s">
        <v>1605</v>
      </c>
      <c r="R133" s="241" t="s">
        <v>499</v>
      </c>
      <c r="S133" s="241" t="s">
        <v>499</v>
      </c>
      <c r="T133" s="241" t="s">
        <v>499</v>
      </c>
      <c r="U133" s="241" t="s">
        <v>499</v>
      </c>
      <c r="V133" s="241" t="s">
        <v>499</v>
      </c>
      <c r="W133" s="241" t="s">
        <v>499</v>
      </c>
      <c r="X133" s="241" t="s">
        <v>499</v>
      </c>
      <c r="Y133" s="241" t="s">
        <v>499</v>
      </c>
      <c r="Z133" s="241" t="s">
        <v>499</v>
      </c>
      <c r="AA133" s="230" t="s">
        <v>1056</v>
      </c>
    </row>
    <row r="134" spans="2:27">
      <c r="B134" s="204" t="s">
        <v>145</v>
      </c>
      <c r="F134" s="251">
        <v>5</v>
      </c>
    </row>
    <row r="135" spans="2:27">
      <c r="B135" s="225" t="s">
        <v>728</v>
      </c>
      <c r="C135" s="226" t="s">
        <v>256</v>
      </c>
      <c r="D135" s="251">
        <v>50</v>
      </c>
      <c r="E135" s="225" t="s">
        <v>559</v>
      </c>
      <c r="F135" s="251">
        <v>12.6</v>
      </c>
      <c r="J135" s="225" t="s">
        <v>633</v>
      </c>
      <c r="K135" s="225" t="s">
        <v>656</v>
      </c>
      <c r="L135" s="178">
        <v>2020</v>
      </c>
    </row>
    <row r="136" spans="2:27">
      <c r="B136" s="225" t="s">
        <v>731</v>
      </c>
      <c r="C136" s="226" t="s">
        <v>256</v>
      </c>
      <c r="D136" s="251">
        <v>50</v>
      </c>
      <c r="E136" s="225" t="s">
        <v>564</v>
      </c>
      <c r="F136" s="251">
        <v>12.8</v>
      </c>
      <c r="J136" s="225" t="s">
        <v>459</v>
      </c>
      <c r="K136" s="225" t="s">
        <v>459</v>
      </c>
      <c r="L136" s="178">
        <v>2021</v>
      </c>
    </row>
    <row r="137" spans="2:27">
      <c r="B137" s="225" t="s">
        <v>732</v>
      </c>
      <c r="C137" s="226" t="s">
        <v>256</v>
      </c>
      <c r="D137" s="251">
        <v>50</v>
      </c>
      <c r="E137" s="225" t="s">
        <v>559</v>
      </c>
      <c r="F137" s="251">
        <v>12.8</v>
      </c>
      <c r="J137" s="225" t="s">
        <v>633</v>
      </c>
      <c r="K137" s="225" t="s">
        <v>656</v>
      </c>
      <c r="L137" s="178">
        <v>2020</v>
      </c>
    </row>
    <row r="138" spans="2:27">
      <c r="B138" s="227" t="s">
        <v>601</v>
      </c>
      <c r="C138" s="228" t="s">
        <v>256</v>
      </c>
      <c r="D138" s="251">
        <v>40</v>
      </c>
      <c r="E138" s="227" t="s">
        <v>564</v>
      </c>
      <c r="F138" s="251">
        <v>10</v>
      </c>
      <c r="J138" s="227" t="s">
        <v>632</v>
      </c>
      <c r="K138" s="227" t="s">
        <v>756</v>
      </c>
      <c r="L138" s="178">
        <v>2021</v>
      </c>
    </row>
    <row r="139" spans="2:27">
      <c r="B139" s="204" t="s">
        <v>595</v>
      </c>
    </row>
    <row r="140" spans="2:27">
      <c r="B140" s="204" t="s">
        <v>596</v>
      </c>
    </row>
    <row r="141" spans="2:27" s="64" customFormat="1">
      <c r="B141" s="64" t="s">
        <v>468</v>
      </c>
      <c r="C141" s="200" t="s">
        <v>256</v>
      </c>
      <c r="D141" s="197">
        <v>50</v>
      </c>
      <c r="E141" s="64" t="s">
        <v>559</v>
      </c>
      <c r="F141" s="197">
        <v>12</v>
      </c>
      <c r="G141" s="201"/>
      <c r="H141" s="64" t="s">
        <v>736</v>
      </c>
      <c r="J141" s="64" t="s">
        <v>633</v>
      </c>
      <c r="K141" s="64" t="s">
        <v>656</v>
      </c>
      <c r="L141" s="64">
        <v>2022</v>
      </c>
      <c r="O141" s="243"/>
      <c r="P141" s="243"/>
      <c r="Q141" s="243"/>
      <c r="R141" s="243"/>
      <c r="S141" s="243"/>
      <c r="T141" s="243"/>
      <c r="U141" s="243"/>
      <c r="V141" s="243"/>
      <c r="W141" s="243"/>
      <c r="X141" s="243"/>
      <c r="Y141" s="243"/>
      <c r="Z141" s="243"/>
    </row>
    <row r="142" spans="2:27" s="64" customFormat="1">
      <c r="B142" s="64" t="s">
        <v>737</v>
      </c>
      <c r="C142" s="200" t="s">
        <v>256</v>
      </c>
      <c r="D142" s="197">
        <v>50</v>
      </c>
      <c r="E142" s="64" t="s">
        <v>559</v>
      </c>
      <c r="F142" s="197">
        <v>12</v>
      </c>
      <c r="G142" s="201"/>
      <c r="H142" s="64" t="s">
        <v>736</v>
      </c>
      <c r="J142" s="64" t="s">
        <v>633</v>
      </c>
      <c r="K142" s="64" t="s">
        <v>656</v>
      </c>
      <c r="L142" s="64">
        <v>2019</v>
      </c>
      <c r="O142" s="243"/>
      <c r="P142" s="243"/>
      <c r="Q142" s="243"/>
      <c r="R142" s="243"/>
      <c r="S142" s="243"/>
      <c r="T142" s="243"/>
      <c r="U142" s="243"/>
      <c r="V142" s="243"/>
      <c r="W142" s="243"/>
      <c r="X142" s="243"/>
      <c r="Y142" s="243"/>
      <c r="Z142" s="243"/>
    </row>
    <row r="143" spans="2:27">
      <c r="B143" s="225" t="s">
        <v>733</v>
      </c>
      <c r="C143" s="226" t="s">
        <v>256</v>
      </c>
      <c r="D143" s="251">
        <v>50</v>
      </c>
      <c r="E143" s="225" t="s">
        <v>559</v>
      </c>
      <c r="F143" s="251">
        <v>13</v>
      </c>
      <c r="J143" s="225" t="s">
        <v>633</v>
      </c>
      <c r="K143" s="225" t="s">
        <v>656</v>
      </c>
      <c r="L143" s="178">
        <v>2019</v>
      </c>
    </row>
    <row r="144" spans="2:27">
      <c r="B144" s="225" t="s">
        <v>734</v>
      </c>
      <c r="C144" s="226" t="s">
        <v>256</v>
      </c>
      <c r="D144" s="251">
        <v>50</v>
      </c>
      <c r="E144" s="225" t="s">
        <v>559</v>
      </c>
      <c r="F144" s="251">
        <v>12.5</v>
      </c>
      <c r="J144" s="225" t="s">
        <v>633</v>
      </c>
      <c r="K144" s="225" t="s">
        <v>656</v>
      </c>
      <c r="L144" s="178">
        <v>2018</v>
      </c>
    </row>
    <row r="145" spans="2:27">
      <c r="B145" s="225" t="s">
        <v>735</v>
      </c>
      <c r="C145" s="226" t="s">
        <v>256</v>
      </c>
      <c r="D145" s="251">
        <v>50</v>
      </c>
      <c r="E145" s="225" t="s">
        <v>564</v>
      </c>
      <c r="F145" s="251">
        <v>12.25</v>
      </c>
      <c r="J145" s="225" t="s">
        <v>633</v>
      </c>
      <c r="K145" s="225" t="s">
        <v>656</v>
      </c>
      <c r="L145" s="178">
        <v>2019</v>
      </c>
    </row>
    <row r="146" spans="2:27">
      <c r="B146" s="230" t="s">
        <v>1406</v>
      </c>
      <c r="C146" s="226"/>
      <c r="E146" s="225"/>
      <c r="J146" s="225"/>
      <c r="K146" s="225"/>
    </row>
    <row r="147" spans="2:27">
      <c r="B147" s="230" t="s">
        <v>1584</v>
      </c>
      <c r="C147" s="238" t="s">
        <v>256</v>
      </c>
      <c r="E147" s="225"/>
      <c r="J147" s="225"/>
      <c r="K147" s="225"/>
      <c r="AA147" s="230" t="s">
        <v>1585</v>
      </c>
    </row>
    <row r="148" spans="2:27">
      <c r="B148" s="225" t="s">
        <v>738</v>
      </c>
      <c r="C148" s="226" t="s">
        <v>256</v>
      </c>
      <c r="D148" s="254">
        <v>50</v>
      </c>
      <c r="E148" s="225" t="s">
        <v>559</v>
      </c>
      <c r="F148" s="251">
        <v>12</v>
      </c>
      <c r="J148" s="225" t="s">
        <v>633</v>
      </c>
      <c r="K148" s="225" t="s">
        <v>656</v>
      </c>
      <c r="L148" s="178">
        <v>2020</v>
      </c>
    </row>
    <row r="149" spans="2:27">
      <c r="B149" s="225" t="s">
        <v>739</v>
      </c>
      <c r="C149" s="226" t="s">
        <v>256</v>
      </c>
      <c r="D149" s="254">
        <v>50</v>
      </c>
      <c r="E149" s="225" t="s">
        <v>559</v>
      </c>
      <c r="F149" s="251">
        <v>11</v>
      </c>
      <c r="H149" s="225" t="s">
        <v>740</v>
      </c>
      <c r="J149" s="225" t="s">
        <v>633</v>
      </c>
      <c r="K149" s="225" t="s">
        <v>743</v>
      </c>
      <c r="L149" s="178">
        <v>2020</v>
      </c>
    </row>
    <row r="150" spans="2:27">
      <c r="B150" s="225" t="s">
        <v>741</v>
      </c>
      <c r="C150" s="226" t="s">
        <v>256</v>
      </c>
      <c r="D150" s="254">
        <v>50</v>
      </c>
      <c r="E150" s="225" t="s">
        <v>559</v>
      </c>
      <c r="F150" s="251">
        <v>11</v>
      </c>
      <c r="H150" s="225" t="s">
        <v>742</v>
      </c>
      <c r="J150" s="225" t="s">
        <v>633</v>
      </c>
      <c r="K150" s="225" t="s">
        <v>743</v>
      </c>
      <c r="L150" s="178">
        <v>2020</v>
      </c>
    </row>
    <row r="151" spans="2:27">
      <c r="B151" s="225" t="s">
        <v>744</v>
      </c>
      <c r="C151" s="226" t="s">
        <v>256</v>
      </c>
      <c r="D151" s="254">
        <v>50</v>
      </c>
      <c r="E151" s="225" t="s">
        <v>559</v>
      </c>
      <c r="F151" s="251">
        <v>10.6</v>
      </c>
      <c r="H151" s="225" t="s">
        <v>745</v>
      </c>
      <c r="J151" s="225" t="s">
        <v>633</v>
      </c>
      <c r="K151" s="225" t="s">
        <v>659</v>
      </c>
      <c r="L151" s="178">
        <v>2019</v>
      </c>
    </row>
    <row r="152" spans="2:27">
      <c r="B152" s="204" t="s">
        <v>600</v>
      </c>
      <c r="C152" s="226" t="s">
        <v>256</v>
      </c>
      <c r="D152" s="251">
        <v>50</v>
      </c>
      <c r="E152" s="225" t="s">
        <v>564</v>
      </c>
      <c r="F152" s="251">
        <v>10.6</v>
      </c>
      <c r="H152" s="225" t="s">
        <v>746</v>
      </c>
      <c r="J152" s="225" t="s">
        <v>633</v>
      </c>
      <c r="K152" s="225" t="s">
        <v>464</v>
      </c>
      <c r="L152" s="178">
        <v>2022</v>
      </c>
    </row>
    <row r="153" spans="2:27">
      <c r="B153" s="225" t="s">
        <v>747</v>
      </c>
      <c r="C153" s="226" t="s">
        <v>256</v>
      </c>
      <c r="D153" s="254">
        <v>50</v>
      </c>
      <c r="E153" s="225" t="s">
        <v>564</v>
      </c>
      <c r="F153" s="251">
        <v>10.5</v>
      </c>
      <c r="H153" s="225" t="s">
        <v>748</v>
      </c>
      <c r="J153" s="225" t="s">
        <v>633</v>
      </c>
      <c r="K153" s="225" t="s">
        <v>558</v>
      </c>
      <c r="L153" s="178">
        <v>2019</v>
      </c>
    </row>
    <row r="154" spans="2:27">
      <c r="B154" s="225" t="s">
        <v>749</v>
      </c>
      <c r="C154" s="226" t="s">
        <v>256</v>
      </c>
      <c r="D154" s="254">
        <v>40</v>
      </c>
      <c r="E154" s="225" t="s">
        <v>559</v>
      </c>
      <c r="F154" s="251">
        <v>10</v>
      </c>
      <c r="H154" s="225"/>
      <c r="J154" s="225" t="s">
        <v>633</v>
      </c>
      <c r="K154" s="225" t="s">
        <v>719</v>
      </c>
      <c r="L154" s="178">
        <v>2019</v>
      </c>
    </row>
    <row r="155" spans="2:27">
      <c r="B155" s="227" t="s">
        <v>750</v>
      </c>
      <c r="C155" s="228" t="s">
        <v>256</v>
      </c>
      <c r="D155" s="254">
        <v>40</v>
      </c>
      <c r="E155" s="227" t="s">
        <v>564</v>
      </c>
      <c r="F155" s="251">
        <v>10</v>
      </c>
      <c r="H155" s="225"/>
      <c r="J155" s="227" t="s">
        <v>459</v>
      </c>
      <c r="K155" s="227" t="s">
        <v>459</v>
      </c>
      <c r="L155" s="64">
        <v>2023</v>
      </c>
    </row>
    <row r="156" spans="2:27">
      <c r="B156" s="64" t="s">
        <v>599</v>
      </c>
      <c r="C156" s="200" t="s">
        <v>256</v>
      </c>
      <c r="D156" s="197">
        <v>40</v>
      </c>
      <c r="E156" s="64" t="s">
        <v>559</v>
      </c>
      <c r="F156" s="197">
        <v>10</v>
      </c>
      <c r="G156" s="201"/>
      <c r="H156" s="64"/>
      <c r="I156" s="64"/>
      <c r="J156" s="64" t="s">
        <v>633</v>
      </c>
      <c r="K156" s="64" t="s">
        <v>664</v>
      </c>
      <c r="L156" s="64">
        <v>2020</v>
      </c>
    </row>
    <row r="157" spans="2:27" s="227" customFormat="1">
      <c r="B157" s="227" t="s">
        <v>757</v>
      </c>
      <c r="C157" s="228" t="s">
        <v>256</v>
      </c>
      <c r="D157" s="253">
        <v>40</v>
      </c>
      <c r="F157" s="253">
        <v>10</v>
      </c>
      <c r="G157" s="229"/>
      <c r="J157" s="227" t="s">
        <v>633</v>
      </c>
      <c r="K157" s="227" t="s">
        <v>758</v>
      </c>
      <c r="L157" s="227">
        <v>2020</v>
      </c>
      <c r="O157" s="244"/>
      <c r="P157" s="244"/>
      <c r="Q157" s="244"/>
      <c r="R157" s="244"/>
      <c r="S157" s="244"/>
      <c r="T157" s="244"/>
      <c r="U157" s="244"/>
      <c r="V157" s="244"/>
      <c r="W157" s="244"/>
      <c r="X157" s="244"/>
      <c r="Y157" s="244"/>
      <c r="Z157" s="244"/>
    </row>
    <row r="158" spans="2:27">
      <c r="B158" s="178" t="s">
        <v>437</v>
      </c>
      <c r="C158" s="228" t="s">
        <v>256</v>
      </c>
      <c r="D158" s="251">
        <v>1900</v>
      </c>
      <c r="E158" s="227" t="s">
        <v>581</v>
      </c>
      <c r="F158" s="251">
        <v>150</v>
      </c>
      <c r="H158" s="227" t="s">
        <v>755</v>
      </c>
      <c r="J158" s="227" t="s">
        <v>633</v>
      </c>
      <c r="K158" s="227" t="s">
        <v>430</v>
      </c>
      <c r="L158" s="178">
        <v>2018</v>
      </c>
    </row>
    <row r="159" spans="2:27">
      <c r="B159" s="178" t="s">
        <v>435</v>
      </c>
      <c r="C159" s="228" t="s">
        <v>256</v>
      </c>
      <c r="D159" s="251">
        <v>500</v>
      </c>
      <c r="E159" s="227" t="s">
        <v>402</v>
      </c>
      <c r="F159" s="251">
        <v>159</v>
      </c>
      <c r="H159" s="227" t="s">
        <v>752</v>
      </c>
      <c r="J159" s="227" t="s">
        <v>751</v>
      </c>
      <c r="K159" s="227" t="s">
        <v>751</v>
      </c>
      <c r="L159" s="178">
        <v>2015</v>
      </c>
    </row>
    <row r="160" spans="2:27">
      <c r="B160" s="178" t="s">
        <v>434</v>
      </c>
      <c r="C160" s="228" t="s">
        <v>256</v>
      </c>
      <c r="D160" s="251">
        <v>500</v>
      </c>
      <c r="E160" s="227" t="s">
        <v>581</v>
      </c>
      <c r="F160" s="251">
        <v>169</v>
      </c>
      <c r="H160" s="227" t="s">
        <v>454</v>
      </c>
      <c r="J160" s="227" t="s">
        <v>454</v>
      </c>
      <c r="K160" s="227" t="s">
        <v>454</v>
      </c>
      <c r="L160" s="178">
        <v>2010</v>
      </c>
    </row>
    <row r="161" spans="2:12">
      <c r="B161" s="178" t="s">
        <v>436</v>
      </c>
      <c r="C161" s="228" t="s">
        <v>753</v>
      </c>
      <c r="D161" s="251">
        <v>230</v>
      </c>
      <c r="E161" s="227" t="s">
        <v>559</v>
      </c>
      <c r="F161" s="251">
        <v>150</v>
      </c>
      <c r="H161" s="227" t="s">
        <v>29</v>
      </c>
      <c r="J161" s="227" t="s">
        <v>633</v>
      </c>
      <c r="K161" s="227" t="s">
        <v>754</v>
      </c>
      <c r="L161" s="178">
        <v>2016</v>
      </c>
    </row>
    <row r="162" spans="2:12">
      <c r="B162" s="230" t="s">
        <v>1224</v>
      </c>
      <c r="C162" s="228"/>
      <c r="E162" s="227"/>
      <c r="H162" s="227"/>
      <c r="J162" s="227"/>
      <c r="K162" s="227"/>
    </row>
    <row r="163" spans="2:12">
      <c r="B163" s="178" t="s">
        <v>438</v>
      </c>
      <c r="F163" s="251">
        <v>150</v>
      </c>
    </row>
    <row r="164" spans="2:12">
      <c r="B164" s="230" t="s">
        <v>1555</v>
      </c>
    </row>
    <row r="165" spans="2:12">
      <c r="B165" s="178" t="s">
        <v>439</v>
      </c>
      <c r="F165" s="251">
        <v>150</v>
      </c>
    </row>
    <row r="166" spans="2:12">
      <c r="B166" s="178" t="s">
        <v>440</v>
      </c>
      <c r="F166" s="251">
        <v>150</v>
      </c>
    </row>
    <row r="167" spans="2:12">
      <c r="B167" s="178" t="s">
        <v>441</v>
      </c>
      <c r="F167" s="251">
        <v>150</v>
      </c>
    </row>
    <row r="168" spans="2:12">
      <c r="B168" s="178" t="s">
        <v>442</v>
      </c>
      <c r="F168" s="251">
        <v>140</v>
      </c>
    </row>
    <row r="169" spans="2:12">
      <c r="B169" s="178" t="s">
        <v>443</v>
      </c>
      <c r="F169" s="251">
        <v>138</v>
      </c>
    </row>
    <row r="170" spans="2:12">
      <c r="B170" s="178" t="s">
        <v>444</v>
      </c>
      <c r="F170" s="251">
        <v>132</v>
      </c>
    </row>
    <row r="171" spans="2:12">
      <c r="B171" s="178" t="s">
        <v>445</v>
      </c>
      <c r="F171" s="251">
        <v>125</v>
      </c>
    </row>
    <row r="172" spans="2:12">
      <c r="B172" s="178" t="s">
        <v>446</v>
      </c>
      <c r="F172" s="251">
        <v>100</v>
      </c>
    </row>
    <row r="173" spans="2:12">
      <c r="B173" s="204" t="s">
        <v>601</v>
      </c>
    </row>
    <row r="174" spans="2:12">
      <c r="B174" s="204" t="s">
        <v>602</v>
      </c>
    </row>
    <row r="175" spans="2:12">
      <c r="B175" s="204" t="s">
        <v>606</v>
      </c>
      <c r="C175" s="207" t="s">
        <v>256</v>
      </c>
      <c r="D175" s="255">
        <v>100</v>
      </c>
      <c r="E175" s="206" t="s">
        <v>689</v>
      </c>
      <c r="F175" s="251">
        <v>25</v>
      </c>
      <c r="J175" s="206" t="s">
        <v>690</v>
      </c>
    </row>
    <row r="176" spans="2:12">
      <c r="B176" s="206" t="s">
        <v>638</v>
      </c>
      <c r="C176" s="207" t="s">
        <v>256</v>
      </c>
      <c r="E176" s="206" t="s">
        <v>559</v>
      </c>
      <c r="J176" s="206" t="s">
        <v>633</v>
      </c>
      <c r="K176" s="206" t="s">
        <v>659</v>
      </c>
    </row>
    <row r="177" spans="2:14">
      <c r="B177" s="204" t="s">
        <v>607</v>
      </c>
    </row>
    <row r="178" spans="2:14">
      <c r="B178" s="204" t="s">
        <v>608</v>
      </c>
    </row>
    <row r="179" spans="2:14">
      <c r="B179" s="204" t="s">
        <v>609</v>
      </c>
    </row>
    <row r="180" spans="2:14">
      <c r="B180" s="204" t="s">
        <v>610</v>
      </c>
    </row>
    <row r="181" spans="2:14">
      <c r="B181" s="204" t="s">
        <v>611</v>
      </c>
    </row>
    <row r="182" spans="2:14">
      <c r="B182" s="204" t="s">
        <v>612</v>
      </c>
    </row>
    <row r="183" spans="2:14">
      <c r="B183" s="204" t="s">
        <v>613</v>
      </c>
    </row>
    <row r="184" spans="2:14">
      <c r="B184" s="204" t="s">
        <v>614</v>
      </c>
    </row>
    <row r="185" spans="2:14">
      <c r="B185" s="204" t="s">
        <v>603</v>
      </c>
    </row>
    <row r="186" spans="2:14">
      <c r="B186" s="230" t="s">
        <v>1557</v>
      </c>
      <c r="C186" s="238" t="s">
        <v>256</v>
      </c>
      <c r="D186" s="251">
        <v>100</v>
      </c>
      <c r="E186" s="230" t="s">
        <v>402</v>
      </c>
      <c r="F186" s="251">
        <v>20</v>
      </c>
    </row>
    <row r="187" spans="2:14">
      <c r="B187" s="230" t="s">
        <v>1565</v>
      </c>
      <c r="C187" s="238"/>
      <c r="E187" s="230"/>
    </row>
    <row r="188" spans="2:14">
      <c r="B188" s="204" t="s">
        <v>604</v>
      </c>
    </row>
    <row r="189" spans="2:14">
      <c r="B189" s="204" t="s">
        <v>605</v>
      </c>
    </row>
    <row r="190" spans="2:14">
      <c r="B190" s="178" t="s">
        <v>448</v>
      </c>
      <c r="F190" s="251">
        <v>100</v>
      </c>
    </row>
    <row r="191" spans="2:14">
      <c r="B191" s="178" t="s">
        <v>450</v>
      </c>
      <c r="C191" s="207" t="s">
        <v>256</v>
      </c>
      <c r="D191" s="251">
        <v>200</v>
      </c>
      <c r="E191" s="206" t="s">
        <v>564</v>
      </c>
      <c r="F191" s="251">
        <v>100</v>
      </c>
      <c r="H191" s="206" t="s">
        <v>630</v>
      </c>
      <c r="K191" s="206" t="s">
        <v>430</v>
      </c>
      <c r="L191" s="178">
        <v>2022</v>
      </c>
      <c r="N191" s="206" t="s">
        <v>619</v>
      </c>
    </row>
    <row r="192" spans="2:14">
      <c r="B192" s="259" t="s">
        <v>1613</v>
      </c>
      <c r="C192" s="207"/>
      <c r="E192" s="206"/>
      <c r="H192" s="206"/>
      <c r="K192" s="206"/>
      <c r="N192" s="206"/>
    </row>
    <row r="193" spans="2:14">
      <c r="B193" s="178" t="s">
        <v>466</v>
      </c>
    </row>
    <row r="194" spans="2:14">
      <c r="B194" s="178" t="s">
        <v>509</v>
      </c>
    </row>
    <row r="195" spans="2:14">
      <c r="B195" s="178" t="s">
        <v>511</v>
      </c>
      <c r="C195" s="203" t="s">
        <v>256</v>
      </c>
      <c r="D195" s="251">
        <v>75</v>
      </c>
    </row>
    <row r="196" spans="2:14">
      <c r="B196" s="178" t="s">
        <v>510</v>
      </c>
      <c r="K196" s="5" t="s">
        <v>516</v>
      </c>
    </row>
    <row r="197" spans="2:14">
      <c r="B197" s="257" t="s">
        <v>1609</v>
      </c>
      <c r="K197" s="5"/>
    </row>
    <row r="198" spans="2:14">
      <c r="B198" s="204" t="s">
        <v>592</v>
      </c>
    </row>
    <row r="199" spans="2:14">
      <c r="B199" s="230" t="s">
        <v>1558</v>
      </c>
      <c r="C199" s="238" t="s">
        <v>256</v>
      </c>
      <c r="E199" s="230" t="s">
        <v>402</v>
      </c>
    </row>
    <row r="200" spans="2:14">
      <c r="B200" s="204" t="s">
        <v>593</v>
      </c>
    </row>
    <row r="201" spans="2:14">
      <c r="B201" s="178" t="s">
        <v>469</v>
      </c>
    </row>
    <row r="202" spans="2:14">
      <c r="B202" s="178" t="s">
        <v>470</v>
      </c>
    </row>
    <row r="203" spans="2:14">
      <c r="B203" s="178" t="s">
        <v>471</v>
      </c>
    </row>
    <row r="204" spans="2:14">
      <c r="B204" s="202" t="s">
        <v>580</v>
      </c>
      <c r="C204" s="203" t="s">
        <v>256</v>
      </c>
      <c r="K204" s="202" t="s">
        <v>583</v>
      </c>
    </row>
    <row r="205" spans="2:14">
      <c r="B205" s="206" t="s">
        <v>680</v>
      </c>
      <c r="C205" s="207" t="s">
        <v>256</v>
      </c>
      <c r="J205" s="206" t="s">
        <v>633</v>
      </c>
      <c r="K205" s="206" t="s">
        <v>681</v>
      </c>
    </row>
    <row r="206" spans="2:14">
      <c r="B206" s="178" t="s">
        <v>421</v>
      </c>
      <c r="C206" s="181" t="s">
        <v>256</v>
      </c>
      <c r="D206" s="251">
        <v>250</v>
      </c>
      <c r="F206" s="251">
        <v>40</v>
      </c>
      <c r="J206" s="206" t="s">
        <v>632</v>
      </c>
      <c r="K206" s="202" t="s">
        <v>571</v>
      </c>
      <c r="N206" s="202" t="s">
        <v>572</v>
      </c>
    </row>
    <row r="207" spans="2:14">
      <c r="B207" s="225" t="s">
        <v>730</v>
      </c>
      <c r="C207" s="207"/>
      <c r="J207" s="206"/>
      <c r="K207" s="206"/>
    </row>
    <row r="208" spans="2:14">
      <c r="B208" s="230" t="s">
        <v>1173</v>
      </c>
      <c r="C208" s="207"/>
      <c r="J208" s="206"/>
      <c r="K208" s="206"/>
    </row>
    <row r="209" spans="2:12">
      <c r="B209" s="230" t="s">
        <v>1174</v>
      </c>
      <c r="C209" s="207"/>
      <c r="J209" s="206"/>
      <c r="K209" s="206"/>
    </row>
    <row r="210" spans="2:12">
      <c r="B210" s="230" t="s">
        <v>1175</v>
      </c>
      <c r="C210" s="207"/>
      <c r="J210" s="206"/>
      <c r="K210" s="206"/>
    </row>
    <row r="211" spans="2:12">
      <c r="B211" s="230" t="s">
        <v>1559</v>
      </c>
      <c r="C211" s="238" t="s">
        <v>256</v>
      </c>
      <c r="D211" s="251">
        <v>200</v>
      </c>
      <c r="E211" s="230" t="s">
        <v>402</v>
      </c>
      <c r="F211" s="251">
        <v>90</v>
      </c>
      <c r="J211" s="206"/>
      <c r="K211" s="206"/>
      <c r="L211" s="178">
        <v>2017</v>
      </c>
    </row>
    <row r="212" spans="2:12">
      <c r="B212" s="230" t="s">
        <v>1176</v>
      </c>
      <c r="C212" s="207"/>
      <c r="J212" s="206"/>
      <c r="K212" s="206"/>
    </row>
    <row r="213" spans="2:12">
      <c r="B213" s="230" t="s">
        <v>1226</v>
      </c>
      <c r="C213" s="207"/>
      <c r="J213" s="206"/>
      <c r="K213" s="206"/>
    </row>
    <row r="214" spans="2:12">
      <c r="B214" s="230" t="s">
        <v>1177</v>
      </c>
      <c r="C214" s="207"/>
      <c r="J214" s="206"/>
      <c r="K214" s="206"/>
    </row>
    <row r="215" spans="2:12">
      <c r="B215" s="230" t="s">
        <v>1178</v>
      </c>
      <c r="C215" s="207"/>
      <c r="J215" s="206"/>
      <c r="K215" s="206"/>
    </row>
    <row r="216" spans="2:12">
      <c r="B216" s="230" t="s">
        <v>1140</v>
      </c>
      <c r="C216" s="207"/>
      <c r="H216" s="230" t="s">
        <v>1141</v>
      </c>
      <c r="J216" s="206"/>
      <c r="K216" s="206"/>
    </row>
    <row r="217" spans="2:12">
      <c r="B217" s="230" t="s">
        <v>1233</v>
      </c>
      <c r="C217" s="207"/>
      <c r="H217" s="230"/>
      <c r="J217" s="206"/>
      <c r="K217" s="206"/>
    </row>
    <row r="218" spans="2:12">
      <c r="B218" s="230" t="s">
        <v>1234</v>
      </c>
      <c r="C218" s="207"/>
      <c r="H218" s="230"/>
      <c r="J218" s="206"/>
      <c r="K218" s="206"/>
    </row>
    <row r="219" spans="2:12">
      <c r="B219" s="230" t="s">
        <v>1249</v>
      </c>
      <c r="C219" s="207"/>
      <c r="H219" s="230"/>
      <c r="J219" s="230" t="s">
        <v>430</v>
      </c>
      <c r="K219" s="206"/>
    </row>
    <row r="220" spans="2:12">
      <c r="B220" s="230" t="s">
        <v>1258</v>
      </c>
      <c r="C220" s="207"/>
      <c r="H220" s="230"/>
      <c r="J220" s="230"/>
      <c r="K220" s="206"/>
    </row>
    <row r="221" spans="2:12">
      <c r="B221" s="230" t="s">
        <v>1259</v>
      </c>
      <c r="C221" s="207"/>
      <c r="H221" s="230"/>
      <c r="J221" s="230"/>
      <c r="K221" s="206"/>
    </row>
    <row r="222" spans="2:12">
      <c r="B222" s="230" t="s">
        <v>1260</v>
      </c>
      <c r="C222" s="207"/>
      <c r="H222" s="230"/>
      <c r="J222" s="230"/>
      <c r="K222" s="206"/>
    </row>
    <row r="223" spans="2:12">
      <c r="B223" s="230" t="s">
        <v>1266</v>
      </c>
      <c r="C223" s="207"/>
      <c r="H223" s="230"/>
      <c r="J223" s="230"/>
      <c r="K223" s="206"/>
    </row>
    <row r="224" spans="2:12">
      <c r="B224" s="230" t="s">
        <v>1267</v>
      </c>
      <c r="C224" s="207"/>
      <c r="H224" s="230"/>
      <c r="J224" s="230"/>
      <c r="K224" s="206"/>
    </row>
    <row r="225" spans="2:11">
      <c r="B225" s="230" t="s">
        <v>1268</v>
      </c>
      <c r="C225" s="207"/>
      <c r="H225" s="230"/>
      <c r="J225" s="230"/>
      <c r="K225" s="206"/>
    </row>
    <row r="226" spans="2:11">
      <c r="B226" s="230" t="s">
        <v>1297</v>
      </c>
      <c r="C226" s="207"/>
      <c r="H226" s="230"/>
      <c r="J226" s="230"/>
      <c r="K226" s="206"/>
    </row>
    <row r="227" spans="2:11">
      <c r="B227" s="230" t="s">
        <v>1566</v>
      </c>
      <c r="C227" s="207"/>
      <c r="H227" s="230"/>
      <c r="J227" s="230"/>
      <c r="K227" s="206"/>
    </row>
    <row r="228" spans="2:11">
      <c r="B228" s="259" t="s">
        <v>1648</v>
      </c>
      <c r="C228" s="207"/>
      <c r="H228" s="230"/>
      <c r="J228" s="230"/>
      <c r="K228" s="206"/>
    </row>
    <row r="229" spans="2:11">
      <c r="B229" s="230" t="s">
        <v>1289</v>
      </c>
      <c r="C229" s="207"/>
      <c r="H229" s="230"/>
      <c r="J229" s="230"/>
      <c r="K229" s="206"/>
    </row>
    <row r="230" spans="2:11">
      <c r="B230" s="230" t="s">
        <v>1568</v>
      </c>
      <c r="C230" s="207"/>
      <c r="H230" s="230"/>
      <c r="J230" s="230"/>
      <c r="K230" s="206"/>
    </row>
    <row r="231" spans="2:11">
      <c r="B231" s="230" t="s">
        <v>1567</v>
      </c>
      <c r="C231" s="207"/>
      <c r="H231" s="230"/>
      <c r="J231" s="230"/>
      <c r="K231" s="206"/>
    </row>
    <row r="232" spans="2:11">
      <c r="B232" s="230" t="s">
        <v>1318</v>
      </c>
      <c r="C232" s="207"/>
      <c r="H232" s="230"/>
      <c r="J232" s="230"/>
      <c r="K232" s="206"/>
    </row>
    <row r="233" spans="2:11">
      <c r="B233" s="230" t="s">
        <v>1319</v>
      </c>
      <c r="C233" s="207"/>
      <c r="H233" s="230"/>
      <c r="J233" s="230"/>
      <c r="K233" s="206"/>
    </row>
    <row r="234" spans="2:11">
      <c r="B234" s="230" t="s">
        <v>1320</v>
      </c>
      <c r="C234" s="207"/>
      <c r="H234" s="230"/>
      <c r="J234" s="230"/>
      <c r="K234" s="206"/>
    </row>
    <row r="235" spans="2:11">
      <c r="B235" s="230" t="s">
        <v>1322</v>
      </c>
      <c r="C235" s="207"/>
      <c r="H235" s="230"/>
      <c r="J235" s="230"/>
      <c r="K235" s="206"/>
    </row>
    <row r="236" spans="2:11">
      <c r="B236" s="230" t="s">
        <v>1325</v>
      </c>
      <c r="C236" s="207"/>
      <c r="H236" s="230"/>
      <c r="J236" s="230"/>
      <c r="K236" s="206"/>
    </row>
    <row r="237" spans="2:11">
      <c r="B237" s="230" t="s">
        <v>1326</v>
      </c>
      <c r="C237" s="207"/>
      <c r="H237" s="230"/>
      <c r="J237" s="230"/>
      <c r="K237" s="206"/>
    </row>
    <row r="238" spans="2:11">
      <c r="B238" s="230" t="s">
        <v>1327</v>
      </c>
      <c r="C238" s="207"/>
      <c r="H238" s="230"/>
      <c r="J238" s="230"/>
      <c r="K238" s="206"/>
    </row>
    <row r="239" spans="2:11">
      <c r="B239" s="230" t="s">
        <v>1344</v>
      </c>
      <c r="C239" s="207"/>
      <c r="H239" s="230"/>
      <c r="J239" s="230"/>
      <c r="K239" s="206"/>
    </row>
    <row r="240" spans="2:11">
      <c r="B240" s="230" t="s">
        <v>1345</v>
      </c>
      <c r="C240" s="207"/>
      <c r="H240" s="230"/>
      <c r="J240" s="230"/>
      <c r="K240" s="206"/>
    </row>
    <row r="241" spans="2:11">
      <c r="B241" s="230" t="s">
        <v>1366</v>
      </c>
      <c r="C241" s="207"/>
      <c r="H241" s="230"/>
      <c r="J241" s="230"/>
      <c r="K241" s="206"/>
    </row>
    <row r="242" spans="2:11">
      <c r="B242" s="230" t="s">
        <v>1560</v>
      </c>
      <c r="C242" s="207"/>
      <c r="H242" s="230"/>
      <c r="J242" s="230"/>
      <c r="K242" s="206"/>
    </row>
    <row r="243" spans="2:11">
      <c r="B243" s="230" t="s">
        <v>1570</v>
      </c>
      <c r="C243" s="207"/>
      <c r="H243" s="230"/>
      <c r="J243" s="230"/>
      <c r="K243" s="206"/>
    </row>
    <row r="244" spans="2:11">
      <c r="B244" s="259" t="s">
        <v>1626</v>
      </c>
      <c r="C244" s="207"/>
      <c r="H244" s="230"/>
      <c r="J244" s="230"/>
      <c r="K244" s="206"/>
    </row>
    <row r="245" spans="2:11">
      <c r="B245" s="230" t="s">
        <v>1571</v>
      </c>
      <c r="C245" s="207"/>
      <c r="H245" s="230"/>
      <c r="J245" s="230"/>
      <c r="K245" s="206"/>
    </row>
    <row r="246" spans="2:11">
      <c r="B246" s="230" t="s">
        <v>1572</v>
      </c>
      <c r="C246" s="207"/>
      <c r="H246" s="230"/>
      <c r="J246" s="230"/>
      <c r="K246" s="206"/>
    </row>
    <row r="247" spans="2:11">
      <c r="B247" s="230" t="s">
        <v>1573</v>
      </c>
      <c r="C247" s="207"/>
      <c r="H247" s="230"/>
      <c r="J247" s="230"/>
      <c r="K247" s="206"/>
    </row>
    <row r="248" spans="2:11">
      <c r="B248" s="230" t="s">
        <v>1569</v>
      </c>
      <c r="C248" s="207"/>
      <c r="H248" s="230"/>
      <c r="J248" s="230"/>
      <c r="K248" s="206"/>
    </row>
    <row r="249" spans="2:11">
      <c r="B249" s="230" t="s">
        <v>1367</v>
      </c>
    </row>
    <row r="250" spans="2:11">
      <c r="B250" s="259" t="s">
        <v>1691</v>
      </c>
    </row>
    <row r="251" spans="2:11">
      <c r="B251" s="259"/>
    </row>
    <row r="252" spans="2:11">
      <c r="B252" s="95" t="s">
        <v>513</v>
      </c>
    </row>
    <row r="253" spans="2:11">
      <c r="B253" s="178" t="s">
        <v>506</v>
      </c>
      <c r="I253" s="178" t="s">
        <v>508</v>
      </c>
      <c r="K253" s="5" t="s">
        <v>517</v>
      </c>
    </row>
    <row r="254" spans="2:11">
      <c r="B254" s="178" t="s">
        <v>507</v>
      </c>
    </row>
    <row r="255" spans="2:11">
      <c r="B255" s="178" t="s">
        <v>514</v>
      </c>
      <c r="C255" s="5" t="s">
        <v>512</v>
      </c>
    </row>
    <row r="256" spans="2:11">
      <c r="B256" s="178" t="s">
        <v>519</v>
      </c>
      <c r="C256" s="5" t="s">
        <v>518</v>
      </c>
    </row>
    <row r="257" spans="2:12">
      <c r="B257" s="178" t="s">
        <v>520</v>
      </c>
      <c r="C257" s="182" t="s">
        <v>521</v>
      </c>
    </row>
    <row r="259" spans="2:12">
      <c r="B259" s="230" t="s">
        <v>1424</v>
      </c>
    </row>
    <row r="260" spans="2:12">
      <c r="B260" s="230" t="s">
        <v>1423</v>
      </c>
    </row>
    <row r="261" spans="2:12">
      <c r="B261" s="230" t="s">
        <v>1418</v>
      </c>
    </row>
    <row r="262" spans="2:12">
      <c r="B262" s="230" t="s">
        <v>1419</v>
      </c>
    </row>
    <row r="263" spans="2:12">
      <c r="B263" s="230" t="s">
        <v>1420</v>
      </c>
    </row>
    <row r="264" spans="2:12">
      <c r="B264" s="230" t="s">
        <v>1421</v>
      </c>
    </row>
    <row r="265" spans="2:12">
      <c r="B265" s="230" t="s">
        <v>1422</v>
      </c>
    </row>
    <row r="266" spans="2:12">
      <c r="B266" s="206" t="s">
        <v>673</v>
      </c>
      <c r="C266" s="207" t="s">
        <v>256</v>
      </c>
      <c r="D266" s="251">
        <v>125</v>
      </c>
      <c r="E266" s="206" t="s">
        <v>402</v>
      </c>
      <c r="F266" s="251">
        <v>37</v>
      </c>
      <c r="H266" s="230" t="s">
        <v>1158</v>
      </c>
      <c r="I266" s="206"/>
      <c r="J266" s="230" t="s">
        <v>666</v>
      </c>
      <c r="K266" s="206" t="s">
        <v>653</v>
      </c>
      <c r="L266" s="209">
        <v>43405</v>
      </c>
    </row>
    <row r="267" spans="2:12">
      <c r="B267" s="230" t="s">
        <v>1425</v>
      </c>
    </row>
    <row r="268" spans="2:12">
      <c r="B268" s="230" t="s">
        <v>1426</v>
      </c>
    </row>
    <row r="269" spans="2:12">
      <c r="B269" s="230" t="s">
        <v>1427</v>
      </c>
    </row>
    <row r="270" spans="2:12">
      <c r="B270" s="230" t="s">
        <v>1428</v>
      </c>
    </row>
    <row r="271" spans="2:12">
      <c r="B271" s="230" t="s">
        <v>1429</v>
      </c>
    </row>
    <row r="272" spans="2:12">
      <c r="B272" s="230" t="s">
        <v>1430</v>
      </c>
    </row>
    <row r="273" spans="2:2">
      <c r="B273" s="230" t="s">
        <v>1431</v>
      </c>
    </row>
    <row r="274" spans="2:2">
      <c r="B274" s="230" t="s">
        <v>1432</v>
      </c>
    </row>
    <row r="275" spans="2:2">
      <c r="B275" s="230" t="s">
        <v>1433</v>
      </c>
    </row>
    <row r="276" spans="2:2">
      <c r="B276" s="230" t="s">
        <v>1563</v>
      </c>
    </row>
    <row r="277" spans="2:2">
      <c r="B277" s="230" t="s">
        <v>1434</v>
      </c>
    </row>
    <row r="278" spans="2:2">
      <c r="B278" s="230" t="s">
        <v>1435</v>
      </c>
    </row>
    <row r="279" spans="2:2">
      <c r="B279" s="230" t="s">
        <v>1436</v>
      </c>
    </row>
    <row r="280" spans="2:2">
      <c r="B280" s="230" t="s">
        <v>1437</v>
      </c>
    </row>
    <row r="281" spans="2:2">
      <c r="B281" s="230" t="s">
        <v>1438</v>
      </c>
    </row>
    <row r="282" spans="2:2">
      <c r="B282" s="230" t="s">
        <v>1439</v>
      </c>
    </row>
    <row r="283" spans="2:2">
      <c r="B283" s="230" t="s">
        <v>1502</v>
      </c>
    </row>
    <row r="284" spans="2:2">
      <c r="B284" s="230" t="s">
        <v>1561</v>
      </c>
    </row>
    <row r="285" spans="2:2">
      <c r="B285" s="230" t="s">
        <v>1562</v>
      </c>
    </row>
    <row r="286" spans="2:2">
      <c r="B286" s="230" t="s">
        <v>1392</v>
      </c>
    </row>
    <row r="287" spans="2:2">
      <c r="B287" s="230" t="s">
        <v>1179</v>
      </c>
    </row>
    <row r="288" spans="2:2">
      <c r="B288" s="230" t="s">
        <v>1223</v>
      </c>
    </row>
    <row r="289" spans="2:14">
      <c r="B289" s="230" t="s">
        <v>1391</v>
      </c>
    </row>
    <row r="290" spans="2:14">
      <c r="B290" s="230" t="s">
        <v>1390</v>
      </c>
    </row>
    <row r="291" spans="2:14">
      <c r="B291" s="178" t="s">
        <v>428</v>
      </c>
      <c r="C291" s="203" t="s">
        <v>256</v>
      </c>
      <c r="D291" s="251">
        <v>4000</v>
      </c>
      <c r="F291" s="251">
        <v>400</v>
      </c>
      <c r="K291" s="178" t="s">
        <v>430</v>
      </c>
      <c r="L291" s="178">
        <v>2017</v>
      </c>
      <c r="N291" s="202" t="s">
        <v>567</v>
      </c>
    </row>
    <row r="292" spans="2:14">
      <c r="B292" s="230" t="s">
        <v>1453</v>
      </c>
    </row>
    <row r="293" spans="2:14">
      <c r="B293" s="230" t="s">
        <v>1556</v>
      </c>
    </row>
    <row r="294" spans="2:14">
      <c r="B294" s="230" t="s">
        <v>1564</v>
      </c>
    </row>
    <row r="295" spans="2:14">
      <c r="B295" s="230" t="s">
        <v>1586</v>
      </c>
    </row>
    <row r="296" spans="2:14">
      <c r="B296" s="230" t="s">
        <v>1587</v>
      </c>
    </row>
    <row r="297" spans="2:14">
      <c r="B297" s="230" t="s">
        <v>1588</v>
      </c>
      <c r="E297" s="230" t="s">
        <v>581</v>
      </c>
    </row>
    <row r="298" spans="2:14">
      <c r="B298" s="230" t="s">
        <v>1589</v>
      </c>
    </row>
    <row r="299" spans="2:14">
      <c r="B299" s="230" t="s">
        <v>1590</v>
      </c>
    </row>
    <row r="300" spans="2:14">
      <c r="B300" s="230" t="s">
        <v>1591</v>
      </c>
    </row>
    <row r="301" spans="2:14">
      <c r="B301" s="230" t="s">
        <v>1592</v>
      </c>
    </row>
    <row r="302" spans="2:14">
      <c r="B302" s="230" t="s">
        <v>1593</v>
      </c>
    </row>
    <row r="303" spans="2:14">
      <c r="B303" s="230" t="s">
        <v>1594</v>
      </c>
    </row>
    <row r="304" spans="2:14">
      <c r="B304" s="259" t="s">
        <v>1650</v>
      </c>
    </row>
    <row r="305" spans="2:2">
      <c r="B305" s="259" t="s">
        <v>1651</v>
      </c>
    </row>
    <row r="306" spans="2:2">
      <c r="B306" s="259" t="s">
        <v>1661</v>
      </c>
    </row>
    <row r="307" spans="2:2">
      <c r="B307" s="259" t="s">
        <v>1680</v>
      </c>
    </row>
    <row r="308" spans="2:2">
      <c r="B308" s="259" t="s">
        <v>1695</v>
      </c>
    </row>
    <row r="309" spans="2:2">
      <c r="B309" s="259" t="s">
        <v>1696</v>
      </c>
    </row>
    <row r="310" spans="2:2">
      <c r="B310" s="259" t="s">
        <v>1704</v>
      </c>
    </row>
    <row r="311" spans="2:2">
      <c r="B311" s="259" t="s">
        <v>1705</v>
      </c>
    </row>
    <row r="312" spans="2:2">
      <c r="B312" s="259" t="s">
        <v>1713</v>
      </c>
    </row>
    <row r="313" spans="2:2">
      <c r="B313" s="259" t="s">
        <v>1721</v>
      </c>
    </row>
    <row r="314" spans="2:2">
      <c r="B314" s="259" t="s">
        <v>1722</v>
      </c>
    </row>
    <row r="315" spans="2:2">
      <c r="B315" s="259" t="s">
        <v>1733</v>
      </c>
    </row>
    <row r="316" spans="2:2">
      <c r="B316" s="259" t="s">
        <v>1737</v>
      </c>
    </row>
    <row r="317" spans="2:2">
      <c r="B317" s="270" t="s">
        <v>1743</v>
      </c>
    </row>
    <row r="318" spans="2:2">
      <c r="B318" s="270" t="s">
        <v>1749</v>
      </c>
    </row>
    <row r="319" spans="2:2">
      <c r="B319" s="270" t="s">
        <v>1755</v>
      </c>
    </row>
    <row r="320" spans="2:2">
      <c r="B320" s="270" t="s">
        <v>1756</v>
      </c>
    </row>
    <row r="321" spans="2:2">
      <c r="B321" s="270" t="s">
        <v>1757</v>
      </c>
    </row>
    <row r="322" spans="2:2">
      <c r="B322" s="270" t="s">
        <v>1764</v>
      </c>
    </row>
  </sheetData>
  <autoFilter ref="A2:L203" xr:uid="{DC9C89C9-C58C-431A-80D5-5C7D568EC13B}"/>
  <hyperlinks>
    <hyperlink ref="A1" location="Main!A1" display="Main" xr:uid="{A37A7071-3D61-430B-9870-62023C7BA352}"/>
    <hyperlink ref="C255" r:id="rId1" xr:uid="{61933356-4DAE-46D4-BAAB-523E916DA4CD}"/>
    <hyperlink ref="M33" r:id="rId2" xr:uid="{7C3C37F8-6BFF-44F4-8D86-2F59EFD976D8}"/>
    <hyperlink ref="K196" r:id="rId3" xr:uid="{82D25570-50C8-456F-B7DA-93D23837F857}"/>
    <hyperlink ref="K253" r:id="rId4" xr:uid="{1A3DF5F9-6F01-484D-8DB9-03E61CB068BA}"/>
    <hyperlink ref="C256" r:id="rId5" xr:uid="{EF10DB56-5F70-48B5-A61C-02F154472CAD}"/>
    <hyperlink ref="C257" r:id="rId6" xr:uid="{47D5FBF5-3BBD-473A-BCAE-24754E3588B6}"/>
    <hyperlink ref="M19" r:id="rId7" xr:uid="{45530F9C-6F03-4419-B248-DA5DE522BD64}"/>
  </hyperlinks>
  <pageMargins left="0.7" right="0.7" top="0.75" bottom="0.75" header="0.3" footer="0.3"/>
  <pageSetup orientation="portrait" r:id="rId8"/>
  <legacyDrawing r:id="rId9"/>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CBFEC-29DF-40E8-ABA2-B3BB501AC0C1}">
  <dimension ref="A1:O25"/>
  <sheetViews>
    <sheetView zoomScale="190" zoomScaleNormal="190" workbookViewId="0">
      <pane xSplit="2" ySplit="2" topLeftCell="C3" activePane="bottomRight" state="frozen"/>
      <selection pane="topRight" activeCell="C1" sqref="C1"/>
      <selection pane="bottomLeft" activeCell="A3" sqref="A3"/>
      <selection pane="bottomRight" activeCell="C3" sqref="C3"/>
    </sheetView>
  </sheetViews>
  <sheetFormatPr defaultColWidth="9.140625" defaultRowHeight="12.75"/>
  <cols>
    <col min="1" max="1" width="5" style="172" bestFit="1" customWidth="1"/>
    <col min="2" max="2" width="12.7109375" style="172" customWidth="1"/>
    <col min="3" max="16384" width="9.140625" style="172"/>
  </cols>
  <sheetData>
    <row r="1" spans="1:15">
      <c r="A1" s="5" t="s">
        <v>146</v>
      </c>
    </row>
    <row r="2" spans="1:15">
      <c r="B2" s="172" t="s">
        <v>0</v>
      </c>
      <c r="C2" s="172">
        <v>2010</v>
      </c>
      <c r="D2" s="172">
        <f>C2+1</f>
        <v>2011</v>
      </c>
      <c r="E2" s="172">
        <f t="shared" ref="E2:O2" si="0">D2+1</f>
        <v>2012</v>
      </c>
      <c r="F2" s="172">
        <f t="shared" si="0"/>
        <v>2013</v>
      </c>
      <c r="G2" s="172">
        <f t="shared" si="0"/>
        <v>2014</v>
      </c>
      <c r="H2" s="172">
        <f t="shared" si="0"/>
        <v>2015</v>
      </c>
      <c r="I2" s="172">
        <f t="shared" si="0"/>
        <v>2016</v>
      </c>
      <c r="J2" s="172">
        <f t="shared" si="0"/>
        <v>2017</v>
      </c>
      <c r="K2" s="172">
        <f t="shared" si="0"/>
        <v>2018</v>
      </c>
      <c r="L2" s="172">
        <f t="shared" si="0"/>
        <v>2019</v>
      </c>
      <c r="M2" s="172">
        <f t="shared" si="0"/>
        <v>2020</v>
      </c>
      <c r="N2" s="172">
        <f t="shared" si="0"/>
        <v>2021</v>
      </c>
      <c r="O2" s="172">
        <f t="shared" si="0"/>
        <v>2022</v>
      </c>
    </row>
    <row r="3" spans="1:15">
      <c r="B3" s="176" t="s">
        <v>494</v>
      </c>
      <c r="C3" s="173">
        <f>SUM(C5:C25)</f>
        <v>62484</v>
      </c>
      <c r="D3" s="173">
        <f t="shared" ref="D3:O3" si="1">SUM(D5:D25)</f>
        <v>69943</v>
      </c>
      <c r="E3" s="173">
        <f t="shared" si="1"/>
        <v>119762</v>
      </c>
      <c r="F3" s="173">
        <f t="shared" si="1"/>
        <v>141240</v>
      </c>
      <c r="G3" s="173">
        <f t="shared" si="1"/>
        <v>169944</v>
      </c>
      <c r="H3" s="173">
        <f t="shared" si="1"/>
        <v>194377</v>
      </c>
      <c r="I3" s="173">
        <f t="shared" si="1"/>
        <v>253177</v>
      </c>
      <c r="J3" s="173">
        <f t="shared" si="1"/>
        <v>305432</v>
      </c>
      <c r="K3" s="173">
        <f t="shared" si="1"/>
        <v>371389</v>
      </c>
      <c r="L3" s="173">
        <f t="shared" si="1"/>
        <v>436330</v>
      </c>
      <c r="M3" s="173">
        <f t="shared" si="1"/>
        <v>503965</v>
      </c>
      <c r="N3" s="173">
        <f t="shared" si="1"/>
        <v>718643</v>
      </c>
      <c r="O3" s="177">
        <f t="shared" si="1"/>
        <v>825015.8</v>
      </c>
    </row>
    <row r="5" spans="1:15">
      <c r="B5" s="172" t="s">
        <v>9</v>
      </c>
      <c r="E5" s="173">
        <v>46039</v>
      </c>
      <c r="F5" s="173">
        <v>55519</v>
      </c>
      <c r="G5" s="173">
        <v>66001</v>
      </c>
      <c r="H5" s="173">
        <v>74989</v>
      </c>
      <c r="I5" s="173">
        <v>90272</v>
      </c>
      <c r="J5" s="173">
        <v>110855</v>
      </c>
      <c r="K5" s="173">
        <v>136819</v>
      </c>
      <c r="L5" s="173">
        <v>161857</v>
      </c>
      <c r="M5" s="173">
        <v>182527</v>
      </c>
      <c r="N5" s="173">
        <v>257637</v>
      </c>
      <c r="O5" s="173">
        <v>282836</v>
      </c>
    </row>
    <row r="6" spans="1:15">
      <c r="B6" s="172" t="s">
        <v>7</v>
      </c>
      <c r="C6" s="173">
        <v>62484</v>
      </c>
      <c r="D6" s="173">
        <v>69943</v>
      </c>
      <c r="E6" s="173">
        <v>73723</v>
      </c>
      <c r="F6" s="173">
        <v>77849</v>
      </c>
      <c r="G6" s="173">
        <v>86833</v>
      </c>
      <c r="H6" s="173">
        <v>93580</v>
      </c>
      <c r="I6" s="173">
        <v>85320</v>
      </c>
      <c r="J6" s="173">
        <v>96571</v>
      </c>
      <c r="K6" s="173">
        <v>110360</v>
      </c>
      <c r="L6" s="173">
        <v>125843</v>
      </c>
      <c r="M6" s="173">
        <v>143015</v>
      </c>
      <c r="N6" s="173">
        <v>184903</v>
      </c>
      <c r="O6" s="173">
        <v>204094</v>
      </c>
    </row>
    <row r="7" spans="1:15">
      <c r="B7" s="172" t="s">
        <v>13</v>
      </c>
      <c r="F7" s="173">
        <v>7872</v>
      </c>
      <c r="G7" s="173">
        <v>12466</v>
      </c>
      <c r="H7" s="173">
        <v>17928</v>
      </c>
      <c r="I7" s="173">
        <v>27638</v>
      </c>
      <c r="J7" s="173">
        <v>40653</v>
      </c>
      <c r="K7" s="173">
        <v>55838</v>
      </c>
      <c r="L7" s="173">
        <v>70697</v>
      </c>
      <c r="M7" s="173">
        <v>85965</v>
      </c>
      <c r="N7" s="173">
        <v>117929</v>
      </c>
      <c r="O7" s="173">
        <v>116609</v>
      </c>
    </row>
    <row r="8" spans="1:15">
      <c r="B8" s="172" t="s">
        <v>481</v>
      </c>
      <c r="G8" s="173">
        <v>4644</v>
      </c>
      <c r="H8" s="173">
        <v>7880</v>
      </c>
      <c r="I8" s="173">
        <v>12219</v>
      </c>
      <c r="J8" s="173">
        <v>17459</v>
      </c>
      <c r="K8" s="173">
        <v>25655</v>
      </c>
      <c r="L8" s="173">
        <v>35026</v>
      </c>
      <c r="M8" s="173">
        <v>45370</v>
      </c>
      <c r="N8" s="173">
        <v>62202</v>
      </c>
      <c r="O8" s="173">
        <v>80096</v>
      </c>
    </row>
    <row r="9" spans="1:15">
      <c r="B9" s="172" t="s">
        <v>23</v>
      </c>
      <c r="I9" s="173">
        <v>37728</v>
      </c>
      <c r="J9" s="173">
        <v>39831</v>
      </c>
      <c r="K9" s="173">
        <v>39506</v>
      </c>
      <c r="L9" s="173">
        <v>39068</v>
      </c>
      <c r="M9" s="173">
        <v>40479</v>
      </c>
      <c r="N9" s="173">
        <v>42440</v>
      </c>
      <c r="O9" s="173">
        <v>46073</v>
      </c>
    </row>
    <row r="10" spans="1:15">
      <c r="B10" s="172" t="s">
        <v>25</v>
      </c>
      <c r="N10" s="173">
        <v>27843</v>
      </c>
      <c r="O10" s="174">
        <f>N10*1.1</f>
        <v>30627.300000000003</v>
      </c>
    </row>
    <row r="11" spans="1:15">
      <c r="B11" s="172" t="s">
        <v>21</v>
      </c>
      <c r="O11" s="174">
        <v>30294</v>
      </c>
    </row>
    <row r="12" spans="1:15">
      <c r="B12" s="172" t="s">
        <v>19</v>
      </c>
      <c r="N12" s="173">
        <v>15785</v>
      </c>
      <c r="O12" s="174">
        <f>N12*1.1</f>
        <v>17363.5</v>
      </c>
    </row>
    <row r="13" spans="1:15">
      <c r="B13" s="172" t="s">
        <v>482</v>
      </c>
      <c r="J13" s="173">
        <v>63</v>
      </c>
      <c r="K13" s="173">
        <v>150</v>
      </c>
      <c r="L13" s="173">
        <v>350</v>
      </c>
      <c r="M13" s="173">
        <v>2640</v>
      </c>
      <c r="N13" s="173">
        <v>4697</v>
      </c>
      <c r="O13" s="173">
        <v>9401</v>
      </c>
    </row>
    <row r="14" spans="1:15">
      <c r="B14" s="172" t="s">
        <v>264</v>
      </c>
    </row>
    <row r="15" spans="1:15">
      <c r="B15" s="172" t="s">
        <v>44</v>
      </c>
    </row>
    <row r="16" spans="1:15">
      <c r="B16" s="172" t="s">
        <v>178</v>
      </c>
    </row>
    <row r="17" spans="2:15">
      <c r="B17" s="172" t="s">
        <v>29</v>
      </c>
    </row>
    <row r="18" spans="2:15">
      <c r="B18" s="172" t="s">
        <v>483</v>
      </c>
    </row>
    <row r="19" spans="2:15">
      <c r="B19" s="176" t="s">
        <v>180</v>
      </c>
      <c r="K19" s="173">
        <v>3061</v>
      </c>
      <c r="L19" s="173">
        <v>3489</v>
      </c>
      <c r="M19" s="173">
        <v>3969</v>
      </c>
      <c r="N19" s="173">
        <v>5107</v>
      </c>
      <c r="O19" s="173">
        <v>6622</v>
      </c>
    </row>
    <row r="20" spans="2:15">
      <c r="B20" s="172" t="s">
        <v>33</v>
      </c>
    </row>
    <row r="21" spans="2:15">
      <c r="B21" s="172" t="s">
        <v>401</v>
      </c>
      <c r="N21" s="173">
        <v>100</v>
      </c>
      <c r="O21" s="173">
        <v>1000</v>
      </c>
    </row>
    <row r="22" spans="2:15">
      <c r="B22" s="172" t="s">
        <v>40</v>
      </c>
    </row>
    <row r="23" spans="2:15">
      <c r="B23" s="172" t="s">
        <v>50</v>
      </c>
    </row>
    <row r="24" spans="2:15">
      <c r="B24" s="172" t="s">
        <v>52</v>
      </c>
    </row>
    <row r="25" spans="2:15">
      <c r="B25" s="172" t="s">
        <v>304</v>
      </c>
    </row>
  </sheetData>
  <hyperlinks>
    <hyperlink ref="A1" location="Main!A1" display="Main" xr:uid="{04070A17-ACBF-4452-AFD7-3FBDA4940F36}"/>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C990C-C1C5-4FE2-B554-717099EBE596}">
  <dimension ref="A1:Z29"/>
  <sheetViews>
    <sheetView zoomScale="175" zoomScaleNormal="175" workbookViewId="0">
      <pane xSplit="2" ySplit="2" topLeftCell="C3" activePane="bottomRight" state="frozen"/>
      <selection pane="topRight" activeCell="C1" sqref="C1"/>
      <selection pane="bottomLeft" activeCell="A3" sqref="A3"/>
      <selection pane="bottomRight" activeCell="D20" sqref="D20"/>
    </sheetView>
  </sheetViews>
  <sheetFormatPr defaultColWidth="9.140625" defaultRowHeight="12.75"/>
  <cols>
    <col min="1" max="1" width="5" style="10" bestFit="1" customWidth="1"/>
    <col min="2" max="2" width="13.7109375" style="10" customWidth="1"/>
    <col min="3" max="3" width="9.140625" style="10"/>
    <col min="4" max="4" width="10" style="10" bestFit="1" customWidth="1"/>
    <col min="5" max="9" width="9.140625" style="10"/>
    <col min="10" max="10" width="10.28515625" style="10" customWidth="1"/>
    <col min="11" max="16384" width="9.140625" style="10"/>
  </cols>
  <sheetData>
    <row r="1" spans="1:26">
      <c r="A1" s="5" t="s">
        <v>146</v>
      </c>
    </row>
    <row r="2" spans="1:26">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c r="Y2" s="188" t="s">
        <v>528</v>
      </c>
    </row>
    <row r="3" spans="1:26">
      <c r="A3" s="72" t="s">
        <v>261</v>
      </c>
      <c r="B3" s="5" t="s">
        <v>7</v>
      </c>
      <c r="C3" s="20" t="s">
        <v>8</v>
      </c>
      <c r="D3" s="21">
        <v>252</v>
      </c>
      <c r="E3" s="22">
        <f>D3*[1]Main!$L$3</f>
        <v>1883196</v>
      </c>
      <c r="F3" s="22">
        <f>[1]Main!$L$5-[1]Main!$L$6</f>
        <v>58489</v>
      </c>
      <c r="G3" s="22">
        <f>+E3-F3</f>
        <v>1824707</v>
      </c>
      <c r="H3" s="22">
        <f>+[1]Main!$L$3</f>
        <v>7473</v>
      </c>
      <c r="I3" s="23" t="s">
        <v>14</v>
      </c>
    </row>
    <row r="4" spans="1:26">
      <c r="A4" s="72" t="s">
        <v>261</v>
      </c>
      <c r="B4" s="5" t="s">
        <v>15</v>
      </c>
      <c r="C4" s="20" t="s">
        <v>16</v>
      </c>
      <c r="D4" s="21">
        <v>391.4</v>
      </c>
      <c r="E4" s="22">
        <f>+D4*[21]Main!$L$3*1000/HKD</f>
        <v>482256.9746999924</v>
      </c>
      <c r="F4" s="22">
        <f>([21]Main!$L$5-[21]Main!$L$6)/HKD*1000</f>
        <v>81912.914978725574</v>
      </c>
      <c r="G4" s="22">
        <f>+E4-F4</f>
        <v>400344.05972126685</v>
      </c>
      <c r="H4" s="22"/>
      <c r="I4" s="23" t="s">
        <v>14</v>
      </c>
    </row>
    <row r="5" spans="1:26" s="20" customFormat="1">
      <c r="A5" s="82" t="s">
        <v>261</v>
      </c>
      <c r="B5" s="5" t="s">
        <v>19</v>
      </c>
      <c r="C5" s="20" t="s">
        <v>20</v>
      </c>
      <c r="D5" s="21">
        <v>309.18</v>
      </c>
      <c r="E5" s="22">
        <f>+D5*[28]Main!$N$3</f>
        <v>146087.55000000002</v>
      </c>
      <c r="F5" s="22">
        <f>+[28]Main!$N$5-[28]Main!$N$6</f>
        <v>1173</v>
      </c>
      <c r="G5" s="22">
        <f t="shared" ref="G5:G8" si="0">+E5-F5</f>
        <v>144914.55000000002</v>
      </c>
      <c r="H5" s="22">
        <f>+[28]Main!$N$3</f>
        <v>472.5</v>
      </c>
      <c r="I5" s="23" t="s">
        <v>208</v>
      </c>
      <c r="J5" s="43">
        <v>44823</v>
      </c>
      <c r="K5" s="24"/>
      <c r="L5" s="24"/>
      <c r="M5" s="24"/>
      <c r="N5" s="24"/>
      <c r="O5" s="24"/>
      <c r="P5" s="25"/>
      <c r="Q5" s="24"/>
      <c r="R5" s="24"/>
      <c r="S5" s="26"/>
      <c r="T5" s="25"/>
      <c r="U5" s="24"/>
      <c r="V5" s="24"/>
      <c r="W5" s="26"/>
      <c r="X5" s="20">
        <v>1982</v>
      </c>
    </row>
    <row r="6" spans="1:26" s="20" customFormat="1">
      <c r="A6" s="82" t="s">
        <v>261</v>
      </c>
      <c r="B6" s="5" t="s">
        <v>267</v>
      </c>
      <c r="C6" s="82" t="s">
        <v>268</v>
      </c>
      <c r="D6" s="154">
        <v>12025</v>
      </c>
      <c r="E6" s="22">
        <f>D6*H6/JPY</f>
        <v>108755.68776016941</v>
      </c>
      <c r="F6" s="22">
        <f>([29]Main!$O$7-[29]Main!$O$8)/JPY</f>
        <v>3147.411085956328</v>
      </c>
      <c r="G6" s="22">
        <f t="shared" si="0"/>
        <v>105608.27667421309</v>
      </c>
      <c r="H6" s="22">
        <f>[29]Main!$O$4</f>
        <v>1238.413</v>
      </c>
      <c r="I6" s="155" t="s">
        <v>390</v>
      </c>
      <c r="J6" s="43">
        <v>44994</v>
      </c>
      <c r="K6" s="24"/>
      <c r="L6" s="24"/>
      <c r="M6" s="24"/>
      <c r="N6" s="24"/>
      <c r="O6" s="24"/>
      <c r="P6" s="24"/>
      <c r="Q6" s="24"/>
      <c r="R6" s="24"/>
      <c r="S6" s="24"/>
      <c r="T6" s="24"/>
      <c r="U6" s="24"/>
      <c r="V6" s="24"/>
      <c r="W6" s="24"/>
    </row>
    <row r="7" spans="1:26" s="20" customFormat="1">
      <c r="A7" s="153" t="s">
        <v>261</v>
      </c>
      <c r="B7" s="5" t="s">
        <v>267</v>
      </c>
      <c r="C7" s="153" t="s">
        <v>391</v>
      </c>
      <c r="D7" s="21">
        <v>87.8</v>
      </c>
      <c r="E7" s="22">
        <f>D7*H7</f>
        <v>108732.6614</v>
      </c>
      <c r="F7" s="22">
        <f>([29]Main!$O$7-[29]Main!$O$8)/JPY</f>
        <v>3147.411085956328</v>
      </c>
      <c r="G7" s="22">
        <f t="shared" si="0"/>
        <v>105585.25031404367</v>
      </c>
      <c r="H7" s="22">
        <f>[29]Main!$O$4</f>
        <v>1238.413</v>
      </c>
      <c r="I7" s="155" t="s">
        <v>390</v>
      </c>
      <c r="J7" s="43">
        <v>44994</v>
      </c>
      <c r="K7" s="24"/>
      <c r="L7" s="24"/>
      <c r="M7" s="24"/>
      <c r="N7" s="24"/>
      <c r="O7" s="24"/>
      <c r="P7" s="24"/>
      <c r="Q7" s="24"/>
      <c r="R7" s="24"/>
      <c r="S7" s="24"/>
      <c r="T7" s="24"/>
      <c r="U7" s="24"/>
      <c r="V7" s="24"/>
      <c r="W7" s="24"/>
    </row>
    <row r="8" spans="1:26" s="20" customFormat="1">
      <c r="A8" s="85" t="s">
        <v>261</v>
      </c>
      <c r="B8" s="85" t="s">
        <v>271</v>
      </c>
      <c r="C8" s="85" t="s">
        <v>272</v>
      </c>
      <c r="D8" s="21">
        <v>327</v>
      </c>
      <c r="E8" s="22">
        <v>145680</v>
      </c>
      <c r="F8" s="22"/>
      <c r="G8" s="22">
        <f t="shared" si="0"/>
        <v>145680</v>
      </c>
      <c r="H8" s="22"/>
      <c r="I8" s="23"/>
      <c r="J8" s="23"/>
      <c r="K8" s="24"/>
      <c r="L8" s="24"/>
      <c r="M8" s="24"/>
      <c r="N8" s="24"/>
      <c r="O8" s="24"/>
      <c r="P8" s="24"/>
      <c r="Q8" s="24"/>
      <c r="R8" s="24"/>
      <c r="S8" s="24"/>
      <c r="T8" s="24"/>
      <c r="U8" s="24"/>
      <c r="V8" s="24"/>
      <c r="W8" s="24"/>
    </row>
    <row r="9" spans="1:26">
      <c r="A9" s="87" t="s">
        <v>261</v>
      </c>
      <c r="B9" s="5" t="s">
        <v>175</v>
      </c>
      <c r="C9" s="10" t="s">
        <v>176</v>
      </c>
      <c r="D9" s="10">
        <v>73.88</v>
      </c>
      <c r="E9" s="52">
        <f>+D9*H9</f>
        <v>57820.358567719995</v>
      </c>
      <c r="F9" s="52">
        <f>+[30]Main!$J$5-[30]Main!$J$6</f>
        <v>7078</v>
      </c>
      <c r="G9" s="22">
        <f t="shared" ref="G9" si="1">+E9-F9</f>
        <v>50742.358567719995</v>
      </c>
      <c r="H9" s="52">
        <f>+[30]Main!$J$3</f>
        <v>782.62531899999999</v>
      </c>
      <c r="I9" s="144" t="s">
        <v>359</v>
      </c>
      <c r="J9" s="67">
        <v>44946</v>
      </c>
    </row>
    <row r="10" spans="1:26">
      <c r="A10" s="87" t="s">
        <v>261</v>
      </c>
      <c r="B10" s="10" t="s">
        <v>177</v>
      </c>
      <c r="C10" s="46" t="s">
        <v>240</v>
      </c>
      <c r="D10" s="52">
        <v>59910</v>
      </c>
      <c r="E10" s="52" cm="1">
        <f t="array" ref="E10">6975000/JPY</f>
        <v>50938.435697071494</v>
      </c>
    </row>
    <row r="11" spans="1:26">
      <c r="A11" s="88" t="s">
        <v>261</v>
      </c>
      <c r="B11" s="88" t="s">
        <v>275</v>
      </c>
      <c r="C11" s="88" t="s">
        <v>276</v>
      </c>
      <c r="D11" s="52"/>
      <c r="E11" s="52"/>
    </row>
    <row r="12" spans="1:26">
      <c r="A12" s="98" t="s">
        <v>261</v>
      </c>
      <c r="B12" s="98" t="s">
        <v>293</v>
      </c>
      <c r="C12" s="98" t="s">
        <v>294</v>
      </c>
      <c r="D12" s="52"/>
      <c r="E12" s="52"/>
    </row>
    <row r="13" spans="1:26">
      <c r="A13" s="98" t="s">
        <v>261</v>
      </c>
      <c r="B13" s="5" t="s">
        <v>171</v>
      </c>
      <c r="C13" s="10" t="s">
        <v>172</v>
      </c>
      <c r="D13" s="10">
        <v>130.47999999999999</v>
      </c>
      <c r="E13" s="52">
        <f>+D13*H13</f>
        <v>36664.879999999997</v>
      </c>
      <c r="F13" s="52">
        <f>+[31]Main!$N$5-[31]Main!$N$6</f>
        <v>538</v>
      </c>
      <c r="G13" s="52">
        <f>+E13-F13</f>
        <v>36126.879999999997</v>
      </c>
      <c r="H13" s="10">
        <f>+[31]Main!$N$3</f>
        <v>281</v>
      </c>
      <c r="I13" s="66" t="s">
        <v>208</v>
      </c>
      <c r="J13" s="67">
        <v>44799</v>
      </c>
      <c r="X13" s="10">
        <v>1982</v>
      </c>
    </row>
    <row r="14" spans="1:26" s="1" customFormat="1">
      <c r="A14" s="1" t="s">
        <v>261</v>
      </c>
      <c r="B14" s="5" t="s">
        <v>77</v>
      </c>
      <c r="C14" s="1" t="s">
        <v>78</v>
      </c>
      <c r="D14" s="2">
        <v>37.76</v>
      </c>
      <c r="E14" s="3">
        <f>D14*H14</f>
        <v>22849.913459200001</v>
      </c>
      <c r="F14" s="3">
        <f>[32]Main!$L$5-[32]Main!$L$6</f>
        <v>1988</v>
      </c>
      <c r="G14" s="3">
        <f>+E14-F14</f>
        <v>20861.913459200001</v>
      </c>
      <c r="H14" s="3">
        <f>[32]Main!$L$3</f>
        <v>605.13542000000007</v>
      </c>
      <c r="I14" s="4" t="s">
        <v>390</v>
      </c>
      <c r="J14" s="152">
        <v>44987</v>
      </c>
      <c r="X14" s="1">
        <v>2004</v>
      </c>
      <c r="Y14" s="1">
        <v>56</v>
      </c>
      <c r="Z14" s="190">
        <f>G14/Y14</f>
        <v>372.53416891428571</v>
      </c>
    </row>
    <row r="15" spans="1:26" s="1" customFormat="1">
      <c r="A15" s="1" t="s">
        <v>261</v>
      </c>
      <c r="B15" s="136" t="s">
        <v>340</v>
      </c>
      <c r="C15" s="1" t="s">
        <v>341</v>
      </c>
      <c r="D15" s="2"/>
      <c r="E15" s="3"/>
      <c r="F15" s="3"/>
      <c r="G15" s="3"/>
      <c r="H15" s="4"/>
      <c r="I15" s="4"/>
    </row>
    <row r="16" spans="1:26">
      <c r="B16" s="10" t="s">
        <v>173</v>
      </c>
      <c r="C16" s="10" t="s">
        <v>174</v>
      </c>
      <c r="D16" s="10">
        <v>127.74</v>
      </c>
      <c r="E16" s="52">
        <v>21290</v>
      </c>
    </row>
    <row r="17" spans="2:26" s="1" customFormat="1">
      <c r="B17" s="1" t="s">
        <v>88</v>
      </c>
      <c r="C17" s="1" t="s">
        <v>89</v>
      </c>
      <c r="D17" s="2">
        <v>45.8</v>
      </c>
      <c r="E17" s="3">
        <v>14330</v>
      </c>
      <c r="F17" s="4"/>
      <c r="G17" s="4"/>
      <c r="H17" s="4"/>
    </row>
    <row r="18" spans="2:26" s="1" customFormat="1">
      <c r="B18" s="1" t="s">
        <v>259</v>
      </c>
      <c r="C18" s="1" t="s">
        <v>260</v>
      </c>
      <c r="D18" s="2"/>
      <c r="E18" s="3"/>
      <c r="F18" s="4"/>
      <c r="G18" s="4"/>
      <c r="H18" s="4"/>
    </row>
    <row r="19" spans="2:26" s="20" customFormat="1">
      <c r="B19" s="114" t="s">
        <v>75</v>
      </c>
      <c r="C19" s="20" t="s">
        <v>76</v>
      </c>
      <c r="D19" s="21">
        <v>102.23</v>
      </c>
      <c r="E19" s="22">
        <f>+D19*[33]Main!$K$3</f>
        <v>20147.20788088</v>
      </c>
      <c r="F19" s="22">
        <f>+[33]Main!$K$5-[33]Main!$K$6</f>
        <v>3155</v>
      </c>
      <c r="G19" s="22">
        <f>E19-F19</f>
        <v>16992.20788088</v>
      </c>
      <c r="H19" s="22"/>
      <c r="I19" s="23" t="s">
        <v>14</v>
      </c>
      <c r="J19" s="23"/>
      <c r="K19" s="24"/>
      <c r="L19" s="24"/>
      <c r="M19" s="24"/>
      <c r="N19" s="24"/>
      <c r="O19" s="26"/>
      <c r="P19" s="25"/>
      <c r="Q19" s="24"/>
      <c r="R19" s="24"/>
      <c r="S19" s="26"/>
      <c r="T19" s="25"/>
      <c r="U19" s="24"/>
      <c r="V19" s="24"/>
      <c r="W19" s="26"/>
    </row>
    <row r="20" spans="2:26" s="20" customFormat="1">
      <c r="B20" s="65" t="s">
        <v>258</v>
      </c>
      <c r="D20" s="21"/>
      <c r="E20" s="22"/>
      <c r="F20" s="23"/>
      <c r="G20" s="23"/>
      <c r="H20" s="23"/>
      <c r="I20" s="23"/>
      <c r="J20" s="23"/>
      <c r="K20" s="24"/>
      <c r="L20" s="24"/>
      <c r="M20" s="24"/>
      <c r="N20" s="24"/>
      <c r="O20" s="24"/>
      <c r="P20" s="24"/>
      <c r="Q20" s="24"/>
      <c r="R20" s="24"/>
      <c r="S20" s="24"/>
      <c r="T20" s="24"/>
      <c r="U20" s="24"/>
      <c r="V20" s="24"/>
      <c r="W20" s="24"/>
    </row>
    <row r="21" spans="2:26" s="20" customFormat="1">
      <c r="D21" s="21"/>
      <c r="E21" s="22"/>
      <c r="F21" s="23"/>
      <c r="G21" s="23"/>
      <c r="H21" s="23"/>
      <c r="I21" s="23"/>
      <c r="J21" s="23"/>
      <c r="K21" s="24"/>
      <c r="L21" s="24"/>
      <c r="M21" s="24"/>
      <c r="N21" s="24"/>
      <c r="O21" s="24"/>
      <c r="P21" s="24"/>
      <c r="Q21" s="24"/>
      <c r="R21" s="24"/>
      <c r="S21" s="24"/>
      <c r="T21" s="24"/>
      <c r="U21" s="24"/>
      <c r="V21" s="24"/>
      <c r="W21" s="24"/>
    </row>
    <row r="22" spans="2:26" s="20" customFormat="1">
      <c r="D22" s="21"/>
      <c r="E22" s="22"/>
      <c r="F22" s="23"/>
      <c r="G22" s="23"/>
      <c r="H22" s="23"/>
      <c r="I22" s="23"/>
      <c r="J22" s="23"/>
      <c r="K22" s="24"/>
      <c r="L22" s="24"/>
      <c r="M22" s="24"/>
      <c r="N22" s="24"/>
      <c r="O22" s="24"/>
      <c r="P22" s="24"/>
      <c r="Q22" s="24"/>
      <c r="R22" s="24"/>
      <c r="S22" s="24"/>
      <c r="T22" s="24"/>
      <c r="U22" s="24"/>
      <c r="V22" s="24"/>
      <c r="W22" s="24"/>
    </row>
    <row r="23" spans="2:26" s="20" customFormat="1">
      <c r="D23" s="21"/>
      <c r="E23" s="22"/>
      <c r="F23" s="23"/>
      <c r="G23" s="23"/>
      <c r="H23" s="23"/>
      <c r="I23" s="23"/>
      <c r="J23" s="23"/>
      <c r="K23" s="24"/>
      <c r="L23" s="24"/>
      <c r="M23" s="24"/>
      <c r="N23" s="24"/>
      <c r="O23" s="24"/>
      <c r="P23" s="24"/>
      <c r="Q23" s="24"/>
      <c r="R23" s="24"/>
      <c r="S23" s="24"/>
      <c r="T23" s="24"/>
      <c r="U23" s="24"/>
      <c r="V23" s="24"/>
      <c r="W23" s="24"/>
    </row>
    <row r="24" spans="2:26">
      <c r="B24" s="1" t="s">
        <v>54</v>
      </c>
      <c r="C24" s="1"/>
      <c r="D24" s="2"/>
      <c r="E24" s="3">
        <v>31500</v>
      </c>
      <c r="G24" s="52">
        <f>E24</f>
        <v>31500</v>
      </c>
      <c r="Y24" s="10">
        <v>270</v>
      </c>
      <c r="Z24" s="190">
        <f>G24/Y24</f>
        <v>116.66666666666667</v>
      </c>
    </row>
    <row r="25" spans="2:26" s="20" customFormat="1">
      <c r="B25" s="20" t="s">
        <v>58</v>
      </c>
      <c r="D25" s="21"/>
      <c r="E25" s="22">
        <v>27000</v>
      </c>
      <c r="F25" s="23"/>
      <c r="G25" s="23"/>
      <c r="H25" s="23"/>
      <c r="I25" s="23"/>
      <c r="J25" s="23"/>
      <c r="K25" s="24"/>
      <c r="L25" s="24"/>
      <c r="M25" s="24"/>
      <c r="N25" s="24"/>
      <c r="O25" s="24"/>
      <c r="P25" s="24"/>
      <c r="Q25" s="24"/>
      <c r="R25" s="24"/>
      <c r="S25" s="24"/>
      <c r="T25" s="24"/>
      <c r="U25" s="24"/>
      <c r="V25" s="24"/>
      <c r="W25" s="24"/>
    </row>
    <row r="26" spans="2:26" s="20" customFormat="1">
      <c r="B26" s="20" t="s">
        <v>110</v>
      </c>
      <c r="D26" s="21"/>
      <c r="E26" s="22">
        <v>10000</v>
      </c>
      <c r="F26" s="23"/>
      <c r="G26" s="23"/>
      <c r="H26" s="23"/>
      <c r="I26" s="23"/>
      <c r="J26" s="23"/>
      <c r="K26" s="24"/>
      <c r="L26" s="24"/>
      <c r="M26" s="24"/>
      <c r="N26" s="24"/>
      <c r="O26" s="24"/>
      <c r="P26" s="24"/>
      <c r="Q26" s="24"/>
      <c r="R26" s="24"/>
      <c r="S26" s="24"/>
      <c r="T26" s="24"/>
      <c r="U26" s="24"/>
      <c r="V26" s="24"/>
      <c r="W26" s="24"/>
    </row>
    <row r="27" spans="2:26">
      <c r="B27" s="63" t="s">
        <v>257</v>
      </c>
    </row>
    <row r="28" spans="2:26">
      <c r="B28" s="165" t="s">
        <v>476</v>
      </c>
    </row>
    <row r="29" spans="2:26">
      <c r="B29" s="206" t="s">
        <v>615</v>
      </c>
      <c r="E29" s="10">
        <v>100</v>
      </c>
      <c r="H29" s="206" t="s">
        <v>616</v>
      </c>
    </row>
  </sheetData>
  <hyperlinks>
    <hyperlink ref="A1" location="Main!A1" display="Main" xr:uid="{B2E999A0-B9C6-426F-B868-4B47C66D3C76}"/>
    <hyperlink ref="B14" r:id="rId1" xr:uid="{4D4AAA00-BFE8-4498-9D01-136889AF20D4}"/>
    <hyperlink ref="B3" r:id="rId2" xr:uid="{3976EBF1-944B-4446-8A82-A83B8F045357}"/>
    <hyperlink ref="B4" r:id="rId3" xr:uid="{F038AE55-03C6-4C11-AB9A-E55BDED9EAEB}"/>
    <hyperlink ref="B13" r:id="rId4" xr:uid="{7C332E55-E10B-4AF1-A314-5F96A0E9060B}"/>
    <hyperlink ref="B5" r:id="rId5" xr:uid="{D15C9016-D909-4B61-8E61-89DF546A9452}"/>
    <hyperlink ref="B19" r:id="rId6" xr:uid="{B43B07AD-918B-4E3C-B6FF-2D0A1726D08C}"/>
    <hyperlink ref="B9" r:id="rId7" xr:uid="{54D233D9-C949-4228-9F3B-6F4618FC7C4C}"/>
    <hyperlink ref="B6" r:id="rId8" xr:uid="{C317DCAB-F486-4C03-A390-844EB230A084}"/>
    <hyperlink ref="B7" r:id="rId9" xr:uid="{B27274A8-24B6-4DB9-826D-7802A0C1EEB1}"/>
  </hyperlinks>
  <pageMargins left="0.7" right="0.7" top="0.75" bottom="0.75" header="0.3" footer="0.3"/>
  <pageSetup orientation="portrait" r:id="rId1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5841C-1187-4786-8CDA-18459BF1140B}">
  <dimension ref="A1:X35"/>
  <sheetViews>
    <sheetView zoomScale="235" zoomScaleNormal="235" workbookViewId="0">
      <pane xSplit="2" ySplit="2" topLeftCell="C3" activePane="bottomRight" state="frozen"/>
      <selection pane="topRight" activeCell="C1" sqref="C1"/>
      <selection pane="bottomLeft" activeCell="A3" sqref="A3"/>
      <selection pane="bottomRight" activeCell="B8" sqref="B8"/>
    </sheetView>
  </sheetViews>
  <sheetFormatPr defaultColWidth="9.140625" defaultRowHeight="12.75"/>
  <cols>
    <col min="1" max="1" width="5" style="10" bestFit="1" customWidth="1"/>
    <col min="2" max="2" width="18.28515625" style="10" customWidth="1"/>
    <col min="3" max="3" width="10.42578125" style="10" bestFit="1" customWidth="1"/>
    <col min="4" max="9" width="9.140625" style="68"/>
    <col min="10" max="16384" width="9.140625" style="10"/>
  </cols>
  <sheetData>
    <row r="1" spans="1:24">
      <c r="A1" s="5" t="s">
        <v>146</v>
      </c>
    </row>
    <row r="2" spans="1:24">
      <c r="B2" s="13" t="s">
        <v>0</v>
      </c>
      <c r="C2" s="14" t="s">
        <v>1</v>
      </c>
      <c r="D2" s="15" t="s">
        <v>2</v>
      </c>
      <c r="E2" s="16" t="s">
        <v>3</v>
      </c>
      <c r="F2" s="17" t="s">
        <v>4</v>
      </c>
      <c r="G2" s="17" t="s">
        <v>5</v>
      </c>
      <c r="H2" s="17" t="s">
        <v>221</v>
      </c>
      <c r="I2" s="17" t="s">
        <v>6</v>
      </c>
      <c r="J2" s="42" t="s">
        <v>232</v>
      </c>
      <c r="K2" s="18" t="s">
        <v>216</v>
      </c>
      <c r="L2" s="18" t="s">
        <v>220</v>
      </c>
      <c r="M2" s="18" t="s">
        <v>217</v>
      </c>
      <c r="N2" s="18" t="s">
        <v>218</v>
      </c>
      <c r="O2" s="19" t="s">
        <v>219</v>
      </c>
      <c r="P2" s="48" t="s">
        <v>237</v>
      </c>
      <c r="Q2" s="50" t="s">
        <v>238</v>
      </c>
      <c r="R2" s="50" t="s">
        <v>239</v>
      </c>
      <c r="S2" s="19">
        <v>2025</v>
      </c>
      <c r="T2" s="48" t="s">
        <v>236</v>
      </c>
      <c r="U2" s="18">
        <v>2023</v>
      </c>
      <c r="V2" s="18">
        <v>2024</v>
      </c>
      <c r="W2" s="19">
        <v>2025</v>
      </c>
      <c r="X2" s="51" t="s">
        <v>222</v>
      </c>
    </row>
    <row r="3" spans="1:24" s="52" customFormat="1">
      <c r="A3" s="71" t="s">
        <v>261</v>
      </c>
      <c r="B3" s="52" t="s">
        <v>166</v>
      </c>
      <c r="C3" s="52" t="s">
        <v>167</v>
      </c>
      <c r="D3" s="69">
        <v>206.8</v>
      </c>
      <c r="E3" s="70">
        <v>427830</v>
      </c>
      <c r="F3" s="70"/>
      <c r="G3" s="70"/>
      <c r="H3" s="70"/>
      <c r="I3" s="70"/>
    </row>
    <row r="4" spans="1:24" s="52" customFormat="1">
      <c r="A4" s="71" t="s">
        <v>261</v>
      </c>
      <c r="B4" s="52" t="s">
        <v>168</v>
      </c>
      <c r="C4" s="112" t="s">
        <v>323</v>
      </c>
      <c r="D4" s="69">
        <v>340.89</v>
      </c>
      <c r="E4" s="70">
        <v>329430</v>
      </c>
      <c r="F4" s="70"/>
      <c r="G4" s="70"/>
      <c r="H4" s="70"/>
      <c r="I4" s="70"/>
    </row>
    <row r="5" spans="1:24" s="52" customFormat="1">
      <c r="A5" s="83" t="s">
        <v>261</v>
      </c>
      <c r="B5" s="83" t="s">
        <v>265</v>
      </c>
      <c r="C5" s="83" t="s">
        <v>266</v>
      </c>
      <c r="D5" s="69"/>
      <c r="E5" s="70"/>
      <c r="F5" s="70"/>
      <c r="G5" s="70"/>
      <c r="H5" s="70"/>
      <c r="I5" s="70"/>
    </row>
    <row r="6" spans="1:24" s="52" customFormat="1">
      <c r="A6" s="84" t="s">
        <v>261</v>
      </c>
      <c r="B6" s="84" t="s">
        <v>269</v>
      </c>
      <c r="C6" s="84" t="s">
        <v>270</v>
      </c>
      <c r="D6" s="69"/>
      <c r="E6" s="70"/>
      <c r="F6" s="70"/>
      <c r="G6" s="70"/>
      <c r="H6" s="70"/>
      <c r="I6" s="70"/>
    </row>
    <row r="7" spans="1:24" s="20" customFormat="1">
      <c r="A7" s="82" t="s">
        <v>261</v>
      </c>
      <c r="B7" s="142" t="s">
        <v>26</v>
      </c>
      <c r="C7" s="20" t="s">
        <v>27</v>
      </c>
      <c r="D7" s="21">
        <v>413.72</v>
      </c>
      <c r="E7" s="22">
        <f>+D7*H7</f>
        <v>116615.20633988002</v>
      </c>
      <c r="F7" s="22">
        <f>[34]Main!$L$5-[34]Main!$L$6</f>
        <v>-2851</v>
      </c>
      <c r="G7" s="22">
        <f>E7-F7</f>
        <v>119466.20633988002</v>
      </c>
      <c r="H7" s="22">
        <f>+[34]Main!$L$3</f>
        <v>281.86987900000003</v>
      </c>
      <c r="I7" s="131" t="s">
        <v>208</v>
      </c>
      <c r="J7" s="43">
        <v>44830</v>
      </c>
      <c r="K7" s="24"/>
      <c r="L7" s="24"/>
      <c r="M7" s="24"/>
      <c r="N7" s="24"/>
      <c r="O7" s="26"/>
      <c r="P7" s="25"/>
      <c r="Q7" s="24"/>
      <c r="R7" s="24"/>
      <c r="S7" s="26"/>
      <c r="T7" s="25"/>
      <c r="U7" s="24"/>
      <c r="V7" s="24"/>
      <c r="W7" s="26"/>
      <c r="X7" s="20">
        <v>1984</v>
      </c>
    </row>
    <row r="8" spans="1:24" s="52" customFormat="1">
      <c r="A8" s="84" t="s">
        <v>261</v>
      </c>
      <c r="B8" s="186" t="s">
        <v>31</v>
      </c>
      <c r="C8" s="57" t="s">
        <v>32</v>
      </c>
      <c r="D8" s="60">
        <v>65</v>
      </c>
      <c r="E8" s="3">
        <f>D8*H8</f>
        <v>74360</v>
      </c>
      <c r="F8" s="70">
        <f>[35]Main!$M$5-[35]Main!$M$6</f>
        <v>5469</v>
      </c>
      <c r="G8" s="22">
        <f>E8-F8</f>
        <v>68891</v>
      </c>
      <c r="H8" s="70">
        <f>[35]Main!$M$3</f>
        <v>1144</v>
      </c>
      <c r="I8" s="187" t="s">
        <v>390</v>
      </c>
      <c r="J8" s="43">
        <v>45069</v>
      </c>
    </row>
    <row r="9" spans="1:24">
      <c r="A9" s="87" t="s">
        <v>261</v>
      </c>
      <c r="B9" s="87" t="s">
        <v>273</v>
      </c>
      <c r="C9" s="87" t="s">
        <v>274</v>
      </c>
    </row>
    <row r="10" spans="1:24">
      <c r="A10" s="88" t="s">
        <v>261</v>
      </c>
      <c r="B10" s="88" t="s">
        <v>277</v>
      </c>
      <c r="C10" s="88" t="s">
        <v>278</v>
      </c>
    </row>
    <row r="11" spans="1:24" s="52" customFormat="1">
      <c r="A11" s="91" t="s">
        <v>261</v>
      </c>
      <c r="B11" s="59" t="s">
        <v>251</v>
      </c>
      <c r="C11" s="52" t="s">
        <v>165</v>
      </c>
      <c r="D11" s="69">
        <v>70.94</v>
      </c>
      <c r="E11" s="70">
        <v>41870</v>
      </c>
      <c r="F11" s="70"/>
      <c r="G11" s="70"/>
      <c r="H11" s="70"/>
      <c r="I11" s="70"/>
    </row>
    <row r="12" spans="1:24" s="52" customFormat="1">
      <c r="A12" s="91" t="s">
        <v>261</v>
      </c>
      <c r="B12" s="91" t="s">
        <v>279</v>
      </c>
      <c r="C12" s="91" t="s">
        <v>280</v>
      </c>
      <c r="D12" s="69"/>
      <c r="E12" s="70"/>
      <c r="F12" s="70"/>
      <c r="G12" s="70"/>
      <c r="H12" s="70"/>
      <c r="I12" s="70"/>
    </row>
    <row r="13" spans="1:24" s="52" customFormat="1">
      <c r="A13" s="93" t="s">
        <v>261</v>
      </c>
      <c r="B13" s="93" t="s">
        <v>281</v>
      </c>
      <c r="C13" s="93" t="s">
        <v>282</v>
      </c>
      <c r="D13" s="69"/>
      <c r="E13" s="70"/>
      <c r="F13" s="70"/>
      <c r="G13" s="70"/>
      <c r="H13" s="70"/>
      <c r="I13" s="70"/>
    </row>
    <row r="14" spans="1:24" s="52" customFormat="1">
      <c r="A14" s="99" t="s">
        <v>261</v>
      </c>
      <c r="B14" s="99" t="s">
        <v>297</v>
      </c>
      <c r="C14" s="99" t="s">
        <v>297</v>
      </c>
      <c r="D14" s="69"/>
      <c r="E14" s="70"/>
      <c r="F14" s="70"/>
      <c r="G14" s="70"/>
      <c r="H14" s="70"/>
      <c r="I14" s="70"/>
    </row>
    <row r="15" spans="1:24" s="52" customFormat="1">
      <c r="A15" s="99" t="s">
        <v>261</v>
      </c>
      <c r="B15" s="99" t="s">
        <v>298</v>
      </c>
      <c r="C15" s="99" t="s">
        <v>299</v>
      </c>
      <c r="D15" s="69"/>
      <c r="E15" s="70"/>
      <c r="F15" s="70"/>
      <c r="G15" s="70"/>
      <c r="H15" s="70"/>
      <c r="I15" s="70"/>
    </row>
    <row r="16" spans="1:24" s="52" customFormat="1">
      <c r="A16" s="104" t="s">
        <v>261</v>
      </c>
      <c r="B16" s="104" t="s">
        <v>302</v>
      </c>
      <c r="C16" s="104" t="s">
        <v>303</v>
      </c>
      <c r="D16" s="69"/>
      <c r="E16" s="70"/>
      <c r="F16" s="70"/>
      <c r="G16" s="70"/>
      <c r="H16" s="70"/>
      <c r="I16" s="70"/>
    </row>
    <row r="17" spans="1:23" s="52" customFormat="1">
      <c r="A17" s="106" t="s">
        <v>261</v>
      </c>
      <c r="B17" s="106" t="s">
        <v>305</v>
      </c>
      <c r="C17" s="106" t="s">
        <v>306</v>
      </c>
      <c r="D17" s="69"/>
      <c r="E17" s="70"/>
      <c r="F17" s="70"/>
      <c r="G17" s="70"/>
      <c r="H17" s="70"/>
      <c r="I17" s="70"/>
    </row>
    <row r="18" spans="1:23" s="52" customFormat="1">
      <c r="A18" s="109" t="s">
        <v>261</v>
      </c>
      <c r="B18" s="109" t="s">
        <v>315</v>
      </c>
      <c r="C18" s="109" t="s">
        <v>316</v>
      </c>
      <c r="D18" s="69"/>
      <c r="E18" s="70"/>
      <c r="F18" s="70"/>
      <c r="G18" s="70"/>
      <c r="H18" s="70"/>
      <c r="I18" s="70"/>
    </row>
    <row r="19" spans="1:23" s="52" customFormat="1">
      <c r="B19" s="57" t="s">
        <v>71</v>
      </c>
      <c r="C19" s="57" t="s">
        <v>72</v>
      </c>
      <c r="D19" s="60">
        <v>68.930000000000007</v>
      </c>
      <c r="E19" s="3">
        <v>18053</v>
      </c>
      <c r="F19" s="70"/>
      <c r="G19" s="70"/>
      <c r="H19" s="70"/>
      <c r="I19" s="70"/>
    </row>
    <row r="20" spans="1:23" s="52" customFormat="1">
      <c r="B20" s="52" t="s">
        <v>83</v>
      </c>
      <c r="C20" s="52" t="s">
        <v>84</v>
      </c>
      <c r="D20" s="69">
        <v>58.75</v>
      </c>
      <c r="E20" s="70">
        <v>14980</v>
      </c>
      <c r="F20" s="70"/>
      <c r="G20" s="70"/>
      <c r="H20" s="70"/>
      <c r="I20" s="70"/>
    </row>
    <row r="21" spans="1:23" s="52" customFormat="1">
      <c r="B21" s="57" t="s">
        <v>104</v>
      </c>
      <c r="C21" s="57" t="s">
        <v>105</v>
      </c>
      <c r="D21" s="60">
        <v>184.44</v>
      </c>
      <c r="E21" s="3">
        <v>10400</v>
      </c>
      <c r="F21" s="70"/>
      <c r="G21" s="70"/>
      <c r="H21" s="70"/>
      <c r="I21" s="70"/>
    </row>
    <row r="22" spans="1:23" s="20" customFormat="1">
      <c r="A22" s="108" t="s">
        <v>261</v>
      </c>
      <c r="B22" s="117" t="s">
        <v>309</v>
      </c>
      <c r="C22" s="108" t="s">
        <v>310</v>
      </c>
      <c r="D22" s="21">
        <v>175.2</v>
      </c>
      <c r="E22" s="22">
        <v>27500</v>
      </c>
      <c r="F22" s="22"/>
      <c r="G22" s="22"/>
      <c r="H22" s="22"/>
      <c r="I22" s="23"/>
      <c r="J22" s="23"/>
      <c r="K22" s="24"/>
      <c r="L22" s="24"/>
      <c r="M22" s="24"/>
      <c r="N22" s="24"/>
      <c r="O22" s="26"/>
      <c r="P22" s="25"/>
      <c r="Q22" s="24"/>
      <c r="R22" s="24"/>
      <c r="S22" s="26"/>
      <c r="T22" s="25"/>
      <c r="U22" s="24"/>
      <c r="V22" s="24"/>
      <c r="W22" s="26"/>
    </row>
    <row r="23" spans="1:23">
      <c r="B23" s="120" t="s">
        <v>65</v>
      </c>
      <c r="C23" s="20" t="s">
        <v>66</v>
      </c>
      <c r="D23" s="21">
        <v>312</v>
      </c>
      <c r="E23" s="22">
        <v>19090</v>
      </c>
    </row>
    <row r="24" spans="1:23">
      <c r="B24" s="194" t="s">
        <v>536</v>
      </c>
      <c r="C24" s="194" t="s">
        <v>537</v>
      </c>
    </row>
    <row r="25" spans="1:23">
      <c r="B25" s="194" t="s">
        <v>542</v>
      </c>
      <c r="C25" s="194" t="s">
        <v>543</v>
      </c>
    </row>
    <row r="27" spans="1:23" s="52" customFormat="1">
      <c r="B27" s="58" t="s">
        <v>33</v>
      </c>
      <c r="C27" s="58" t="s">
        <v>154</v>
      </c>
      <c r="D27" s="61">
        <v>0</v>
      </c>
      <c r="E27" s="9">
        <v>100000</v>
      </c>
      <c r="F27" s="70"/>
      <c r="G27" s="70"/>
      <c r="H27" s="70"/>
      <c r="I27" s="70"/>
    </row>
    <row r="28" spans="1:23">
      <c r="B28" s="166" t="s">
        <v>59</v>
      </c>
      <c r="C28" s="166"/>
      <c r="D28" s="167">
        <v>0</v>
      </c>
      <c r="E28" s="168">
        <v>26000</v>
      </c>
    </row>
    <row r="29" spans="1:23">
      <c r="B29" s="57" t="s">
        <v>87</v>
      </c>
      <c r="C29" s="57"/>
      <c r="D29" s="61">
        <v>0</v>
      </c>
      <c r="E29" s="3">
        <v>15000</v>
      </c>
    </row>
    <row r="30" spans="1:23">
      <c r="B30" s="56" t="s">
        <v>250</v>
      </c>
      <c r="D30" s="61">
        <v>0</v>
      </c>
      <c r="E30" s="68">
        <v>75</v>
      </c>
    </row>
    <row r="31" spans="1:23">
      <c r="B31" s="62" t="s">
        <v>252</v>
      </c>
      <c r="D31" s="61">
        <v>0</v>
      </c>
    </row>
    <row r="32" spans="1:23">
      <c r="B32" s="94" t="s">
        <v>283</v>
      </c>
      <c r="E32" s="68">
        <v>424</v>
      </c>
    </row>
    <row r="33" spans="2:5">
      <c r="B33" s="94" t="s">
        <v>285</v>
      </c>
      <c r="E33" s="68">
        <v>159.5</v>
      </c>
    </row>
    <row r="34" spans="2:5">
      <c r="B34" s="165" t="s">
        <v>477</v>
      </c>
    </row>
    <row r="35" spans="2:5">
      <c r="B35" s="165"/>
    </row>
  </sheetData>
  <hyperlinks>
    <hyperlink ref="A1" location="Main!A1" display="Main" xr:uid="{A1A6C7BE-B827-4E66-8B30-A4C4FF1A4224}"/>
    <hyperlink ref="B7" r:id="rId1" xr:uid="{B2FAC7EC-CB56-42A3-96CC-14E909698321}"/>
    <hyperlink ref="B8" r:id="rId2" xr:uid="{B88BB985-A6BE-418A-A3AF-D32B8C4FDEDC}"/>
  </hyperlinks>
  <pageMargins left="0.7" right="0.7" top="0.75" bottom="0.75" header="0.3" footer="0.3"/>
  <legacy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EF4EB-ECD2-418F-8A42-9502B535E912}">
  <dimension ref="A1:X31"/>
  <sheetViews>
    <sheetView zoomScale="175" zoomScaleNormal="175" workbookViewId="0">
      <pane xSplit="2" ySplit="2" topLeftCell="C3" activePane="bottomRight" state="frozen"/>
      <selection pane="topRight" activeCell="C1" sqref="C1"/>
      <selection pane="bottomLeft" activeCell="A3" sqref="A3"/>
      <selection pane="bottomRight" activeCell="B26" sqref="B26"/>
    </sheetView>
  </sheetViews>
  <sheetFormatPr defaultColWidth="9.140625" defaultRowHeight="12.75"/>
  <cols>
    <col min="1" max="1" width="5" style="10" bestFit="1" customWidth="1"/>
    <col min="2" max="2" width="11.85546875" style="10" customWidth="1"/>
    <col min="3" max="16384" width="9.140625" style="10"/>
  </cols>
  <sheetData>
    <row r="1" spans="1:24">
      <c r="A1" s="5" t="s">
        <v>146</v>
      </c>
    </row>
    <row r="2" spans="1:24" s="72" customFormat="1">
      <c r="B2" s="73" t="s">
        <v>0</v>
      </c>
      <c r="C2" s="74" t="s">
        <v>1</v>
      </c>
      <c r="D2" s="75" t="s">
        <v>2</v>
      </c>
      <c r="E2" s="76" t="s">
        <v>3</v>
      </c>
      <c r="F2" s="77" t="s">
        <v>4</v>
      </c>
      <c r="G2" s="77" t="s">
        <v>5</v>
      </c>
      <c r="H2" s="77" t="s">
        <v>221</v>
      </c>
      <c r="I2" s="77" t="s">
        <v>6</v>
      </c>
      <c r="J2" s="77" t="s">
        <v>232</v>
      </c>
      <c r="K2" s="78" t="s">
        <v>216</v>
      </c>
      <c r="L2" s="78" t="s">
        <v>220</v>
      </c>
      <c r="M2" s="78" t="s">
        <v>217</v>
      </c>
      <c r="N2" s="78" t="s">
        <v>218</v>
      </c>
      <c r="O2" s="79" t="s">
        <v>219</v>
      </c>
      <c r="P2" s="80" t="s">
        <v>237</v>
      </c>
      <c r="Q2" s="81" t="s">
        <v>238</v>
      </c>
      <c r="R2" s="81" t="s">
        <v>239</v>
      </c>
      <c r="S2" s="79">
        <v>2025</v>
      </c>
      <c r="T2" s="80" t="s">
        <v>236</v>
      </c>
      <c r="U2" s="78">
        <v>2023</v>
      </c>
      <c r="V2" s="78">
        <v>2024</v>
      </c>
      <c r="W2" s="79">
        <v>2025</v>
      </c>
      <c r="X2" s="72" t="s">
        <v>222</v>
      </c>
    </row>
    <row r="3" spans="1:24">
      <c r="A3" s="72" t="s">
        <v>261</v>
      </c>
      <c r="B3" s="5" t="s">
        <v>11</v>
      </c>
      <c r="C3" s="1" t="s">
        <v>12</v>
      </c>
      <c r="D3" s="2">
        <v>98.24</v>
      </c>
      <c r="E3" s="3">
        <f>+D3*H3</f>
        <v>1014917.44</v>
      </c>
      <c r="F3" s="3">
        <f>[6]Main!$K$5-[6]Main!$K$6</f>
        <v>-257</v>
      </c>
      <c r="G3" s="3">
        <f>+E3-F3</f>
        <v>1015174.44</v>
      </c>
      <c r="H3" s="52">
        <f>+[6]Main!$K$3</f>
        <v>10331</v>
      </c>
      <c r="I3" s="4" t="s">
        <v>14</v>
      </c>
      <c r="J3" s="67">
        <v>44967</v>
      </c>
    </row>
    <row r="4" spans="1:24" s="20" customFormat="1">
      <c r="A4" s="72" t="s">
        <v>261</v>
      </c>
      <c r="B4" s="5" t="s">
        <v>17</v>
      </c>
      <c r="C4" s="20" t="s">
        <v>18</v>
      </c>
      <c r="D4" s="21">
        <v>115.9</v>
      </c>
      <c r="E4" s="22">
        <f>D4*[36]Main!$L$3</f>
        <v>310046.98749999999</v>
      </c>
      <c r="F4" s="22" cm="1">
        <f t="array" ref="F4">([36]Main!$L$5-[36]Main!$L$6)/RMB</f>
        <v>119719.43620178041</v>
      </c>
      <c r="G4" s="22">
        <f>+E4-F4</f>
        <v>190327.55129821959</v>
      </c>
      <c r="H4" s="22"/>
      <c r="I4" s="23" t="s">
        <v>14</v>
      </c>
      <c r="J4" s="23"/>
      <c r="K4" s="24"/>
      <c r="L4" s="24"/>
      <c r="M4" s="24"/>
      <c r="N4" s="24"/>
      <c r="O4" s="24"/>
      <c r="P4" s="25"/>
      <c r="Q4" s="24"/>
      <c r="R4" s="24"/>
      <c r="S4" s="26"/>
      <c r="T4" s="25"/>
      <c r="U4" s="24"/>
      <c r="V4" s="24"/>
      <c r="W4" s="26"/>
    </row>
    <row r="5" spans="1:24">
      <c r="A5" s="72" t="s">
        <v>261</v>
      </c>
      <c r="B5" s="5" t="s">
        <v>17</v>
      </c>
      <c r="C5" s="1" t="s">
        <v>18</v>
      </c>
      <c r="D5" s="2">
        <v>115.9</v>
      </c>
      <c r="E5" s="3">
        <f>D5*[36]Main!$L$3</f>
        <v>310046.98749999999</v>
      </c>
      <c r="F5" s="3" cm="1">
        <f t="array" ref="F5">([36]Main!$L$5-[36]Main!$L$6)/RMB</f>
        <v>119719.43620178041</v>
      </c>
      <c r="G5" s="3">
        <f>+E5-F5</f>
        <v>190327.55129821959</v>
      </c>
      <c r="I5" s="4" t="s">
        <v>14</v>
      </c>
    </row>
    <row r="6" spans="1:24">
      <c r="A6" s="82" t="s">
        <v>261</v>
      </c>
      <c r="B6" s="1" t="s">
        <v>28</v>
      </c>
      <c r="C6" s="1" t="s">
        <v>28</v>
      </c>
      <c r="D6" s="2">
        <v>65.180000000000007</v>
      </c>
      <c r="E6" s="3">
        <v>101795</v>
      </c>
    </row>
    <row r="7" spans="1:24">
      <c r="A7" s="82" t="s">
        <v>261</v>
      </c>
      <c r="B7" s="82" t="s">
        <v>262</v>
      </c>
      <c r="C7" s="82" t="s">
        <v>263</v>
      </c>
    </row>
    <row r="8" spans="1:24">
      <c r="A8" s="86" t="s">
        <v>261</v>
      </c>
      <c r="B8" s="11" t="s">
        <v>206</v>
      </c>
      <c r="C8" s="11" t="s">
        <v>207</v>
      </c>
    </row>
    <row r="9" spans="1:24">
      <c r="A9" s="87" t="s">
        <v>261</v>
      </c>
      <c r="B9" s="5" t="s">
        <v>34</v>
      </c>
      <c r="C9" s="10" t="s">
        <v>35</v>
      </c>
      <c r="D9" s="10">
        <v>116.42</v>
      </c>
      <c r="E9" s="52">
        <f>+D9*H9</f>
        <v>73714.487644859997</v>
      </c>
      <c r="F9" s="52">
        <f>+[37]Main!$L$5-[37]Main!$L$6</f>
        <v>7643.4470000000001</v>
      </c>
      <c r="G9" s="22">
        <f>E9-F9</f>
        <v>66071.040644859997</v>
      </c>
      <c r="H9" s="52">
        <f>+[37]Main!$L$3</f>
        <v>633.17718300000001</v>
      </c>
      <c r="I9" s="151" t="s">
        <v>359</v>
      </c>
      <c r="J9" s="67">
        <v>44971</v>
      </c>
    </row>
    <row r="10" spans="1:24">
      <c r="A10" s="86" t="s">
        <v>261</v>
      </c>
      <c r="B10" s="11" t="s">
        <v>204</v>
      </c>
      <c r="C10" s="11" t="s">
        <v>205</v>
      </c>
    </row>
    <row r="11" spans="1:24">
      <c r="A11" s="98" t="s">
        <v>261</v>
      </c>
      <c r="B11" s="98" t="s">
        <v>293</v>
      </c>
      <c r="C11" s="98" t="s">
        <v>294</v>
      </c>
    </row>
    <row r="12" spans="1:24">
      <c r="A12" s="96" t="s">
        <v>261</v>
      </c>
      <c r="B12" s="10" t="s">
        <v>42</v>
      </c>
      <c r="C12" s="10" t="s">
        <v>43</v>
      </c>
    </row>
    <row r="13" spans="1:24" s="20" customFormat="1">
      <c r="A13" s="98" t="s">
        <v>261</v>
      </c>
      <c r="B13" s="5" t="s">
        <v>36</v>
      </c>
      <c r="C13" s="20" t="s">
        <v>37</v>
      </c>
      <c r="D13" s="21">
        <v>36.71</v>
      </c>
      <c r="E13" s="22">
        <f>+D13*[38]Main!$M$3</f>
        <v>46254.6</v>
      </c>
      <c r="F13" s="22">
        <f>+[38]Main!$M$5-[38]Main!$M$6</f>
        <v>6335.1410000000005</v>
      </c>
      <c r="G13" s="22">
        <f t="shared" ref="G13" si="0">E13-F13</f>
        <v>39919.458999999995</v>
      </c>
      <c r="H13" s="22"/>
      <c r="I13" s="23" t="s">
        <v>14</v>
      </c>
      <c r="J13" s="23"/>
      <c r="K13" s="24"/>
      <c r="L13" s="24"/>
      <c r="M13" s="24"/>
      <c r="N13" s="24"/>
      <c r="O13" s="24"/>
      <c r="P13" s="25"/>
      <c r="Q13" s="24"/>
      <c r="R13" s="24"/>
      <c r="S13" s="26"/>
      <c r="T13" s="25"/>
      <c r="U13" s="24"/>
      <c r="V13" s="24"/>
      <c r="W13" s="26"/>
    </row>
    <row r="14" spans="1:24" s="20" customFormat="1">
      <c r="A14" s="98" t="s">
        <v>261</v>
      </c>
      <c r="B14" s="98" t="s">
        <v>295</v>
      </c>
      <c r="C14" s="98" t="s">
        <v>296</v>
      </c>
      <c r="D14" s="21"/>
      <c r="E14" s="22"/>
      <c r="F14" s="22"/>
      <c r="G14" s="22"/>
      <c r="H14" s="22"/>
      <c r="I14" s="23"/>
      <c r="J14" s="23"/>
      <c r="K14" s="24"/>
      <c r="L14" s="24"/>
      <c r="M14" s="24"/>
      <c r="N14" s="24"/>
      <c r="O14" s="24"/>
      <c r="P14" s="24"/>
      <c r="Q14" s="24"/>
      <c r="R14" s="24"/>
      <c r="S14" s="24"/>
      <c r="T14" s="24"/>
      <c r="U14" s="24"/>
      <c r="V14" s="24"/>
      <c r="W14" s="24"/>
    </row>
    <row r="15" spans="1:24">
      <c r="A15" s="108" t="s">
        <v>261</v>
      </c>
      <c r="B15" s="1" t="s">
        <v>60</v>
      </c>
      <c r="C15" s="1" t="s">
        <v>61</v>
      </c>
      <c r="D15" s="2">
        <v>71.66</v>
      </c>
      <c r="E15" s="3">
        <v>25171</v>
      </c>
    </row>
    <row r="16" spans="1:24">
      <c r="A16" s="108" t="s">
        <v>261</v>
      </c>
      <c r="B16" s="108" t="s">
        <v>311</v>
      </c>
      <c r="C16" s="108" t="s">
        <v>312</v>
      </c>
    </row>
    <row r="17" spans="1:23">
      <c r="A17" s="108" t="s">
        <v>261</v>
      </c>
      <c r="B17" s="108" t="s">
        <v>313</v>
      </c>
      <c r="C17" s="108" t="s">
        <v>314</v>
      </c>
    </row>
    <row r="18" spans="1:23">
      <c r="A18" s="110" t="s">
        <v>261</v>
      </c>
      <c r="B18" s="110" t="s">
        <v>317</v>
      </c>
      <c r="C18" s="110" t="s">
        <v>318</v>
      </c>
    </row>
    <row r="19" spans="1:23">
      <c r="A19" s="111" t="s">
        <v>261</v>
      </c>
      <c r="B19" s="111" t="s">
        <v>319</v>
      </c>
      <c r="C19" s="111" t="s">
        <v>320</v>
      </c>
    </row>
    <row r="20" spans="1:23">
      <c r="A20" s="134" t="s">
        <v>261</v>
      </c>
      <c r="B20" s="10" t="s">
        <v>161</v>
      </c>
      <c r="C20" s="10" t="s">
        <v>162</v>
      </c>
    </row>
    <row r="21" spans="1:23">
      <c r="B21" s="1" t="s">
        <v>97</v>
      </c>
      <c r="C21" s="1" t="s">
        <v>98</v>
      </c>
      <c r="D21" s="2">
        <v>2.5099999999999998</v>
      </c>
      <c r="E21" s="3">
        <v>12580</v>
      </c>
    </row>
    <row r="22" spans="1:23">
      <c r="B22" s="10" t="s">
        <v>163</v>
      </c>
      <c r="C22" s="10" t="s">
        <v>164</v>
      </c>
    </row>
    <row r="23" spans="1:23" s="20" customFormat="1">
      <c r="B23" s="20" t="s">
        <v>135</v>
      </c>
      <c r="C23" s="20" t="s">
        <v>136</v>
      </c>
      <c r="D23" s="21">
        <v>17.63</v>
      </c>
      <c r="E23" s="22">
        <v>6480</v>
      </c>
      <c r="F23" s="23"/>
      <c r="G23" s="23"/>
      <c r="H23" s="23"/>
      <c r="I23" s="23"/>
      <c r="J23" s="23"/>
      <c r="K23" s="24"/>
      <c r="L23" s="24"/>
      <c r="M23" s="24"/>
      <c r="N23" s="24"/>
      <c r="O23" s="24"/>
      <c r="P23" s="25"/>
      <c r="Q23" s="24"/>
      <c r="R23" s="24"/>
      <c r="S23" s="26"/>
      <c r="T23" s="25"/>
      <c r="U23" s="24"/>
      <c r="V23" s="24"/>
      <c r="W23" s="26"/>
    </row>
    <row r="24" spans="1:23">
      <c r="B24" s="5" t="s">
        <v>387</v>
      </c>
      <c r="C24" s="146" t="s">
        <v>388</v>
      </c>
      <c r="D24" s="10">
        <v>8.86</v>
      </c>
      <c r="E24" s="52">
        <f>+D24*H24</f>
        <v>963.51364147999993</v>
      </c>
      <c r="F24" s="52">
        <f>+[39]Main!$K$5-[39]Main!$K$6</f>
        <v>-1163.2909999999999</v>
      </c>
      <c r="G24" s="52">
        <f>+E24-F24</f>
        <v>2126.8046414800001</v>
      </c>
      <c r="H24" s="52">
        <f>+[39]Main!$K$3</f>
        <v>108.748718</v>
      </c>
      <c r="I24" s="150" t="s">
        <v>359</v>
      </c>
      <c r="J24" s="67">
        <v>44965</v>
      </c>
    </row>
    <row r="25" spans="1:23">
      <c r="B25" s="149" t="s">
        <v>389</v>
      </c>
    </row>
    <row r="29" spans="1:23">
      <c r="B29" s="1" t="s">
        <v>119</v>
      </c>
      <c r="C29" s="1"/>
      <c r="D29" s="2"/>
      <c r="E29" s="3">
        <v>8333</v>
      </c>
    </row>
    <row r="30" spans="1:23">
      <c r="B30" s="20" t="s">
        <v>64</v>
      </c>
      <c r="C30" s="20"/>
      <c r="D30" s="21"/>
      <c r="E30" s="22">
        <v>22000</v>
      </c>
    </row>
    <row r="31" spans="1:23">
      <c r="B31" s="20" t="s">
        <v>55</v>
      </c>
      <c r="C31" s="20"/>
      <c r="D31" s="21"/>
      <c r="E31" s="22">
        <v>30000</v>
      </c>
    </row>
  </sheetData>
  <hyperlinks>
    <hyperlink ref="A1" location="Main!A1" display="Main" xr:uid="{5E6A4119-6CB3-4DE8-85D8-71624588AB5F}"/>
    <hyperlink ref="B5" r:id="rId1" xr:uid="{1DBE1AD0-E144-4B11-A369-C38208461D50}"/>
    <hyperlink ref="B3" r:id="rId2" xr:uid="{9E979F32-3FB9-4155-8C38-6368365757C8}"/>
    <hyperlink ref="B13" r:id="rId3" xr:uid="{7B3BF246-9F57-4E65-999A-345E6DC43A15}"/>
    <hyperlink ref="B4" r:id="rId4" xr:uid="{EBAD1208-6B7E-4686-85C8-90DFDB7B9D36}"/>
    <hyperlink ref="B24" r:id="rId5" xr:uid="{E112D5EE-DF74-4C8E-8A8A-40FA1E1DA6A2}"/>
    <hyperlink ref="B9" r:id="rId6" xr:uid="{0E4A8717-CB7F-480C-A1D1-B315F728D1CA}"/>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707CF4-895A-4CDE-92B2-BF34D258BE21}">
  <dimension ref="A1:H10"/>
  <sheetViews>
    <sheetView zoomScale="190" zoomScaleNormal="190" workbookViewId="0">
      <pane xSplit="2" ySplit="2" topLeftCell="C3" activePane="bottomRight" state="frozen"/>
      <selection pane="topRight" activeCell="C1" sqref="C1"/>
      <selection pane="bottomLeft" activeCell="A3" sqref="A3"/>
      <selection pane="bottomRight" activeCell="D10" sqref="D10"/>
    </sheetView>
  </sheetViews>
  <sheetFormatPr defaultColWidth="9.140625" defaultRowHeight="12.75"/>
  <cols>
    <col min="1" max="1" width="5" style="10" bestFit="1" customWidth="1"/>
    <col min="2" max="2" width="17" style="10" bestFit="1" customWidth="1"/>
    <col min="3" max="16384" width="9.140625" style="10"/>
  </cols>
  <sheetData>
    <row r="1" spans="1:8">
      <c r="A1" s="5" t="s">
        <v>146</v>
      </c>
    </row>
    <row r="2" spans="1:8">
      <c r="B2" s="10" t="s">
        <v>0</v>
      </c>
      <c r="C2" s="10" t="s">
        <v>1</v>
      </c>
      <c r="D2" s="10" t="s">
        <v>2</v>
      </c>
      <c r="E2" s="10" t="s">
        <v>3</v>
      </c>
    </row>
    <row r="3" spans="1:8">
      <c r="A3" s="89" t="s">
        <v>261</v>
      </c>
      <c r="B3" s="10" t="s">
        <v>155</v>
      </c>
      <c r="C3" s="10" t="s">
        <v>156</v>
      </c>
    </row>
    <row r="4" spans="1:8">
      <c r="A4" s="90" t="s">
        <v>261</v>
      </c>
      <c r="B4" s="10" t="s">
        <v>160</v>
      </c>
      <c r="C4" s="10" t="s">
        <v>159</v>
      </c>
    </row>
    <row r="5" spans="1:8">
      <c r="A5" s="92" t="s">
        <v>261</v>
      </c>
      <c r="B5" s="10" t="s">
        <v>157</v>
      </c>
      <c r="C5" s="10" t="s">
        <v>158</v>
      </c>
    </row>
    <row r="6" spans="1:8">
      <c r="A6" s="101" t="s">
        <v>261</v>
      </c>
      <c r="B6" s="101" t="s">
        <v>300</v>
      </c>
      <c r="C6" s="101" t="s">
        <v>301</v>
      </c>
    </row>
    <row r="7" spans="1:8" s="1" customFormat="1">
      <c r="B7" s="1" t="s">
        <v>81</v>
      </c>
      <c r="C7" s="1" t="s">
        <v>82</v>
      </c>
      <c r="D7" s="2">
        <v>128.05000000000001</v>
      </c>
      <c r="E7" s="3">
        <v>16470</v>
      </c>
      <c r="F7" s="4"/>
      <c r="G7" s="4"/>
      <c r="H7" s="4"/>
    </row>
    <row r="8" spans="1:8">
      <c r="B8" s="10" t="s">
        <v>197</v>
      </c>
      <c r="C8" s="10" t="s">
        <v>198</v>
      </c>
    </row>
    <row r="9" spans="1:8">
      <c r="B9" s="120" t="s">
        <v>189</v>
      </c>
      <c r="C9" s="20" t="s">
        <v>190</v>
      </c>
      <c r="D9" s="21">
        <v>181.71</v>
      </c>
      <c r="E9" s="22">
        <v>25220</v>
      </c>
    </row>
    <row r="10" spans="1:8">
      <c r="B10" s="194" t="s">
        <v>546</v>
      </c>
      <c r="C10" s="194" t="s">
        <v>547</v>
      </c>
    </row>
  </sheetData>
  <hyperlinks>
    <hyperlink ref="A1" location="Main!A1" display="Main" xr:uid="{8911E9A3-ACF0-4B55-98BB-1EFB77BE02DE}"/>
  </hyperlinks>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50321-4AE5-45B4-8FB8-F8D64CF71E0E}">
  <dimension ref="A1:C7"/>
  <sheetViews>
    <sheetView workbookViewId="0"/>
  </sheetViews>
  <sheetFormatPr defaultColWidth="9.140625" defaultRowHeight="12.75"/>
  <cols>
    <col min="1" max="1" width="5" style="45" bestFit="1" customWidth="1"/>
    <col min="2" max="16384" width="9.140625" style="45"/>
  </cols>
  <sheetData>
    <row r="1" spans="1:3">
      <c r="A1" s="5" t="s">
        <v>146</v>
      </c>
    </row>
    <row r="2" spans="1:3">
      <c r="B2" s="45" t="s">
        <v>150</v>
      </c>
      <c r="C2" s="45">
        <v>7.8498000000000001</v>
      </c>
    </row>
    <row r="3" spans="1:3">
      <c r="B3" s="45" t="s">
        <v>151</v>
      </c>
      <c r="C3" s="45">
        <v>6.74</v>
      </c>
    </row>
    <row r="4" spans="1:3">
      <c r="B4" s="45" t="s">
        <v>215</v>
      </c>
      <c r="C4" s="45">
        <v>1.01</v>
      </c>
    </row>
    <row r="5" spans="1:3">
      <c r="B5" s="45" t="s">
        <v>233</v>
      </c>
      <c r="C5" s="45">
        <v>10.3437</v>
      </c>
    </row>
    <row r="6" spans="1:3">
      <c r="B6" s="46" t="s">
        <v>241</v>
      </c>
      <c r="C6" s="45">
        <v>136.93</v>
      </c>
    </row>
    <row r="7" spans="1:3">
      <c r="B7" s="46" t="s">
        <v>242</v>
      </c>
      <c r="C7" s="45">
        <v>1.2991999999999999</v>
      </c>
    </row>
  </sheetData>
  <hyperlinks>
    <hyperlink ref="A1" location="Main!A1" display="Main" xr:uid="{CA8672F6-BB57-4BF8-83E1-A8CF0133433F}"/>
  </hyperlinks>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5831F-FB2E-134D-9E1A-7188BFBB74B9}">
  <dimension ref="A1:G11"/>
  <sheetViews>
    <sheetView zoomScaleNormal="100" zoomScaleSheetLayoutView="100" workbookViewId="0">
      <pane xSplit="2" ySplit="2" topLeftCell="C3" activePane="bottomRight" state="frozen"/>
      <selection pane="topRight" activeCell="C1" sqref="C1"/>
      <selection pane="bottomLeft" activeCell="A3" sqref="A3"/>
      <selection pane="bottomRight" activeCell="D12" sqref="D12"/>
    </sheetView>
  </sheetViews>
  <sheetFormatPr defaultColWidth="9.140625" defaultRowHeight="12.75"/>
  <cols>
    <col min="1" max="1" width="5" style="6" bestFit="1" customWidth="1"/>
    <col min="2" max="2" width="19.7109375" style="6" bestFit="1" customWidth="1"/>
    <col min="3" max="3" width="9.140625" style="7"/>
    <col min="4" max="16384" width="9.140625" style="6"/>
  </cols>
  <sheetData>
    <row r="1" spans="1:7">
      <c r="A1" s="5" t="s">
        <v>146</v>
      </c>
    </row>
    <row r="2" spans="1:7">
      <c r="B2" s="6" t="s">
        <v>0</v>
      </c>
      <c r="C2" s="7" t="s">
        <v>149</v>
      </c>
      <c r="D2" s="12" t="s">
        <v>211</v>
      </c>
      <c r="E2" s="46" t="s">
        <v>222</v>
      </c>
      <c r="F2" s="46" t="s">
        <v>244</v>
      </c>
      <c r="G2" s="53" t="s">
        <v>248</v>
      </c>
    </row>
    <row r="3" spans="1:7">
      <c r="B3" s="8" t="s">
        <v>33</v>
      </c>
      <c r="C3" s="7">
        <v>100000</v>
      </c>
      <c r="D3" s="12" t="s">
        <v>212</v>
      </c>
    </row>
    <row r="4" spans="1:7">
      <c r="B4" s="6" t="s">
        <v>87</v>
      </c>
      <c r="C4" s="7">
        <v>15000</v>
      </c>
      <c r="D4" s="12" t="s">
        <v>212</v>
      </c>
    </row>
    <row r="5" spans="1:7">
      <c r="B5" s="6" t="s">
        <v>124</v>
      </c>
      <c r="C5" s="7">
        <v>8000</v>
      </c>
      <c r="D5" s="12" t="s">
        <v>213</v>
      </c>
    </row>
    <row r="6" spans="1:7">
      <c r="B6" s="6" t="s">
        <v>144</v>
      </c>
      <c r="D6" s="12" t="s">
        <v>214</v>
      </c>
    </row>
    <row r="7" spans="1:7">
      <c r="B7" s="6" t="s">
        <v>145</v>
      </c>
      <c r="D7" s="12" t="s">
        <v>214</v>
      </c>
    </row>
    <row r="8" spans="1:7">
      <c r="B8" s="12" t="s">
        <v>209</v>
      </c>
      <c r="D8" s="12" t="s">
        <v>210</v>
      </c>
    </row>
    <row r="9" spans="1:7">
      <c r="B9" s="46" t="s">
        <v>243</v>
      </c>
      <c r="D9" s="46" t="s">
        <v>212</v>
      </c>
      <c r="E9" s="6">
        <v>2021</v>
      </c>
      <c r="F9" s="46" t="s">
        <v>245</v>
      </c>
      <c r="G9" s="53" t="s">
        <v>249</v>
      </c>
    </row>
    <row r="10" spans="1:7">
      <c r="B10" s="53" t="s">
        <v>246</v>
      </c>
      <c r="D10" s="53" t="s">
        <v>247</v>
      </c>
      <c r="E10" s="6">
        <v>2021</v>
      </c>
      <c r="G10" s="53" t="s">
        <v>249</v>
      </c>
    </row>
    <row r="11" spans="1:7">
      <c r="B11" s="162" t="s">
        <v>399</v>
      </c>
      <c r="D11" s="162" t="s">
        <v>400</v>
      </c>
    </row>
  </sheetData>
  <hyperlinks>
    <hyperlink ref="A1" location="Main!A1" display="Main" xr:uid="{F0FD3AE8-EA92-47CC-9713-F9163090CCA8}"/>
  </hyperlink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6</vt:i4>
      </vt:variant>
    </vt:vector>
  </HeadingPairs>
  <TitlesOfParts>
    <vt:vector size="22" baseType="lpstr">
      <vt:lpstr>People</vt:lpstr>
      <vt:lpstr>Glossary</vt:lpstr>
      <vt:lpstr>Historical</vt:lpstr>
      <vt:lpstr>Main</vt:lpstr>
      <vt:lpstr>Enterprise-Cloud</vt:lpstr>
      <vt:lpstr>Social-Dating</vt:lpstr>
      <vt:lpstr>Simulation-Technical Design</vt:lpstr>
      <vt:lpstr>AI Investors</vt:lpstr>
      <vt:lpstr>AI</vt:lpstr>
      <vt:lpstr>Revenue</vt:lpstr>
      <vt:lpstr>Media-Games-Design</vt:lpstr>
      <vt:lpstr>Fintech</vt:lpstr>
      <vt:lpstr>Ecommerce</vt:lpstr>
      <vt:lpstr>Security</vt:lpstr>
      <vt:lpstr>FX</vt:lpstr>
      <vt:lpstr>Private</vt:lpstr>
      <vt:lpstr>CAD</vt:lpstr>
      <vt:lpstr>EUR</vt:lpstr>
      <vt:lpstr>HKD</vt:lpstr>
      <vt:lpstr>JPY</vt:lpstr>
      <vt:lpstr>RMB</vt:lpstr>
      <vt:lpstr>SEK</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2022-07-14T18:55:24Z</dcterms:created>
  <dcterms:modified xsi:type="dcterms:W3CDTF">2023-06-21T19:24:07Z</dcterms:modified>
  <cp:category/>
  <cp:contentStatus/>
</cp:coreProperties>
</file>