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704" documentId="11_A7608F0A9B32EA378B0242300F57FB4F7D9E2826" xr6:coauthVersionLast="47" xr6:coauthVersionMax="47" xr10:uidLastSave="{7FA95176-941E-49E1-AF7B-830FFE8B03C2}"/>
  <bookViews>
    <workbookView xWindow="30" yWindow="45" windowWidth="14565" windowHeight="15525" activeTab="1" xr2:uid="{00000000-000D-0000-FFFF-FFFF00000000}"/>
  </bookViews>
  <sheets>
    <sheet name="Main" sheetId="25" r:id="rId1"/>
    <sheet name="Model" sheetId="6" r:id="rId2"/>
    <sheet name="Type 2 Diabetes" sheetId="29" r:id="rId3"/>
    <sheet name="Victoza" sheetId="26" r:id="rId4"/>
    <sheet name="NovoLog" sheetId="27" r:id="rId5"/>
    <sheet name="Levemir" sheetId="28" r:id="rId6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Model!$A$2:$CH$48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54" i="6" l="1"/>
  <c r="BC53" i="6"/>
  <c r="BC52" i="6"/>
  <c r="BN47" i="6"/>
  <c r="BM47" i="6"/>
  <c r="BL47" i="6"/>
  <c r="BK47" i="6"/>
  <c r="BJ47" i="6"/>
  <c r="BI47" i="6"/>
  <c r="BJ48" i="6"/>
  <c r="BK48" i="6" s="1"/>
  <c r="BL48" i="6" s="1"/>
  <c r="BM48" i="6" s="1"/>
  <c r="BN48" i="6" s="1"/>
  <c r="BI48" i="6"/>
  <c r="BN45" i="6"/>
  <c r="BM45" i="6"/>
  <c r="BL45" i="6"/>
  <c r="BK45" i="6"/>
  <c r="BJ45" i="6"/>
  <c r="BI45" i="6"/>
  <c r="BN57" i="6"/>
  <c r="BM57" i="6"/>
  <c r="BL57" i="6"/>
  <c r="BK57" i="6"/>
  <c r="BJ57" i="6"/>
  <c r="BI57" i="6"/>
  <c r="BG57" i="6"/>
  <c r="BF57" i="6"/>
  <c r="BE57" i="6"/>
  <c r="BD57" i="6"/>
  <c r="BC57" i="6"/>
  <c r="BH57" i="6"/>
  <c r="BN46" i="6"/>
  <c r="BM46" i="6"/>
  <c r="BL46" i="6"/>
  <c r="BK46" i="6"/>
  <c r="BJ46" i="6"/>
  <c r="BI46" i="6"/>
  <c r="BN44" i="6"/>
  <c r="BM44" i="6"/>
  <c r="BL44" i="6"/>
  <c r="BK44" i="6"/>
  <c r="BJ44" i="6"/>
  <c r="BI44" i="6"/>
  <c r="BN39" i="6"/>
  <c r="BN40" i="6" s="1"/>
  <c r="BM39" i="6"/>
  <c r="BM40" i="6" s="1"/>
  <c r="BL39" i="6"/>
  <c r="BL40" i="6" s="1"/>
  <c r="BK39" i="6"/>
  <c r="BK40" i="6" s="1"/>
  <c r="BJ39" i="6"/>
  <c r="BJ40" i="6" s="1"/>
  <c r="BI39" i="6"/>
  <c r="BI40" i="6" s="1"/>
  <c r="BN33" i="6"/>
  <c r="BM33" i="6"/>
  <c r="BL33" i="6"/>
  <c r="BK33" i="6"/>
  <c r="BJ33" i="6"/>
  <c r="BI33" i="6"/>
  <c r="BN34" i="6"/>
  <c r="BM34" i="6"/>
  <c r="BL34" i="6"/>
  <c r="BK34" i="6"/>
  <c r="BJ34" i="6"/>
  <c r="BI34" i="6"/>
  <c r="BH43" i="6"/>
  <c r="BH39" i="6"/>
  <c r="BH40" i="6" s="1"/>
  <c r="BH34" i="6"/>
  <c r="BH50" i="6"/>
  <c r="BH27" i="6"/>
  <c r="BH26" i="6"/>
  <c r="BM12" i="6"/>
  <c r="BL12" i="6"/>
  <c r="BK12" i="6"/>
  <c r="BJ12" i="6"/>
  <c r="BN12" i="6" s="1"/>
  <c r="BI12" i="6"/>
  <c r="BH12" i="6"/>
  <c r="BH10" i="6"/>
  <c r="BN54" i="6"/>
  <c r="BM54" i="6"/>
  <c r="BL54" i="6"/>
  <c r="BK54" i="6"/>
  <c r="BJ54" i="6"/>
  <c r="BI54" i="6"/>
  <c r="BH54" i="6"/>
  <c r="BG54" i="6"/>
  <c r="BF54" i="6"/>
  <c r="BE54" i="6"/>
  <c r="BD54" i="6"/>
  <c r="BI19" i="6"/>
  <c r="BG52" i="6"/>
  <c r="BF52" i="6"/>
  <c r="BE52" i="6"/>
  <c r="BD52" i="6"/>
  <c r="BH52" i="6"/>
  <c r="BJ26" i="6"/>
  <c r="BN26" i="6" s="1"/>
  <c r="BK25" i="6"/>
  <c r="BJ25" i="6"/>
  <c r="BN25" i="6" s="1"/>
  <c r="BI25" i="6"/>
  <c r="BM25" i="6" s="1"/>
  <c r="BL25" i="6"/>
  <c r="BK24" i="6"/>
  <c r="BJ24" i="6"/>
  <c r="BN24" i="6" s="1"/>
  <c r="BI24" i="6"/>
  <c r="BM24" i="6" s="1"/>
  <c r="BL24" i="6"/>
  <c r="BL23" i="6"/>
  <c r="BK23" i="6"/>
  <c r="BJ23" i="6"/>
  <c r="BN23" i="6" s="1"/>
  <c r="BI23" i="6"/>
  <c r="BM23" i="6" s="1"/>
  <c r="BK21" i="6"/>
  <c r="BJ21" i="6"/>
  <c r="BN21" i="6" s="1"/>
  <c r="BI21" i="6"/>
  <c r="BM21" i="6" s="1"/>
  <c r="BL21" i="6"/>
  <c r="BL19" i="6"/>
  <c r="BK19" i="6"/>
  <c r="BJ19" i="6"/>
  <c r="BN19" i="6" s="1"/>
  <c r="BM19" i="6"/>
  <c r="BI18" i="6"/>
  <c r="BJ18" i="6" s="1"/>
  <c r="BK18" i="6" s="1"/>
  <c r="BL18" i="6" s="1"/>
  <c r="BM18" i="6" s="1"/>
  <c r="BN18" i="6" s="1"/>
  <c r="BL16" i="6"/>
  <c r="BL52" i="6" s="1"/>
  <c r="BK16" i="6"/>
  <c r="BK52" i="6" s="1"/>
  <c r="BJ16" i="6"/>
  <c r="BN16" i="6" s="1"/>
  <c r="BN52" i="6" s="1"/>
  <c r="BI16" i="6"/>
  <c r="BI52" i="6" s="1"/>
  <c r="BJ15" i="6"/>
  <c r="BI15" i="6"/>
  <c r="BM15" i="6" s="1"/>
  <c r="BL15" i="6"/>
  <c r="BK15" i="6"/>
  <c r="BN15" i="6"/>
  <c r="BK14" i="6"/>
  <c r="BJ14" i="6"/>
  <c r="BJ53" i="6" s="1"/>
  <c r="BI14" i="6"/>
  <c r="BM14" i="6" s="1"/>
  <c r="BH53" i="6"/>
  <c r="AY27" i="6"/>
  <c r="AY26" i="6"/>
  <c r="AY10" i="6"/>
  <c r="AY12" i="6" s="1"/>
  <c r="AY32" i="6" s="1"/>
  <c r="AZ26" i="6"/>
  <c r="AZ27" i="6"/>
  <c r="AZ10" i="6"/>
  <c r="AZ12" i="6" s="1"/>
  <c r="AZ32" i="6" s="1"/>
  <c r="BA26" i="6"/>
  <c r="BA27" i="6"/>
  <c r="BA10" i="6"/>
  <c r="BA12" i="6" s="1"/>
  <c r="BA32" i="6" s="1"/>
  <c r="BB26" i="6"/>
  <c r="BB27" i="6"/>
  <c r="BB10" i="6"/>
  <c r="BB12" i="6" s="1"/>
  <c r="BD53" i="6"/>
  <c r="BE53" i="6"/>
  <c r="BF53" i="6"/>
  <c r="BD43" i="6"/>
  <c r="BC10" i="6"/>
  <c r="BC12" i="6" s="1"/>
  <c r="BD27" i="6"/>
  <c r="BL27" i="6" s="1"/>
  <c r="BD26" i="6"/>
  <c r="BD10" i="6"/>
  <c r="BD12" i="6" s="1"/>
  <c r="BD32" i="6" s="1"/>
  <c r="BE27" i="6"/>
  <c r="BI27" i="6" s="1"/>
  <c r="BM27" i="6" s="1"/>
  <c r="BE26" i="6"/>
  <c r="BI26" i="6" s="1"/>
  <c r="BM26" i="6" s="1"/>
  <c r="BE10" i="6"/>
  <c r="BE12" i="6" s="1"/>
  <c r="BG10" i="6"/>
  <c r="BG12" i="6" s="1"/>
  <c r="BF10" i="6"/>
  <c r="BF12" i="6" s="1"/>
  <c r="BF27" i="6"/>
  <c r="BJ27" i="6" s="1"/>
  <c r="BN27" i="6" s="1"/>
  <c r="BF26" i="6"/>
  <c r="CN10" i="6"/>
  <c r="CN12" i="6" s="1"/>
  <c r="CM10" i="6"/>
  <c r="CM12" i="6"/>
  <c r="CN39" i="6"/>
  <c r="CN40" i="6" s="1"/>
  <c r="CM39" i="6"/>
  <c r="CM40" i="6" s="1"/>
  <c r="CL39" i="6"/>
  <c r="CL40" i="6" s="1"/>
  <c r="CK39" i="6"/>
  <c r="CK40" i="6" s="1"/>
  <c r="CJ39" i="6"/>
  <c r="CJ40" i="6" s="1"/>
  <c r="CI2" i="6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BG53" i="6"/>
  <c r="J6" i="25"/>
  <c r="J5" i="25"/>
  <c r="BG27" i="6"/>
  <c r="BK27" i="6" s="1"/>
  <c r="BC27" i="6"/>
  <c r="BC26" i="6"/>
  <c r="BG26" i="6"/>
  <c r="BK26" i="6" s="1"/>
  <c r="BG39" i="6"/>
  <c r="BG40" i="6" s="1"/>
  <c r="BG44" i="6" s="1"/>
  <c r="BG46" i="6" s="1"/>
  <c r="BG47" i="6" s="1"/>
  <c r="BF39" i="6"/>
  <c r="BF40" i="6" s="1"/>
  <c r="BF44" i="6" s="1"/>
  <c r="BE39" i="6"/>
  <c r="BE40" i="6" s="1"/>
  <c r="BE44" i="6" s="1"/>
  <c r="BD39" i="6"/>
  <c r="BC39" i="6"/>
  <c r="BC40" i="6" s="1"/>
  <c r="BC44" i="6" s="1"/>
  <c r="BC46" i="6" s="1"/>
  <c r="BC47" i="6" s="1"/>
  <c r="AB39" i="6"/>
  <c r="AB40" i="6" s="1"/>
  <c r="AB44" i="6" s="1"/>
  <c r="BH44" i="6" l="1"/>
  <c r="BH46" i="6" s="1"/>
  <c r="BH47" i="6" s="1"/>
  <c r="BL26" i="6"/>
  <c r="BJ52" i="6"/>
  <c r="BG32" i="6"/>
  <c r="BE32" i="6"/>
  <c r="BE50" i="6" s="1"/>
  <c r="BK53" i="6"/>
  <c r="BJ32" i="6"/>
  <c r="BJ55" i="6"/>
  <c r="BM16" i="6"/>
  <c r="BM52" i="6" s="1"/>
  <c r="BB32" i="6"/>
  <c r="BH55" i="6"/>
  <c r="BF32" i="6"/>
  <c r="BF56" i="6" s="1"/>
  <c r="BL14" i="6"/>
  <c r="BL53" i="6" s="1"/>
  <c r="BG55" i="6"/>
  <c r="BN14" i="6"/>
  <c r="BN53" i="6" s="1"/>
  <c r="BC55" i="6"/>
  <c r="BI53" i="6"/>
  <c r="BD55" i="6"/>
  <c r="BC32" i="6"/>
  <c r="BC33" i="6" s="1"/>
  <c r="BE55" i="6"/>
  <c r="BF55" i="6"/>
  <c r="BE56" i="6"/>
  <c r="BD34" i="6"/>
  <c r="BD56" i="6" s="1"/>
  <c r="BD50" i="6"/>
  <c r="BD40" i="6"/>
  <c r="BD44" i="6" s="1"/>
  <c r="BD46" i="6" s="1"/>
  <c r="BD47" i="6" s="1"/>
  <c r="BG56" i="6"/>
  <c r="AB45" i="6"/>
  <c r="AB46" i="6" s="1"/>
  <c r="AB47" i="6" s="1"/>
  <c r="AB30" i="6"/>
  <c r="AB28" i="6"/>
  <c r="AB23" i="6"/>
  <c r="AB17" i="6"/>
  <c r="AB21" i="6"/>
  <c r="AB14" i="6"/>
  <c r="AB11" i="6"/>
  <c r="AB8" i="6"/>
  <c r="AB5" i="6"/>
  <c r="AB3" i="6"/>
  <c r="AA10" i="6"/>
  <c r="AA32" i="6" s="1"/>
  <c r="Z10" i="6"/>
  <c r="Y10" i="6"/>
  <c r="X10" i="6"/>
  <c r="W10" i="6"/>
  <c r="V10" i="6"/>
  <c r="U10" i="6"/>
  <c r="T10" i="6"/>
  <c r="S10" i="6"/>
  <c r="R10" i="6"/>
  <c r="Q10" i="6"/>
  <c r="P10" i="6"/>
  <c r="J17" i="6"/>
  <c r="O10" i="6"/>
  <c r="O32" i="6" s="1"/>
  <c r="O33" i="6" s="1"/>
  <c r="K10" i="6"/>
  <c r="L8" i="6"/>
  <c r="M8" i="6" s="1"/>
  <c r="N8" i="6" s="1"/>
  <c r="L5" i="6"/>
  <c r="M5" i="6" s="1"/>
  <c r="N5" i="6" s="1"/>
  <c r="L3" i="6"/>
  <c r="N28" i="6"/>
  <c r="CC28" i="6" s="1"/>
  <c r="N23" i="6"/>
  <c r="CC23" i="6" s="1"/>
  <c r="O46" i="6"/>
  <c r="O47" i="6" s="1"/>
  <c r="O43" i="6"/>
  <c r="O39" i="6"/>
  <c r="O40" i="6" s="1"/>
  <c r="CC29" i="6"/>
  <c r="CC21" i="6"/>
  <c r="CC17" i="6"/>
  <c r="CC14" i="6"/>
  <c r="CC11" i="6"/>
  <c r="L43" i="6"/>
  <c r="M43" i="6"/>
  <c r="N43" i="6" s="1"/>
  <c r="K30" i="6"/>
  <c r="CC30" i="6" s="1"/>
  <c r="CC48" i="6"/>
  <c r="N37" i="6"/>
  <c r="CC37" i="6" s="1"/>
  <c r="CD37" i="6" s="1"/>
  <c r="CE37" i="6" s="1"/>
  <c r="CF37" i="6" s="1"/>
  <c r="CG37" i="6" s="1"/>
  <c r="CH37" i="6" s="1"/>
  <c r="N36" i="6"/>
  <c r="CC36" i="6" s="1"/>
  <c r="K39" i="6"/>
  <c r="K40" i="6" s="1"/>
  <c r="K44" i="6" s="1"/>
  <c r="J29" i="6"/>
  <c r="J28" i="6"/>
  <c r="J23" i="6"/>
  <c r="J21" i="6"/>
  <c r="J11" i="6"/>
  <c r="J10" i="6"/>
  <c r="CB37" i="6"/>
  <c r="CB36" i="6"/>
  <c r="CB35" i="6"/>
  <c r="J47" i="6"/>
  <c r="J39" i="6"/>
  <c r="J40" i="6" s="1"/>
  <c r="J44" i="6" s="1"/>
  <c r="J45" i="6" s="1"/>
  <c r="J57" i="6" s="1"/>
  <c r="I32" i="6"/>
  <c r="I33" i="6" s="1"/>
  <c r="H32" i="6"/>
  <c r="H56" i="6" s="1"/>
  <c r="G32" i="6"/>
  <c r="G56" i="6" s="1"/>
  <c r="F32" i="6"/>
  <c r="F33" i="6" s="1"/>
  <c r="E32" i="6"/>
  <c r="E56" i="6" s="1"/>
  <c r="D32" i="6"/>
  <c r="D56" i="6" s="1"/>
  <c r="C32" i="6"/>
  <c r="C36" i="6"/>
  <c r="C39" i="6" s="1"/>
  <c r="C40" i="6" s="1"/>
  <c r="C44" i="6" s="1"/>
  <c r="C45" i="6" s="1"/>
  <c r="C57" i="6" s="1"/>
  <c r="C47" i="6"/>
  <c r="E36" i="6"/>
  <c r="E39" i="6" s="1"/>
  <c r="E40" i="6" s="1"/>
  <c r="E44" i="6" s="1"/>
  <c r="E45" i="6" s="1"/>
  <c r="E57" i="6" s="1"/>
  <c r="D36" i="6"/>
  <c r="D39" i="6" s="1"/>
  <c r="D40" i="6" s="1"/>
  <c r="D44" i="6" s="1"/>
  <c r="D45" i="6" s="1"/>
  <c r="D57" i="6" s="1"/>
  <c r="D47" i="6"/>
  <c r="E47" i="6"/>
  <c r="F47" i="6"/>
  <c r="F39" i="6"/>
  <c r="F40" i="6" s="1"/>
  <c r="F44" i="6" s="1"/>
  <c r="F45" i="6" s="1"/>
  <c r="F57" i="6" s="1"/>
  <c r="G47" i="6"/>
  <c r="G39" i="6"/>
  <c r="G40" i="6" s="1"/>
  <c r="G44" i="6" s="1"/>
  <c r="G45" i="6" s="1"/>
  <c r="G57" i="6" s="1"/>
  <c r="H47" i="6"/>
  <c r="H39" i="6"/>
  <c r="H40" i="6" s="1"/>
  <c r="H44" i="6" s="1"/>
  <c r="H45" i="6" s="1"/>
  <c r="H57" i="6" s="1"/>
  <c r="I47" i="6"/>
  <c r="I39" i="6"/>
  <c r="I40" i="6" s="1"/>
  <c r="I44" i="6" s="1"/>
  <c r="I45" i="6" s="1"/>
  <c r="I57" i="6" s="1"/>
  <c r="J4" i="25"/>
  <c r="J7" i="25" s="1"/>
  <c r="BT39" i="6"/>
  <c r="BT43" i="6" s="1"/>
  <c r="BT45" i="6" s="1"/>
  <c r="BS39" i="6"/>
  <c r="BS43" i="6" s="1"/>
  <c r="BS45" i="6" s="1"/>
  <c r="BU39" i="6"/>
  <c r="BU43" i="6" s="1"/>
  <c r="BU45" i="6" s="1"/>
  <c r="BR34" i="6"/>
  <c r="BR39" i="6" s="1"/>
  <c r="BR43" i="6" s="1"/>
  <c r="BR45" i="6" s="1"/>
  <c r="BV40" i="6"/>
  <c r="BV41" i="6"/>
  <c r="BV42" i="6"/>
  <c r="BW40" i="6"/>
  <c r="BW41" i="6"/>
  <c r="BW42" i="6"/>
  <c r="BS33" i="6"/>
  <c r="BT33" i="6"/>
  <c r="BU33" i="6"/>
  <c r="BQ34" i="6"/>
  <c r="BQ39" i="6" s="1"/>
  <c r="BQ43" i="6" s="1"/>
  <c r="BQ45" i="6" s="1"/>
  <c r="BU50" i="6"/>
  <c r="BT50" i="6"/>
  <c r="BS50" i="6"/>
  <c r="BR50" i="6"/>
  <c r="BV50" i="6"/>
  <c r="N35" i="6"/>
  <c r="CC35" i="6" s="1"/>
  <c r="CD35" i="6" s="1"/>
  <c r="M39" i="6"/>
  <c r="M40" i="6" s="1"/>
  <c r="N38" i="6"/>
  <c r="CC38" i="6" s="1"/>
  <c r="L39" i="6"/>
  <c r="L40" i="6" s="1"/>
  <c r="BH32" i="6" l="1"/>
  <c r="BL55" i="6"/>
  <c r="BJ56" i="6"/>
  <c r="BJ50" i="6"/>
  <c r="BF50" i="6"/>
  <c r="BM53" i="6"/>
  <c r="BL32" i="6"/>
  <c r="BK32" i="6"/>
  <c r="BK55" i="6"/>
  <c r="BI55" i="6"/>
  <c r="BI32" i="6"/>
  <c r="BN55" i="6"/>
  <c r="BN32" i="6"/>
  <c r="BG33" i="6"/>
  <c r="BG50" i="6"/>
  <c r="BC56" i="6"/>
  <c r="BC50" i="6"/>
  <c r="E33" i="6"/>
  <c r="CC43" i="6"/>
  <c r="L44" i="6"/>
  <c r="L46" i="6" s="1"/>
  <c r="L47" i="6" s="1"/>
  <c r="L58" i="6" s="1"/>
  <c r="L10" i="6"/>
  <c r="L32" i="6" s="1"/>
  <c r="L56" i="6" s="1"/>
  <c r="G33" i="6"/>
  <c r="BW43" i="6"/>
  <c r="BW45" i="6" s="1"/>
  <c r="BW48" i="6" s="1"/>
  <c r="O44" i="6"/>
  <c r="O45" i="6" s="1"/>
  <c r="AB10" i="6"/>
  <c r="AB32" i="6" s="1"/>
  <c r="AB33" i="6" s="1"/>
  <c r="F56" i="6"/>
  <c r="G58" i="6"/>
  <c r="K32" i="6"/>
  <c r="K50" i="6" s="1"/>
  <c r="J32" i="6"/>
  <c r="J33" i="6" s="1"/>
  <c r="J58" i="6"/>
  <c r="CB39" i="6"/>
  <c r="G50" i="6"/>
  <c r="D33" i="6"/>
  <c r="M44" i="6"/>
  <c r="M46" i="6" s="1"/>
  <c r="H50" i="6"/>
  <c r="N39" i="6"/>
  <c r="I56" i="6"/>
  <c r="I58" i="6"/>
  <c r="I50" i="6"/>
  <c r="M3" i="6"/>
  <c r="BV43" i="6"/>
  <c r="BV45" i="6" s="1"/>
  <c r="H58" i="6"/>
  <c r="C56" i="6"/>
  <c r="C33" i="6"/>
  <c r="BU48" i="6"/>
  <c r="BU46" i="6"/>
  <c r="BQ46" i="6"/>
  <c r="BQ48" i="6"/>
  <c r="BS48" i="6"/>
  <c r="BS46" i="6"/>
  <c r="BT46" i="6"/>
  <c r="BT48" i="6"/>
  <c r="CE35" i="6"/>
  <c r="CD39" i="6"/>
  <c r="BR46" i="6"/>
  <c r="BR48" i="6"/>
  <c r="K57" i="6"/>
  <c r="K46" i="6"/>
  <c r="K47" i="6" s="1"/>
  <c r="K58" i="6" s="1"/>
  <c r="H33" i="6"/>
  <c r="CC39" i="6"/>
  <c r="BH56" i="6" l="1"/>
  <c r="BI56" i="6"/>
  <c r="BI50" i="6"/>
  <c r="BL50" i="6"/>
  <c r="BL56" i="6"/>
  <c r="BN56" i="6"/>
  <c r="BN50" i="6"/>
  <c r="BM55" i="6"/>
  <c r="BM32" i="6"/>
  <c r="BK50" i="6"/>
  <c r="BK56" i="6"/>
  <c r="L57" i="6"/>
  <c r="L50" i="6"/>
  <c r="L33" i="6"/>
  <c r="CB33" i="6"/>
  <c r="J56" i="6"/>
  <c r="K56" i="6"/>
  <c r="J50" i="6"/>
  <c r="CB32" i="6"/>
  <c r="O50" i="6"/>
  <c r="K33" i="6"/>
  <c r="M57" i="6"/>
  <c r="N3" i="6"/>
  <c r="N10" i="6" s="1"/>
  <c r="N32" i="6" s="1"/>
  <c r="M10" i="6"/>
  <c r="M47" i="6"/>
  <c r="M58" i="6" s="1"/>
  <c r="CF35" i="6"/>
  <c r="CE39" i="6"/>
  <c r="BV48" i="6"/>
  <c r="BM50" i="6" l="1"/>
  <c r="BM56" i="6"/>
  <c r="CB34" i="6"/>
  <c r="CC10" i="6"/>
  <c r="CC32" i="6" s="1"/>
  <c r="M32" i="6"/>
  <c r="N50" i="6"/>
  <c r="N34" i="6"/>
  <c r="CG35" i="6"/>
  <c r="CF39" i="6"/>
  <c r="CB40" i="6"/>
  <c r="CB44" i="6" s="1"/>
  <c r="CB45" i="6" s="1"/>
  <c r="CB46" i="6" s="1"/>
  <c r="CB56" i="6"/>
  <c r="M50" i="6" l="1"/>
  <c r="M56" i="6"/>
  <c r="M33" i="6"/>
  <c r="N33" i="6"/>
  <c r="N40" i="6"/>
  <c r="N44" i="6" s="1"/>
  <c r="N56" i="6"/>
  <c r="CC50" i="6"/>
  <c r="CD32" i="6"/>
  <c r="CH35" i="6"/>
  <c r="CH39" i="6" s="1"/>
  <c r="CG39" i="6"/>
  <c r="CC33" i="6" l="1"/>
  <c r="CC34" i="6" s="1"/>
  <c r="CC40" i="6" s="1"/>
  <c r="CC44" i="6" s="1"/>
  <c r="N45" i="6"/>
  <c r="N46" i="6" s="1"/>
  <c r="CE32" i="6"/>
  <c r="CD34" i="6"/>
  <c r="CD50" i="6"/>
  <c r="CC56" i="6" l="1"/>
  <c r="CD40" i="6"/>
  <c r="CD56" i="6"/>
  <c r="CE34" i="6"/>
  <c r="CF32" i="6"/>
  <c r="CE50" i="6"/>
  <c r="CC67" i="6"/>
  <c r="CD42" i="6" s="1"/>
  <c r="N47" i="6"/>
  <c r="N58" i="6" s="1"/>
  <c r="CC45" i="6"/>
  <c r="CC46" i="6" s="1"/>
  <c r="CC47" i="6" s="1"/>
  <c r="N57" i="6"/>
  <c r="CF50" i="6" l="1"/>
  <c r="CF34" i="6"/>
  <c r="CG32" i="6"/>
  <c r="CE56" i="6"/>
  <c r="CE40" i="6"/>
  <c r="CD44" i="6"/>
  <c r="CD45" i="6" l="1"/>
  <c r="CD46" i="6" s="1"/>
  <c r="CD67" i="6" s="1"/>
  <c r="CG34" i="6"/>
  <c r="CG50" i="6"/>
  <c r="CH32" i="6"/>
  <c r="CF56" i="6"/>
  <c r="CF40" i="6"/>
  <c r="CH50" i="6" l="1"/>
  <c r="CH34" i="6"/>
  <c r="CG56" i="6"/>
  <c r="CG40" i="6"/>
  <c r="CE42" i="6"/>
  <c r="CE44" i="6" s="1"/>
  <c r="CE45" i="6" s="1"/>
  <c r="CE46" i="6" s="1"/>
  <c r="CE67" i="6" s="1"/>
  <c r="CF42" i="6" l="1"/>
  <c r="CF44" i="6" s="1"/>
  <c r="CF45" i="6" s="1"/>
  <c r="CF46" i="6" s="1"/>
  <c r="CF67" i="6" s="1"/>
  <c r="CH40" i="6"/>
  <c r="CH56" i="6"/>
  <c r="CG42" i="6" l="1"/>
  <c r="CG44" i="6" s="1"/>
  <c r="CG45" i="6" s="1"/>
  <c r="CG46" i="6" s="1"/>
  <c r="CG67" i="6" s="1"/>
  <c r="CH42" i="6" s="1"/>
  <c r="CH44" i="6" s="1"/>
  <c r="CH45" i="6" s="1"/>
  <c r="CH46" i="6" s="1"/>
  <c r="CI46" i="6" l="1"/>
  <c r="CJ46" i="6" s="1"/>
  <c r="CK46" i="6" s="1"/>
  <c r="CL46" i="6" s="1"/>
  <c r="CM46" i="6" s="1"/>
  <c r="CN46" i="6" s="1"/>
  <c r="CO46" i="6" s="1"/>
  <c r="CP46" i="6" s="1"/>
  <c r="CQ46" i="6" s="1"/>
  <c r="CR46" i="6" s="1"/>
  <c r="CS46" i="6" s="1"/>
  <c r="CT46" i="6" s="1"/>
  <c r="CU46" i="6" s="1"/>
  <c r="CV46" i="6" s="1"/>
  <c r="CW46" i="6" s="1"/>
  <c r="CX46" i="6" s="1"/>
  <c r="CY46" i="6" s="1"/>
  <c r="CZ46" i="6" s="1"/>
  <c r="DA46" i="6" s="1"/>
  <c r="DB46" i="6" s="1"/>
  <c r="DC46" i="6" s="1"/>
  <c r="DD46" i="6" s="1"/>
  <c r="DE46" i="6" s="1"/>
  <c r="DF46" i="6" s="1"/>
  <c r="DG46" i="6" s="1"/>
  <c r="DH46" i="6" s="1"/>
  <c r="DI46" i="6" s="1"/>
  <c r="DJ46" i="6" s="1"/>
  <c r="DK46" i="6" s="1"/>
  <c r="DL46" i="6" s="1"/>
  <c r="DM46" i="6" s="1"/>
  <c r="DN46" i="6" s="1"/>
  <c r="DO46" i="6" s="1"/>
  <c r="DP46" i="6" s="1"/>
  <c r="DQ46" i="6" s="1"/>
  <c r="DR46" i="6" s="1"/>
  <c r="DS46" i="6" s="1"/>
  <c r="DT46" i="6" s="1"/>
  <c r="DU46" i="6" s="1"/>
  <c r="DV46" i="6" s="1"/>
  <c r="DW46" i="6" s="1"/>
  <c r="DX46" i="6" s="1"/>
  <c r="DY46" i="6" s="1"/>
  <c r="DZ46" i="6" s="1"/>
  <c r="EA46" i="6" s="1"/>
  <c r="EB46" i="6" s="1"/>
  <c r="EC46" i="6" s="1"/>
  <c r="ED46" i="6" s="1"/>
  <c r="EE46" i="6" s="1"/>
  <c r="EF46" i="6" s="1"/>
  <c r="EG46" i="6" s="1"/>
  <c r="EH46" i="6" s="1"/>
  <c r="CH67" i="6"/>
  <c r="CZ52" i="6" l="1"/>
  <c r="CZ5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</authors>
  <commentList>
    <comment ref="BS4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T4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U4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</commentList>
</comments>
</file>

<file path=xl/sharedStrings.xml><?xml version="1.0" encoding="utf-8"?>
<sst xmlns="http://schemas.openxmlformats.org/spreadsheetml/2006/main" count="254" uniqueCount="211">
  <si>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</si>
  <si>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</si>
  <si>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</si>
  <si>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</si>
  <si>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</si>
  <si>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</si>
  <si>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</si>
  <si>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</si>
  <si>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</si>
  <si>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</si>
  <si>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</si>
  <si>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</si>
  <si>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</si>
  <si>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</si>
  <si>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</si>
  <si>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</si>
  <si>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</si>
  <si>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</si>
  <si>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</si>
  <si>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</si>
  <si>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</si>
  <si>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</si>
  <si>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</si>
  <si>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</si>
  <si>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</si>
  <si>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</si>
  <si>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</si>
  <si>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</si>
  <si>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</si>
  <si>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</si>
  <si>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</si>
  <si>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</si>
  <si>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</si>
  <si>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</si>
  <si>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</si>
  <si>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</si>
  <si>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</si>
  <si>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</si>
  <si>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NN9535 (semaglutide)</t>
  </si>
  <si>
    <t>III</t>
  </si>
  <si>
    <t>QW SC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</si>
  <si>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</si>
  <si>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</si>
  <si>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</si>
  <si>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</si>
  <si>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</si>
  <si>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</si>
  <si>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</si>
  <si>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</si>
  <si>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</si>
  <si>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</si>
  <si>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</si>
  <si>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</si>
  <si>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</si>
  <si>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</si>
  <si>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</si>
  <si>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</si>
  <si>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</si>
  <si>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</si>
  <si>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</si>
  <si>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</si>
  <si>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</si>
  <si>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</si>
  <si>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</si>
  <si>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</si>
  <si>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</si>
  <si>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</si>
  <si>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</si>
  <si>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</si>
  <si>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</si>
  <si>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</si>
  <si>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</si>
  <si>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</si>
  <si>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</si>
  <si>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</si>
  <si>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</si>
  <si>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</si>
  <si>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</si>
  <si>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</si>
  <si>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</si>
  <si>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</si>
  <si>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</si>
  <si>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</si>
  <si>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</si>
  <si>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</si>
  <si>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</si>
  <si>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</si>
  <si>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</si>
  <si>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</si>
  <si>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</si>
  <si>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</si>
  <si>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</si>
  <si>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</si>
  <si>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</si>
  <si>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</si>
  <si>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</si>
  <si>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</si>
  <si>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</si>
  <si>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</si>
  <si>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</si>
  <si>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</si>
  <si>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</si>
  <si>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</si>
  <si>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</si>
  <si>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</si>
  <si>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</si>
  <si>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</si>
  <si>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</si>
  <si>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</si>
  <si>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</si>
  <si>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</si>
  <si>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</si>
  <si>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</si>
  <si>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</si>
  <si>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</si>
  <si>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</si>
  <si>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</si>
  <si>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</si>
  <si>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</si>
  <si>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</si>
  <si>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</si>
  <si>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</si>
  <si>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</si>
  <si>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</si>
  <si>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</si>
  <si>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</si>
  <si>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</si>
  <si>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</si>
  <si>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</si>
  <si>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</si>
  <si>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</si>
  <si>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</si>
  <si>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</si>
  <si>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</si>
  <si>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</si>
  <si>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</si>
  <si>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</si>
  <si>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</si>
  <si>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</si>
  <si>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</si>
  <si>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Revenue DKK</t>
  </si>
  <si>
    <t>Sales</t>
  </si>
  <si>
    <t>COGS</t>
  </si>
  <si>
    <t>Gross Profit</t>
  </si>
  <si>
    <t>S&amp;D</t>
  </si>
  <si>
    <t>R&amp;D</t>
  </si>
  <si>
    <t>Operating Expenses</t>
  </si>
  <si>
    <t>Share of profit in associated companies</t>
  </si>
  <si>
    <t>Financial income</t>
  </si>
  <si>
    <t>Financial expenses</t>
  </si>
  <si>
    <t>Income taxes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</si>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</sst>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4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19050</xdr:colOff>
      <xdr:row>0</xdr:row>
      <xdr:rowOff>57150</xdr:rowOff>
    </xdr:from>
    <xdr:to>
      <xdr:col>60</xdr:col>
      <xdr:colOff>19050</xdr:colOff>
      <xdr:row>68</xdr:row>
      <xdr:rowOff>47625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 rot="5400000">
          <a:off x="23736300" y="5476875"/>
          <a:ext cx="108394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85725</xdr:colOff>
      <xdr:row>0</xdr:row>
      <xdr:rowOff>-5419725</xdr:rowOff>
    </xdr:from>
    <xdr:to>
      <xdr:col>90</xdr:col>
      <xdr:colOff>85725</xdr:colOff>
      <xdr:row>33</xdr:row>
      <xdr:rowOff>76200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8709600" y="0"/>
          <a:ext cx="108394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C1" workbookViewId="0">
      <selection activeCell="J3" sqref="J3"/>
    </sheetView>
  </sheetViews>
  <sheetFormatPr defaultRowHeight="12.75"/>
  <cols>
    <col min="1" max="1" width="3.28515625" style="24" customWidth="1"/>
    <col min="2" max="2" width="41.5703125" style="24" bestFit="1" customWidth="1"/>
    <col min="3" max="3" width="25.5703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9.140625" style="24"/>
    <col min="11" max="11" width="7.7109375" style="24" customWidth="1"/>
    <col min="12" max="16384" width="9.140625" style="24"/>
  </cols>
  <sheetData>
    <row r="2" spans="2:11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771.2</v>
      </c>
    </row>
    <row r="3" spans="2:11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2283.3000000000002</v>
      </c>
      <c r="K3" s="29" t="s">
        <v>118</v>
      </c>
    </row>
    <row r="4" spans="2:11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1760880.9600000002</v>
      </c>
    </row>
    <row r="5" spans="2:11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f>13394+6752+466</f>
        <v>20612</v>
      </c>
      <c r="K5" s="29" t="s">
        <v>118</v>
      </c>
    </row>
    <row r="6" spans="2:11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f>24084+1396</f>
        <v>25480</v>
      </c>
      <c r="K6" s="29" t="s">
        <v>118</v>
      </c>
    </row>
    <row r="7" spans="2:11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1765748.9600000002</v>
      </c>
    </row>
    <row r="8" spans="2:11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>
      <c r="B10" s="19" t="s">
        <v>28</v>
      </c>
      <c r="C10" s="26" t="s">
        <v>29</v>
      </c>
      <c r="D10" s="26" t="s">
        <v>30</v>
      </c>
      <c r="E10" s="26"/>
      <c r="F10" s="26"/>
      <c r="G10" s="30"/>
      <c r="J10" s="25"/>
    </row>
    <row r="11" spans="2:11">
      <c r="B11" s="21"/>
      <c r="C11" s="22"/>
      <c r="D11" s="22"/>
      <c r="E11" s="22" t="s">
        <v>31</v>
      </c>
      <c r="F11" s="22"/>
      <c r="G11" s="23"/>
      <c r="J11" s="28"/>
    </row>
    <row r="12" spans="2:11">
      <c r="B12" s="19" t="s">
        <v>32</v>
      </c>
      <c r="C12" s="26" t="s">
        <v>8</v>
      </c>
      <c r="D12" s="26" t="s">
        <v>33</v>
      </c>
      <c r="E12" s="26" t="s">
        <v>34</v>
      </c>
      <c r="F12" s="26"/>
      <c r="G12" s="30"/>
    </row>
    <row r="13" spans="2:11">
      <c r="B13" s="19" t="s">
        <v>35</v>
      </c>
      <c r="C13" s="26" t="s">
        <v>36</v>
      </c>
      <c r="D13" s="26" t="s">
        <v>37</v>
      </c>
      <c r="E13" s="26" t="s">
        <v>34</v>
      </c>
      <c r="F13" s="26"/>
      <c r="G13" s="30"/>
    </row>
    <row r="14" spans="2:11">
      <c r="B14" s="19" t="s">
        <v>38</v>
      </c>
      <c r="C14" s="26" t="s">
        <v>8</v>
      </c>
      <c r="D14" s="26" t="s">
        <v>18</v>
      </c>
      <c r="E14" s="26" t="s">
        <v>39</v>
      </c>
      <c r="F14" s="26" t="s">
        <v>40</v>
      </c>
      <c r="G14" s="30"/>
    </row>
    <row r="15" spans="2:11">
      <c r="B15" s="19" t="s">
        <v>41</v>
      </c>
      <c r="C15" s="26" t="s">
        <v>42</v>
      </c>
      <c r="D15" s="26" t="s">
        <v>43</v>
      </c>
      <c r="E15" s="26" t="s">
        <v>39</v>
      </c>
      <c r="F15" s="26"/>
      <c r="G15" s="30"/>
    </row>
    <row r="16" spans="2:11">
      <c r="B16" s="19" t="s">
        <v>44</v>
      </c>
      <c r="C16" s="26" t="s">
        <v>45</v>
      </c>
      <c r="D16" s="26" t="s">
        <v>46</v>
      </c>
      <c r="E16" s="26" t="s">
        <v>47</v>
      </c>
      <c r="F16" s="26"/>
      <c r="G16" s="30"/>
    </row>
    <row r="17" spans="2:7">
      <c r="B17" s="19" t="s">
        <v>48</v>
      </c>
      <c r="C17" s="26" t="s">
        <v>49</v>
      </c>
      <c r="D17" s="26" t="s">
        <v>50</v>
      </c>
      <c r="E17" s="26" t="s">
        <v>47</v>
      </c>
      <c r="F17" s="26"/>
      <c r="G17" s="30"/>
    </row>
    <row r="18" spans="2:7">
      <c r="B18" s="19" t="s">
        <v>51</v>
      </c>
      <c r="C18" s="26" t="s">
        <v>52</v>
      </c>
      <c r="E18" s="26"/>
      <c r="F18" s="26"/>
      <c r="G18" s="30"/>
    </row>
    <row r="19" spans="2:7">
      <c r="B19" s="19" t="s">
        <v>53</v>
      </c>
      <c r="C19" s="26" t="s">
        <v>54</v>
      </c>
      <c r="D19" s="26" t="s">
        <v>37</v>
      </c>
      <c r="E19" s="26" t="s">
        <v>39</v>
      </c>
      <c r="F19" s="26"/>
      <c r="G19" s="30"/>
    </row>
    <row r="20" spans="2:7">
      <c r="B20" s="19" t="s">
        <v>55</v>
      </c>
      <c r="C20" s="26" t="s">
        <v>56</v>
      </c>
      <c r="D20" s="26" t="s">
        <v>37</v>
      </c>
      <c r="E20" s="26" t="s">
        <v>47</v>
      </c>
      <c r="F20" s="26"/>
      <c r="G20" s="30"/>
    </row>
    <row r="21" spans="2:7">
      <c r="B21" s="31" t="s">
        <v>57</v>
      </c>
      <c r="C21" s="32" t="s">
        <v>8</v>
      </c>
      <c r="D21" s="32" t="s">
        <v>58</v>
      </c>
      <c r="E21" s="32" t="s">
        <v>59</v>
      </c>
      <c r="F21" s="33"/>
      <c r="G21" s="34"/>
    </row>
    <row r="23" spans="2:7">
      <c r="B23" s="24" t="s">
        <v>60</v>
      </c>
      <c r="E23" s="24" t="s">
        <v>61</v>
      </c>
    </row>
    <row r="24" spans="2:7">
      <c r="F24" s="14"/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67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K4" sqref="BK4"/>
    </sheetView>
  </sheetViews>
  <sheetFormatPr defaultRowHeight="12.75" customHeight="1"/>
  <cols>
    <col min="1" max="1" width="5" style="5" bestFit="1" customWidth="1"/>
    <col min="2" max="2" width="34.28515625" style="18" bestFit="1" customWidth="1"/>
    <col min="3" max="67" width="6.85546875" style="6" customWidth="1"/>
    <col min="68" max="75" width="7.140625" style="6" bestFit="1" customWidth="1"/>
    <col min="76" max="76" width="7.7109375" style="6" customWidth="1"/>
    <col min="77" max="80" width="7.5703125" style="6" bestFit="1" customWidth="1"/>
    <col min="81" max="81" width="7.7109375" style="6" customWidth="1"/>
    <col min="82" max="86" width="7.5703125" style="6" bestFit="1" customWidth="1"/>
    <col min="87" max="87" width="7.85546875" style="7" customWidth="1"/>
    <col min="88" max="88" width="8.140625" style="7" customWidth="1"/>
    <col min="89" max="89" width="9.7109375" style="7" customWidth="1"/>
    <col min="90" max="16384" width="9.140625" style="7"/>
  </cols>
  <sheetData>
    <row r="1" spans="1:138" ht="12.75" customHeight="1">
      <c r="A1" s="16" t="s">
        <v>62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</row>
    <row r="2" spans="1:138" ht="12.75" customHeight="1">
      <c r="A2" s="41"/>
      <c r="B2" s="36"/>
      <c r="C2" s="42" t="s">
        <v>63</v>
      </c>
      <c r="D2" s="42" t="s">
        <v>64</v>
      </c>
      <c r="E2" s="42" t="s">
        <v>65</v>
      </c>
      <c r="F2" s="42" t="s">
        <v>66</v>
      </c>
      <c r="G2" s="42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2" t="s">
        <v>77</v>
      </c>
      <c r="R2" s="42" t="s">
        <v>78</v>
      </c>
      <c r="S2" s="42" t="s">
        <v>79</v>
      </c>
      <c r="T2" s="42" t="s">
        <v>80</v>
      </c>
      <c r="U2" s="42" t="s">
        <v>81</v>
      </c>
      <c r="V2" s="42" t="s">
        <v>82</v>
      </c>
      <c r="W2" s="42" t="s">
        <v>83</v>
      </c>
      <c r="X2" s="42" t="s">
        <v>84</v>
      </c>
      <c r="Y2" s="42" t="s">
        <v>85</v>
      </c>
      <c r="Z2" s="42" t="s">
        <v>86</v>
      </c>
      <c r="AA2" s="42" t="s">
        <v>87</v>
      </c>
      <c r="AB2" s="42" t="s">
        <v>12</v>
      </c>
      <c r="AC2" s="42" t="s">
        <v>88</v>
      </c>
      <c r="AD2" s="42" t="s">
        <v>89</v>
      </c>
      <c r="AE2" s="42" t="s">
        <v>90</v>
      </c>
      <c r="AF2" s="42" t="s">
        <v>91</v>
      </c>
      <c r="AG2" s="42" t="s">
        <v>92</v>
      </c>
      <c r="AH2" s="42" t="s">
        <v>93</v>
      </c>
      <c r="AI2" s="42" t="s">
        <v>94</v>
      </c>
      <c r="AJ2" s="42" t="s">
        <v>95</v>
      </c>
      <c r="AK2" s="42" t="s">
        <v>96</v>
      </c>
      <c r="AL2" s="42" t="s">
        <v>97</v>
      </c>
      <c r="AM2" s="42" t="s">
        <v>98</v>
      </c>
      <c r="AN2" s="42" t="s">
        <v>99</v>
      </c>
      <c r="AO2" s="42" t="s">
        <v>100</v>
      </c>
      <c r="AP2" s="42" t="s">
        <v>101</v>
      </c>
      <c r="AQ2" s="42" t="s">
        <v>102</v>
      </c>
      <c r="AR2" s="42" t="s">
        <v>103</v>
      </c>
      <c r="AS2" s="42" t="s">
        <v>104</v>
      </c>
      <c r="AT2" s="42" t="s">
        <v>105</v>
      </c>
      <c r="AU2" s="42" t="s">
        <v>106</v>
      </c>
      <c r="AV2" s="42" t="s">
        <v>107</v>
      </c>
      <c r="AW2" s="42" t="s">
        <v>108</v>
      </c>
      <c r="AX2" s="42" t="s">
        <v>109</v>
      </c>
      <c r="AY2" s="42" t="s">
        <v>110</v>
      </c>
      <c r="AZ2" s="42" t="s">
        <v>111</v>
      </c>
      <c r="BA2" s="42" t="s">
        <v>112</v>
      </c>
      <c r="BB2" s="42" t="s">
        <v>113</v>
      </c>
      <c r="BC2" s="42" t="s">
        <v>114</v>
      </c>
      <c r="BD2" s="42" t="s">
        <v>115</v>
      </c>
      <c r="BE2" s="42" t="s">
        <v>116</v>
      </c>
      <c r="BF2" s="42" t="s">
        <v>117</v>
      </c>
      <c r="BG2" s="42" t="s">
        <v>118</v>
      </c>
      <c r="BH2" s="42" t="s">
        <v>119</v>
      </c>
      <c r="BI2" s="42" t="s">
        <v>120</v>
      </c>
      <c r="BJ2" s="42" t="s">
        <v>121</v>
      </c>
      <c r="BK2" s="42" t="s">
        <v>202</v>
      </c>
      <c r="BL2" s="42" t="s">
        <v>203</v>
      </c>
      <c r="BM2" s="42" t="s">
        <v>204</v>
      </c>
      <c r="BN2" s="42" t="s">
        <v>205</v>
      </c>
      <c r="BO2" s="42"/>
      <c r="BP2" s="43"/>
      <c r="BQ2" s="42" t="s">
        <v>122</v>
      </c>
      <c r="BR2" s="42" t="s">
        <v>123</v>
      </c>
      <c r="BS2" s="42" t="s">
        <v>124</v>
      </c>
      <c r="BT2" s="42" t="s">
        <v>125</v>
      </c>
      <c r="BU2" s="42" t="s">
        <v>126</v>
      </c>
      <c r="BV2" s="42" t="s">
        <v>127</v>
      </c>
      <c r="BW2" s="42" t="s">
        <v>128</v>
      </c>
      <c r="BX2" s="42">
        <v>2005</v>
      </c>
      <c r="BY2" s="42">
        <v>2006</v>
      </c>
      <c r="BZ2" s="42">
        <v>2007</v>
      </c>
      <c r="CA2" s="42">
        <v>2008</v>
      </c>
      <c r="CB2" s="42">
        <v>2009</v>
      </c>
      <c r="CC2" s="42">
        <v>2010</v>
      </c>
      <c r="CD2" s="42">
        <v>2011</v>
      </c>
      <c r="CE2" s="42">
        <v>2012</v>
      </c>
      <c r="CF2" s="42">
        <v>2013</v>
      </c>
      <c r="CG2" s="42">
        <v>2014</v>
      </c>
      <c r="CH2" s="42">
        <v>2015</v>
      </c>
      <c r="CI2" s="58">
        <f>+CH2+1</f>
        <v>2016</v>
      </c>
      <c r="CJ2" s="60">
        <f t="shared" ref="CJ2:CW2" si="0">+CI2+1</f>
        <v>2017</v>
      </c>
      <c r="CK2" s="60">
        <f t="shared" si="0"/>
        <v>2018</v>
      </c>
      <c r="CL2" s="60">
        <f t="shared" si="0"/>
        <v>2019</v>
      </c>
      <c r="CM2" s="60">
        <f t="shared" si="0"/>
        <v>2020</v>
      </c>
      <c r="CN2" s="60">
        <f t="shared" si="0"/>
        <v>2021</v>
      </c>
      <c r="CO2" s="58">
        <f t="shared" si="0"/>
        <v>2022</v>
      </c>
      <c r="CP2" s="58">
        <f t="shared" si="0"/>
        <v>2023</v>
      </c>
      <c r="CQ2" s="58">
        <f t="shared" si="0"/>
        <v>2024</v>
      </c>
      <c r="CR2" s="58">
        <f t="shared" si="0"/>
        <v>2025</v>
      </c>
      <c r="CS2" s="58">
        <f t="shared" si="0"/>
        <v>2026</v>
      </c>
      <c r="CT2" s="58">
        <f t="shared" si="0"/>
        <v>2027</v>
      </c>
      <c r="CU2" s="58">
        <f t="shared" si="0"/>
        <v>2028</v>
      </c>
      <c r="CV2" s="58">
        <f t="shared" si="0"/>
        <v>2029</v>
      </c>
      <c r="CW2" s="58">
        <f t="shared" si="0"/>
        <v>2030</v>
      </c>
      <c r="CX2" s="58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</row>
    <row r="3" spans="1:138" s="17" customFormat="1" ht="12.75" customHeight="1">
      <c r="A3" s="35"/>
      <c r="B3" s="35" t="s">
        <v>129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/>
      <c r="BJ3" s="44"/>
      <c r="BK3" s="44"/>
      <c r="BL3" s="44"/>
      <c r="BM3" s="44"/>
      <c r="BN3" s="44"/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6"/>
      <c r="CJ3" s="46"/>
      <c r="CK3" s="46"/>
      <c r="CL3" s="46"/>
      <c r="CM3" s="46">
        <v>16928</v>
      </c>
      <c r="CN3" s="46">
        <v>15939</v>
      </c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 spans="1:138" s="17" customFormat="1" ht="12.75" customHeight="1">
      <c r="A4" s="35"/>
      <c r="B4" s="35" t="s">
        <v>190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/>
      <c r="BJ4" s="44"/>
      <c r="BK4" s="44"/>
      <c r="BL4" s="44"/>
      <c r="BM4" s="44"/>
      <c r="BN4" s="44"/>
      <c r="BO4" s="44"/>
      <c r="BP4" s="45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6"/>
      <c r="CJ4" s="46"/>
      <c r="CK4" s="46"/>
      <c r="CL4" s="46"/>
      <c r="CM4" s="46">
        <v>1385</v>
      </c>
      <c r="CN4" s="46">
        <v>1748</v>
      </c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 spans="1:138" s="17" customFormat="1" ht="12.75" customHeight="1">
      <c r="A5" s="35"/>
      <c r="B5" s="35" t="s">
        <v>130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/>
      <c r="BJ5" s="44"/>
      <c r="BK5" s="44"/>
      <c r="BL5" s="44"/>
      <c r="BM5" s="44"/>
      <c r="BN5" s="44"/>
      <c r="BO5" s="44"/>
      <c r="BP5" s="45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6"/>
      <c r="CJ5" s="46"/>
      <c r="CK5" s="46"/>
      <c r="CL5" s="46"/>
      <c r="CM5" s="46">
        <v>9634</v>
      </c>
      <c r="CN5" s="46">
        <v>9492</v>
      </c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 spans="1:138" s="17" customFormat="1" ht="12.75" customHeight="1">
      <c r="A6" s="35"/>
      <c r="B6" s="35" t="s">
        <v>191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/>
      <c r="BJ6" s="44"/>
      <c r="BK6" s="44"/>
      <c r="BL6" s="44"/>
      <c r="BM6" s="44"/>
      <c r="BN6" s="44"/>
      <c r="BO6" s="44"/>
      <c r="BP6" s="45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6"/>
      <c r="CJ6" s="46"/>
      <c r="CK6" s="46"/>
      <c r="CL6" s="46"/>
      <c r="CM6" s="46">
        <v>1291</v>
      </c>
      <c r="CN6" s="46">
        <v>1711</v>
      </c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 spans="1:138" s="17" customFormat="1" ht="12.75" customHeight="1">
      <c r="A7" s="35"/>
      <c r="B7" s="35" t="s">
        <v>131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/>
      <c r="BJ7" s="44"/>
      <c r="BK7" s="44"/>
      <c r="BL7" s="44"/>
      <c r="BM7" s="44"/>
      <c r="BN7" s="44"/>
      <c r="BO7" s="44"/>
      <c r="BP7" s="45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6"/>
      <c r="CJ7" s="46"/>
      <c r="CK7" s="46"/>
      <c r="CL7" s="46"/>
      <c r="CM7" s="46">
        <v>8968</v>
      </c>
      <c r="CN7" s="46">
        <v>9729</v>
      </c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 spans="1:138" s="17" customFormat="1" ht="12.75" customHeight="1">
      <c r="A8" s="35"/>
      <c r="B8" s="35" t="s">
        <v>132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/>
      <c r="BJ8" s="44"/>
      <c r="BK8" s="44"/>
      <c r="BL8" s="44"/>
      <c r="BM8" s="44"/>
      <c r="BN8" s="44"/>
      <c r="BO8" s="44"/>
      <c r="BP8" s="45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6"/>
      <c r="CJ8" s="46"/>
      <c r="CK8" s="46"/>
      <c r="CL8" s="46"/>
      <c r="CM8" s="46">
        <v>7027</v>
      </c>
      <c r="CN8" s="46">
        <v>5678</v>
      </c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 spans="1:138" s="17" customFormat="1" ht="12.75" customHeight="1">
      <c r="A9" s="35"/>
      <c r="B9" s="35" t="s">
        <v>189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/>
      <c r="BJ9" s="44"/>
      <c r="BK9" s="44"/>
      <c r="BL9" s="44"/>
      <c r="BM9" s="44"/>
      <c r="BN9" s="44"/>
      <c r="BO9" s="44"/>
      <c r="BP9" s="45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6"/>
      <c r="CJ9" s="46"/>
      <c r="CK9" s="46"/>
      <c r="CL9" s="46"/>
      <c r="CM9" s="46">
        <v>2444</v>
      </c>
      <c r="CN9" s="46">
        <v>2657</v>
      </c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 spans="1:138" s="17" customFormat="1" ht="12.75" customHeight="1">
      <c r="A10" s="35"/>
      <c r="B10" s="35" t="s">
        <v>133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1">SUM(P3:P8)</f>
        <v>0</v>
      </c>
      <c r="Q10" s="44">
        <f t="shared" si="1"/>
        <v>0</v>
      </c>
      <c r="R10" s="44">
        <f t="shared" si="1"/>
        <v>0</v>
      </c>
      <c r="S10" s="44">
        <f t="shared" si="1"/>
        <v>0</v>
      </c>
      <c r="T10" s="44">
        <f t="shared" si="1"/>
        <v>0</v>
      </c>
      <c r="U10" s="44">
        <f t="shared" si="1"/>
        <v>0</v>
      </c>
      <c r="V10" s="44">
        <f t="shared" si="1"/>
        <v>0</v>
      </c>
      <c r="W10" s="44">
        <f t="shared" si="1"/>
        <v>9</v>
      </c>
      <c r="X10" s="44">
        <f t="shared" si="1"/>
        <v>24</v>
      </c>
      <c r="Y10" s="44">
        <f t="shared" si="1"/>
        <v>42</v>
      </c>
      <c r="Z10" s="44">
        <f t="shared" si="1"/>
        <v>68</v>
      </c>
      <c r="AA10" s="44">
        <f t="shared" si="1"/>
        <v>9457</v>
      </c>
      <c r="AB10" s="44">
        <f t="shared" si="1"/>
        <v>10492</v>
      </c>
      <c r="AC10" s="46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>
        <f>SUM(AY3:AY9)</f>
        <v>13227</v>
      </c>
      <c r="AZ10" s="44">
        <f>SUM(AZ3:AZ9)</f>
        <v>11292</v>
      </c>
      <c r="BA10" s="44">
        <f>SUM(BA3:BA9)</f>
        <v>11209</v>
      </c>
      <c r="BB10" s="44">
        <f>SUM(BB3:BB9)</f>
        <v>11949</v>
      </c>
      <c r="BC10" s="44">
        <f>SUM(BC3:BC9)</f>
        <v>12331</v>
      </c>
      <c r="BD10" s="44">
        <f>SUM(BD3:BD9)</f>
        <v>11116</v>
      </c>
      <c r="BE10" s="44">
        <f>SUM(BE3:BE9)</f>
        <v>11619</v>
      </c>
      <c r="BF10" s="44">
        <f>SUM(BF3:BF9)</f>
        <v>11888</v>
      </c>
      <c r="BG10" s="44">
        <f>SUM(BG3:BG9)</f>
        <v>12650</v>
      </c>
      <c r="BH10" s="44">
        <f>SUM(BH3:BH9)</f>
        <v>10492</v>
      </c>
      <c r="BI10" s="44"/>
      <c r="BJ10" s="44"/>
      <c r="BK10" s="44"/>
      <c r="BL10" s="44"/>
      <c r="BM10" s="44"/>
      <c r="BN10" s="44"/>
      <c r="BO10" s="44"/>
      <c r="BP10" s="45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>
        <f>SUM(K10:N10)</f>
        <v>26601</v>
      </c>
      <c r="CD10" s="44"/>
      <c r="CE10" s="44"/>
      <c r="CF10" s="44"/>
      <c r="CG10" s="44"/>
      <c r="CH10" s="44"/>
      <c r="CI10" s="46"/>
      <c r="CJ10" s="46"/>
      <c r="CK10" s="46"/>
      <c r="CL10" s="46"/>
      <c r="CM10" s="46">
        <f>SUM(CM3:CM9)</f>
        <v>47677</v>
      </c>
      <c r="CN10" s="46">
        <f>SUM(CN3:CN9)</f>
        <v>46954</v>
      </c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 spans="1:138" ht="12.75" customHeight="1">
      <c r="A11" s="41"/>
      <c r="B11" s="47" t="s">
        <v>134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/>
      <c r="BJ11" s="44"/>
      <c r="BK11" s="44"/>
      <c r="BL11" s="44"/>
      <c r="BM11" s="44"/>
      <c r="BN11" s="44"/>
      <c r="BO11" s="44"/>
      <c r="BP11" s="43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4">
        <f t="shared" ref="CC11:CC29" si="2">SUM(K11:O11)</f>
        <v>14482</v>
      </c>
      <c r="CD11" s="42"/>
      <c r="CE11" s="42"/>
      <c r="CF11" s="42"/>
      <c r="CG11" s="42"/>
      <c r="CH11" s="42"/>
      <c r="CI11" s="40"/>
      <c r="CJ11" s="46"/>
      <c r="CK11" s="46"/>
      <c r="CL11" s="46"/>
      <c r="CM11" s="46">
        <v>8873</v>
      </c>
      <c r="CN11" s="46">
        <v>9052</v>
      </c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</row>
    <row r="12" spans="1:138" ht="12.75" customHeight="1">
      <c r="A12" s="41"/>
      <c r="B12" s="47" t="s">
        <v>200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>
        <f>+AY11+AY10</f>
        <v>15914</v>
      </c>
      <c r="AZ12" s="44">
        <f>+AZ11+AZ10</f>
        <v>13606</v>
      </c>
      <c r="BA12" s="44">
        <f>+BA11+BA10</f>
        <v>13403</v>
      </c>
      <c r="BB12" s="44">
        <f>+BB11+BB10</f>
        <v>13627</v>
      </c>
      <c r="BC12" s="44">
        <f>+BC11+BC10</f>
        <v>14866</v>
      </c>
      <c r="BD12" s="44">
        <f>+BD11+BD10</f>
        <v>13157</v>
      </c>
      <c r="BE12" s="44">
        <f>+BE11+BE10</f>
        <v>14010</v>
      </c>
      <c r="BF12" s="44">
        <f>+BF11+BF10</f>
        <v>13973</v>
      </c>
      <c r="BG12" s="44">
        <f>+BG11+BG10</f>
        <v>14962</v>
      </c>
      <c r="BH12" s="44">
        <f>+BH11+BH10</f>
        <v>12343</v>
      </c>
      <c r="BI12" s="44">
        <f>+BE12*0.98</f>
        <v>13729.8</v>
      </c>
      <c r="BJ12" s="44">
        <f t="shared" ref="BJ12:BN12" si="3">+BF12*0.98</f>
        <v>13693.539999999999</v>
      </c>
      <c r="BK12" s="44">
        <f t="shared" si="3"/>
        <v>14662.76</v>
      </c>
      <c r="BL12" s="44">
        <f t="shared" si="3"/>
        <v>12096.14</v>
      </c>
      <c r="BM12" s="44">
        <f t="shared" si="3"/>
        <v>13455.204</v>
      </c>
      <c r="BN12" s="44">
        <f t="shared" si="3"/>
        <v>13419.669199999998</v>
      </c>
      <c r="BO12" s="44"/>
      <c r="BP12" s="43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4"/>
      <c r="CD12" s="42"/>
      <c r="CE12" s="42"/>
      <c r="CF12" s="42"/>
      <c r="CG12" s="42"/>
      <c r="CH12" s="42"/>
      <c r="CI12" s="40"/>
      <c r="CJ12" s="46"/>
      <c r="CK12" s="46"/>
      <c r="CL12" s="46"/>
      <c r="CM12" s="46">
        <f>CM11+CM10</f>
        <v>56550</v>
      </c>
      <c r="CN12" s="46">
        <f>CN11+CN10</f>
        <v>56006</v>
      </c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</row>
    <row r="13" spans="1:138" ht="12.75" customHeight="1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3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4"/>
      <c r="CD13" s="42"/>
      <c r="CE13" s="42"/>
      <c r="CF13" s="42"/>
      <c r="CG13" s="42"/>
      <c r="CH13" s="42"/>
      <c r="CI13" s="40"/>
      <c r="CJ13" s="46"/>
      <c r="CK13" s="46"/>
      <c r="CL13" s="46"/>
      <c r="CM13" s="46"/>
      <c r="CN13" s="46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</row>
    <row r="14" spans="1:138" ht="12.75" customHeight="1">
      <c r="A14" s="41"/>
      <c r="B14" s="47" t="s">
        <v>135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f t="shared" ref="BI14:BN14" si="4">+BE14*0.9</f>
        <v>3253.5</v>
      </c>
      <c r="BJ14" s="44">
        <f t="shared" si="4"/>
        <v>3449.7000000000003</v>
      </c>
      <c r="BK14" s="44">
        <f t="shared" si="4"/>
        <v>2989.8</v>
      </c>
      <c r="BL14" s="44">
        <f t="shared" si="4"/>
        <v>2439</v>
      </c>
      <c r="BM14" s="44">
        <f t="shared" si="4"/>
        <v>2928.15</v>
      </c>
      <c r="BN14" s="44">
        <f t="shared" si="4"/>
        <v>3104.7300000000005</v>
      </c>
      <c r="BO14" s="44"/>
      <c r="BP14" s="43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4">
        <f t="shared" si="2"/>
        <v>3415</v>
      </c>
      <c r="CD14" s="42"/>
      <c r="CE14" s="42"/>
      <c r="CF14" s="42"/>
      <c r="CG14" s="42"/>
      <c r="CH14" s="42"/>
      <c r="CI14" s="40"/>
      <c r="CJ14" s="46"/>
      <c r="CK14" s="46"/>
      <c r="CL14" s="46"/>
      <c r="CM14" s="46">
        <v>18747</v>
      </c>
      <c r="CN14" s="46">
        <v>15054</v>
      </c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</row>
    <row r="15" spans="1:138" ht="12.75" customHeight="1">
      <c r="A15" s="41"/>
      <c r="B15" s="47" t="s">
        <v>187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f>+BE15*1.8</f>
        <v>2413.8000000000002</v>
      </c>
      <c r="BJ15" s="44">
        <f>+BF15*1.5</f>
        <v>2734.5</v>
      </c>
      <c r="BK15" s="44">
        <f t="shared" ref="BK15:BN15" si="5">+BG15*1.5</f>
        <v>3094.5</v>
      </c>
      <c r="BL15" s="44">
        <f t="shared" si="5"/>
        <v>3258</v>
      </c>
      <c r="BM15" s="44">
        <f t="shared" si="5"/>
        <v>3620.7000000000003</v>
      </c>
      <c r="BN15" s="44">
        <f t="shared" si="5"/>
        <v>4101.75</v>
      </c>
      <c r="BO15" s="44"/>
      <c r="BP15" s="43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4"/>
      <c r="CD15" s="42"/>
      <c r="CE15" s="42"/>
      <c r="CF15" s="42"/>
      <c r="CG15" s="42"/>
      <c r="CH15" s="42"/>
      <c r="CI15" s="40"/>
      <c r="CJ15" s="46"/>
      <c r="CK15" s="46"/>
      <c r="CL15" s="46"/>
      <c r="CM15" s="46">
        <v>1873</v>
      </c>
      <c r="CN15" s="46">
        <v>4838</v>
      </c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</row>
    <row r="16" spans="1:138" ht="12.75" customHeight="1">
      <c r="A16" s="41"/>
      <c r="B16" s="47" t="s">
        <v>188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f>+BE16*1.6</f>
        <v>14227.2</v>
      </c>
      <c r="BJ16" s="44">
        <f>+BF16*1.4</f>
        <v>15002.4</v>
      </c>
      <c r="BK16" s="44">
        <f>+BG16*1.4</f>
        <v>16849</v>
      </c>
      <c r="BL16" s="44">
        <f>+BH16*1.3</f>
        <v>18653.7</v>
      </c>
      <c r="BM16" s="44">
        <f>+BI16*1.3</f>
        <v>18495.36</v>
      </c>
      <c r="BN16" s="44">
        <f>+BJ16*1.3</f>
        <v>19503.12</v>
      </c>
      <c r="BO16" s="44"/>
      <c r="BP16" s="43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4"/>
      <c r="CD16" s="42"/>
      <c r="CE16" s="42"/>
      <c r="CF16" s="42"/>
      <c r="CG16" s="42"/>
      <c r="CH16" s="42"/>
      <c r="CI16" s="40"/>
      <c r="CJ16" s="46"/>
      <c r="CK16" s="46"/>
      <c r="CL16" s="46"/>
      <c r="CM16" s="46">
        <v>21211</v>
      </c>
      <c r="CN16" s="46">
        <v>33705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</row>
    <row r="17" spans="1:138" ht="12.75" customHeight="1">
      <c r="A17" s="41"/>
      <c r="B17" s="47" t="s">
        <v>136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3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4">
        <f t="shared" si="2"/>
        <v>2853</v>
      </c>
      <c r="CD17" s="42"/>
      <c r="CE17" s="42"/>
      <c r="CF17" s="42"/>
      <c r="CG17" s="42"/>
      <c r="CH17" s="42"/>
      <c r="CI17" s="40"/>
      <c r="CJ17" s="46"/>
      <c r="CK17" s="46"/>
      <c r="CL17" s="46"/>
      <c r="CM17" s="46"/>
      <c r="CN17" s="46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</row>
    <row r="18" spans="1:138" ht="12.75" customHeight="1">
      <c r="A18" s="41"/>
      <c r="B18" s="47" t="s">
        <v>192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f t="shared" ref="BI18:BN18" si="6">+BH18+500</f>
        <v>1681</v>
      </c>
      <c r="BJ18" s="44">
        <f t="shared" si="6"/>
        <v>2181</v>
      </c>
      <c r="BK18" s="44">
        <f t="shared" si="6"/>
        <v>2681</v>
      </c>
      <c r="BL18" s="44">
        <f t="shared" si="6"/>
        <v>3181</v>
      </c>
      <c r="BM18" s="44">
        <f t="shared" si="6"/>
        <v>3681</v>
      </c>
      <c r="BN18" s="44">
        <f t="shared" si="6"/>
        <v>4181</v>
      </c>
      <c r="BO18" s="44"/>
      <c r="BP18" s="43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4"/>
      <c r="CD18" s="42"/>
      <c r="CE18" s="42"/>
      <c r="CF18" s="42"/>
      <c r="CG18" s="42"/>
      <c r="CH18" s="42"/>
      <c r="CI18" s="40"/>
      <c r="CJ18" s="46"/>
      <c r="CK18" s="46"/>
      <c r="CL18" s="46"/>
      <c r="CM18" s="46">
        <v>5608</v>
      </c>
      <c r="CN18" s="46">
        <v>8400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</row>
    <row r="19" spans="1:138" ht="12.75" customHeight="1">
      <c r="A19" s="41"/>
      <c r="B19" s="47" t="s">
        <v>193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f>+BE19*1.2</f>
        <v>2877.6</v>
      </c>
      <c r="BJ19" s="44">
        <f t="shared" ref="BJ19:BN19" si="7">+BF19*1.1</f>
        <v>2704.9</v>
      </c>
      <c r="BK19" s="44">
        <f t="shared" si="7"/>
        <v>2197.8000000000002</v>
      </c>
      <c r="BL19" s="44">
        <f t="shared" si="7"/>
        <v>2708.2000000000003</v>
      </c>
      <c r="BM19" s="44">
        <f t="shared" si="7"/>
        <v>3165.36</v>
      </c>
      <c r="BN19" s="44">
        <f t="shared" si="7"/>
        <v>2975.3900000000003</v>
      </c>
      <c r="BO19" s="44"/>
      <c r="BP19" s="43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4"/>
      <c r="CD19" s="42"/>
      <c r="CE19" s="42"/>
      <c r="CF19" s="42"/>
      <c r="CG19" s="42"/>
      <c r="CH19" s="42"/>
      <c r="CI19" s="40"/>
      <c r="CJ19" s="46"/>
      <c r="CK19" s="46"/>
      <c r="CL19" s="46"/>
      <c r="CM19" s="46"/>
      <c r="CN19" s="46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</row>
    <row r="20" spans="1:138" ht="12.75" customHeight="1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3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4"/>
      <c r="CD20" s="42"/>
      <c r="CE20" s="42"/>
      <c r="CF20" s="42"/>
      <c r="CG20" s="42"/>
      <c r="CH20" s="42"/>
      <c r="CI20" s="40"/>
      <c r="CJ20" s="46"/>
      <c r="CK20" s="46"/>
      <c r="CL20" s="46"/>
      <c r="CM20" s="46"/>
      <c r="CN20" s="46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</row>
    <row r="21" spans="1:138" ht="12.75" customHeight="1">
      <c r="A21" s="41"/>
      <c r="B21" s="47" t="s">
        <v>137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f>+BE21*0.9</f>
        <v>773.1</v>
      </c>
      <c r="BJ21" s="44">
        <f>+BF21*0.9</f>
        <v>734.4</v>
      </c>
      <c r="BK21" s="44">
        <f>+BG21*0.9</f>
        <v>795.6</v>
      </c>
      <c r="BL21" s="44">
        <f>+BH21*0.9</f>
        <v>747</v>
      </c>
      <c r="BM21" s="44">
        <f>+BI21*0.9</f>
        <v>695.79000000000008</v>
      </c>
      <c r="BN21" s="44">
        <f>+BJ21*0.9</f>
        <v>660.96</v>
      </c>
      <c r="BO21" s="44"/>
      <c r="BP21" s="43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4">
        <f>SUM(K21:O21)</f>
        <v>3462</v>
      </c>
      <c r="CD21" s="42"/>
      <c r="CE21" s="42"/>
      <c r="CF21" s="42"/>
      <c r="CG21" s="42"/>
      <c r="CH21" s="42"/>
      <c r="CI21" s="40"/>
      <c r="CJ21" s="46"/>
      <c r="CK21" s="46"/>
      <c r="CL21" s="46"/>
      <c r="CM21" s="46">
        <v>4031</v>
      </c>
      <c r="CN21" s="46">
        <v>3594</v>
      </c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</row>
    <row r="22" spans="1:138" ht="12.75" customHeight="1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3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4"/>
      <c r="CD22" s="42"/>
      <c r="CE22" s="42"/>
      <c r="CF22" s="42"/>
      <c r="CG22" s="42"/>
      <c r="CH22" s="42"/>
      <c r="CI22" s="40"/>
      <c r="CJ22" s="46"/>
      <c r="CK22" s="46"/>
      <c r="CL22" s="46"/>
      <c r="CM22" s="46"/>
      <c r="CN22" s="46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</row>
    <row r="23" spans="1:138" ht="12.75" customHeight="1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f t="shared" ref="BI23:BI27" si="8">+BE23*0.9</f>
        <v>1508.4</v>
      </c>
      <c r="BJ23" s="44">
        <f t="shared" ref="BJ23:BJ27" si="9">+BF23*0.9</f>
        <v>1521</v>
      </c>
      <c r="BK23" s="44">
        <f t="shared" ref="BK23:BK27" si="10">+BG23*0.9</f>
        <v>2043.9</v>
      </c>
      <c r="BL23" s="44">
        <f t="shared" ref="BL23:BL27" si="11">+BH23*0.9</f>
        <v>1816.2</v>
      </c>
      <c r="BM23" s="44">
        <f t="shared" ref="BM23:BM27" si="12">+BI23*0.9</f>
        <v>1357.5600000000002</v>
      </c>
      <c r="BN23" s="44">
        <f t="shared" ref="BN23:BN27" si="13">+BJ23*0.9</f>
        <v>1368.9</v>
      </c>
      <c r="BO23" s="44"/>
      <c r="BP23" s="43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4">
        <f t="shared" si="2"/>
        <v>10062</v>
      </c>
      <c r="CD23" s="42"/>
      <c r="CE23" s="42"/>
      <c r="CF23" s="42"/>
      <c r="CG23" s="42"/>
      <c r="CH23" s="42"/>
      <c r="CI23" s="40"/>
      <c r="CJ23" s="46"/>
      <c r="CK23" s="46"/>
      <c r="CL23" s="46"/>
      <c r="CM23" s="46">
        <v>7203</v>
      </c>
      <c r="CN23" s="46">
        <v>7221</v>
      </c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</row>
    <row r="24" spans="1:138" ht="12.75" customHeight="1">
      <c r="A24" s="41"/>
      <c r="B24" s="47" t="s">
        <v>194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f t="shared" si="8"/>
        <v>369.90000000000003</v>
      </c>
      <c r="BJ24" s="44">
        <f t="shared" si="9"/>
        <v>522.9</v>
      </c>
      <c r="BK24" s="44">
        <f t="shared" si="10"/>
        <v>508.5</v>
      </c>
      <c r="BL24" s="44">
        <f t="shared" si="11"/>
        <v>557.1</v>
      </c>
      <c r="BM24" s="44">
        <f t="shared" si="12"/>
        <v>332.91</v>
      </c>
      <c r="BN24" s="44">
        <f t="shared" si="13"/>
        <v>470.61</v>
      </c>
      <c r="BO24" s="44"/>
      <c r="BP24" s="43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4"/>
      <c r="CD24" s="42"/>
      <c r="CE24" s="42"/>
      <c r="CF24" s="42"/>
      <c r="CG24" s="42"/>
      <c r="CH24" s="42"/>
      <c r="CI24" s="40"/>
      <c r="CJ24" s="46"/>
      <c r="CK24" s="46"/>
      <c r="CL24" s="46"/>
      <c r="CM24" s="46">
        <v>1713</v>
      </c>
      <c r="CN24" s="46">
        <v>2112</v>
      </c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</row>
    <row r="25" spans="1:138" ht="12.75" customHeight="1">
      <c r="A25" s="41"/>
      <c r="B25" s="47" t="s">
        <v>195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f t="shared" si="8"/>
        <v>149.4</v>
      </c>
      <c r="BJ25" s="44">
        <f t="shared" si="9"/>
        <v>145.80000000000001</v>
      </c>
      <c r="BK25" s="44">
        <f t="shared" si="10"/>
        <v>159.30000000000001</v>
      </c>
      <c r="BL25" s="44">
        <f t="shared" si="11"/>
        <v>145.80000000000001</v>
      </c>
      <c r="BM25" s="44">
        <f t="shared" si="12"/>
        <v>134.46</v>
      </c>
      <c r="BN25" s="44">
        <f t="shared" si="13"/>
        <v>131.22000000000003</v>
      </c>
      <c r="BO25" s="44"/>
      <c r="BP25" s="43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4"/>
      <c r="CD25" s="42"/>
      <c r="CE25" s="42"/>
      <c r="CF25" s="42"/>
      <c r="CG25" s="42"/>
      <c r="CH25" s="42"/>
      <c r="CI25" s="40"/>
      <c r="CJ25" s="46"/>
      <c r="CK25" s="46"/>
      <c r="CL25" s="46"/>
      <c r="CM25" s="46">
        <v>518</v>
      </c>
      <c r="CN25" s="46">
        <v>637</v>
      </c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</row>
    <row r="26" spans="1:138" ht="12.75" customHeight="1">
      <c r="A26" s="41"/>
      <c r="B26" s="47" t="s">
        <v>196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 t="shared" si="8"/>
        <v>65.7</v>
      </c>
      <c r="BJ26" s="44">
        <f t="shared" si="9"/>
        <v>51.300000000000004</v>
      </c>
      <c r="BK26" s="44">
        <f t="shared" si="10"/>
        <v>57.6</v>
      </c>
      <c r="BL26" s="44">
        <f t="shared" si="11"/>
        <v>57.6</v>
      </c>
      <c r="BM26" s="44">
        <f t="shared" si="12"/>
        <v>59.13</v>
      </c>
      <c r="BN26" s="44">
        <f t="shared" si="13"/>
        <v>46.17</v>
      </c>
      <c r="BO26" s="44"/>
      <c r="BP26" s="43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4"/>
      <c r="CD26" s="42"/>
      <c r="CE26" s="42"/>
      <c r="CF26" s="42"/>
      <c r="CG26" s="42"/>
      <c r="CH26" s="42"/>
      <c r="CI26" s="40"/>
      <c r="CJ26" s="46"/>
      <c r="CK26" s="46"/>
      <c r="CL26" s="46"/>
      <c r="CM26" s="46"/>
      <c r="CN26" s="46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</row>
    <row r="27" spans="1:138" ht="12.75" customHeight="1">
      <c r="A27" s="41"/>
      <c r="B27" s="47" t="s">
        <v>197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 t="shared" si="8"/>
        <v>1962.9</v>
      </c>
      <c r="BJ27" s="44">
        <f t="shared" si="9"/>
        <v>2000.7</v>
      </c>
      <c r="BK27" s="44">
        <f t="shared" si="10"/>
        <v>2057.4</v>
      </c>
      <c r="BL27" s="44">
        <f t="shared" si="11"/>
        <v>2119.5</v>
      </c>
      <c r="BM27" s="44">
        <f t="shared" si="12"/>
        <v>1766.6100000000001</v>
      </c>
      <c r="BN27" s="44">
        <f t="shared" si="13"/>
        <v>1800.63</v>
      </c>
      <c r="BO27" s="44"/>
      <c r="BP27" s="43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4"/>
      <c r="CD27" s="42"/>
      <c r="CE27" s="42"/>
      <c r="CF27" s="42"/>
      <c r="CG27" s="42"/>
      <c r="CH27" s="42"/>
      <c r="CI27" s="40"/>
      <c r="CJ27" s="46"/>
      <c r="CK27" s="46"/>
      <c r="CL27" s="46"/>
      <c r="CM27" s="46">
        <v>7707</v>
      </c>
      <c r="CN27" s="46">
        <v>7303</v>
      </c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</row>
    <row r="28" spans="1:138" ht="12.75" customHeight="1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3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4">
        <f t="shared" si="2"/>
        <v>6055</v>
      </c>
      <c r="CD28" s="42"/>
      <c r="CE28" s="42"/>
      <c r="CF28" s="42"/>
      <c r="CG28" s="42"/>
      <c r="CH28" s="42"/>
      <c r="CI28" s="40"/>
      <c r="CJ28" s="46"/>
      <c r="CK28" s="46"/>
      <c r="CL28" s="46"/>
      <c r="CM28" s="46"/>
      <c r="CN28" s="46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</row>
    <row r="29" spans="1:138" ht="12.75" customHeight="1">
      <c r="A29" s="41"/>
      <c r="B29" s="47" t="s">
        <v>138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3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4">
        <f t="shared" si="2"/>
        <v>2493</v>
      </c>
      <c r="CD29" s="42"/>
      <c r="CE29" s="42"/>
      <c r="CF29" s="42"/>
      <c r="CG29" s="42"/>
      <c r="CH29" s="42"/>
      <c r="CI29" s="40"/>
      <c r="CJ29" s="46"/>
      <c r="CK29" s="46"/>
      <c r="CL29" s="46"/>
      <c r="CM29" s="46"/>
      <c r="CN29" s="46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</row>
    <row r="30" spans="1:138" ht="12.75" customHeight="1">
      <c r="A30" s="41"/>
      <c r="B30" s="47" t="s">
        <v>139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3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4">
        <f>SUM(K30:N30)</f>
        <v>341</v>
      </c>
      <c r="CD30" s="42"/>
      <c r="CE30" s="42"/>
      <c r="CF30" s="42"/>
      <c r="CG30" s="42"/>
      <c r="CH30" s="42"/>
      <c r="CI30" s="40"/>
      <c r="CJ30" s="46"/>
      <c r="CK30" s="46"/>
      <c r="CL30" s="46"/>
      <c r="CM30" s="46">
        <v>1557</v>
      </c>
      <c r="CN30" s="46">
        <v>1683</v>
      </c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</row>
    <row r="31" spans="1:138" ht="12.75" customHeight="1">
      <c r="A31" s="41"/>
      <c r="B31" s="47" t="s">
        <v>140</v>
      </c>
      <c r="C31" s="45"/>
      <c r="D31" s="45"/>
      <c r="E31" s="45"/>
      <c r="F31" s="45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39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3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0"/>
      <c r="CJ31" s="46"/>
      <c r="CK31" s="46"/>
      <c r="CL31" s="46"/>
      <c r="CM31" s="46"/>
      <c r="CN31" s="46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</row>
    <row r="32" spans="1:138" s="12" customFormat="1" ht="12.75" customHeight="1">
      <c r="A32" s="8"/>
      <c r="B32" s="9" t="s">
        <v>141</v>
      </c>
      <c r="C32" s="15">
        <f t="shared" ref="C32:O32" si="14">SUM(C10:C30)</f>
        <v>10614</v>
      </c>
      <c r="D32" s="15">
        <f t="shared" si="14"/>
        <v>11110</v>
      </c>
      <c r="E32" s="15">
        <f t="shared" si="14"/>
        <v>11246</v>
      </c>
      <c r="F32" s="15">
        <f t="shared" si="14"/>
        <v>12583</v>
      </c>
      <c r="G32" s="15">
        <f t="shared" si="14"/>
        <v>12498</v>
      </c>
      <c r="H32" s="15">
        <f t="shared" si="14"/>
        <v>13001</v>
      </c>
      <c r="I32" s="15">
        <f t="shared" si="14"/>
        <v>12545</v>
      </c>
      <c r="J32" s="15">
        <f t="shared" si="14"/>
        <v>13121</v>
      </c>
      <c r="K32" s="15">
        <f t="shared" si="14"/>
        <v>13674</v>
      </c>
      <c r="L32" s="15">
        <f t="shared" si="14"/>
        <v>15394</v>
      </c>
      <c r="M32" s="15">
        <f t="shared" si="14"/>
        <v>15584</v>
      </c>
      <c r="N32" s="15">
        <f t="shared" si="14"/>
        <v>16124</v>
      </c>
      <c r="O32" s="15">
        <f t="shared" si="14"/>
        <v>15693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>
        <f>SUM(AA10:AA31)</f>
        <v>20343</v>
      </c>
      <c r="AB32" s="15">
        <f>SUM(AB10:AB31)</f>
        <v>21629</v>
      </c>
      <c r="AC32" s="15"/>
      <c r="AD32" s="15"/>
      <c r="AE32" s="15"/>
      <c r="AF32" s="15"/>
      <c r="AG32" s="15"/>
      <c r="AH32" s="4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>
        <f>SUM(AY12:AY27)</f>
        <v>33875</v>
      </c>
      <c r="AZ32" s="15">
        <f>SUM(AZ12:AZ27)</f>
        <v>30006</v>
      </c>
      <c r="BA32" s="15">
        <f>SUM(BA12:BA27)</f>
        <v>30927</v>
      </c>
      <c r="BB32" s="15">
        <f>SUM(BB12:BB27)</f>
        <v>32138</v>
      </c>
      <c r="BC32" s="15">
        <f>SUM(BC12:BC27)</f>
        <v>33804</v>
      </c>
      <c r="BD32" s="15">
        <f>SUM(BD12:BD27)</f>
        <v>33041</v>
      </c>
      <c r="BE32" s="15">
        <f>SUM(BE12:BE27)</f>
        <v>35622</v>
      </c>
      <c r="BF32" s="15">
        <f>SUM(BF12:BF27)</f>
        <v>38333</v>
      </c>
      <c r="BG32" s="15">
        <f>SUM(BG12:BG27)</f>
        <v>42031</v>
      </c>
      <c r="BH32" s="15">
        <f t="shared" ref="BH32:BN32" si="15">SUM(BH12:BH27)</f>
        <v>41265</v>
      </c>
      <c r="BI32" s="15">
        <f t="shared" si="15"/>
        <v>43012.3</v>
      </c>
      <c r="BJ32" s="15">
        <f t="shared" si="15"/>
        <v>44742.140000000007</v>
      </c>
      <c r="BK32" s="15">
        <f t="shared" si="15"/>
        <v>48097.16</v>
      </c>
      <c r="BL32" s="15">
        <f t="shared" si="15"/>
        <v>47779.239999999991</v>
      </c>
      <c r="BM32" s="15">
        <f t="shared" si="15"/>
        <v>49692.234000000004</v>
      </c>
      <c r="BN32" s="15">
        <f t="shared" si="15"/>
        <v>51764.149199999993</v>
      </c>
      <c r="BO32" s="15"/>
      <c r="BP32" s="13"/>
      <c r="BQ32" s="13">
        <v>13647</v>
      </c>
      <c r="BR32" s="13">
        <v>16423</v>
      </c>
      <c r="BS32" s="13">
        <v>20485</v>
      </c>
      <c r="BT32" s="13">
        <v>23385</v>
      </c>
      <c r="BU32" s="13">
        <v>24866</v>
      </c>
      <c r="BV32" s="13"/>
      <c r="BW32" s="13"/>
      <c r="BX32" s="13"/>
      <c r="BY32" s="13"/>
      <c r="BZ32" s="13"/>
      <c r="CA32" s="13"/>
      <c r="CB32" s="13">
        <f>SUM(G32:J32)</f>
        <v>51165</v>
      </c>
      <c r="CC32" s="13">
        <f>SUM(CC10:CC30)</f>
        <v>69764</v>
      </c>
      <c r="CD32" s="13">
        <f>CC32*1.1</f>
        <v>76740.400000000009</v>
      </c>
      <c r="CE32" s="13">
        <f>CD32*1.08</f>
        <v>82879.632000000012</v>
      </c>
      <c r="CF32" s="13">
        <f>CE32*1.07</f>
        <v>88681.206240000014</v>
      </c>
      <c r="CG32" s="13">
        <f>CF32*1.06</f>
        <v>94002.078614400016</v>
      </c>
      <c r="CH32" s="13">
        <f>CG32*1.03</f>
        <v>96822.140972832014</v>
      </c>
      <c r="CJ32" s="59">
        <v>111696</v>
      </c>
      <c r="CK32" s="59">
        <v>111831</v>
      </c>
      <c r="CL32" s="59">
        <v>122021</v>
      </c>
      <c r="CM32" s="59">
        <v>126946</v>
      </c>
      <c r="CN32" s="59">
        <v>140800</v>
      </c>
    </row>
    <row r="33" spans="1:138" ht="12.75" customHeight="1">
      <c r="A33" s="41"/>
      <c r="B33" s="47" t="s">
        <v>142</v>
      </c>
      <c r="C33" s="44">
        <f t="shared" ref="C33:J33" si="16">C32-C34</f>
        <v>2413</v>
      </c>
      <c r="D33" s="44">
        <f t="shared" si="16"/>
        <v>2554</v>
      </c>
      <c r="E33" s="44">
        <f t="shared" si="16"/>
        <v>2606</v>
      </c>
      <c r="F33" s="44">
        <f t="shared" si="16"/>
        <v>2536</v>
      </c>
      <c r="G33" s="44">
        <f t="shared" si="16"/>
        <v>2508</v>
      </c>
      <c r="H33" s="44">
        <f t="shared" si="16"/>
        <v>2610</v>
      </c>
      <c r="I33" s="44">
        <f t="shared" si="16"/>
        <v>2713</v>
      </c>
      <c r="J33" s="44">
        <f t="shared" si="16"/>
        <v>2694</v>
      </c>
      <c r="K33" s="44">
        <f>+K32-K34</f>
        <v>2690</v>
      </c>
      <c r="L33" s="44">
        <f>+L32-L34</f>
        <v>2969</v>
      </c>
      <c r="M33" s="44">
        <f>+M32-M34</f>
        <v>2936</v>
      </c>
      <c r="N33" s="44">
        <f>+N32-N34</f>
        <v>3224.7999999999993</v>
      </c>
      <c r="O33" s="44">
        <f>O32-O34</f>
        <v>3117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f>+AB32-AB34</f>
        <v>3671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>
        <f>BC32-BC34</f>
        <v>5811</v>
      </c>
      <c r="BD33" s="44">
        <v>5547</v>
      </c>
      <c r="BE33" s="44"/>
      <c r="BF33" s="44"/>
      <c r="BG33" s="44">
        <f>BG32-BG34</f>
        <v>6917</v>
      </c>
      <c r="BH33" s="44">
        <v>6069</v>
      </c>
      <c r="BI33" s="44">
        <f>+BI32-BI34</f>
        <v>6451.8450000000012</v>
      </c>
      <c r="BJ33" s="44">
        <f t="shared" ref="BJ33:BN33" si="17">+BJ32-BJ34</f>
        <v>6711.3210000000036</v>
      </c>
      <c r="BK33" s="44">
        <f t="shared" si="17"/>
        <v>6733.6024000000034</v>
      </c>
      <c r="BL33" s="44">
        <f t="shared" si="17"/>
        <v>6689.0936000000002</v>
      </c>
      <c r="BM33" s="44">
        <f t="shared" si="17"/>
        <v>6459.9904200000019</v>
      </c>
      <c r="BN33" s="44">
        <f t="shared" si="17"/>
        <v>6729.3393959999958</v>
      </c>
      <c r="BO33" s="44"/>
      <c r="BP33" s="44"/>
      <c r="BQ33" s="44">
        <v>-3751</v>
      </c>
      <c r="BR33" s="44">
        <v>-4227</v>
      </c>
      <c r="BS33" s="44">
        <f>BS34-BS32</f>
        <v>-5016</v>
      </c>
      <c r="BT33" s="44">
        <f>BT34-BT32</f>
        <v>-6036</v>
      </c>
      <c r="BU33" s="44">
        <f>BU34-BU32</f>
        <v>-6598</v>
      </c>
      <c r="BV33" s="44"/>
      <c r="BW33" s="44"/>
      <c r="BX33" s="44"/>
      <c r="BY33" s="44"/>
      <c r="BZ33" s="44"/>
      <c r="CA33" s="44"/>
      <c r="CB33" s="44">
        <f>SUM(G33:J33)</f>
        <v>10525</v>
      </c>
      <c r="CC33" s="44">
        <f>SUM(K33:N33)</f>
        <v>11819.8</v>
      </c>
      <c r="CD33" s="44"/>
      <c r="CE33" s="44"/>
      <c r="CF33" s="44"/>
      <c r="CG33" s="44"/>
      <c r="CH33" s="44"/>
      <c r="CI33" s="40"/>
      <c r="CJ33" s="46"/>
      <c r="CK33" s="46"/>
      <c r="CL33" s="46"/>
      <c r="CM33" s="46"/>
      <c r="CN33" s="46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</row>
    <row r="34" spans="1:138" ht="12.75" customHeight="1">
      <c r="A34" s="41"/>
      <c r="B34" s="47" t="s">
        <v>143</v>
      </c>
      <c r="C34" s="44">
        <v>8201</v>
      </c>
      <c r="D34" s="44">
        <v>8556</v>
      </c>
      <c r="E34" s="44">
        <v>8640</v>
      </c>
      <c r="F34" s="44">
        <v>10047</v>
      </c>
      <c r="G34" s="44">
        <v>9990</v>
      </c>
      <c r="H34" s="44">
        <v>10391</v>
      </c>
      <c r="I34" s="44">
        <v>9832</v>
      </c>
      <c r="J34" s="44">
        <v>10427</v>
      </c>
      <c r="K34" s="44">
        <v>10984</v>
      </c>
      <c r="L34" s="44">
        <v>12425</v>
      </c>
      <c r="M34" s="44">
        <v>12648</v>
      </c>
      <c r="N34" s="44">
        <f>+N32*0.8</f>
        <v>12899.2</v>
      </c>
      <c r="O34" s="44">
        <v>12576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17958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>
        <v>27993</v>
      </c>
      <c r="BD34" s="44">
        <f>+BD32-BD33</f>
        <v>27494</v>
      </c>
      <c r="BE34" s="44"/>
      <c r="BF34" s="44"/>
      <c r="BG34" s="44">
        <v>35114</v>
      </c>
      <c r="BH34" s="44">
        <f>+BH32-BH33</f>
        <v>35196</v>
      </c>
      <c r="BI34" s="44">
        <f>+BI32*0.85</f>
        <v>36560.455000000002</v>
      </c>
      <c r="BJ34" s="44">
        <f t="shared" ref="BJ34:BN34" si="18">+BJ32*0.85</f>
        <v>38030.819000000003</v>
      </c>
      <c r="BK34" s="44">
        <f>+BK32*0.86</f>
        <v>41363.5576</v>
      </c>
      <c r="BL34" s="44">
        <f>+BL32*0.86</f>
        <v>41090.146399999991</v>
      </c>
      <c r="BM34" s="44">
        <f>+BM32*0.87</f>
        <v>43232.243580000002</v>
      </c>
      <c r="BN34" s="44">
        <f>+BN32*0.87</f>
        <v>45034.809803999997</v>
      </c>
      <c r="BO34" s="44"/>
      <c r="BP34" s="44"/>
      <c r="BQ34" s="44">
        <f>BQ32+BQ33</f>
        <v>9896</v>
      </c>
      <c r="BR34" s="44">
        <f>BR32+BR33</f>
        <v>12196</v>
      </c>
      <c r="BS34" s="44">
        <v>15469</v>
      </c>
      <c r="BT34" s="44">
        <v>17349</v>
      </c>
      <c r="BU34" s="44">
        <v>18268</v>
      </c>
      <c r="BV34" s="44"/>
      <c r="BW34" s="44"/>
      <c r="BX34" s="44"/>
      <c r="BY34" s="44"/>
      <c r="BZ34" s="44"/>
      <c r="CA34" s="44"/>
      <c r="CB34" s="44">
        <f>CB32-CB33</f>
        <v>40640</v>
      </c>
      <c r="CC34" s="44">
        <f>CC32-CC33</f>
        <v>57944.2</v>
      </c>
      <c r="CD34" s="44">
        <f>+CD32*0.8</f>
        <v>61392.320000000007</v>
      </c>
      <c r="CE34" s="44">
        <f>+CE32*0.8</f>
        <v>66303.705600000016</v>
      </c>
      <c r="CF34" s="44">
        <f>+CF32*0.8</f>
        <v>70944.964992000008</v>
      </c>
      <c r="CG34" s="44">
        <f>+CG32*0.8</f>
        <v>75201.662891520013</v>
      </c>
      <c r="CH34" s="44">
        <f>+CH32*0.8</f>
        <v>77457.712778265617</v>
      </c>
      <c r="CI34" s="40"/>
      <c r="CJ34" s="46">
        <v>94064</v>
      </c>
      <c r="CK34" s="46">
        <v>94214</v>
      </c>
      <c r="CL34" s="46">
        <v>101933</v>
      </c>
      <c r="CM34" s="46">
        <v>106014</v>
      </c>
      <c r="CN34" s="46">
        <v>117142</v>
      </c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</row>
    <row r="35" spans="1:138" ht="12.75" customHeight="1">
      <c r="A35" s="41"/>
      <c r="B35" s="47" t="s">
        <v>144</v>
      </c>
      <c r="C35" s="44">
        <v>2975</v>
      </c>
      <c r="D35" s="44">
        <v>3178</v>
      </c>
      <c r="E35" s="44">
        <v>3155</v>
      </c>
      <c r="F35" s="44">
        <v>3558</v>
      </c>
      <c r="G35" s="44">
        <v>3844</v>
      </c>
      <c r="H35" s="44">
        <v>3837</v>
      </c>
      <c r="I35" s="44">
        <v>3502</v>
      </c>
      <c r="J35" s="44">
        <v>4237</v>
      </c>
      <c r="K35" s="44">
        <v>3984</v>
      </c>
      <c r="L35" s="44">
        <v>4364</v>
      </c>
      <c r="M35" s="44">
        <v>4573</v>
      </c>
      <c r="N35" s="44">
        <f>+M35</f>
        <v>4573</v>
      </c>
      <c r="O35" s="44">
        <v>4260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5559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>
        <v>8256</v>
      </c>
      <c r="BC35" s="44">
        <v>8256</v>
      </c>
      <c r="BD35" s="44">
        <v>8001</v>
      </c>
      <c r="BE35" s="44">
        <v>9119</v>
      </c>
      <c r="BF35" s="44">
        <v>11632</v>
      </c>
      <c r="BG35" s="44">
        <v>10183</v>
      </c>
      <c r="BH35" s="44">
        <v>10840</v>
      </c>
      <c r="BI35" s="44"/>
      <c r="BJ35" s="44"/>
      <c r="BK35" s="44"/>
      <c r="BL35" s="44"/>
      <c r="BM35" s="44"/>
      <c r="BN35" s="44"/>
      <c r="BO35" s="44"/>
      <c r="BP35" s="44"/>
      <c r="BQ35" s="44">
        <v>-4212</v>
      </c>
      <c r="BR35" s="44">
        <v>-4812</v>
      </c>
      <c r="BS35" s="44">
        <v>-6013</v>
      </c>
      <c r="BT35" s="44">
        <v>-6951</v>
      </c>
      <c r="BU35" s="44">
        <v>-7187</v>
      </c>
      <c r="BV35" s="44"/>
      <c r="BW35" s="44"/>
      <c r="BX35" s="44"/>
      <c r="BY35" s="44"/>
      <c r="BZ35" s="44"/>
      <c r="CA35" s="44"/>
      <c r="CB35" s="44">
        <f>SUM(G35:J35)</f>
        <v>15420</v>
      </c>
      <c r="CC35" s="44">
        <f>SUM(K35:N35)</f>
        <v>17494</v>
      </c>
      <c r="CD35" s="44">
        <f>CC35*1.02</f>
        <v>17843.88</v>
      </c>
      <c r="CE35" s="44">
        <f>CD35*1.02</f>
        <v>18200.757600000001</v>
      </c>
      <c r="CF35" s="44">
        <f>CE35*1.02</f>
        <v>18564.772752000001</v>
      </c>
      <c r="CG35" s="44">
        <f>CF35*1.02</f>
        <v>18936.06820704</v>
      </c>
      <c r="CH35" s="44">
        <f>CG35*1.02</f>
        <v>19314.789571180801</v>
      </c>
      <c r="CI35" s="40"/>
      <c r="CJ35" s="46">
        <v>28340</v>
      </c>
      <c r="CK35" s="46">
        <v>29397</v>
      </c>
      <c r="CL35" s="46">
        <v>31823</v>
      </c>
      <c r="CM35" s="46">
        <v>32928</v>
      </c>
      <c r="CN35" s="46">
        <v>37008</v>
      </c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</row>
    <row r="36" spans="1:138" ht="12.75" customHeight="1">
      <c r="A36" s="41"/>
      <c r="B36" s="47" t="s">
        <v>145</v>
      </c>
      <c r="C36" s="44">
        <f>1858-220</f>
        <v>1638</v>
      </c>
      <c r="D36" s="44">
        <f>1980-155</f>
        <v>1825</v>
      </c>
      <c r="E36" s="44">
        <f>1579+50</f>
        <v>1629</v>
      </c>
      <c r="F36" s="44">
        <v>2439</v>
      </c>
      <c r="G36" s="44">
        <v>1744</v>
      </c>
      <c r="H36" s="44">
        <v>1849</v>
      </c>
      <c r="I36" s="44">
        <v>1884</v>
      </c>
      <c r="J36" s="44">
        <v>2387</v>
      </c>
      <c r="K36" s="44">
        <v>2131</v>
      </c>
      <c r="L36" s="44">
        <v>2434</v>
      </c>
      <c r="M36" s="44">
        <v>2302</v>
      </c>
      <c r="N36" s="44">
        <f>+M36</f>
        <v>2302</v>
      </c>
      <c r="O36" s="44">
        <v>2290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3075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>
        <v>3944</v>
      </c>
      <c r="BC36" s="44">
        <v>3944</v>
      </c>
      <c r="BD36" s="44">
        <v>3944</v>
      </c>
      <c r="BE36" s="44">
        <v>4252</v>
      </c>
      <c r="BF36" s="44">
        <v>5632</v>
      </c>
      <c r="BG36" s="44">
        <v>5206</v>
      </c>
      <c r="BH36" s="44">
        <v>5123</v>
      </c>
      <c r="BI36" s="44"/>
      <c r="BJ36" s="44"/>
      <c r="BK36" s="44"/>
      <c r="BL36" s="44"/>
      <c r="BM36" s="44"/>
      <c r="BN36" s="44"/>
      <c r="BO36" s="44"/>
      <c r="BP36" s="44"/>
      <c r="BQ36" s="44">
        <v>-2795</v>
      </c>
      <c r="BR36" s="44">
        <v>-2748</v>
      </c>
      <c r="BS36" s="44">
        <v>-3407</v>
      </c>
      <c r="BT36" s="44">
        <v>-3872</v>
      </c>
      <c r="BU36" s="44">
        <v>-3952</v>
      </c>
      <c r="BV36" s="44"/>
      <c r="BW36" s="44"/>
      <c r="BX36" s="44"/>
      <c r="BY36" s="44"/>
      <c r="BZ36" s="44"/>
      <c r="CA36" s="44"/>
      <c r="CB36" s="44">
        <f>SUM(G36:J36)</f>
        <v>7864</v>
      </c>
      <c r="CC36" s="44">
        <f>SUM(K36:N36)</f>
        <v>9169</v>
      </c>
      <c r="CD36" s="44"/>
      <c r="CE36" s="44"/>
      <c r="CF36" s="44"/>
      <c r="CG36" s="44"/>
      <c r="CH36" s="44"/>
      <c r="CI36" s="40"/>
      <c r="CJ36" s="46">
        <v>14014</v>
      </c>
      <c r="CK36" s="46">
        <v>14805</v>
      </c>
      <c r="CL36" s="46">
        <v>14220</v>
      </c>
      <c r="CM36" s="46">
        <v>15462</v>
      </c>
      <c r="CN36" s="46">
        <v>17772</v>
      </c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</row>
    <row r="37" spans="1:138" ht="12.75" customHeight="1">
      <c r="A37" s="41"/>
      <c r="B37" s="47" t="s">
        <v>207</v>
      </c>
      <c r="C37" s="44">
        <v>627</v>
      </c>
      <c r="D37" s="44">
        <v>626</v>
      </c>
      <c r="E37" s="44">
        <v>633</v>
      </c>
      <c r="F37" s="44">
        <v>749</v>
      </c>
      <c r="G37" s="44">
        <v>679</v>
      </c>
      <c r="H37" s="44">
        <v>693</v>
      </c>
      <c r="I37" s="44">
        <v>666</v>
      </c>
      <c r="J37" s="44">
        <v>726</v>
      </c>
      <c r="K37" s="44">
        <v>711</v>
      </c>
      <c r="L37" s="44">
        <v>745</v>
      </c>
      <c r="M37" s="44">
        <v>759</v>
      </c>
      <c r="N37" s="44">
        <f>+M37</f>
        <v>759</v>
      </c>
      <c r="O37" s="44">
        <v>756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795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>
        <v>932</v>
      </c>
      <c r="BD37" s="44">
        <v>904</v>
      </c>
      <c r="BE37" s="44"/>
      <c r="BF37" s="44"/>
      <c r="BG37" s="44">
        <v>970</v>
      </c>
      <c r="BH37" s="44">
        <v>991</v>
      </c>
      <c r="BI37" s="44"/>
      <c r="BJ37" s="44"/>
      <c r="BK37" s="44"/>
      <c r="BL37" s="44"/>
      <c r="BM37" s="44"/>
      <c r="BN37" s="44"/>
      <c r="BO37" s="44"/>
      <c r="BP37" s="44"/>
      <c r="BQ37" s="44">
        <v>-1397</v>
      </c>
      <c r="BR37" s="44">
        <v>-1721</v>
      </c>
      <c r="BS37" s="44">
        <v>-1917</v>
      </c>
      <c r="BT37" s="44">
        <v>-1931</v>
      </c>
      <c r="BU37" s="44">
        <v>-1960</v>
      </c>
      <c r="BV37" s="44"/>
      <c r="BW37" s="44"/>
      <c r="BX37" s="44"/>
      <c r="BY37" s="44"/>
      <c r="BZ37" s="44"/>
      <c r="CA37" s="44"/>
      <c r="CB37" s="44">
        <f>SUM(G37:J37)</f>
        <v>2764</v>
      </c>
      <c r="CC37" s="44">
        <f>SUM(K37:N37)</f>
        <v>2974</v>
      </c>
      <c r="CD37" s="44">
        <f>CC37*1.01</f>
        <v>3003.7400000000002</v>
      </c>
      <c r="CE37" s="44">
        <f>CD37*1.01</f>
        <v>3033.7774000000004</v>
      </c>
      <c r="CF37" s="44">
        <f>CE37*1.01</f>
        <v>3064.1151740000005</v>
      </c>
      <c r="CG37" s="44">
        <f>CF37*1.01</f>
        <v>3094.7563257400006</v>
      </c>
      <c r="CH37" s="44">
        <f>CG37*1.01</f>
        <v>3125.7038889974006</v>
      </c>
      <c r="CI37" s="40"/>
      <c r="CJ37" s="46">
        <v>3784</v>
      </c>
      <c r="CK37" s="46">
        <v>3916</v>
      </c>
      <c r="CL37" s="46">
        <v>4007</v>
      </c>
      <c r="CM37" s="46">
        <v>3958</v>
      </c>
      <c r="CN37" s="46">
        <v>4050</v>
      </c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</row>
    <row r="38" spans="1:138" ht="12.75" customHeight="1">
      <c r="A38" s="41"/>
      <c r="B38" s="47" t="s">
        <v>139</v>
      </c>
      <c r="C38" s="44">
        <v>88</v>
      </c>
      <c r="D38" s="44">
        <v>74</v>
      </c>
      <c r="E38" s="44">
        <v>51</v>
      </c>
      <c r="F38" s="44">
        <v>73</v>
      </c>
      <c r="G38" s="44">
        <v>87</v>
      </c>
      <c r="H38" s="44">
        <v>78</v>
      </c>
      <c r="I38" s="44">
        <v>34</v>
      </c>
      <c r="J38" s="44">
        <v>142</v>
      </c>
      <c r="K38" s="44">
        <v>224</v>
      </c>
      <c r="L38" s="44">
        <v>159</v>
      </c>
      <c r="M38" s="44">
        <v>110</v>
      </c>
      <c r="N38" s="44">
        <f>+M38</f>
        <v>110</v>
      </c>
      <c r="O38" s="44">
        <v>148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v>204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>
        <v>-121</v>
      </c>
      <c r="BD38" s="44">
        <v>-134</v>
      </c>
      <c r="BE38" s="44"/>
      <c r="BF38" s="44"/>
      <c r="BG38" s="44">
        <v>-392</v>
      </c>
      <c r="BH38" s="44">
        <v>-149</v>
      </c>
      <c r="BI38" s="44"/>
      <c r="BJ38" s="44"/>
      <c r="BK38" s="44"/>
      <c r="BL38" s="44"/>
      <c r="BM38" s="44"/>
      <c r="BN38" s="44"/>
      <c r="BO38" s="44"/>
      <c r="BP38" s="44"/>
      <c r="BQ38" s="44">
        <v>1441</v>
      </c>
      <c r="BR38" s="44">
        <v>612</v>
      </c>
      <c r="BS38" s="44">
        <v>571</v>
      </c>
      <c r="BT38" s="44">
        <v>815</v>
      </c>
      <c r="BU38" s="44">
        <v>758</v>
      </c>
      <c r="BV38" s="44"/>
      <c r="BW38" s="44"/>
      <c r="BX38" s="44"/>
      <c r="BY38" s="44"/>
      <c r="BZ38" s="44"/>
      <c r="CA38" s="44"/>
      <c r="CB38" s="44"/>
      <c r="CC38" s="44">
        <f>SUM(K38:N38)</f>
        <v>603</v>
      </c>
      <c r="CD38" s="44"/>
      <c r="CE38" s="44"/>
      <c r="CF38" s="44"/>
      <c r="CG38" s="44"/>
      <c r="CH38" s="44"/>
      <c r="CI38" s="40"/>
      <c r="CJ38" s="46"/>
      <c r="CK38" s="46"/>
      <c r="CL38" s="46"/>
      <c r="CM38" s="46"/>
      <c r="CN38" s="46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</row>
    <row r="39" spans="1:138" ht="12.75" customHeight="1">
      <c r="A39" s="41"/>
      <c r="B39" s="47" t="s">
        <v>146</v>
      </c>
      <c r="C39" s="44">
        <f t="shared" ref="C39:K39" si="19">SUM(C35:C37)-C38</f>
        <v>5152</v>
      </c>
      <c r="D39" s="44">
        <f t="shared" si="19"/>
        <v>5555</v>
      </c>
      <c r="E39" s="44">
        <f t="shared" si="19"/>
        <v>5366</v>
      </c>
      <c r="F39" s="44">
        <f t="shared" si="19"/>
        <v>6673</v>
      </c>
      <c r="G39" s="44">
        <f t="shared" si="19"/>
        <v>6180</v>
      </c>
      <c r="H39" s="44">
        <f t="shared" si="19"/>
        <v>6301</v>
      </c>
      <c r="I39" s="44">
        <f t="shared" si="19"/>
        <v>6018</v>
      </c>
      <c r="J39" s="44">
        <f t="shared" si="19"/>
        <v>7208</v>
      </c>
      <c r="K39" s="44">
        <f t="shared" si="19"/>
        <v>6602</v>
      </c>
      <c r="L39" s="44">
        <f>SUM(L35:L37)-L38</f>
        <v>7384</v>
      </c>
      <c r="M39" s="44">
        <f>SUM(M35:M37)-M38</f>
        <v>7524</v>
      </c>
      <c r="N39" s="44">
        <f>SUM(N35:N37)-N38</f>
        <v>7524</v>
      </c>
      <c r="O39" s="44">
        <f>SUM(O35:O37)-O38</f>
        <v>7158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SUM(AB35:AB38)</f>
        <v>9633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>
        <f>SUM(BC35:BC38)</f>
        <v>13011</v>
      </c>
      <c r="BD39" s="44">
        <f t="shared" ref="BD39:BG39" si="20">SUM(BD35:BD38)</f>
        <v>12715</v>
      </c>
      <c r="BE39" s="44">
        <f t="shared" si="20"/>
        <v>13371</v>
      </c>
      <c r="BF39" s="44">
        <f t="shared" si="20"/>
        <v>17264</v>
      </c>
      <c r="BG39" s="44">
        <f t="shared" si="20"/>
        <v>15967</v>
      </c>
      <c r="BH39" s="44">
        <f t="shared" ref="BH39:BM39" si="21">SUM(BH35:BH38)</f>
        <v>16805</v>
      </c>
      <c r="BI39" s="44">
        <f t="shared" ref="BI39:BN39" si="22">SUM(BI35:BI38)</f>
        <v>0</v>
      </c>
      <c r="BJ39" s="44">
        <f t="shared" si="22"/>
        <v>0</v>
      </c>
      <c r="BK39" s="44">
        <f t="shared" si="22"/>
        <v>0</v>
      </c>
      <c r="BL39" s="44">
        <f t="shared" si="22"/>
        <v>0</v>
      </c>
      <c r="BM39" s="44">
        <f t="shared" si="22"/>
        <v>0</v>
      </c>
      <c r="BN39" s="44">
        <f t="shared" si="22"/>
        <v>0</v>
      </c>
      <c r="BO39" s="44"/>
      <c r="BP39" s="44"/>
      <c r="BQ39" s="44">
        <f>BQ34+SUM(BQ35:BQ38)</f>
        <v>2933</v>
      </c>
      <c r="BR39" s="44">
        <f>BR34+SUM(BR35:BR38)</f>
        <v>3527</v>
      </c>
      <c r="BS39" s="44">
        <f>BS34+SUM(BS35:BS38)</f>
        <v>4703</v>
      </c>
      <c r="BT39" s="44">
        <f>BT34+SUM(BT35:BT38)</f>
        <v>5410</v>
      </c>
      <c r="BU39" s="44">
        <f>BU34+SUM(BU35:BU38)</f>
        <v>5927</v>
      </c>
      <c r="BV39" s="44"/>
      <c r="BW39" s="44"/>
      <c r="BX39" s="44"/>
      <c r="BY39" s="44"/>
      <c r="BZ39" s="44"/>
      <c r="CA39" s="44"/>
      <c r="CB39" s="44">
        <f>SUM(CB35:CB37)</f>
        <v>26048</v>
      </c>
      <c r="CC39" s="44">
        <f>SUM(CC35:CC38)</f>
        <v>30240</v>
      </c>
      <c r="CD39" s="44">
        <f>SUM(CD35:CD37)</f>
        <v>20847.620000000003</v>
      </c>
      <c r="CE39" s="44">
        <f>SUM(CE35:CE37)</f>
        <v>21234.535</v>
      </c>
      <c r="CF39" s="44">
        <f>SUM(CF35:CF37)</f>
        <v>21628.887926000003</v>
      </c>
      <c r="CG39" s="44">
        <f>SUM(CG35:CG37)</f>
        <v>22030.82453278</v>
      </c>
      <c r="CH39" s="44">
        <f>SUM(CH35:CH37)</f>
        <v>22440.493460178201</v>
      </c>
      <c r="CI39" s="40"/>
      <c r="CJ39" s="46">
        <f>SUM(CJ35:CJ37)</f>
        <v>46138</v>
      </c>
      <c r="CK39" s="46">
        <f t="shared" ref="CK39:CN39" si="23">SUM(CK35:CK37)</f>
        <v>48118</v>
      </c>
      <c r="CL39" s="46">
        <f t="shared" si="23"/>
        <v>50050</v>
      </c>
      <c r="CM39" s="46">
        <f t="shared" si="23"/>
        <v>52348</v>
      </c>
      <c r="CN39" s="46">
        <f t="shared" si="23"/>
        <v>58830</v>
      </c>
      <c r="CO39" s="46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</row>
    <row r="40" spans="1:138" ht="12.75" customHeight="1">
      <c r="A40" s="41"/>
      <c r="B40" s="47" t="s">
        <v>208</v>
      </c>
      <c r="C40" s="44">
        <f t="shared" ref="C40:K40" si="24">C34-C39</f>
        <v>3049</v>
      </c>
      <c r="D40" s="44">
        <f t="shared" si="24"/>
        <v>3001</v>
      </c>
      <c r="E40" s="44">
        <f t="shared" si="24"/>
        <v>3274</v>
      </c>
      <c r="F40" s="44">
        <f t="shared" si="24"/>
        <v>3374</v>
      </c>
      <c r="G40" s="44">
        <f t="shared" si="24"/>
        <v>3810</v>
      </c>
      <c r="H40" s="44">
        <f t="shared" si="24"/>
        <v>4090</v>
      </c>
      <c r="I40" s="44">
        <f t="shared" si="24"/>
        <v>3814</v>
      </c>
      <c r="J40" s="44">
        <f t="shared" si="24"/>
        <v>3219</v>
      </c>
      <c r="K40" s="44">
        <f t="shared" si="24"/>
        <v>4382</v>
      </c>
      <c r="L40" s="44">
        <f>L34-L39</f>
        <v>5041</v>
      </c>
      <c r="M40" s="44">
        <f>M34-M39</f>
        <v>5124</v>
      </c>
      <c r="N40" s="44">
        <f>N34-N39</f>
        <v>5375.2000000000007</v>
      </c>
      <c r="O40" s="44">
        <f>O34-O39</f>
        <v>5418</v>
      </c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>
        <f>AB34-AB39</f>
        <v>8325</v>
      </c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>
        <f>BC34-BC39</f>
        <v>14982</v>
      </c>
      <c r="BD40" s="44">
        <f t="shared" ref="BD40:BG40" si="25">BD34-BD39</f>
        <v>14779</v>
      </c>
      <c r="BE40" s="44">
        <f t="shared" si="25"/>
        <v>-13371</v>
      </c>
      <c r="BF40" s="44">
        <f t="shared" si="25"/>
        <v>-17264</v>
      </c>
      <c r="BG40" s="44">
        <f t="shared" si="25"/>
        <v>19147</v>
      </c>
      <c r="BH40" s="44">
        <f t="shared" ref="BH40:BM40" si="26">BH34-BH39</f>
        <v>18391</v>
      </c>
      <c r="BI40" s="44">
        <f t="shared" ref="BI40:BN40" si="27">BI34-BI39</f>
        <v>36560.455000000002</v>
      </c>
      <c r="BJ40" s="44">
        <f t="shared" si="27"/>
        <v>38030.819000000003</v>
      </c>
      <c r="BK40" s="44">
        <f t="shared" si="27"/>
        <v>41363.5576</v>
      </c>
      <c r="BL40" s="44">
        <f t="shared" si="27"/>
        <v>41090.146399999991</v>
      </c>
      <c r="BM40" s="44">
        <f t="shared" si="27"/>
        <v>43232.243580000002</v>
      </c>
      <c r="BN40" s="44">
        <f t="shared" si="27"/>
        <v>45034.809803999997</v>
      </c>
      <c r="BO40" s="44"/>
      <c r="BP40" s="44"/>
      <c r="BQ40" s="44">
        <v>-26</v>
      </c>
      <c r="BR40" s="44">
        <v>2</v>
      </c>
      <c r="BS40" s="44">
        <v>3</v>
      </c>
      <c r="BT40" s="44">
        <v>49</v>
      </c>
      <c r="BU40" s="44">
        <v>27</v>
      </c>
      <c r="BV40" s="44">
        <f>-63-41-45+78+9-2-2+7</f>
        <v>-59</v>
      </c>
      <c r="BW40" s="44">
        <f>-38-44+7-32-31+4+5+12</f>
        <v>-117</v>
      </c>
      <c r="BX40" s="44"/>
      <c r="BY40" s="44"/>
      <c r="BZ40" s="44"/>
      <c r="CA40" s="44"/>
      <c r="CB40" s="44">
        <f t="shared" ref="CB40:CH40" si="28">CB34-CB39</f>
        <v>14592</v>
      </c>
      <c r="CC40" s="44">
        <f t="shared" si="28"/>
        <v>27704.199999999997</v>
      </c>
      <c r="CD40" s="44">
        <f t="shared" si="28"/>
        <v>40544.700000000004</v>
      </c>
      <c r="CE40" s="44">
        <f t="shared" si="28"/>
        <v>45069.170600000012</v>
      </c>
      <c r="CF40" s="44">
        <f t="shared" si="28"/>
        <v>49316.077066000005</v>
      </c>
      <c r="CG40" s="44">
        <f t="shared" si="28"/>
        <v>53170.838358740017</v>
      </c>
      <c r="CH40" s="44">
        <f t="shared" si="28"/>
        <v>55017.219318087416</v>
      </c>
      <c r="CI40" s="40"/>
      <c r="CJ40" s="46">
        <f>CJ34-CJ39</f>
        <v>47926</v>
      </c>
      <c r="CK40" s="46">
        <f t="shared" ref="CK40:CN40" si="29">CK34-CK39</f>
        <v>46096</v>
      </c>
      <c r="CL40" s="46">
        <f t="shared" si="29"/>
        <v>51883</v>
      </c>
      <c r="CM40" s="46">
        <f t="shared" si="29"/>
        <v>53666</v>
      </c>
      <c r="CN40" s="46">
        <f t="shared" si="29"/>
        <v>58312</v>
      </c>
      <c r="CO40" s="46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</row>
    <row r="41" spans="1:138" ht="12.75" customHeight="1">
      <c r="A41" s="41"/>
      <c r="B41" s="47" t="s">
        <v>147</v>
      </c>
      <c r="C41" s="44">
        <v>-67</v>
      </c>
      <c r="D41" s="44">
        <v>-3</v>
      </c>
      <c r="E41" s="44">
        <v>-58</v>
      </c>
      <c r="F41" s="44">
        <v>4</v>
      </c>
      <c r="G41" s="44">
        <v>-35</v>
      </c>
      <c r="H41" s="44">
        <v>-11</v>
      </c>
      <c r="I41" s="44">
        <v>-7</v>
      </c>
      <c r="J41" s="44">
        <v>-2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>
        <v>379</v>
      </c>
      <c r="BR41" s="44">
        <v>218</v>
      </c>
      <c r="BS41" s="44">
        <v>539</v>
      </c>
      <c r="BT41" s="44">
        <v>368</v>
      </c>
      <c r="BU41" s="44">
        <v>555</v>
      </c>
      <c r="BV41" s="44">
        <f>421+446+177+438</f>
        <v>1482</v>
      </c>
      <c r="BW41" s="44">
        <f>178+104+125+491</f>
        <v>898</v>
      </c>
      <c r="BX41" s="38"/>
      <c r="BY41" s="38"/>
      <c r="BZ41" s="38"/>
      <c r="CA41" s="38"/>
      <c r="CB41" s="38"/>
      <c r="CC41" s="44"/>
      <c r="CD41" s="38"/>
      <c r="CE41" s="38"/>
      <c r="CF41" s="38"/>
      <c r="CG41" s="38"/>
      <c r="CH41" s="38"/>
      <c r="CI41" s="40"/>
      <c r="CJ41" s="46"/>
      <c r="CK41" s="46"/>
      <c r="CL41" s="46"/>
      <c r="CM41" s="46"/>
      <c r="CN41" s="46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</row>
    <row r="42" spans="1:138" ht="12.75" customHeight="1">
      <c r="A42" s="41"/>
      <c r="B42" s="47" t="s">
        <v>148</v>
      </c>
      <c r="C42" s="44">
        <v>474</v>
      </c>
      <c r="D42" s="44">
        <v>429</v>
      </c>
      <c r="E42" s="44">
        <v>306</v>
      </c>
      <c r="F42" s="44">
        <v>-82</v>
      </c>
      <c r="G42" s="44">
        <v>142</v>
      </c>
      <c r="H42" s="44">
        <v>166</v>
      </c>
      <c r="I42" s="44">
        <v>9</v>
      </c>
      <c r="J42" s="44">
        <v>58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>
        <v>256</v>
      </c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>
        <v>-110</v>
      </c>
      <c r="BR42" s="44">
        <v>-398</v>
      </c>
      <c r="BS42" s="44">
        <v>-361</v>
      </c>
      <c r="BT42" s="44">
        <v>-132</v>
      </c>
      <c r="BU42" s="44">
        <v>-181</v>
      </c>
      <c r="BV42" s="44">
        <f>-133-116-103-117</f>
        <v>-469</v>
      </c>
      <c r="BW42" s="44">
        <f>-22-44-52-186</f>
        <v>-304</v>
      </c>
      <c r="BX42" s="38"/>
      <c r="BY42" s="38"/>
      <c r="BZ42" s="38"/>
      <c r="CA42" s="38"/>
      <c r="CB42" s="38"/>
      <c r="CC42" s="44"/>
      <c r="CD42" s="44">
        <f>+CC67*0.05</f>
        <v>940.67000000000007</v>
      </c>
      <c r="CE42" s="44">
        <f>+CD67*0.05</f>
        <v>2392.6579500000003</v>
      </c>
      <c r="CF42" s="44">
        <f>+CE67*0.05</f>
        <v>4053.8219492500011</v>
      </c>
      <c r="CG42" s="44">
        <f>+CF67*0.05</f>
        <v>5921.7684147837517</v>
      </c>
      <c r="CH42" s="44">
        <f>+CG67*0.05</f>
        <v>7990.0096518570836</v>
      </c>
      <c r="CI42" s="40"/>
      <c r="CJ42" s="46"/>
      <c r="CK42" s="46"/>
      <c r="CL42" s="46"/>
      <c r="CM42" s="46"/>
      <c r="CN42" s="46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</row>
    <row r="43" spans="1:138" ht="12.75" customHeight="1">
      <c r="A43" s="41"/>
      <c r="B43" s="47" t="s">
        <v>149</v>
      </c>
      <c r="C43" s="44">
        <v>368</v>
      </c>
      <c r="D43" s="44">
        <v>-21</v>
      </c>
      <c r="E43" s="44">
        <v>66</v>
      </c>
      <c r="F43" s="44">
        <v>-226</v>
      </c>
      <c r="G43" s="44">
        <v>-412</v>
      </c>
      <c r="H43" s="44">
        <v>-361</v>
      </c>
      <c r="I43" s="44">
        <v>-209</v>
      </c>
      <c r="J43" s="44">
        <v>-283</v>
      </c>
      <c r="K43" s="44">
        <v>-65</v>
      </c>
      <c r="L43" s="44">
        <f>-4+146-575</f>
        <v>-433</v>
      </c>
      <c r="M43" s="44">
        <f>-22+31-477</f>
        <v>-468</v>
      </c>
      <c r="N43" s="44">
        <f>+M43</f>
        <v>-468</v>
      </c>
      <c r="O43" s="44">
        <f>84-212</f>
        <v>-128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39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>
        <v>-956</v>
      </c>
      <c r="BD43" s="44">
        <f>-90-48</f>
        <v>-138</v>
      </c>
      <c r="BE43" s="44"/>
      <c r="BF43" s="44"/>
      <c r="BG43" s="44">
        <v>1228</v>
      </c>
      <c r="BH43" s="44">
        <f>-1656+3252</f>
        <v>1596</v>
      </c>
      <c r="BI43" s="44"/>
      <c r="BJ43" s="44"/>
      <c r="BK43" s="44"/>
      <c r="BL43" s="44"/>
      <c r="BM43" s="44"/>
      <c r="BN43" s="44"/>
      <c r="BO43" s="44"/>
      <c r="BP43" s="44"/>
      <c r="BQ43" s="44">
        <f t="shared" ref="BQ43:BW43" si="30">BQ39+SUM(BQ40:BQ42)</f>
        <v>3176</v>
      </c>
      <c r="BR43" s="44">
        <f t="shared" si="30"/>
        <v>3349</v>
      </c>
      <c r="BS43" s="44">
        <f t="shared" si="30"/>
        <v>4884</v>
      </c>
      <c r="BT43" s="44">
        <f t="shared" si="30"/>
        <v>5695</v>
      </c>
      <c r="BU43" s="44">
        <f t="shared" si="30"/>
        <v>6328</v>
      </c>
      <c r="BV43" s="44">
        <f t="shared" si="30"/>
        <v>954</v>
      </c>
      <c r="BW43" s="44">
        <f t="shared" si="30"/>
        <v>477</v>
      </c>
      <c r="BX43" s="38"/>
      <c r="BY43" s="38"/>
      <c r="BZ43" s="38"/>
      <c r="CA43" s="38"/>
      <c r="CB43" s="38"/>
      <c r="CC43" s="44">
        <f>SUM(K43:N43)</f>
        <v>-1434</v>
      </c>
      <c r="CD43" s="38"/>
      <c r="CE43" s="38"/>
      <c r="CF43" s="38"/>
      <c r="CG43" s="38"/>
      <c r="CH43" s="38"/>
      <c r="CI43" s="40"/>
      <c r="CJ43" s="46"/>
      <c r="CK43" s="46"/>
      <c r="CL43" s="46"/>
      <c r="CM43" s="46"/>
      <c r="CN43" s="46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</row>
    <row r="44" spans="1:138" ht="12.75" customHeight="1">
      <c r="A44" s="41"/>
      <c r="B44" s="47" t="s">
        <v>209</v>
      </c>
      <c r="C44" s="44">
        <f t="shared" ref="C44:O44" si="31">SUM(C40:C43)</f>
        <v>3824</v>
      </c>
      <c r="D44" s="44">
        <f t="shared" si="31"/>
        <v>3406</v>
      </c>
      <c r="E44" s="44">
        <f t="shared" si="31"/>
        <v>3588</v>
      </c>
      <c r="F44" s="44">
        <f t="shared" si="31"/>
        <v>3070</v>
      </c>
      <c r="G44" s="44">
        <f t="shared" si="31"/>
        <v>3505</v>
      </c>
      <c r="H44" s="44">
        <f t="shared" si="31"/>
        <v>3884</v>
      </c>
      <c r="I44" s="44">
        <f t="shared" si="31"/>
        <v>3607</v>
      </c>
      <c r="J44" s="44">
        <f t="shared" si="31"/>
        <v>2992</v>
      </c>
      <c r="K44" s="44">
        <f t="shared" si="31"/>
        <v>4317</v>
      </c>
      <c r="L44" s="44">
        <f t="shared" si="31"/>
        <v>4608</v>
      </c>
      <c r="M44" s="44">
        <f t="shared" si="31"/>
        <v>4656</v>
      </c>
      <c r="N44" s="44">
        <f t="shared" si="31"/>
        <v>4907.2000000000007</v>
      </c>
      <c r="O44" s="44">
        <f t="shared" si="31"/>
        <v>5290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+AB42+AB40</f>
        <v>8581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>
        <f>BC40-BC43</f>
        <v>15938</v>
      </c>
      <c r="BD44" s="44">
        <f>BD40-BD43</f>
        <v>14917</v>
      </c>
      <c r="BE44" s="44">
        <f t="shared" ref="BE44:BN44" si="32">BE40-BE43</f>
        <v>-13371</v>
      </c>
      <c r="BF44" s="44">
        <f t="shared" si="32"/>
        <v>-17264</v>
      </c>
      <c r="BG44" s="44">
        <f t="shared" si="32"/>
        <v>17919</v>
      </c>
      <c r="BH44" s="44">
        <f t="shared" si="32"/>
        <v>16795</v>
      </c>
      <c r="BI44" s="44">
        <f t="shared" si="32"/>
        <v>36560.455000000002</v>
      </c>
      <c r="BJ44" s="44">
        <f t="shared" si="32"/>
        <v>38030.819000000003</v>
      </c>
      <c r="BK44" s="44">
        <f t="shared" si="32"/>
        <v>41363.5576</v>
      </c>
      <c r="BL44" s="44">
        <f t="shared" si="32"/>
        <v>41090.146399999991</v>
      </c>
      <c r="BM44" s="44">
        <f t="shared" si="32"/>
        <v>43232.243580000002</v>
      </c>
      <c r="BN44" s="44">
        <f t="shared" si="32"/>
        <v>45034.809803999997</v>
      </c>
      <c r="BO44" s="44"/>
      <c r="BP44" s="44"/>
      <c r="BQ44" s="44">
        <v>-1160</v>
      </c>
      <c r="BR44" s="44">
        <v>-1348</v>
      </c>
      <c r="BS44" s="44">
        <v>-1730</v>
      </c>
      <c r="BT44" s="44">
        <v>-2075</v>
      </c>
      <c r="BU44" s="44">
        <v>-2212</v>
      </c>
      <c r="BV44" s="44"/>
      <c r="BW44" s="44"/>
      <c r="BX44" s="44"/>
      <c r="BY44" s="44"/>
      <c r="BZ44" s="44"/>
      <c r="CA44" s="44"/>
      <c r="CB44" s="44">
        <f t="shared" ref="CB44:CH44" si="33">CB40+SUM(CB41:CB43)</f>
        <v>14592</v>
      </c>
      <c r="CC44" s="44">
        <f t="shared" si="33"/>
        <v>26270.199999999997</v>
      </c>
      <c r="CD44" s="44">
        <f t="shared" si="33"/>
        <v>41485.370000000003</v>
      </c>
      <c r="CE44" s="44">
        <f t="shared" si="33"/>
        <v>47461.828550000013</v>
      </c>
      <c r="CF44" s="44">
        <f t="shared" si="33"/>
        <v>53369.899015250005</v>
      </c>
      <c r="CG44" s="44">
        <f t="shared" si="33"/>
        <v>59092.606773523767</v>
      </c>
      <c r="CH44" s="44">
        <f t="shared" si="33"/>
        <v>63007.228969944503</v>
      </c>
      <c r="CI44" s="40"/>
      <c r="CJ44" s="46"/>
      <c r="CK44" s="46"/>
      <c r="CL44" s="46"/>
      <c r="CM44" s="46"/>
      <c r="CN44" s="46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</row>
    <row r="45" spans="1:138" ht="12.75" customHeight="1">
      <c r="A45" s="41"/>
      <c r="B45" s="47" t="s">
        <v>150</v>
      </c>
      <c r="C45" s="44">
        <f t="shared" ref="C45:J45" si="34">C44-C46</f>
        <v>1644</v>
      </c>
      <c r="D45" s="44">
        <f t="shared" si="34"/>
        <v>935</v>
      </c>
      <c r="E45" s="44">
        <f t="shared" si="34"/>
        <v>924</v>
      </c>
      <c r="F45" s="44">
        <f t="shared" si="34"/>
        <v>740</v>
      </c>
      <c r="G45" s="44">
        <f t="shared" si="34"/>
        <v>806</v>
      </c>
      <c r="H45" s="44">
        <f t="shared" si="34"/>
        <v>893</v>
      </c>
      <c r="I45" s="44">
        <f t="shared" si="34"/>
        <v>852</v>
      </c>
      <c r="J45" s="44">
        <f t="shared" si="34"/>
        <v>669</v>
      </c>
      <c r="K45" s="44">
        <v>993</v>
      </c>
      <c r="L45" s="44">
        <v>1060</v>
      </c>
      <c r="M45" s="44">
        <v>1071</v>
      </c>
      <c r="N45" s="44">
        <f>+N44*0.25</f>
        <v>1226.8000000000002</v>
      </c>
      <c r="O45" s="44">
        <f>O44-O46</f>
        <v>1217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+AB44-6994</f>
        <v>1587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>
        <v>3315</v>
      </c>
      <c r="BD45" s="44">
        <v>2794</v>
      </c>
      <c r="BE45" s="44"/>
      <c r="BF45" s="44"/>
      <c r="BG45" s="44">
        <v>3709</v>
      </c>
      <c r="BH45" s="44">
        <v>3477</v>
      </c>
      <c r="BI45" s="44">
        <f>+BI44*0.2</f>
        <v>7312.0910000000003</v>
      </c>
      <c r="BJ45" s="44">
        <f t="shared" ref="BJ45:BN45" si="35">+BJ44*0.2</f>
        <v>7606.1638000000012</v>
      </c>
      <c r="BK45" s="44">
        <f t="shared" si="35"/>
        <v>8272.7115200000007</v>
      </c>
      <c r="BL45" s="44">
        <f t="shared" si="35"/>
        <v>8218.0292799999988</v>
      </c>
      <c r="BM45" s="44">
        <f t="shared" si="35"/>
        <v>8646.4487160000008</v>
      </c>
      <c r="BN45" s="44">
        <f t="shared" si="35"/>
        <v>9006.9619607999994</v>
      </c>
      <c r="BO45" s="44"/>
      <c r="BP45" s="44"/>
      <c r="BQ45" s="44">
        <f t="shared" ref="BQ45:BW45" si="36">BQ43+BQ44</f>
        <v>2016</v>
      </c>
      <c r="BR45" s="44">
        <f t="shared" si="36"/>
        <v>2001</v>
      </c>
      <c r="BS45" s="44">
        <f t="shared" si="36"/>
        <v>3154</v>
      </c>
      <c r="BT45" s="44">
        <f t="shared" si="36"/>
        <v>3620</v>
      </c>
      <c r="BU45" s="44">
        <f t="shared" si="36"/>
        <v>4116</v>
      </c>
      <c r="BV45" s="44">
        <f t="shared" si="36"/>
        <v>954</v>
      </c>
      <c r="BW45" s="44">
        <f t="shared" si="36"/>
        <v>477</v>
      </c>
      <c r="BX45" s="38"/>
      <c r="BY45" s="38"/>
      <c r="BZ45" s="38"/>
      <c r="CA45" s="38"/>
      <c r="CB45" s="44">
        <f>+CB44*0.35</f>
        <v>5107.2</v>
      </c>
      <c r="CC45" s="44">
        <f>SUM(K45:N45)</f>
        <v>4350.8</v>
      </c>
      <c r="CD45" s="44">
        <f>+CD44*0.3</f>
        <v>12445.611000000001</v>
      </c>
      <c r="CE45" s="44">
        <f>+CE44*0.3</f>
        <v>14238.548565000003</v>
      </c>
      <c r="CF45" s="44">
        <f>+CF44*0.3</f>
        <v>16010.969704575</v>
      </c>
      <c r="CG45" s="44">
        <f>+CG44*0.3</f>
        <v>17727.78203205713</v>
      </c>
      <c r="CH45" s="44">
        <f>+CH44*0.3</f>
        <v>18902.168690983352</v>
      </c>
      <c r="CI45" s="40"/>
      <c r="CJ45" s="46"/>
      <c r="CK45" s="46"/>
      <c r="CL45" s="46"/>
      <c r="CM45" s="46"/>
      <c r="CN45" s="46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</row>
    <row r="46" spans="1:138" ht="12.75" customHeight="1">
      <c r="A46" s="41"/>
      <c r="B46" s="47" t="s">
        <v>210</v>
      </c>
      <c r="C46" s="44">
        <v>2180</v>
      </c>
      <c r="D46" s="44">
        <v>2471</v>
      </c>
      <c r="E46" s="44">
        <v>2664</v>
      </c>
      <c r="F46" s="44">
        <v>2330</v>
      </c>
      <c r="G46" s="44">
        <v>2699</v>
      </c>
      <c r="H46" s="44">
        <v>2991</v>
      </c>
      <c r="I46" s="44">
        <v>2755</v>
      </c>
      <c r="J46" s="44">
        <v>2323</v>
      </c>
      <c r="K46" s="44">
        <f>+K44-K45</f>
        <v>3324</v>
      </c>
      <c r="L46" s="44">
        <f>+L44-L45</f>
        <v>3548</v>
      </c>
      <c r="M46" s="44">
        <f>+M44-M45</f>
        <v>3585</v>
      </c>
      <c r="N46" s="44">
        <f>+N44-N45</f>
        <v>3680.4000000000005</v>
      </c>
      <c r="O46" s="44">
        <f>4073</f>
        <v>4073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>
        <f>+AB44-AB45</f>
        <v>6994</v>
      </c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>
        <f>BC44-BC45</f>
        <v>12623</v>
      </c>
      <c r="BD46" s="44">
        <f>BD44-BD45</f>
        <v>12123</v>
      </c>
      <c r="BE46" s="44"/>
      <c r="BF46" s="44"/>
      <c r="BG46" s="44">
        <f>BG44-BG45</f>
        <v>14210</v>
      </c>
      <c r="BH46" s="44">
        <f>BH44-BH45</f>
        <v>13318</v>
      </c>
      <c r="BI46" s="44">
        <f t="shared" ref="BI46:BN46" si="37">BI44-BI45</f>
        <v>29248.364000000001</v>
      </c>
      <c r="BJ46" s="44">
        <f t="shared" si="37"/>
        <v>30424.655200000001</v>
      </c>
      <c r="BK46" s="44">
        <f t="shared" si="37"/>
        <v>33090.846080000003</v>
      </c>
      <c r="BL46" s="44">
        <f t="shared" si="37"/>
        <v>32872.117119999995</v>
      </c>
      <c r="BM46" s="44">
        <f t="shared" si="37"/>
        <v>34585.794864000003</v>
      </c>
      <c r="BN46" s="44">
        <f t="shared" si="37"/>
        <v>36027.847843199997</v>
      </c>
      <c r="BO46" s="44"/>
      <c r="BP46" s="44"/>
      <c r="BQ46" s="11">
        <f t="shared" ref="BQ46:BU46" si="38">BQ45/BQ47</f>
        <v>5.4339622641509431</v>
      </c>
      <c r="BR46" s="11">
        <f t="shared" si="38"/>
        <v>5.5909784351966199</v>
      </c>
      <c r="BS46" s="11">
        <f t="shared" si="38"/>
        <v>9.0298275927642493</v>
      </c>
      <c r="BT46" s="11">
        <f t="shared" si="38"/>
        <v>10.449736117774917</v>
      </c>
      <c r="BU46" s="11">
        <f t="shared" si="38"/>
        <v>11.849703476124272</v>
      </c>
      <c r="BV46" s="11"/>
      <c r="BW46" s="11"/>
      <c r="BX46" s="44"/>
      <c r="BY46" s="44"/>
      <c r="BZ46" s="44"/>
      <c r="CA46" s="44"/>
      <c r="CB46" s="44">
        <f t="shared" ref="CB46:CH46" si="39">CB44-CB45</f>
        <v>9484.7999999999993</v>
      </c>
      <c r="CC46" s="44">
        <f>CC44-CC45</f>
        <v>21919.399999999998</v>
      </c>
      <c r="CD46" s="44">
        <f t="shared" si="39"/>
        <v>29039.759000000002</v>
      </c>
      <c r="CE46" s="44">
        <f t="shared" si="39"/>
        <v>33223.279985000008</v>
      </c>
      <c r="CF46" s="44">
        <f t="shared" si="39"/>
        <v>37358.929310675005</v>
      </c>
      <c r="CG46" s="44">
        <f t="shared" si="39"/>
        <v>41364.82474146664</v>
      </c>
      <c r="CH46" s="44">
        <f t="shared" si="39"/>
        <v>44105.060278961151</v>
      </c>
      <c r="CI46" s="46">
        <f t="shared" ref="CI46:DN46" si="40">CH46*(1+$CZ$50)</f>
        <v>44987.161484540375</v>
      </c>
      <c r="CJ46" s="46">
        <f t="shared" si="40"/>
        <v>45886.904714231183</v>
      </c>
      <c r="CK46" s="46">
        <f t="shared" si="40"/>
        <v>46804.642808515804</v>
      </c>
      <c r="CL46" s="46">
        <f t="shared" si="40"/>
        <v>47740.735664686123</v>
      </c>
      <c r="CM46" s="46">
        <f t="shared" si="40"/>
        <v>48695.550377979846</v>
      </c>
      <c r="CN46" s="46">
        <f t="shared" si="40"/>
        <v>49669.461385539442</v>
      </c>
      <c r="CO46" s="46">
        <f t="shared" si="40"/>
        <v>50662.85061325023</v>
      </c>
      <c r="CP46" s="46">
        <f t="shared" si="40"/>
        <v>51676.107625515237</v>
      </c>
      <c r="CQ46" s="46">
        <f t="shared" si="40"/>
        <v>52709.629778025541</v>
      </c>
      <c r="CR46" s="46">
        <f t="shared" si="40"/>
        <v>53763.822373586052</v>
      </c>
      <c r="CS46" s="46">
        <f t="shared" si="40"/>
        <v>54839.098821057771</v>
      </c>
      <c r="CT46" s="46">
        <f t="shared" si="40"/>
        <v>55935.880797478931</v>
      </c>
      <c r="CU46" s="46">
        <f t="shared" si="40"/>
        <v>57054.59841342851</v>
      </c>
      <c r="CV46" s="46">
        <f t="shared" si="40"/>
        <v>58195.690381697081</v>
      </c>
      <c r="CW46" s="46">
        <f t="shared" si="40"/>
        <v>59359.604189331025</v>
      </c>
      <c r="CX46" s="46">
        <f t="shared" si="40"/>
        <v>60546.796273117645</v>
      </c>
      <c r="CY46" s="46">
        <f t="shared" si="40"/>
        <v>61757.732198580001</v>
      </c>
      <c r="CZ46" s="46">
        <f t="shared" si="40"/>
        <v>62992.886842551605</v>
      </c>
      <c r="DA46" s="46">
        <f t="shared" si="40"/>
        <v>64252.744579402635</v>
      </c>
      <c r="DB46" s="46">
        <f t="shared" si="40"/>
        <v>65537.799470990692</v>
      </c>
      <c r="DC46" s="46">
        <f t="shared" si="40"/>
        <v>66848.555460410513</v>
      </c>
      <c r="DD46" s="46">
        <f t="shared" si="40"/>
        <v>68185.526569618727</v>
      </c>
      <c r="DE46" s="46">
        <f t="shared" si="40"/>
        <v>69549.237101011109</v>
      </c>
      <c r="DF46" s="46">
        <f t="shared" si="40"/>
        <v>70940.221843031337</v>
      </c>
      <c r="DG46" s="46">
        <f t="shared" si="40"/>
        <v>72359.026279891972</v>
      </c>
      <c r="DH46" s="46">
        <f t="shared" si="40"/>
        <v>73806.206805489812</v>
      </c>
      <c r="DI46" s="46">
        <f t="shared" si="40"/>
        <v>75282.330941599605</v>
      </c>
      <c r="DJ46" s="46">
        <f t="shared" si="40"/>
        <v>76787.977560431595</v>
      </c>
      <c r="DK46" s="46">
        <f t="shared" si="40"/>
        <v>78323.737111640221</v>
      </c>
      <c r="DL46" s="46">
        <f t="shared" si="40"/>
        <v>79890.211853873028</v>
      </c>
      <c r="DM46" s="46">
        <f t="shared" si="40"/>
        <v>81488.016090950492</v>
      </c>
      <c r="DN46" s="46">
        <f t="shared" si="40"/>
        <v>83117.776412769497</v>
      </c>
      <c r="DO46" s="46">
        <f t="shared" ref="DO46:EH46" si="41">DN46*(1+$CZ$50)</f>
        <v>84780.131941024883</v>
      </c>
      <c r="DP46" s="46">
        <f t="shared" si="41"/>
        <v>86475.73457984539</v>
      </c>
      <c r="DQ46" s="46">
        <f t="shared" si="41"/>
        <v>88205.249271442299</v>
      </c>
      <c r="DR46" s="46">
        <f t="shared" si="41"/>
        <v>89969.354256871142</v>
      </c>
      <c r="DS46" s="46">
        <f t="shared" si="41"/>
        <v>91768.741342008565</v>
      </c>
      <c r="DT46" s="46">
        <f t="shared" si="41"/>
        <v>93604.116168848734</v>
      </c>
      <c r="DU46" s="46">
        <f t="shared" si="41"/>
        <v>95476.198492225711</v>
      </c>
      <c r="DV46" s="46">
        <f t="shared" si="41"/>
        <v>97385.722462070233</v>
      </c>
      <c r="DW46" s="46">
        <f t="shared" si="41"/>
        <v>99333.436911311641</v>
      </c>
      <c r="DX46" s="46">
        <f t="shared" si="41"/>
        <v>101320.10564953787</v>
      </c>
      <c r="DY46" s="46">
        <f t="shared" si="41"/>
        <v>103346.50776252864</v>
      </c>
      <c r="DZ46" s="46">
        <f t="shared" si="41"/>
        <v>105413.43791777921</v>
      </c>
      <c r="EA46" s="46">
        <f t="shared" si="41"/>
        <v>107521.7066761348</v>
      </c>
      <c r="EB46" s="46">
        <f t="shared" si="41"/>
        <v>109672.14080965749</v>
      </c>
      <c r="EC46" s="46">
        <f t="shared" si="41"/>
        <v>111865.58362585065</v>
      </c>
      <c r="ED46" s="46">
        <f t="shared" si="41"/>
        <v>114102.89529836766</v>
      </c>
      <c r="EE46" s="46">
        <f t="shared" si="41"/>
        <v>116384.95320433502</v>
      </c>
      <c r="EF46" s="46">
        <f t="shared" si="41"/>
        <v>118712.65226842172</v>
      </c>
      <c r="EG46" s="46">
        <f t="shared" si="41"/>
        <v>121086.90531379015</v>
      </c>
      <c r="EH46" s="46">
        <f t="shared" si="41"/>
        <v>123508.64342006596</v>
      </c>
    </row>
    <row r="47" spans="1:138" s="12" customFormat="1" ht="12.75" customHeight="1">
      <c r="A47" s="8"/>
      <c r="B47" s="9" t="s">
        <v>151</v>
      </c>
      <c r="C47" s="11">
        <f t="shared" ref="C47:J47" si="42">C46/C48</f>
        <v>3.4807600191601473</v>
      </c>
      <c r="D47" s="11">
        <f t="shared" si="42"/>
        <v>3.994503718073068</v>
      </c>
      <c r="E47" s="11">
        <f t="shared" si="42"/>
        <v>4.3359375</v>
      </c>
      <c r="F47" s="11">
        <f t="shared" si="42"/>
        <v>3.7923177083333335</v>
      </c>
      <c r="G47" s="11">
        <f t="shared" si="42"/>
        <v>4.4050922147870084</v>
      </c>
      <c r="H47" s="11">
        <f t="shared" si="42"/>
        <v>4.9202171409771349</v>
      </c>
      <c r="I47" s="11">
        <f t="shared" si="42"/>
        <v>4.5809777186564684</v>
      </c>
      <c r="J47" s="11">
        <f t="shared" si="42"/>
        <v>3.9028897849462361</v>
      </c>
      <c r="K47" s="11">
        <f>K46/K48</f>
        <v>5.6053962900505905</v>
      </c>
      <c r="L47" s="11">
        <f>L46/L48</f>
        <v>6.0247919850568863</v>
      </c>
      <c r="M47" s="11">
        <f>M46/M48</f>
        <v>6.156620298815044</v>
      </c>
      <c r="N47" s="11">
        <f>N46/N48</f>
        <v>6.2064080944350772</v>
      </c>
      <c r="O47" s="11">
        <f>O46/O48</f>
        <v>7.1256123163051086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>
        <f>AB46/AB48</f>
        <v>2.6522563519150548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>
        <f>BC46/BC48</f>
        <v>5.451286923475557</v>
      </c>
      <c r="BD47" s="11">
        <f>BD46/BD48</f>
        <v>5.256471404413996</v>
      </c>
      <c r="BE47" s="11"/>
      <c r="BF47" s="11"/>
      <c r="BG47" s="11">
        <f>BG46/BG48</f>
        <v>6.223448517496605</v>
      </c>
      <c r="BH47" s="11">
        <f>BH46/BH48</f>
        <v>5.8512367646412722</v>
      </c>
      <c r="BI47" s="11">
        <f t="shared" ref="BI47:BN47" si="43">BI46/BI48</f>
        <v>12.850210447695622</v>
      </c>
      <c r="BJ47" s="11">
        <f t="shared" si="43"/>
        <v>13.367011642722201</v>
      </c>
      <c r="BK47" s="11">
        <f t="shared" si="43"/>
        <v>14.538397293616276</v>
      </c>
      <c r="BL47" s="11">
        <f t="shared" si="43"/>
        <v>14.442299160845304</v>
      </c>
      <c r="BM47" s="11">
        <f t="shared" si="43"/>
        <v>15.195200063266116</v>
      </c>
      <c r="BN47" s="11">
        <f t="shared" si="43"/>
        <v>15.82876316646896</v>
      </c>
      <c r="BO47" s="11"/>
      <c r="BP47" s="10"/>
      <c r="BQ47" s="44">
        <v>371</v>
      </c>
      <c r="BR47" s="44">
        <v>357.89800000000002</v>
      </c>
      <c r="BS47" s="44">
        <v>349.28684602210484</v>
      </c>
      <c r="BT47" s="44">
        <v>346.42023101831342</v>
      </c>
      <c r="BU47" s="44">
        <v>347.35046394141801</v>
      </c>
      <c r="BV47" s="44"/>
      <c r="BW47" s="44"/>
      <c r="BX47" s="10"/>
      <c r="BY47" s="10"/>
      <c r="BZ47" s="10"/>
      <c r="CA47" s="10"/>
      <c r="CB47" s="10"/>
      <c r="CC47" s="11">
        <f t="shared" ref="CC47" si="44">CC46/CC48</f>
        <v>37.195655862888174</v>
      </c>
      <c r="CD47" s="11"/>
      <c r="CE47" s="11"/>
      <c r="CF47" s="11"/>
      <c r="CG47" s="11"/>
      <c r="CH47" s="11"/>
    </row>
    <row r="48" spans="1:138" ht="12.75" customHeight="1">
      <c r="B48" s="47" t="s">
        <v>11</v>
      </c>
      <c r="C48" s="44">
        <v>626.29999999999995</v>
      </c>
      <c r="D48" s="44">
        <v>618.6</v>
      </c>
      <c r="E48" s="44">
        <v>614.4</v>
      </c>
      <c r="F48" s="44">
        <v>614.4</v>
      </c>
      <c r="G48" s="44">
        <v>612.70000000000005</v>
      </c>
      <c r="H48" s="44">
        <v>607.9</v>
      </c>
      <c r="I48" s="44">
        <v>601.4</v>
      </c>
      <c r="J48" s="44">
        <v>595.20000000000005</v>
      </c>
      <c r="K48" s="44">
        <v>593</v>
      </c>
      <c r="L48" s="44">
        <v>588.9</v>
      </c>
      <c r="M48" s="44">
        <v>582.29999999999995</v>
      </c>
      <c r="N48" s="44">
        <v>593</v>
      </c>
      <c r="O48" s="44">
        <v>571.6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>
        <v>2637</v>
      </c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>
        <v>2315.6</v>
      </c>
      <c r="BD48" s="44">
        <v>2306.3000000000002</v>
      </c>
      <c r="BE48" s="44"/>
      <c r="BF48" s="44"/>
      <c r="BG48" s="44">
        <v>2283.3000000000002</v>
      </c>
      <c r="BH48" s="44">
        <v>2276.1</v>
      </c>
      <c r="BI48" s="44">
        <f>+BH48</f>
        <v>2276.1</v>
      </c>
      <c r="BJ48" s="44">
        <f t="shared" ref="BJ48:BN48" si="45">+BI48</f>
        <v>2276.1</v>
      </c>
      <c r="BK48" s="44">
        <f t="shared" si="45"/>
        <v>2276.1</v>
      </c>
      <c r="BL48" s="44">
        <f t="shared" si="45"/>
        <v>2276.1</v>
      </c>
      <c r="BM48" s="44">
        <f t="shared" si="45"/>
        <v>2276.1</v>
      </c>
      <c r="BN48" s="44">
        <f t="shared" si="45"/>
        <v>2276.1</v>
      </c>
      <c r="BO48" s="44"/>
      <c r="BP48" s="48"/>
      <c r="BQ48" s="44">
        <f>BQ45</f>
        <v>2016</v>
      </c>
      <c r="BR48" s="44">
        <f t="shared" ref="BR48:BW48" si="46">BR45</f>
        <v>2001</v>
      </c>
      <c r="BS48" s="44">
        <f t="shared" si="46"/>
        <v>3154</v>
      </c>
      <c r="BT48" s="44">
        <f t="shared" si="46"/>
        <v>3620</v>
      </c>
      <c r="BU48" s="44">
        <f t="shared" si="46"/>
        <v>4116</v>
      </c>
      <c r="BV48" s="44">
        <f t="shared" si="46"/>
        <v>954</v>
      </c>
      <c r="BW48" s="44">
        <f t="shared" si="46"/>
        <v>477</v>
      </c>
      <c r="BX48" s="44"/>
      <c r="BY48" s="44"/>
      <c r="BZ48" s="44"/>
      <c r="CA48" s="44"/>
      <c r="CB48" s="44"/>
      <c r="CC48" s="44">
        <f>AVERAGE(K48:N48)</f>
        <v>589.29999999999995</v>
      </c>
      <c r="CD48" s="44"/>
      <c r="CE48" s="44"/>
      <c r="CF48" s="44"/>
      <c r="CG48" s="44"/>
      <c r="CH48" s="44"/>
      <c r="CI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</row>
    <row r="49" spans="2:138" s="5" customFormat="1" ht="12.75" customHeight="1">
      <c r="B49" s="47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</row>
    <row r="50" spans="2:138" ht="12.75" customHeight="1">
      <c r="B50" s="47" t="s">
        <v>155</v>
      </c>
      <c r="C50" s="53"/>
      <c r="D50" s="53"/>
      <c r="E50" s="53"/>
      <c r="F50" s="53"/>
      <c r="G50" s="54">
        <f t="shared" ref="G50:O50" si="47">G32/C32-1</f>
        <v>0.17750141322781232</v>
      </c>
      <c r="H50" s="54">
        <f t="shared" si="47"/>
        <v>0.17020702070207028</v>
      </c>
      <c r="I50" s="54">
        <f t="shared" si="47"/>
        <v>0.11550773608394094</v>
      </c>
      <c r="J50" s="54">
        <f t="shared" si="47"/>
        <v>4.2756099499324574E-2</v>
      </c>
      <c r="K50" s="54">
        <f t="shared" si="47"/>
        <v>9.4095055208833323E-2</v>
      </c>
      <c r="L50" s="54">
        <f t="shared" si="47"/>
        <v>0.18406276440273817</v>
      </c>
      <c r="M50" s="54">
        <f t="shared" si="47"/>
        <v>0.24224790753288161</v>
      </c>
      <c r="N50" s="54">
        <f t="shared" si="47"/>
        <v>0.22886975078119054</v>
      </c>
      <c r="O50" s="54">
        <f t="shared" si="47"/>
        <v>0.14765247915752533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>
        <f>BC32/AY32-1</f>
        <v>-2.0959409594095701E-3</v>
      </c>
      <c r="BD50" s="54">
        <f>BD32/AZ32-1</f>
        <v>0.10114643737919082</v>
      </c>
      <c r="BE50" s="54">
        <f>BE32/BA32-1</f>
        <v>0.15180909884566884</v>
      </c>
      <c r="BF50" s="54">
        <f>BF32/BB32-1</f>
        <v>0.19276246188312895</v>
      </c>
      <c r="BG50" s="54">
        <f>BG32/BC32-1</f>
        <v>0.24337356525854936</v>
      </c>
      <c r="BH50" s="54">
        <f>BH32/BD32-1</f>
        <v>0.24890287824218404</v>
      </c>
      <c r="BI50" s="54">
        <f t="shared" ref="BH50:BN50" si="48">BI32/BE32-1</f>
        <v>0.20746448823760599</v>
      </c>
      <c r="BJ50" s="54">
        <f t="shared" si="48"/>
        <v>0.16719641040356881</v>
      </c>
      <c r="BK50" s="54">
        <f t="shared" si="48"/>
        <v>0.14432585472627357</v>
      </c>
      <c r="BL50" s="54">
        <f t="shared" si="48"/>
        <v>0.15786356476432784</v>
      </c>
      <c r="BM50" s="54">
        <f t="shared" si="48"/>
        <v>0.15530287847894675</v>
      </c>
      <c r="BN50" s="54">
        <f t="shared" si="48"/>
        <v>0.15694397272906446</v>
      </c>
      <c r="BO50" s="54"/>
      <c r="BP50" s="53"/>
      <c r="BQ50" s="53"/>
      <c r="BR50" s="55">
        <f>BR32/BQ32-1</f>
        <v>0.20341466989081858</v>
      </c>
      <c r="BS50" s="55">
        <f>BS32/BR32-1</f>
        <v>0.24733605309626738</v>
      </c>
      <c r="BT50" s="55">
        <f>BT32/BS32-1</f>
        <v>0.14156700024408098</v>
      </c>
      <c r="BU50" s="55">
        <f>BU32/BT32-1</f>
        <v>6.333119521060504E-2</v>
      </c>
      <c r="BV50" s="55">
        <f>BV32/BU32-1</f>
        <v>-1</v>
      </c>
      <c r="BW50" s="55"/>
      <c r="BX50" s="55"/>
      <c r="BY50" s="55"/>
      <c r="BZ50" s="55"/>
      <c r="CA50" s="55"/>
      <c r="CB50" s="55"/>
      <c r="CC50" s="55">
        <f t="shared" ref="CC50:CH50" si="49">CC32/CB32-1</f>
        <v>0.36351021205902478</v>
      </c>
      <c r="CD50" s="55">
        <f t="shared" si="49"/>
        <v>0.10000000000000009</v>
      </c>
      <c r="CE50" s="55">
        <f t="shared" si="49"/>
        <v>8.0000000000000071E-2</v>
      </c>
      <c r="CF50" s="55">
        <f t="shared" si="49"/>
        <v>7.0000000000000062E-2</v>
      </c>
      <c r="CG50" s="55">
        <f t="shared" si="49"/>
        <v>6.0000000000000053E-2</v>
      </c>
      <c r="CH50" s="55">
        <f t="shared" si="49"/>
        <v>3.0000000000000027E-2</v>
      </c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9" t="s">
        <v>152</v>
      </c>
      <c r="CZ50" s="50">
        <v>0.02</v>
      </c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</row>
    <row r="51" spans="2:138" ht="12.75" customHeight="1">
      <c r="B51" s="47" t="s">
        <v>156</v>
      </c>
      <c r="C51" s="53"/>
      <c r="D51" s="53"/>
      <c r="E51" s="53"/>
      <c r="F51" s="53"/>
      <c r="G51" s="54"/>
      <c r="H51" s="54"/>
      <c r="I51" s="54"/>
      <c r="J51" s="54"/>
      <c r="K51" s="54">
        <v>0.11</v>
      </c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3"/>
      <c r="BQ51" s="5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 t="s">
        <v>157</v>
      </c>
      <c r="CD51" s="55"/>
      <c r="CE51" s="55"/>
      <c r="CF51" s="55"/>
      <c r="CG51" s="55"/>
      <c r="CH51" s="55"/>
      <c r="CI51" s="40"/>
      <c r="CJ51" s="40"/>
      <c r="CK51" s="37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9" t="s">
        <v>153</v>
      </c>
      <c r="CZ51" s="50">
        <v>0.1</v>
      </c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</row>
    <row r="52" spans="2:138" ht="12.75" customHeight="1">
      <c r="B52" s="47" t="s">
        <v>198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>
        <f t="shared" ref="BC52" si="50">BC16/AY16-1</f>
        <v>0.40105152471083061</v>
      </c>
      <c r="BD52" s="54">
        <f>BD16/AZ16-1</f>
        <v>0.53742762613730366</v>
      </c>
      <c r="BE52" s="54">
        <f>BE16/BA16-1</f>
        <v>0.63696612665684826</v>
      </c>
      <c r="BF52" s="54">
        <f>BF16/BB16-1</f>
        <v>0.73173884938590827</v>
      </c>
      <c r="BG52" s="54">
        <f>BG16/BC16-1</f>
        <v>0.80651456019213441</v>
      </c>
      <c r="BH52" s="54">
        <f t="shared" ref="BH52:BN52" si="51">BH16/BD16-1</f>
        <v>0.9299260255548083</v>
      </c>
      <c r="BI52" s="54">
        <f t="shared" si="51"/>
        <v>0.60000000000000009</v>
      </c>
      <c r="BJ52" s="54">
        <f t="shared" si="51"/>
        <v>0.39999999999999991</v>
      </c>
      <c r="BK52" s="54">
        <f t="shared" si="51"/>
        <v>0.39999999999999991</v>
      </c>
      <c r="BL52" s="54">
        <f t="shared" si="51"/>
        <v>0.30000000000000004</v>
      </c>
      <c r="BM52" s="54">
        <f t="shared" si="51"/>
        <v>0.30000000000000004</v>
      </c>
      <c r="BN52" s="54">
        <f t="shared" si="51"/>
        <v>0.30000000000000004</v>
      </c>
      <c r="BO52" s="54"/>
      <c r="BP52" s="53"/>
      <c r="BQ52" s="5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40"/>
      <c r="CJ52" s="40"/>
      <c r="CK52" s="37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9" t="s">
        <v>154</v>
      </c>
      <c r="CZ52" s="46">
        <f>NPV(CZ51,CE46:ES46)+CD46+Main!J5-Main!J6</f>
        <v>522965.58692404977</v>
      </c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</row>
    <row r="53" spans="2:138" ht="12.75" customHeight="1">
      <c r="B53" s="47" t="s">
        <v>199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>
        <f t="shared" ref="BC53" si="52">SUM(BC14:BC19)/SUM(AY14:AY19)-1</f>
        <v>0.11244806094182835</v>
      </c>
      <c r="BD53" s="54">
        <f>SUM(BD14:BD19)/SUM(AZ14:AZ19)-1</f>
        <v>0.31081710612130808</v>
      </c>
      <c r="BE53" s="54">
        <f>SUM(BE14:BE19)/SUM(BA14:BA19)-1</f>
        <v>0.35507548586204019</v>
      </c>
      <c r="BF53" s="54">
        <f>SUM(BF14:BF19)/SUM(BB14:BB19)-1</f>
        <v>0.43038359285985561</v>
      </c>
      <c r="BG53" s="54">
        <f>SUM(BG14:BG19)/SUM(BC14:BC19)-1</f>
        <v>0.62026301455139676</v>
      </c>
      <c r="BH53" s="54">
        <f t="shared" ref="BH53:BN53" si="53">SUM(BH14:BH19)/SUM(BD14:BD19)-1</f>
        <v>0.62584405430378842</v>
      </c>
      <c r="BI53" s="54">
        <f t="shared" si="53"/>
        <v>0.50517665886987562</v>
      </c>
      <c r="BJ53" s="54">
        <f t="shared" si="53"/>
        <v>0.3845520683978545</v>
      </c>
      <c r="BK53" s="54">
        <f t="shared" si="53"/>
        <v>0.33570742483911231</v>
      </c>
      <c r="BL53" s="54">
        <f t="shared" si="53"/>
        <v>0.32202063478184839</v>
      </c>
      <c r="BM53" s="54">
        <f t="shared" si="53"/>
        <v>0.30415243875009712</v>
      </c>
      <c r="BN53" s="54">
        <f t="shared" si="53"/>
        <v>0.29891609933838326</v>
      </c>
      <c r="BO53" s="54"/>
      <c r="BP53" s="53"/>
      <c r="BQ53" s="5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40"/>
      <c r="CJ53" s="40"/>
      <c r="CK53" s="37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37" t="s">
        <v>154</v>
      </c>
      <c r="CZ53" s="52">
        <f>CZ52/Main!$J$3</f>
        <v>229.03936711078251</v>
      </c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</row>
    <row r="54" spans="2:138" ht="12.75" customHeight="1">
      <c r="B54" s="47" t="s">
        <v>206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>
        <f t="shared" ref="BC54" si="54">BC19/AY19-1</f>
        <v>-1.6487000634115456E-2</v>
      </c>
      <c r="BD54" s="54">
        <f t="shared" ref="BD54:BG54" si="55">BD19/AZ19-1</f>
        <v>0.52293577981651373</v>
      </c>
      <c r="BE54" s="54">
        <f t="shared" si="55"/>
        <v>0.79222720478325859</v>
      </c>
      <c r="BF54" s="54">
        <f t="shared" si="55"/>
        <v>0.77545126353790605</v>
      </c>
      <c r="BG54" s="54">
        <f t="shared" si="55"/>
        <v>0.28820116054158618</v>
      </c>
      <c r="BH54" s="54">
        <f>BH19/BD19-1</f>
        <v>0.23594377510040165</v>
      </c>
      <c r="BI54" s="54">
        <f>BI19/BE19-1</f>
        <v>0.19999999999999996</v>
      </c>
      <c r="BJ54" s="54">
        <f>BJ19/BF19-1</f>
        <v>0.10000000000000009</v>
      </c>
      <c r="BK54" s="54">
        <f>BK19/BG19-1</f>
        <v>0.10000000000000009</v>
      </c>
      <c r="BL54" s="54">
        <f>BL19/BH19-1</f>
        <v>0.10000000000000009</v>
      </c>
      <c r="BM54" s="54">
        <f>BM19/BI19-1</f>
        <v>0.10000000000000009</v>
      </c>
      <c r="BN54" s="54">
        <f>BN19/BJ19-1</f>
        <v>0.10000000000000009</v>
      </c>
      <c r="BO54" s="54"/>
      <c r="BP54" s="53"/>
      <c r="BQ54" s="5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40"/>
      <c r="CJ54" s="40"/>
      <c r="CK54" s="37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37"/>
      <c r="CZ54" s="52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</row>
    <row r="55" spans="2:138" ht="12.75" customHeight="1">
      <c r="B55" s="47" t="s">
        <v>201</v>
      </c>
      <c r="C55" s="53"/>
      <c r="D55" s="53"/>
      <c r="E55" s="53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>
        <f>BC12/AY12-1</f>
        <v>-6.5853965062209419E-2</v>
      </c>
      <c r="BD55" s="54">
        <f>BD12/AZ12-1</f>
        <v>-3.3000146993973245E-2</v>
      </c>
      <c r="BE55" s="54">
        <f>BE12/BA12-1</f>
        <v>4.5288368275759217E-2</v>
      </c>
      <c r="BF55" s="54">
        <f>BF12/BB12-1</f>
        <v>2.5390768327584912E-2</v>
      </c>
      <c r="BG55" s="54">
        <f>BG12/BC12-1</f>
        <v>6.4576886855913784E-3</v>
      </c>
      <c r="BH55" s="54">
        <f t="shared" ref="BH55:BN55" si="56">BH12/BD12-1</f>
        <v>-6.1868207038078604E-2</v>
      </c>
      <c r="BI55" s="54">
        <f t="shared" si="56"/>
        <v>-2.0000000000000018E-2</v>
      </c>
      <c r="BJ55" s="54">
        <f t="shared" si="56"/>
        <v>-2.0000000000000018E-2</v>
      </c>
      <c r="BK55" s="54">
        <f t="shared" si="56"/>
        <v>-2.0000000000000018E-2</v>
      </c>
      <c r="BL55" s="54">
        <f t="shared" si="56"/>
        <v>-2.0000000000000018E-2</v>
      </c>
      <c r="BM55" s="54">
        <f t="shared" si="56"/>
        <v>-2.0000000000000018E-2</v>
      </c>
      <c r="BN55" s="54">
        <f t="shared" si="56"/>
        <v>-2.0000000000000018E-2</v>
      </c>
      <c r="BO55" s="54"/>
      <c r="BP55" s="53"/>
      <c r="BQ55" s="53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40"/>
      <c r="CJ55" s="40"/>
      <c r="CK55" s="37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37"/>
      <c r="CZ55" s="52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</row>
    <row r="56" spans="2:138" ht="12.75" customHeight="1">
      <c r="B56" s="37" t="s">
        <v>158</v>
      </c>
      <c r="C56" s="56">
        <f t="shared" ref="C56:N56" si="57">C34/C32</f>
        <v>0.77265875259091765</v>
      </c>
      <c r="D56" s="56">
        <f t="shared" si="57"/>
        <v>0.77011701170117008</v>
      </c>
      <c r="E56" s="56">
        <f t="shared" si="57"/>
        <v>0.76827316379157029</v>
      </c>
      <c r="F56" s="56">
        <f t="shared" si="57"/>
        <v>0.79845823730429943</v>
      </c>
      <c r="G56" s="56">
        <f t="shared" si="57"/>
        <v>0.79932789246279401</v>
      </c>
      <c r="H56" s="56">
        <f t="shared" si="57"/>
        <v>0.79924621182985922</v>
      </c>
      <c r="I56" s="56">
        <f t="shared" si="57"/>
        <v>0.78373854125149467</v>
      </c>
      <c r="J56" s="56">
        <f t="shared" si="57"/>
        <v>0.79468028351497599</v>
      </c>
      <c r="K56" s="56">
        <f t="shared" si="57"/>
        <v>0.80327629077080587</v>
      </c>
      <c r="L56" s="56">
        <f t="shared" si="57"/>
        <v>0.80713264908405868</v>
      </c>
      <c r="M56" s="56">
        <f t="shared" si="57"/>
        <v>0.8116016427104723</v>
      </c>
      <c r="N56" s="56">
        <f t="shared" si="57"/>
        <v>0.8</v>
      </c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>
        <f t="shared" ref="BC56:BF56" si="58">BC34/BC32</f>
        <v>0.82809726659566918</v>
      </c>
      <c r="BD56" s="56">
        <f t="shared" si="58"/>
        <v>0.83211767198329345</v>
      </c>
      <c r="BE56" s="56">
        <f t="shared" si="58"/>
        <v>0</v>
      </c>
      <c r="BF56" s="56">
        <f t="shared" si="58"/>
        <v>0</v>
      </c>
      <c r="BG56" s="56">
        <f>BG34/BG32</f>
        <v>0.83543099141110133</v>
      </c>
      <c r="BH56" s="56">
        <f t="shared" ref="BH56:BN56" si="59">BH34/BH32</f>
        <v>0.85292620865139945</v>
      </c>
      <c r="BI56" s="56">
        <f t="shared" si="59"/>
        <v>0.85</v>
      </c>
      <c r="BJ56" s="56">
        <f t="shared" si="59"/>
        <v>0.85</v>
      </c>
      <c r="BK56" s="56">
        <f t="shared" si="59"/>
        <v>0.86</v>
      </c>
      <c r="BL56" s="56">
        <f t="shared" si="59"/>
        <v>0.86</v>
      </c>
      <c r="BM56" s="56">
        <f t="shared" si="59"/>
        <v>0.87</v>
      </c>
      <c r="BN56" s="56">
        <f t="shared" si="59"/>
        <v>0.87000000000000011</v>
      </c>
      <c r="BO56" s="56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56">
        <f t="shared" ref="CB56:CH56" si="60">CB34/CB32</f>
        <v>0.79429297371249874</v>
      </c>
      <c r="CC56" s="56">
        <f t="shared" si="60"/>
        <v>0.83057450834241153</v>
      </c>
      <c r="CD56" s="56">
        <f t="shared" si="60"/>
        <v>0.8</v>
      </c>
      <c r="CE56" s="56">
        <f t="shared" si="60"/>
        <v>0.8</v>
      </c>
      <c r="CF56" s="56">
        <f t="shared" si="60"/>
        <v>0.79999999999999993</v>
      </c>
      <c r="CG56" s="56">
        <f t="shared" si="60"/>
        <v>0.8</v>
      </c>
      <c r="CH56" s="56">
        <f t="shared" si="60"/>
        <v>0.8</v>
      </c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</row>
    <row r="57" spans="2:138" ht="12.75" customHeight="1">
      <c r="B57" s="37" t="s">
        <v>159</v>
      </c>
      <c r="C57" s="56">
        <f>C45/C44</f>
        <v>0.42991631799163182</v>
      </c>
      <c r="D57" s="56">
        <f t="shared" ref="D57:M57" si="61">D45/D44</f>
        <v>0.27451556077510275</v>
      </c>
      <c r="E57" s="56">
        <f t="shared" si="61"/>
        <v>0.25752508361204013</v>
      </c>
      <c r="F57" s="56">
        <f t="shared" si="61"/>
        <v>0.24104234527687296</v>
      </c>
      <c r="G57" s="56">
        <f t="shared" si="61"/>
        <v>0.22995720399429387</v>
      </c>
      <c r="H57" s="56">
        <f t="shared" si="61"/>
        <v>0.22991761071060762</v>
      </c>
      <c r="I57" s="56">
        <f t="shared" si="61"/>
        <v>0.23620737454948712</v>
      </c>
      <c r="J57" s="56">
        <f t="shared" si="61"/>
        <v>0.22359625668449198</v>
      </c>
      <c r="K57" s="56">
        <f t="shared" si="61"/>
        <v>0.23002084781097984</v>
      </c>
      <c r="L57" s="56">
        <f t="shared" si="61"/>
        <v>0.23003472222222221</v>
      </c>
      <c r="M57" s="56">
        <f t="shared" si="61"/>
        <v>0.23002577319587628</v>
      </c>
      <c r="N57" s="56">
        <f>N45/N44</f>
        <v>0.25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>
        <f t="shared" ref="BC57:BH57" si="62">+BC45/BC44</f>
        <v>0.20799347471451876</v>
      </c>
      <c r="BD57" s="56">
        <f t="shared" si="62"/>
        <v>0.18730307702621171</v>
      </c>
      <c r="BE57" s="56">
        <f t="shared" si="62"/>
        <v>0</v>
      </c>
      <c r="BF57" s="56">
        <f t="shared" si="62"/>
        <v>0</v>
      </c>
      <c r="BG57" s="56">
        <f t="shared" si="62"/>
        <v>0.20698699704224566</v>
      </c>
      <c r="BH57" s="56">
        <f>+BH45/BH44</f>
        <v>0.20702590056564454</v>
      </c>
      <c r="BI57" s="56">
        <f t="shared" ref="BI57:BN57" si="63">+BI45/BI44</f>
        <v>0.2</v>
      </c>
      <c r="BJ57" s="56">
        <f t="shared" si="63"/>
        <v>0.2</v>
      </c>
      <c r="BK57" s="56">
        <f t="shared" si="63"/>
        <v>0.2</v>
      </c>
      <c r="BL57" s="56">
        <f t="shared" si="63"/>
        <v>0.2</v>
      </c>
      <c r="BM57" s="56">
        <f t="shared" si="63"/>
        <v>0.2</v>
      </c>
      <c r="BN57" s="56">
        <f t="shared" si="63"/>
        <v>0.2</v>
      </c>
      <c r="BO57" s="56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</row>
    <row r="58" spans="2:138" ht="12.75" customHeight="1">
      <c r="B58" s="37" t="s">
        <v>160</v>
      </c>
      <c r="C58" s="39"/>
      <c r="D58" s="39"/>
      <c r="E58" s="39"/>
      <c r="F58" s="39"/>
      <c r="G58" s="56">
        <f t="shared" ref="G58:N58" si="64">+G47/C47-1</f>
        <v>0.26555470372527656</v>
      </c>
      <c r="H58" s="56">
        <f t="shared" si="64"/>
        <v>0.2317467921523495</v>
      </c>
      <c r="I58" s="56">
        <f t="shared" si="64"/>
        <v>5.6513780158608862E-2</v>
      </c>
      <c r="J58" s="56">
        <f t="shared" si="64"/>
        <v>2.9156860030458143E-2</v>
      </c>
      <c r="K58" s="56">
        <f t="shared" si="64"/>
        <v>0.27248103257280354</v>
      </c>
      <c r="L58" s="56">
        <f t="shared" si="64"/>
        <v>0.2244971740943098</v>
      </c>
      <c r="M58" s="56">
        <f t="shared" si="64"/>
        <v>0.34395333855076848</v>
      </c>
      <c r="N58" s="56">
        <f t="shared" si="64"/>
        <v>0.59020839337398123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</row>
    <row r="60" spans="2:138" ht="12.75" customHeight="1">
      <c r="B60" s="37" t="s">
        <v>161</v>
      </c>
      <c r="C60" s="39"/>
      <c r="D60" s="39"/>
      <c r="E60" s="39"/>
      <c r="F60" s="39"/>
      <c r="G60" s="39"/>
      <c r="H60" s="39"/>
      <c r="I60" s="39"/>
      <c r="J60" s="39"/>
      <c r="K60" s="56">
        <v>0.21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</row>
    <row r="62" spans="2:138" ht="12.75" customHeight="1">
      <c r="B62" s="37" t="s">
        <v>162</v>
      </c>
      <c r="C62" s="39"/>
      <c r="D62" s="39"/>
      <c r="E62" s="39"/>
      <c r="F62" s="39"/>
      <c r="G62" s="39"/>
      <c r="H62" s="39"/>
      <c r="I62" s="39"/>
      <c r="J62" s="39"/>
      <c r="K62" s="57">
        <v>5221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</row>
    <row r="63" spans="2:138" ht="12.75" customHeight="1">
      <c r="B63" s="37" t="s">
        <v>163</v>
      </c>
      <c r="C63" s="39"/>
      <c r="D63" s="39"/>
      <c r="E63" s="39"/>
      <c r="F63" s="39"/>
      <c r="G63" s="39"/>
      <c r="H63" s="39"/>
      <c r="I63" s="39"/>
      <c r="J63" s="39"/>
      <c r="K63" s="57">
        <v>4432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</row>
    <row r="64" spans="2:138" ht="12.75" customHeight="1">
      <c r="B64" s="37" t="s">
        <v>164</v>
      </c>
      <c r="C64" s="39"/>
      <c r="D64" s="39"/>
      <c r="E64" s="39"/>
      <c r="F64" s="39"/>
      <c r="G64" s="39"/>
      <c r="H64" s="39"/>
      <c r="I64" s="39"/>
      <c r="J64" s="39"/>
      <c r="K64" s="57">
        <v>2865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</row>
    <row r="65" spans="2:138" ht="12.75" customHeight="1">
      <c r="B65" s="37" t="s">
        <v>165</v>
      </c>
      <c r="C65" s="39"/>
      <c r="D65" s="39"/>
      <c r="E65" s="39"/>
      <c r="F65" s="39"/>
      <c r="G65" s="39"/>
      <c r="H65" s="39"/>
      <c r="I65" s="39"/>
      <c r="J65" s="39"/>
      <c r="K65" s="57">
        <v>1156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</row>
    <row r="67" spans="2:138" ht="12.75" customHeight="1">
      <c r="B67" s="37" t="s">
        <v>166</v>
      </c>
      <c r="C67" s="39"/>
      <c r="D67" s="39"/>
      <c r="E67" s="39"/>
      <c r="F67" s="39"/>
      <c r="G67" s="57">
        <v>27429</v>
      </c>
      <c r="H67" s="57">
        <v>27998</v>
      </c>
      <c r="I67" s="57">
        <v>28497</v>
      </c>
      <c r="J67" s="57">
        <v>28809</v>
      </c>
      <c r="K67" s="57">
        <v>29154</v>
      </c>
      <c r="L67" s="57">
        <v>29364</v>
      </c>
      <c r="M67" s="57">
        <v>29515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57">
        <v>45157</v>
      </c>
      <c r="BD67" s="57"/>
      <c r="BE67" s="57"/>
      <c r="BF67" s="57"/>
      <c r="BG67" s="57">
        <v>49295</v>
      </c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57">
        <f>8000+L46+M46+N46</f>
        <v>18813.400000000001</v>
      </c>
      <c r="CD67" s="57">
        <f>+CC67+CD46</f>
        <v>47853.159</v>
      </c>
      <c r="CE67" s="57">
        <f>+CD67+CE46</f>
        <v>81076.438985000015</v>
      </c>
      <c r="CF67" s="57">
        <f>+CE67+CF46</f>
        <v>118435.36829567503</v>
      </c>
      <c r="CG67" s="57">
        <f>+CF67+CG46</f>
        <v>159800.19303714167</v>
      </c>
      <c r="CH67" s="57">
        <f>+CG67+CH46</f>
        <v>203905.25331610281</v>
      </c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RowHeight="12.75"/>
  <cols>
    <col min="1" max="1" width="5" style="63" bestFit="1" customWidth="1"/>
    <col min="2" max="16384" width="9.140625" style="63"/>
  </cols>
  <sheetData>
    <row r="1" spans="1:1">
      <c r="A1" s="62" t="s">
        <v>62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62</v>
      </c>
    </row>
    <row r="2" spans="1:3">
      <c r="B2" s="1" t="s">
        <v>167</v>
      </c>
      <c r="C2" s="1" t="s">
        <v>135</v>
      </c>
    </row>
    <row r="3" spans="1:3">
      <c r="B3" s="1" t="s">
        <v>168</v>
      </c>
      <c r="C3" s="1" t="s">
        <v>169</v>
      </c>
    </row>
    <row r="4" spans="1:3">
      <c r="B4" s="24" t="s">
        <v>170</v>
      </c>
      <c r="C4" s="24" t="s">
        <v>171</v>
      </c>
    </row>
    <row r="5" spans="1:3">
      <c r="B5" s="1" t="s">
        <v>172</v>
      </c>
    </row>
    <row r="6" spans="1:3">
      <c r="C6" s="4" t="s">
        <v>173</v>
      </c>
    </row>
    <row r="8" spans="1:3">
      <c r="C8" s="4" t="s">
        <v>174</v>
      </c>
    </row>
    <row r="10" spans="1:3">
      <c r="C10" s="4" t="s">
        <v>175</v>
      </c>
    </row>
    <row r="12" spans="1:3">
      <c r="C12" s="4" t="s">
        <v>176</v>
      </c>
    </row>
    <row r="14" spans="1:3">
      <c r="C14" s="4" t="s">
        <v>177</v>
      </c>
    </row>
    <row r="15" spans="1:3">
      <c r="C15" s="1" t="s">
        <v>178</v>
      </c>
    </row>
    <row r="16" spans="1:3">
      <c r="C16" s="1" t="s">
        <v>179</v>
      </c>
    </row>
    <row r="17" spans="3:3">
      <c r="C17" s="1" t="s">
        <v>180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62</v>
      </c>
    </row>
    <row r="2" spans="1:3">
      <c r="B2" s="1" t="s">
        <v>167</v>
      </c>
      <c r="C2" s="24" t="s">
        <v>181</v>
      </c>
    </row>
    <row r="3" spans="1:3">
      <c r="B3" s="1" t="s">
        <v>168</v>
      </c>
      <c r="C3" s="24" t="s">
        <v>182</v>
      </c>
    </row>
    <row r="4" spans="1:3">
      <c r="B4" s="24" t="s">
        <v>183</v>
      </c>
      <c r="C4" s="24" t="s">
        <v>184</v>
      </c>
    </row>
    <row r="5" spans="1:3">
      <c r="B5" s="1" t="s">
        <v>172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62</v>
      </c>
    </row>
    <row r="2" spans="1:3">
      <c r="B2" s="1" t="s">
        <v>167</v>
      </c>
      <c r="C2" s="24" t="s">
        <v>185</v>
      </c>
    </row>
    <row r="3" spans="1:3">
      <c r="B3" s="1" t="s">
        <v>168</v>
      </c>
      <c r="C3" s="24" t="s">
        <v>186</v>
      </c>
    </row>
    <row r="4" spans="1:3">
      <c r="B4" s="24" t="s">
        <v>183</v>
      </c>
      <c r="C4" s="24"/>
    </row>
    <row r="5" spans="1:3">
      <c r="B5" s="1" t="s">
        <v>172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Model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2022-08-04T02:48:06Z</dcterms:modified>
  <cp:category/>
  <cp:contentStatus/>
</cp:coreProperties>
</file>