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F15494C8-160D-2640-8293-5C7BC1B95A40}" xr6:coauthVersionLast="47" xr6:coauthVersionMax="47" xr10:uidLastSave="{00000000-0000-0000-0000-000000000000}"/>
  <bookViews>
    <workbookView xWindow="15860" yWindow="-21100" windowWidth="20220" windowHeight="16080" xr2:uid="{EA2824C1-1697-4288-88B1-60A32E5E15B0}"/>
  </bookViews>
  <sheets>
    <sheet name="Main" sheetId="3" r:id="rId1"/>
    <sheet name="Model" sheetId="1" r:id="rId2"/>
    <sheet name="Intel Case Study" sheetId="5" r:id="rId3"/>
    <sheet name="Quarterly Earnings Previe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5" l="1"/>
  <c r="L4" i="5"/>
  <c r="K4" i="5"/>
  <c r="J4" i="5"/>
  <c r="I4" i="5"/>
  <c r="H4" i="5"/>
  <c r="G4" i="5"/>
  <c r="F4" i="5"/>
  <c r="E4" i="5"/>
  <c r="D4" i="5"/>
  <c r="N4" i="5"/>
  <c r="O4" i="5"/>
  <c r="Q4" i="5"/>
  <c r="P4" i="5"/>
  <c r="R4" i="5"/>
  <c r="S4" i="5"/>
  <c r="T4" i="5"/>
  <c r="AE4" i="5"/>
  <c r="AD4" i="5"/>
  <c r="AC4" i="5"/>
  <c r="AB4" i="5"/>
  <c r="AA4" i="5"/>
  <c r="Z4" i="5"/>
  <c r="Y4" i="5"/>
  <c r="X4" i="5"/>
  <c r="W4" i="5"/>
  <c r="V4" i="5"/>
  <c r="U4" i="5"/>
  <c r="W2" i="5"/>
  <c r="X2" i="5" s="1"/>
  <c r="Y2" i="5" s="1"/>
  <c r="Z2" i="5" s="1"/>
  <c r="AA2" i="5" s="1"/>
  <c r="AB2" i="5" s="1"/>
  <c r="AC2" i="5" s="1"/>
  <c r="AD2" i="5" s="1"/>
  <c r="AI38" i="1"/>
  <c r="AH38" i="1"/>
  <c r="AG38" i="1"/>
  <c r="AF38" i="1"/>
  <c r="Y52" i="1"/>
  <c r="X52" i="1"/>
  <c r="W52" i="1"/>
  <c r="Z52" i="1"/>
  <c r="Y43" i="1"/>
  <c r="Y40" i="1"/>
  <c r="AE50" i="1"/>
  <c r="AF50" i="1" s="1"/>
  <c r="AG50" i="1" s="1"/>
  <c r="AH50" i="1" s="1"/>
  <c r="AA43" i="1"/>
  <c r="AA40" i="1"/>
  <c r="AA52" i="1"/>
  <c r="Z43" i="1"/>
  <c r="Z40" i="1"/>
  <c r="Z44" i="1" s="1"/>
  <c r="Z46" i="1" s="1"/>
  <c r="Z48" i="1" s="1"/>
  <c r="Z49" i="1" s="1"/>
  <c r="H102" i="1"/>
  <c r="H99" i="1"/>
  <c r="H88" i="1"/>
  <c r="I88" i="1" s="1"/>
  <c r="J88" i="1" s="1"/>
  <c r="K88" i="1" s="1"/>
  <c r="H91" i="1"/>
  <c r="H85" i="1"/>
  <c r="H84" i="1"/>
  <c r="I82" i="1"/>
  <c r="J82" i="1" s="1"/>
  <c r="K82" i="1" s="1"/>
  <c r="I81" i="1"/>
  <c r="J81" i="1" s="1"/>
  <c r="K81" i="1" s="1"/>
  <c r="I80" i="1"/>
  <c r="J80" i="1" s="1"/>
  <c r="K80" i="1" s="1"/>
  <c r="H76" i="1"/>
  <c r="H65" i="1"/>
  <c r="H59" i="1"/>
  <c r="H68" i="1"/>
  <c r="H58" i="1"/>
  <c r="I98" i="1"/>
  <c r="J98" i="1" s="1"/>
  <c r="K98" i="1" s="1"/>
  <c r="I95" i="1"/>
  <c r="J95" i="1" s="1"/>
  <c r="K95" i="1" s="1"/>
  <c r="I94" i="1"/>
  <c r="J94" i="1" s="1"/>
  <c r="K94" i="1" s="1"/>
  <c r="I96" i="1"/>
  <c r="J96" i="1" s="1"/>
  <c r="K96" i="1" s="1"/>
  <c r="I93" i="1"/>
  <c r="I102" i="1"/>
  <c r="I90" i="1"/>
  <c r="J90" i="1" s="1"/>
  <c r="K90" i="1" s="1"/>
  <c r="I89" i="1"/>
  <c r="J89" i="1" s="1"/>
  <c r="K89" i="1" s="1"/>
  <c r="I84" i="1"/>
  <c r="J84" i="1" s="1"/>
  <c r="K84" i="1" s="1"/>
  <c r="I83" i="1"/>
  <c r="J83" i="1" s="1"/>
  <c r="K83" i="1" s="1"/>
  <c r="I72" i="1"/>
  <c r="I76" i="1" s="1"/>
  <c r="I65" i="1"/>
  <c r="I59" i="1"/>
  <c r="I68" i="1" s="1"/>
  <c r="J72" i="1"/>
  <c r="J76" i="1" s="1"/>
  <c r="J65" i="1"/>
  <c r="J59" i="1"/>
  <c r="F45" i="1"/>
  <c r="F43" i="1"/>
  <c r="F40" i="1"/>
  <c r="F55" i="1" s="1"/>
  <c r="AD34" i="1"/>
  <c r="AD35" i="1"/>
  <c r="AD36" i="1"/>
  <c r="AD37" i="1"/>
  <c r="AC33" i="1"/>
  <c r="AC34" i="1"/>
  <c r="AC35" i="1"/>
  <c r="AC36" i="1"/>
  <c r="AC37" i="1"/>
  <c r="AB33" i="1"/>
  <c r="AB34" i="1"/>
  <c r="AB35" i="1"/>
  <c r="AB36" i="1"/>
  <c r="AB37" i="1"/>
  <c r="G93" i="1"/>
  <c r="G90" i="1"/>
  <c r="G89" i="1"/>
  <c r="G88" i="1"/>
  <c r="G91" i="1" s="1"/>
  <c r="G85" i="1"/>
  <c r="G84" i="1"/>
  <c r="G83" i="1"/>
  <c r="G82" i="1"/>
  <c r="G81" i="1"/>
  <c r="G80" i="1"/>
  <c r="G79" i="1"/>
  <c r="G76" i="1"/>
  <c r="G68" i="1"/>
  <c r="K72" i="1"/>
  <c r="K76" i="1" s="1"/>
  <c r="K65" i="1"/>
  <c r="K59" i="1"/>
  <c r="K68" i="1" s="1"/>
  <c r="K102" i="1"/>
  <c r="AD75" i="1"/>
  <c r="AD74" i="1"/>
  <c r="AD73" i="1"/>
  <c r="AD71" i="1"/>
  <c r="AD70" i="1"/>
  <c r="AD67" i="1"/>
  <c r="AD66" i="1"/>
  <c r="AD64" i="1"/>
  <c r="AD63" i="1"/>
  <c r="AD62" i="1"/>
  <c r="AD61" i="1"/>
  <c r="AD60" i="1"/>
  <c r="K50" i="1"/>
  <c r="K47" i="1"/>
  <c r="K42" i="1"/>
  <c r="K41" i="1"/>
  <c r="K43" i="1" s="1"/>
  <c r="K39" i="1"/>
  <c r="K40" i="1" s="1"/>
  <c r="AC2" i="1"/>
  <c r="AD2" i="1"/>
  <c r="S58" i="1"/>
  <c r="R58" i="1"/>
  <c r="Q58" i="1"/>
  <c r="P58" i="1"/>
  <c r="O72" i="1"/>
  <c r="O76" i="1" s="1"/>
  <c r="AD76" i="1" s="1"/>
  <c r="O65" i="1"/>
  <c r="AD65" i="1" s="1"/>
  <c r="O59" i="1"/>
  <c r="AD59" i="1" s="1"/>
  <c r="AD45" i="1"/>
  <c r="AD43" i="1"/>
  <c r="AC45" i="1"/>
  <c r="AC43" i="1"/>
  <c r="AB45" i="1"/>
  <c r="AB43" i="1"/>
  <c r="AB38" i="1"/>
  <c r="AB40" i="1" s="1"/>
  <c r="AB44" i="1" s="1"/>
  <c r="AB46" i="1" s="1"/>
  <c r="AB48" i="1" s="1"/>
  <c r="AB49" i="1" s="1"/>
  <c r="O25" i="1"/>
  <c r="P42" i="1"/>
  <c r="P41" i="1"/>
  <c r="Q41" i="1" s="1"/>
  <c r="S40" i="1"/>
  <c r="S55" i="1" s="1"/>
  <c r="R40" i="1"/>
  <c r="R39" i="1" s="1"/>
  <c r="Q40" i="1"/>
  <c r="Q55" i="1" s="1"/>
  <c r="C24" i="4"/>
  <c r="C23" i="4"/>
  <c r="K18" i="4"/>
  <c r="K10" i="4"/>
  <c r="G12" i="4"/>
  <c r="G13" i="4" s="1"/>
  <c r="G14" i="4" s="1"/>
  <c r="G15" i="4" s="1"/>
  <c r="G16" i="4" s="1"/>
  <c r="G17" i="4" s="1"/>
  <c r="G18" i="4" s="1"/>
  <c r="G11" i="4"/>
  <c r="K4" i="3"/>
  <c r="K7" i="3" s="1"/>
  <c r="AE38" i="1"/>
  <c r="AF52" i="1" s="1"/>
  <c r="P50" i="1"/>
  <c r="Q50" i="1" s="1"/>
  <c r="R50" i="1" s="1"/>
  <c r="P45" i="1"/>
  <c r="Q45" i="1" s="1"/>
  <c r="R45" i="1" s="1"/>
  <c r="S45" i="1" s="1"/>
  <c r="P40" i="1"/>
  <c r="P55" i="1" s="1"/>
  <c r="S56" i="1"/>
  <c r="R56" i="1"/>
  <c r="Q56" i="1"/>
  <c r="S54" i="1"/>
  <c r="R54" i="1"/>
  <c r="S53" i="1"/>
  <c r="R53" i="1"/>
  <c r="Q53" i="1"/>
  <c r="M27" i="1"/>
  <c r="M24" i="1"/>
  <c r="S24" i="1"/>
  <c r="R24" i="1"/>
  <c r="Q24" i="1"/>
  <c r="P24" i="1"/>
  <c r="P36" i="1" s="1"/>
  <c r="O24" i="1"/>
  <c r="N24" i="1"/>
  <c r="R55" i="1" l="1"/>
  <c r="H86" i="1"/>
  <c r="AA44" i="1"/>
  <c r="AA46" i="1" s="1"/>
  <c r="AA48" i="1" s="1"/>
  <c r="AA49" i="1" s="1"/>
  <c r="G86" i="1"/>
  <c r="I85" i="1"/>
  <c r="J85" i="1" s="1"/>
  <c r="K85" i="1" s="1"/>
  <c r="K58" i="1"/>
  <c r="AB52" i="1"/>
  <c r="AE45" i="1"/>
  <c r="H100" i="1"/>
  <c r="F44" i="1"/>
  <c r="F46" i="1" s="1"/>
  <c r="F48" i="1" s="1"/>
  <c r="F49" i="1" s="1"/>
  <c r="J58" i="1"/>
  <c r="I58" i="1"/>
  <c r="O58" i="1"/>
  <c r="AD58" i="1" s="1"/>
  <c r="J68" i="1"/>
  <c r="Y44" i="1"/>
  <c r="AF39" i="1"/>
  <c r="AF40" i="1" s="1"/>
  <c r="AI50" i="1"/>
  <c r="I99" i="1"/>
  <c r="I91" i="1"/>
  <c r="I79" i="1"/>
  <c r="J93" i="1"/>
  <c r="K91" i="1"/>
  <c r="J91" i="1"/>
  <c r="G58" i="1"/>
  <c r="K55" i="1"/>
  <c r="K44" i="1"/>
  <c r="AD72" i="1"/>
  <c r="O68" i="1"/>
  <c r="AD68" i="1" s="1"/>
  <c r="S39" i="1"/>
  <c r="P56" i="1"/>
  <c r="P54" i="1"/>
  <c r="Q54" i="1"/>
  <c r="P43" i="1"/>
  <c r="P44" i="1" s="1"/>
  <c r="P46" i="1" s="1"/>
  <c r="P47" i="1" s="1"/>
  <c r="Q42" i="1"/>
  <c r="R42" i="1" s="1"/>
  <c r="S42" i="1" s="1"/>
  <c r="S50" i="1"/>
  <c r="R41" i="1"/>
  <c r="Q39" i="1"/>
  <c r="P48" i="1"/>
  <c r="P49" i="1" s="1"/>
  <c r="P39" i="1"/>
  <c r="N27" i="1"/>
  <c r="R2" i="1"/>
  <c r="P2" i="1"/>
  <c r="G52" i="1"/>
  <c r="H52" i="1"/>
  <c r="I52" i="1"/>
  <c r="K52" i="1"/>
  <c r="D53" i="1"/>
  <c r="E53" i="1"/>
  <c r="F53" i="1"/>
  <c r="G53" i="1"/>
  <c r="H53" i="1"/>
  <c r="I53" i="1"/>
  <c r="M54" i="1"/>
  <c r="S2" i="1"/>
  <c r="E54" i="1"/>
  <c r="F54" i="1"/>
  <c r="G54" i="1"/>
  <c r="H54" i="1"/>
  <c r="I54" i="1"/>
  <c r="J54" i="1"/>
  <c r="K54" i="1"/>
  <c r="L54" i="1"/>
  <c r="N54" i="1"/>
  <c r="O33" i="1"/>
  <c r="AD33" i="1" s="1"/>
  <c r="N38" i="1"/>
  <c r="J38" i="1"/>
  <c r="N72" i="1"/>
  <c r="N76" i="1" s="1"/>
  <c r="N65" i="1"/>
  <c r="N59" i="1"/>
  <c r="N58" i="1" s="1"/>
  <c r="J43" i="1"/>
  <c r="N45" i="1"/>
  <c r="N43" i="1"/>
  <c r="M95" i="1"/>
  <c r="M96" i="1"/>
  <c r="M97" i="1"/>
  <c r="M98" i="1"/>
  <c r="M94" i="1"/>
  <c r="M89" i="1"/>
  <c r="M90" i="1"/>
  <c r="M84" i="1"/>
  <c r="M83" i="1"/>
  <c r="M82" i="1"/>
  <c r="M81" i="1"/>
  <c r="M80" i="1"/>
  <c r="L38" i="1"/>
  <c r="L93" i="1"/>
  <c r="L88" i="1"/>
  <c r="L85" i="1"/>
  <c r="L73" i="1"/>
  <c r="L72" i="1"/>
  <c r="L76" i="1" s="1"/>
  <c r="L65" i="1"/>
  <c r="L59" i="1"/>
  <c r="L58" i="1" s="1"/>
  <c r="M38" i="1"/>
  <c r="M72" i="1"/>
  <c r="M76" i="1" s="1"/>
  <c r="M65" i="1"/>
  <c r="M59" i="1"/>
  <c r="M45" i="1"/>
  <c r="M43" i="1"/>
  <c r="E43" i="1"/>
  <c r="E40" i="1"/>
  <c r="E55" i="1" s="1"/>
  <c r="I43" i="1"/>
  <c r="I40" i="1"/>
  <c r="I55" i="1" s="1"/>
  <c r="D43" i="1"/>
  <c r="D40" i="1"/>
  <c r="D55" i="1" s="1"/>
  <c r="H56" i="1"/>
  <c r="G56" i="1"/>
  <c r="F56" i="1"/>
  <c r="E56" i="1"/>
  <c r="D56" i="1"/>
  <c r="C56" i="1"/>
  <c r="C43" i="1"/>
  <c r="C40" i="1"/>
  <c r="C55" i="1" s="1"/>
  <c r="G43" i="1"/>
  <c r="G40" i="1"/>
  <c r="G55" i="1" s="1"/>
  <c r="I2" i="1"/>
  <c r="M2" i="1" s="1"/>
  <c r="Q2" i="1" s="1"/>
  <c r="E2" i="1"/>
  <c r="K56" i="1"/>
  <c r="I56" i="1"/>
  <c r="H45" i="1"/>
  <c r="K45" i="1" s="1"/>
  <c r="L45" i="1"/>
  <c r="L43" i="1"/>
  <c r="H43" i="1"/>
  <c r="H40" i="1"/>
  <c r="H55" i="1" s="1"/>
  <c r="N84" i="1" l="1"/>
  <c r="O84" i="1" s="1"/>
  <c r="AD84" i="1"/>
  <c r="N90" i="1"/>
  <c r="O90" i="1" s="1"/>
  <c r="AD90" i="1"/>
  <c r="N96" i="1"/>
  <c r="O96" i="1" s="1"/>
  <c r="AD96" i="1"/>
  <c r="L91" i="1"/>
  <c r="N81" i="1"/>
  <c r="O81" i="1" s="1"/>
  <c r="AD81" i="1"/>
  <c r="N89" i="1"/>
  <c r="O89" i="1" s="1"/>
  <c r="AD89" i="1"/>
  <c r="N95" i="1"/>
  <c r="O95" i="1" s="1"/>
  <c r="L99" i="1"/>
  <c r="N80" i="1"/>
  <c r="O80" i="1" s="1"/>
  <c r="AE42" i="1"/>
  <c r="AF42" i="1" s="1"/>
  <c r="N52" i="1"/>
  <c r="J102" i="1"/>
  <c r="N94" i="1"/>
  <c r="O94" i="1" s="1"/>
  <c r="N98" i="1"/>
  <c r="O98" i="1" s="1"/>
  <c r="N97" i="1"/>
  <c r="O97" i="1" s="1"/>
  <c r="AD97" i="1"/>
  <c r="M85" i="1"/>
  <c r="N85" i="1" s="1"/>
  <c r="O85" i="1" s="1"/>
  <c r="AD85" i="1"/>
  <c r="N82" i="1"/>
  <c r="O82" i="1" s="1"/>
  <c r="AD82" i="1"/>
  <c r="N83" i="1"/>
  <c r="O83" i="1" s="1"/>
  <c r="AE39" i="1"/>
  <c r="AE40" i="1" s="1"/>
  <c r="Y46" i="1"/>
  <c r="Y48" i="1" s="1"/>
  <c r="Y49" i="1" s="1"/>
  <c r="AG52" i="1"/>
  <c r="AG39" i="1"/>
  <c r="AG40" i="1" s="1"/>
  <c r="AJ50" i="1"/>
  <c r="I86" i="1"/>
  <c r="I100" i="1" s="1"/>
  <c r="J79" i="1"/>
  <c r="K93" i="1"/>
  <c r="K99" i="1" s="1"/>
  <c r="J99" i="1"/>
  <c r="K46" i="1"/>
  <c r="K48" i="1" s="1"/>
  <c r="M58" i="1"/>
  <c r="N102" i="1"/>
  <c r="R52" i="1"/>
  <c r="L40" i="1"/>
  <c r="L44" i="1" s="1"/>
  <c r="L46" i="1" s="1"/>
  <c r="L48" i="1" s="1"/>
  <c r="L78" i="1" s="1"/>
  <c r="P52" i="1"/>
  <c r="M102" i="1"/>
  <c r="Q52" i="1"/>
  <c r="J56" i="1"/>
  <c r="AC38" i="1"/>
  <c r="Q43" i="1"/>
  <c r="Q44" i="1" s="1"/>
  <c r="Q46" i="1" s="1"/>
  <c r="S41" i="1"/>
  <c r="S43" i="1" s="1"/>
  <c r="S44" i="1" s="1"/>
  <c r="S46" i="1" s="1"/>
  <c r="R43" i="1"/>
  <c r="R44" i="1" s="1"/>
  <c r="R46" i="1" s="1"/>
  <c r="L68" i="1"/>
  <c r="O43" i="1"/>
  <c r="L52" i="1"/>
  <c r="M93" i="1"/>
  <c r="N93" i="1" s="1"/>
  <c r="K53" i="1"/>
  <c r="M52" i="1"/>
  <c r="N53" i="1"/>
  <c r="M53" i="1"/>
  <c r="L53" i="1"/>
  <c r="J52" i="1"/>
  <c r="J53" i="1"/>
  <c r="M68" i="1"/>
  <c r="N68" i="1"/>
  <c r="M56" i="1"/>
  <c r="N56" i="1"/>
  <c r="L102" i="1"/>
  <c r="N40" i="1"/>
  <c r="N44" i="1" s="1"/>
  <c r="N46" i="1" s="1"/>
  <c r="M88" i="1"/>
  <c r="L56" i="1"/>
  <c r="J40" i="1"/>
  <c r="M40" i="1"/>
  <c r="M44" i="1" s="1"/>
  <c r="M46" i="1" s="1"/>
  <c r="M48" i="1" s="1"/>
  <c r="M78" i="1" s="1"/>
  <c r="E44" i="1"/>
  <c r="E46" i="1" s="1"/>
  <c r="E48" i="1" s="1"/>
  <c r="E49" i="1" s="1"/>
  <c r="C44" i="1"/>
  <c r="C46" i="1" s="1"/>
  <c r="C48" i="1" s="1"/>
  <c r="C49" i="1" s="1"/>
  <c r="I44" i="1"/>
  <c r="I46" i="1" s="1"/>
  <c r="I48" i="1" s="1"/>
  <c r="D44" i="1"/>
  <c r="D46" i="1" s="1"/>
  <c r="D48" i="1" s="1"/>
  <c r="D49" i="1" s="1"/>
  <c r="G44" i="1"/>
  <c r="G46" i="1" s="1"/>
  <c r="G48" i="1" s="1"/>
  <c r="G49" i="1" s="1"/>
  <c r="H44" i="1"/>
  <c r="H46" i="1" s="1"/>
  <c r="H48" i="1" s="1"/>
  <c r="AD94" i="1" l="1"/>
  <c r="AD83" i="1"/>
  <c r="AD80" i="1"/>
  <c r="AD95" i="1"/>
  <c r="K49" i="1"/>
  <c r="K78" i="1"/>
  <c r="H49" i="1"/>
  <c r="H78" i="1"/>
  <c r="I49" i="1"/>
  <c r="I78" i="1"/>
  <c r="AG42" i="1"/>
  <c r="AH42" i="1" s="1"/>
  <c r="AI42" i="1" s="1"/>
  <c r="AE41" i="1"/>
  <c r="AD99" i="1"/>
  <c r="L55" i="1"/>
  <c r="AD98" i="1"/>
  <c r="AH52" i="1"/>
  <c r="AH39" i="1"/>
  <c r="AH40" i="1" s="1"/>
  <c r="K79" i="1"/>
  <c r="K86" i="1" s="1"/>
  <c r="K100" i="1" s="1"/>
  <c r="J86" i="1"/>
  <c r="J100" i="1" s="1"/>
  <c r="N99" i="1"/>
  <c r="O93" i="1"/>
  <c r="O99" i="1" s="1"/>
  <c r="AC52" i="1"/>
  <c r="AC40" i="1"/>
  <c r="AC44" i="1" s="1"/>
  <c r="AC46" i="1" s="1"/>
  <c r="AC48" i="1" s="1"/>
  <c r="AC49" i="1" s="1"/>
  <c r="S47" i="1"/>
  <c r="S48" i="1" s="1"/>
  <c r="S49" i="1" s="1"/>
  <c r="R47" i="1"/>
  <c r="R48" i="1" s="1"/>
  <c r="R49" i="1" s="1"/>
  <c r="M99" i="1"/>
  <c r="Q47" i="1"/>
  <c r="AE47" i="1" s="1"/>
  <c r="Q48" i="1"/>
  <c r="Q49" i="1" s="1"/>
  <c r="N55" i="1"/>
  <c r="M55" i="1"/>
  <c r="J44" i="1"/>
  <c r="J46" i="1" s="1"/>
  <c r="J48" i="1" s="1"/>
  <c r="J55" i="1"/>
  <c r="M91" i="1"/>
  <c r="N88" i="1"/>
  <c r="N48" i="1"/>
  <c r="N78" i="1" s="1"/>
  <c r="M49" i="1"/>
  <c r="M79" i="1"/>
  <c r="M86" i="1" s="1"/>
  <c r="L49" i="1"/>
  <c r="L79" i="1"/>
  <c r="AD93" i="1" l="1"/>
  <c r="J49" i="1"/>
  <c r="J78" i="1"/>
  <c r="AF41" i="1"/>
  <c r="AE43" i="1"/>
  <c r="AE44" i="1" s="1"/>
  <c r="AE46" i="1" s="1"/>
  <c r="AE48" i="1" s="1"/>
  <c r="L86" i="1"/>
  <c r="AJ38" i="1"/>
  <c r="AI39" i="1"/>
  <c r="AI40" i="1" s="1"/>
  <c r="AI52" i="1"/>
  <c r="AJ42" i="1"/>
  <c r="N91" i="1"/>
  <c r="O88" i="1"/>
  <c r="O91" i="1" s="1"/>
  <c r="M100" i="1"/>
  <c r="N49" i="1"/>
  <c r="N79" i="1"/>
  <c r="N86" i="1" s="1"/>
  <c r="AD91" i="1" l="1"/>
  <c r="N100" i="1"/>
  <c r="L100" i="1"/>
  <c r="AE49" i="1"/>
  <c r="AE58" i="1"/>
  <c r="AF45" i="1" s="1"/>
  <c r="AG41" i="1"/>
  <c r="AF43" i="1"/>
  <c r="AF44" i="1" s="1"/>
  <c r="AD88" i="1"/>
  <c r="AJ52" i="1"/>
  <c r="AJ39" i="1"/>
  <c r="AJ40" i="1" s="1"/>
  <c r="O38" i="1"/>
  <c r="O102" i="1" s="1"/>
  <c r="O54" i="1"/>
  <c r="AF46" i="1" l="1"/>
  <c r="AF47" i="1" s="1"/>
  <c r="AF48" i="1" s="1"/>
  <c r="AH41" i="1"/>
  <c r="AG43" i="1"/>
  <c r="AG44" i="1" s="1"/>
  <c r="AF58" i="1"/>
  <c r="AG45" i="1" s="1"/>
  <c r="AF49" i="1"/>
  <c r="O52" i="1"/>
  <c r="P53" i="1"/>
  <c r="S52" i="1"/>
  <c r="O40" i="1"/>
  <c r="AD38" i="1"/>
  <c r="O53" i="1"/>
  <c r="O56" i="1"/>
  <c r="AD40" i="1" l="1"/>
  <c r="AD44" i="1" s="1"/>
  <c r="AD46" i="1" s="1"/>
  <c r="AD48" i="1" s="1"/>
  <c r="AD78" i="1" s="1"/>
  <c r="AD102" i="1"/>
  <c r="AG46" i="1"/>
  <c r="AG47" i="1" s="1"/>
  <c r="AG48" i="1" s="1"/>
  <c r="AI41" i="1"/>
  <c r="AH43" i="1"/>
  <c r="AH44" i="1" s="1"/>
  <c r="AD49" i="1"/>
  <c r="AD52" i="1"/>
  <c r="AE52" i="1"/>
  <c r="O44" i="1"/>
  <c r="O46" i="1" s="1"/>
  <c r="O48" i="1" s="1"/>
  <c r="O78" i="1" s="1"/>
  <c r="O55" i="1"/>
  <c r="AG58" i="1" l="1"/>
  <c r="AH45" i="1" s="1"/>
  <c r="AH46" i="1" s="1"/>
  <c r="AH47" i="1" s="1"/>
  <c r="AH48" i="1" s="1"/>
  <c r="AG49" i="1"/>
  <c r="AJ41" i="1"/>
  <c r="AJ43" i="1" s="1"/>
  <c r="AJ44" i="1" s="1"/>
  <c r="AI43" i="1"/>
  <c r="AI44" i="1" s="1"/>
  <c r="O49" i="1"/>
  <c r="O79" i="1"/>
  <c r="AH58" i="1" l="1"/>
  <c r="AH49" i="1"/>
  <c r="O86" i="1"/>
  <c r="AD79" i="1"/>
  <c r="O100" i="1" l="1"/>
  <c r="AD86" i="1"/>
  <c r="AI45" i="1"/>
  <c r="AI46" i="1" s="1"/>
  <c r="AI47" i="1" s="1"/>
  <c r="AI48" i="1" s="1"/>
  <c r="AI49" i="1" s="1"/>
  <c r="AI58" i="1" l="1"/>
  <c r="AJ45" i="1" s="1"/>
  <c r="AJ46" i="1" s="1"/>
  <c r="AJ47" i="1" s="1"/>
  <c r="AJ48" i="1" s="1"/>
  <c r="AJ49" i="1" l="1"/>
  <c r="AK48" i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AJ58" i="1"/>
  <c r="AN5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tc={E320785E-9BCE-AC4E-B37C-7EB104B6CF82}</author>
    <author>tc={3CFE94FA-5EAC-7E47-B7D3-031052D60B7C}</author>
    <author>tc={23E40331-82EE-794B-BF71-362AABD49EB0}</author>
    <author>tc={7661685F-D234-EE4D-9EE3-823EB4FBA0E2}</author>
    <author>tc={195B7556-9D37-2C4A-AE00-5F1730A1F989}</author>
  </authors>
  <commentList>
    <comment ref="L36" authorId="0" shapeId="0" xr:uid="{E320785E-9BCE-AC4E-B37C-7EB104B6CF82}">
      <text>
        <t>[Threaded comment]
Your version of Excel allows you to read this threaded comment; however, any edits to it will get removed if the file is opened in a newer version of Excel. Learn more: https://go.microsoft.com/fwlink/?linkid=870924
Comment:
    H100 started shipping</t>
      </text>
    </comment>
    <comment ref="L38" authorId="1" shapeId="0" xr:uid="{3CFE94FA-5EAC-7E47-B7D3-031052D60B7C}">
      <text>
        <t>[Threaded comment]
Your version of Excel allows you to read this threaded comment; however, any edits to it will get removed if the file is opened in a newer version of Excel. Learn more: https://go.microsoft.com/fwlink/?linkid=870924
Comment:
    6.5B guidance</t>
      </text>
    </comment>
    <comment ref="M38" authorId="2" shapeId="0" xr:uid="{23E40331-82EE-794B-BF71-362AABD4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11B</t>
      </text>
    </comment>
    <comment ref="N38" authorId="3" shapeId="0" xr:uid="{7661685F-D234-EE4D-9EE3-823EB4FBA0E2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16B</t>
      </text>
    </comment>
    <comment ref="P38" authorId="4" shapeId="0" xr:uid="{195B7556-9D37-2C4A-AE00-5F1730A1F98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20.570B
2/21/24 guided to 23.52-24.48B</t>
      </text>
    </comment>
  </commentList>
</comments>
</file>

<file path=xl/sharedStrings.xml><?xml version="1.0" encoding="utf-8"?>
<sst xmlns="http://schemas.openxmlformats.org/spreadsheetml/2006/main" count="198" uniqueCount="180">
  <si>
    <t>Main</t>
  </si>
  <si>
    <t>Revenue</t>
  </si>
  <si>
    <t>Operating Income</t>
  </si>
  <si>
    <t>Operating Expenses</t>
  </si>
  <si>
    <t>COGS</t>
  </si>
  <si>
    <t>Gross Margin</t>
  </si>
  <si>
    <t>R&amp;D</t>
  </si>
  <si>
    <t>SG&amp;A</t>
  </si>
  <si>
    <t>Net Income</t>
  </si>
  <si>
    <t>Taxes</t>
  </si>
  <si>
    <t>Pretax Income</t>
  </si>
  <si>
    <t>Interest</t>
  </si>
  <si>
    <t>EPS</t>
  </si>
  <si>
    <t>Shares</t>
  </si>
  <si>
    <t>Q123</t>
  </si>
  <si>
    <t>Q223</t>
  </si>
  <si>
    <t>Q323</t>
  </si>
  <si>
    <t>Q423</t>
  </si>
  <si>
    <t>Q124</t>
  </si>
  <si>
    <t>Gaming</t>
  </si>
  <si>
    <t>Visualization</t>
  </si>
  <si>
    <t>Automotive</t>
  </si>
  <si>
    <t>Data Center</t>
  </si>
  <si>
    <t>Q422</t>
  </si>
  <si>
    <t>Data Center %</t>
  </si>
  <si>
    <t>Q224</t>
  </si>
  <si>
    <t>Q122</t>
  </si>
  <si>
    <t>Q222</t>
  </si>
  <si>
    <t>Q322</t>
  </si>
  <si>
    <t>Q421</t>
  </si>
  <si>
    <t>L+SE</t>
  </si>
  <si>
    <t>SE</t>
  </si>
  <si>
    <t>OLTL</t>
  </si>
  <si>
    <t>Leases</t>
  </si>
  <si>
    <t>Debt</t>
  </si>
  <si>
    <t>AL</t>
  </si>
  <si>
    <t>AP</t>
  </si>
  <si>
    <t>Assets</t>
  </si>
  <si>
    <t>Cash</t>
  </si>
  <si>
    <t>AR</t>
  </si>
  <si>
    <t>Inventories</t>
  </si>
  <si>
    <t>Prepaids</t>
  </si>
  <si>
    <t>PP&amp;E</t>
  </si>
  <si>
    <t>Lease</t>
  </si>
  <si>
    <t>Goodwill</t>
  </si>
  <si>
    <t>OA</t>
  </si>
  <si>
    <t>Other</t>
  </si>
  <si>
    <t>Q324</t>
  </si>
  <si>
    <t>Q424</t>
  </si>
  <si>
    <t>Q125</t>
  </si>
  <si>
    <t>Q225</t>
  </si>
  <si>
    <t>Q325</t>
  </si>
  <si>
    <t>Q425</t>
  </si>
  <si>
    <t>SBC</t>
  </si>
  <si>
    <t>CFFO</t>
  </si>
  <si>
    <t>D&amp;A</t>
  </si>
  <si>
    <t>Investments</t>
  </si>
  <si>
    <t>DT</t>
  </si>
  <si>
    <t>WC</t>
  </si>
  <si>
    <t>Securities</t>
  </si>
  <si>
    <t>CapEx</t>
  </si>
  <si>
    <t>Acquisitions</t>
  </si>
  <si>
    <t>CFFI</t>
  </si>
  <si>
    <t>CIC</t>
  </si>
  <si>
    <t>CFFF</t>
  </si>
  <si>
    <t>ESOP</t>
  </si>
  <si>
    <t>RSUs</t>
  </si>
  <si>
    <t>Dividends</t>
  </si>
  <si>
    <t>PP&amp;E payments</t>
  </si>
  <si>
    <t>Buyback</t>
  </si>
  <si>
    <t>DSO</t>
  </si>
  <si>
    <t>Revenue y/y</t>
  </si>
  <si>
    <t>Revenue q/q</t>
  </si>
  <si>
    <t>Data Center q/q</t>
  </si>
  <si>
    <t>H100 volume</t>
  </si>
  <si>
    <t>H100 ASP</t>
  </si>
  <si>
    <t>Meta</t>
  </si>
  <si>
    <t>Google</t>
  </si>
  <si>
    <t>OpenAI</t>
  </si>
  <si>
    <t>Microsoft</t>
  </si>
  <si>
    <t>Character.ai</t>
  </si>
  <si>
    <t>AWS</t>
  </si>
  <si>
    <t>Lambda</t>
  </si>
  <si>
    <t>Coreweave</t>
  </si>
  <si>
    <t>Tesla</t>
  </si>
  <si>
    <t>Baidu</t>
  </si>
  <si>
    <t>Academics</t>
  </si>
  <si>
    <t>Government</t>
  </si>
  <si>
    <t>GCP</t>
  </si>
  <si>
    <t>Azure</t>
  </si>
  <si>
    <t>Amazon AI</t>
  </si>
  <si>
    <t>Tencent</t>
  </si>
  <si>
    <t>Anthropic</t>
  </si>
  <si>
    <t>Bytedance</t>
  </si>
  <si>
    <t>Oracle</t>
  </si>
  <si>
    <t>IBM</t>
  </si>
  <si>
    <t>Total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</si>
  <si>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</si>
  <si>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</si>
  <si>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</si>
  <si>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</si>
  <si>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</si>
  <si>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</si>
  <si>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</si>
  <si>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</si>
  <si>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</si>
  <si>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</si>
  <si>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</si>
  <si>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</si>
  <si>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</si>
  <si>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</si>
  <si>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</si>
  <si>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</si>
  <si>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Price</t>
  </si>
  <si>
    <t>MC</t>
  </si>
  <si>
    <t>EV</t>
  </si>
  <si>
    <t>1999: invention of the GPU</t>
  </si>
  <si>
    <t>2012: AlexNet</t>
  </si>
  <si>
    <t>2006: CUDA</t>
  </si>
  <si>
    <t>2017: first Tensor Core GPU</t>
  </si>
  <si>
    <t>2020: Mellanox acquisition</t>
  </si>
  <si>
    <t>H100</t>
  </si>
  <si>
    <t>A100</t>
  </si>
  <si>
    <t>V100</t>
  </si>
  <si>
    <t>4090</t>
  </si>
  <si>
    <t>Clara</t>
  </si>
  <si>
    <t>Healthcare</t>
  </si>
  <si>
    <t>Omniverse</t>
  </si>
  <si>
    <t>DRIVE</t>
  </si>
  <si>
    <t>Autonomous Driving</t>
  </si>
  <si>
    <t>Industrial</t>
  </si>
  <si>
    <t>Consumer</t>
  </si>
  <si>
    <t>Server</t>
  </si>
  <si>
    <t>Name</t>
  </si>
  <si>
    <t>1998: Reincorporated in Delaware.</t>
  </si>
  <si>
    <t>1993: Founded in Santa Clara, California.</t>
  </si>
  <si>
    <t>Quantum</t>
  </si>
  <si>
    <t>InfiniBand</t>
  </si>
  <si>
    <t>Spectrum</t>
  </si>
  <si>
    <t>Ethernet</t>
  </si>
  <si>
    <t>Jetson</t>
  </si>
  <si>
    <t>DGX</t>
  </si>
  <si>
    <t>GeForce NOW</t>
  </si>
  <si>
    <t>Wafers</t>
  </si>
  <si>
    <t>TSMC, Samsung</t>
  </si>
  <si>
    <t>Memory</t>
  </si>
  <si>
    <t>Micron, SK Hynix, Samsung</t>
  </si>
  <si>
    <t>Assembly</t>
  </si>
  <si>
    <t>Hon Hai, Wistron, Fabrinet</t>
  </si>
  <si>
    <t>Consensus 5/21/24 - EPS</t>
  </si>
  <si>
    <t>Consensus 5/21/24 - Revenue</t>
  </si>
  <si>
    <t>Q1 Revenue</t>
  </si>
  <si>
    <t>Consensus</t>
  </si>
  <si>
    <t>Low End Guidance</t>
  </si>
  <si>
    <t>High End Guidance</t>
  </si>
  <si>
    <t>Reactions</t>
  </si>
  <si>
    <t>Q2 Guidance</t>
  </si>
  <si>
    <t>Current Price</t>
  </si>
  <si>
    <t>955 CALL</t>
  </si>
  <si>
    <t>955 PUT</t>
  </si>
  <si>
    <t>STRADDLE</t>
  </si>
  <si>
    <t>40% of Data Center revenue was for Inference</t>
  </si>
  <si>
    <t>"Large Cloud"</t>
  </si>
  <si>
    <t>Compute &amp; Networking</t>
  </si>
  <si>
    <t>Graphics</t>
  </si>
  <si>
    <t>Net Cash</t>
  </si>
  <si>
    <t>Model NI</t>
  </si>
  <si>
    <t>Maturity</t>
  </si>
  <si>
    <t>Discount</t>
  </si>
  <si>
    <t>NPV</t>
  </si>
  <si>
    <t>ROIC</t>
  </si>
  <si>
    <t>FY18</t>
  </si>
  <si>
    <t xml:space="preserve">  y/y</t>
  </si>
  <si>
    <t>16-bit 286</t>
  </si>
  <si>
    <t>Pentium, i586</t>
  </si>
  <si>
    <t>Pentium Pro</t>
  </si>
  <si>
    <t>Pentium 4</t>
  </si>
  <si>
    <t>8080</t>
  </si>
  <si>
    <t>386</t>
  </si>
  <si>
    <t>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</si>
</sst>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;@"/>
    <numFmt numFmtId="165" formatCode="0.0"/>
    <numFmt numFmtId="166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1" fillId="0" borderId="0" xfId="0" applyFont="1"/>
    <xf numFmtId="14" fontId="1" fillId="0" borderId="0" xfId="0" applyNumberFormat="1" applyFont="1" applyAlignment="1">
      <alignment horizontal="right"/>
    </xf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3" fontId="0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7A81095-DEB6-49D7-A035-8F5F751E84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54051</xdr:colOff>
      <xdr:row>0</xdr:row>
      <xdr:rowOff>0</xdr:rowOff>
    </xdr:from>
    <xdr:to>
      <xdr:col>15</xdr:col>
      <xdr:colOff>54051</xdr:colOff>
      <xdr:row>108</xdr:row>
      <xdr:rowOff>99785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1C8C3E-ED35-A5C1-B3B1-F8E102039664}"/>
            </a:ext>
          </a:extLst>
        </xdr:cNvPr>
        <xdr:cNvCxnSpPr/>
      </xdr:nvCxnSpPr>
      <xdr:spPr>
        <a:xfrm>
          <a:off x="11858247" y="0"/>
          <a:ext cx="0" cy="169182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26836</xdr:colOff>
      <xdr:row>0</xdr:row>
      <xdr:rowOff>0</xdr:rowOff>
    </xdr:from>
    <xdr:to>
      <xdr:col>30</xdr:col>
      <xdr:colOff>26836</xdr:colOff>
      <xdr:row>108</xdr:row>
      <xdr:rowOff>99785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44409-B70A-4BF9-95A7-B93212F1F85B}"/>
            </a:ext>
          </a:extLst>
        </xdr:cNvPr>
        <xdr:cNvCxnSpPr/>
      </xdr:nvCxnSpPr>
      <xdr:spPr>
        <a:xfrm>
          <a:off x="17790961" y="0"/>
          <a:ext cx="0" cy="175713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526F2C0-66C0-534F-AADF-50BFCB37FCD4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36" dT="2024-02-21T20:05:44.73" personId="{C526F2C0-66C0-534F-AADF-50BFCB37FCD4}" id="{E320785E-9BCE-AC4E-B37C-7EB104B6CF82}">
    <text>H100 started shipping</text>
  </threadedComment>
  <threadedComment ref="L38" dT="2024-02-21T20:05:14.08" personId="{C526F2C0-66C0-534F-AADF-50BFCB37FCD4}" id="{3CFE94FA-5EAC-7E47-B7D3-031052D60B7C}">
    <text>6.5B guidance</text>
  </threadedComment>
  <threadedComment ref="M38" dT="2024-02-21T19:58:52.64" personId="{C526F2C0-66C0-534F-AADF-50BFCB37FCD4}" id="{23E40331-82EE-794B-BF71-362AABD49EB0}">
    <text>Guidance was 11B</text>
  </threadedComment>
  <threadedComment ref="N38" dT="2024-02-21T19:55:06.51" personId="{C526F2C0-66C0-534F-AADF-50BFCB37FCD4}" id="{7661685F-D234-EE4D-9EE3-823EB4FBA0E2}">
    <text>Guidance was 16B</text>
  </threadedComment>
  <threadedComment ref="P38" dT="2024-02-21T20:21:53.11" personId="{C526F2C0-66C0-534F-AADF-50BFCB37FCD4}" id="{195B7556-9D37-2C4A-AE00-5F1730A1F989}">
    <text>Consensus 20.570B
2/21/24 guided to 23.52-24.48B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6168-49C8-45E2-8975-8028D960ECA2}">
  <dimension ref="B2:L22"/>
  <sheetViews>
    <sheetView tabSelected="1" zoomScale="190" zoomScaleNormal="190" workbookViewId="0"/>
  </sheetViews>
  <sheetFormatPr baseColWidth="10" defaultColWidth="8.83203125" defaultRowHeight="13" x14ac:dyDescent="0.15"/>
  <cols>
    <col min="1" max="1" width="4" customWidth="1"/>
    <col min="11" max="11" width="10.1640625" customWidth="1"/>
  </cols>
  <sheetData>
    <row r="2" spans="2:12" x14ac:dyDescent="0.15">
      <c r="B2" t="s">
        <v>133</v>
      </c>
      <c r="J2" t="s">
        <v>113</v>
      </c>
      <c r="K2">
        <v>953.86</v>
      </c>
    </row>
    <row r="3" spans="2:12" x14ac:dyDescent="0.15">
      <c r="B3" t="s">
        <v>121</v>
      </c>
      <c r="C3" t="s">
        <v>132</v>
      </c>
      <c r="J3" t="s">
        <v>13</v>
      </c>
      <c r="K3" s="2">
        <v>2500</v>
      </c>
      <c r="L3" s="3" t="s">
        <v>18</v>
      </c>
    </row>
    <row r="4" spans="2:12" x14ac:dyDescent="0.15">
      <c r="B4" t="s">
        <v>122</v>
      </c>
      <c r="C4" t="s">
        <v>132</v>
      </c>
      <c r="J4" t="s">
        <v>114</v>
      </c>
      <c r="K4" s="2">
        <f>+K2*K3</f>
        <v>2384650</v>
      </c>
    </row>
    <row r="5" spans="2:12" x14ac:dyDescent="0.15">
      <c r="B5" t="s">
        <v>123</v>
      </c>
      <c r="C5" t="s">
        <v>132</v>
      </c>
      <c r="J5" t="s">
        <v>38</v>
      </c>
      <c r="L5" s="3" t="s">
        <v>18</v>
      </c>
    </row>
    <row r="6" spans="2:12" x14ac:dyDescent="0.15">
      <c r="B6" s="14" t="s">
        <v>124</v>
      </c>
      <c r="C6" t="s">
        <v>131</v>
      </c>
      <c r="J6" t="s">
        <v>34</v>
      </c>
      <c r="L6" s="3" t="s">
        <v>18</v>
      </c>
    </row>
    <row r="7" spans="2:12" x14ac:dyDescent="0.15">
      <c r="B7" t="s">
        <v>125</v>
      </c>
      <c r="C7" t="s">
        <v>126</v>
      </c>
      <c r="J7" t="s">
        <v>115</v>
      </c>
      <c r="K7" s="2">
        <f>+K4-K5+K6</f>
        <v>2384650</v>
      </c>
    </row>
    <row r="8" spans="2:12" x14ac:dyDescent="0.15">
      <c r="B8" t="s">
        <v>127</v>
      </c>
      <c r="C8" t="s">
        <v>130</v>
      </c>
      <c r="K8" s="2"/>
    </row>
    <row r="9" spans="2:12" x14ac:dyDescent="0.15">
      <c r="B9" t="s">
        <v>128</v>
      </c>
      <c r="C9" t="s">
        <v>129</v>
      </c>
      <c r="K9" s="2"/>
    </row>
    <row r="10" spans="2:12" x14ac:dyDescent="0.15">
      <c r="B10" t="s">
        <v>136</v>
      </c>
      <c r="C10" t="s">
        <v>137</v>
      </c>
    </row>
    <row r="11" spans="2:12" x14ac:dyDescent="0.15">
      <c r="B11" t="s">
        <v>138</v>
      </c>
      <c r="C11" t="s">
        <v>139</v>
      </c>
    </row>
    <row r="12" spans="2:12" x14ac:dyDescent="0.15">
      <c r="B12" t="s">
        <v>140</v>
      </c>
    </row>
    <row r="13" spans="2:12" x14ac:dyDescent="0.15">
      <c r="B13" t="s">
        <v>141</v>
      </c>
    </row>
    <row r="14" spans="2:12" x14ac:dyDescent="0.15">
      <c r="B14" t="s">
        <v>142</v>
      </c>
    </row>
    <row r="16" spans="2:12" x14ac:dyDescent="0.15">
      <c r="B16" t="s">
        <v>143</v>
      </c>
      <c r="C16" t="s">
        <v>144</v>
      </c>
      <c r="H16" t="s">
        <v>120</v>
      </c>
    </row>
    <row r="17" spans="2:8" x14ac:dyDescent="0.15">
      <c r="B17" t="s">
        <v>145</v>
      </c>
      <c r="C17" t="s">
        <v>146</v>
      </c>
      <c r="H17" t="s">
        <v>119</v>
      </c>
    </row>
    <row r="18" spans="2:8" x14ac:dyDescent="0.15">
      <c r="B18" t="s">
        <v>147</v>
      </c>
      <c r="C18" t="s">
        <v>148</v>
      </c>
      <c r="H18" t="s">
        <v>117</v>
      </c>
    </row>
    <row r="19" spans="2:8" x14ac:dyDescent="0.15">
      <c r="H19" t="s">
        <v>118</v>
      </c>
    </row>
    <row r="20" spans="2:8" x14ac:dyDescent="0.15">
      <c r="H20" t="s">
        <v>116</v>
      </c>
    </row>
    <row r="21" spans="2:8" x14ac:dyDescent="0.15">
      <c r="B21" t="s">
        <v>161</v>
      </c>
      <c r="H21" t="s">
        <v>134</v>
      </c>
    </row>
    <row r="22" spans="2:8" x14ac:dyDescent="0.15">
      <c r="H22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193D-ACA0-4C17-9392-2417D68CD430}">
  <dimension ref="A1:CD105"/>
  <sheetViews>
    <sheetView zoomScale="140" zoomScaleNormal="140" workbookViewId="0">
      <pane xSplit="2" ySplit="3" topLeftCell="AG32" activePane="bottomRight" state="frozen"/>
      <selection pane="topRight" activeCell="C1" sqref="C1"/>
      <selection pane="bottomLeft" activeCell="A4" sqref="A4"/>
      <selection pane="bottomRight" activeCell="AL38" sqref="AL38"/>
    </sheetView>
  </sheetViews>
  <sheetFormatPr baseColWidth="10" defaultColWidth="8.83203125" defaultRowHeight="13" x14ac:dyDescent="0.15"/>
  <cols>
    <col min="1" max="1" width="5" bestFit="1" customWidth="1"/>
    <col min="2" max="2" width="22.5" customWidth="1"/>
    <col min="3" max="12" width="9.6640625" style="3" customWidth="1"/>
    <col min="13" max="14" width="9.6640625" customWidth="1"/>
    <col min="15" max="19" width="10.1640625" customWidth="1"/>
    <col min="30" max="31" width="9.83203125" bestFit="1" customWidth="1"/>
    <col min="40" max="40" width="11.6640625" bestFit="1" customWidth="1"/>
  </cols>
  <sheetData>
    <row r="1" spans="1:40" x14ac:dyDescent="0.15">
      <c r="A1" t="s">
        <v>0</v>
      </c>
    </row>
    <row r="2" spans="1:40" x14ac:dyDescent="0.15">
      <c r="C2" s="13">
        <v>44227</v>
      </c>
      <c r="D2" s="13">
        <v>44318</v>
      </c>
      <c r="E2" s="13">
        <f>+F2-92</f>
        <v>44408</v>
      </c>
      <c r="F2" s="13">
        <v>44500</v>
      </c>
      <c r="G2" s="13">
        <v>44591</v>
      </c>
      <c r="H2" s="13">
        <v>44682</v>
      </c>
      <c r="I2" s="13">
        <f>+J2-91</f>
        <v>44773</v>
      </c>
      <c r="J2" s="13">
        <v>44864</v>
      </c>
      <c r="K2" s="13">
        <v>44955</v>
      </c>
      <c r="L2" s="13">
        <v>45046</v>
      </c>
      <c r="M2" s="13">
        <f>+I2+365</f>
        <v>45138</v>
      </c>
      <c r="N2" s="13">
        <v>45228</v>
      </c>
      <c r="O2" s="13">
        <v>45319</v>
      </c>
      <c r="P2" s="13">
        <f>+L2+366</f>
        <v>45412</v>
      </c>
      <c r="Q2" s="13">
        <f>+M2+366</f>
        <v>45504</v>
      </c>
      <c r="R2" s="13">
        <f>+N2+366</f>
        <v>45594</v>
      </c>
      <c r="S2" s="13">
        <f>+O2+366</f>
        <v>45685</v>
      </c>
      <c r="V2" s="1">
        <v>42400</v>
      </c>
      <c r="W2" s="1">
        <v>42764</v>
      </c>
      <c r="X2" s="1">
        <v>43128</v>
      </c>
      <c r="Y2" s="1">
        <v>43492</v>
      </c>
      <c r="Z2" s="1">
        <v>43856</v>
      </c>
      <c r="AA2" s="1">
        <v>44227</v>
      </c>
      <c r="AB2" s="1">
        <v>44591</v>
      </c>
      <c r="AC2" s="13">
        <f>K2</f>
        <v>44955</v>
      </c>
      <c r="AD2" s="1">
        <f>O2</f>
        <v>45319</v>
      </c>
      <c r="AE2" s="1"/>
    </row>
    <row r="3" spans="1:40" x14ac:dyDescent="0.15">
      <c r="C3" s="4" t="s">
        <v>29</v>
      </c>
      <c r="D3" s="4" t="s">
        <v>26</v>
      </c>
      <c r="E3" s="4" t="s">
        <v>27</v>
      </c>
      <c r="F3" s="4" t="s">
        <v>28</v>
      </c>
      <c r="G3" s="4" t="s">
        <v>23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25</v>
      </c>
      <c r="N3" s="4" t="s">
        <v>47</v>
      </c>
      <c r="O3" s="4" t="s">
        <v>48</v>
      </c>
      <c r="P3" s="4" t="s">
        <v>49</v>
      </c>
      <c r="Q3" s="4" t="s">
        <v>50</v>
      </c>
      <c r="R3" s="4" t="s">
        <v>51</v>
      </c>
      <c r="S3" s="4" t="s">
        <v>52</v>
      </c>
      <c r="X3" s="4" t="s">
        <v>171</v>
      </c>
      <c r="Y3" s="4" t="s">
        <v>97</v>
      </c>
      <c r="Z3" s="4" t="s">
        <v>98</v>
      </c>
      <c r="AA3" s="4" t="s">
        <v>99</v>
      </c>
      <c r="AB3" s="4" t="s">
        <v>100</v>
      </c>
      <c r="AC3" s="4" t="s">
        <v>101</v>
      </c>
      <c r="AD3" s="4" t="s">
        <v>102</v>
      </c>
      <c r="AE3" s="4" t="s">
        <v>103</v>
      </c>
      <c r="AF3" s="4" t="s">
        <v>104</v>
      </c>
      <c r="AG3" s="4" t="s">
        <v>105</v>
      </c>
      <c r="AH3" s="4" t="s">
        <v>106</v>
      </c>
      <c r="AI3" s="4" t="s">
        <v>107</v>
      </c>
      <c r="AJ3" s="4" t="s">
        <v>108</v>
      </c>
      <c r="AK3" s="4" t="s">
        <v>109</v>
      </c>
      <c r="AL3" s="4" t="s">
        <v>110</v>
      </c>
      <c r="AM3" s="4" t="s">
        <v>111</v>
      </c>
      <c r="AN3" s="4" t="s">
        <v>112</v>
      </c>
    </row>
    <row r="4" spans="1:40" x14ac:dyDescent="0.15">
      <c r="B4" t="s">
        <v>76</v>
      </c>
      <c r="C4" s="4"/>
      <c r="D4" s="4"/>
      <c r="E4" s="4"/>
      <c r="F4" s="4"/>
      <c r="G4" s="4"/>
      <c r="H4" s="4"/>
      <c r="I4" s="4"/>
      <c r="J4" s="4"/>
      <c r="K4" s="4"/>
      <c r="L4" s="4"/>
      <c r="M4" s="5">
        <v>16</v>
      </c>
      <c r="N4" s="5">
        <v>25</v>
      </c>
      <c r="O4" s="5">
        <v>75</v>
      </c>
      <c r="P4" s="5">
        <v>75</v>
      </c>
      <c r="Q4" s="5">
        <v>60</v>
      </c>
      <c r="R4" s="5">
        <v>50</v>
      </c>
      <c r="S4" s="5">
        <v>50</v>
      </c>
    </row>
    <row r="5" spans="1:40" x14ac:dyDescent="0.15">
      <c r="B5" t="s">
        <v>77</v>
      </c>
      <c r="C5" s="4"/>
      <c r="D5" s="4"/>
      <c r="E5" s="4"/>
      <c r="F5" s="4"/>
      <c r="G5" s="4"/>
      <c r="H5" s="4"/>
      <c r="I5" s="4"/>
      <c r="J5" s="4"/>
      <c r="K5" s="4"/>
      <c r="L5" s="4"/>
      <c r="M5" s="5">
        <v>15</v>
      </c>
      <c r="N5" s="5">
        <v>25</v>
      </c>
      <c r="O5" s="5">
        <v>25</v>
      </c>
      <c r="P5" s="5">
        <v>25</v>
      </c>
      <c r="Q5" s="5">
        <v>25</v>
      </c>
      <c r="R5" s="5">
        <v>25</v>
      </c>
      <c r="S5" s="5">
        <v>25</v>
      </c>
    </row>
    <row r="6" spans="1:40" x14ac:dyDescent="0.15">
      <c r="B6" t="s">
        <v>88</v>
      </c>
      <c r="C6" s="4"/>
      <c r="D6" s="4"/>
      <c r="E6" s="4"/>
      <c r="F6" s="4"/>
      <c r="G6" s="4"/>
      <c r="H6" s="4"/>
      <c r="I6" s="4"/>
      <c r="J6" s="4"/>
      <c r="K6" s="4"/>
      <c r="L6" s="4"/>
      <c r="M6" s="5">
        <v>15</v>
      </c>
      <c r="N6" s="5">
        <v>25</v>
      </c>
      <c r="O6" s="5">
        <v>50</v>
      </c>
      <c r="P6" s="5">
        <v>50</v>
      </c>
      <c r="Q6" s="5">
        <v>50</v>
      </c>
      <c r="R6" s="5">
        <v>50</v>
      </c>
      <c r="S6" s="5">
        <v>50</v>
      </c>
    </row>
    <row r="7" spans="1:40" x14ac:dyDescent="0.15">
      <c r="B7" t="s">
        <v>78</v>
      </c>
      <c r="C7" s="4"/>
      <c r="D7" s="4"/>
      <c r="E7" s="4"/>
      <c r="F7" s="4"/>
      <c r="G7" s="4"/>
      <c r="H7" s="4"/>
      <c r="I7" s="4"/>
      <c r="J7" s="4"/>
      <c r="K7" s="4"/>
      <c r="L7" s="4"/>
      <c r="M7" s="5">
        <v>25</v>
      </c>
      <c r="N7" s="5">
        <v>25</v>
      </c>
      <c r="O7" s="5">
        <v>50</v>
      </c>
      <c r="P7" s="5">
        <v>50</v>
      </c>
      <c r="Q7" s="5">
        <v>50</v>
      </c>
      <c r="R7" s="5">
        <v>50</v>
      </c>
      <c r="S7" s="5">
        <v>50</v>
      </c>
    </row>
    <row r="8" spans="1:40" x14ac:dyDescent="0.15">
      <c r="B8" t="s">
        <v>79</v>
      </c>
      <c r="C8" s="4"/>
      <c r="D8" s="4"/>
      <c r="E8" s="4"/>
      <c r="F8" s="4"/>
      <c r="G8" s="4"/>
      <c r="H8" s="4"/>
      <c r="I8" s="4"/>
      <c r="J8" s="4"/>
      <c r="K8" s="4"/>
      <c r="L8" s="4"/>
      <c r="M8" s="5">
        <v>16</v>
      </c>
      <c r="N8" s="5">
        <v>20</v>
      </c>
      <c r="O8" s="5">
        <v>25</v>
      </c>
      <c r="P8" s="5">
        <v>25</v>
      </c>
      <c r="Q8" s="5">
        <v>25</v>
      </c>
      <c r="R8" s="5">
        <v>25</v>
      </c>
      <c r="S8" s="5">
        <v>25</v>
      </c>
    </row>
    <row r="9" spans="1:40" x14ac:dyDescent="0.15">
      <c r="B9" t="s">
        <v>89</v>
      </c>
      <c r="C9" s="4"/>
      <c r="D9" s="4"/>
      <c r="E9" s="4"/>
      <c r="F9" s="4"/>
      <c r="G9" s="4"/>
      <c r="H9" s="4"/>
      <c r="I9" s="4"/>
      <c r="J9" s="4"/>
      <c r="K9" s="4"/>
      <c r="L9" s="4"/>
      <c r="M9" s="5">
        <v>25</v>
      </c>
      <c r="N9" s="5">
        <v>30</v>
      </c>
      <c r="O9" s="5">
        <v>75</v>
      </c>
      <c r="P9" s="5">
        <v>100</v>
      </c>
      <c r="Q9" s="5">
        <v>100</v>
      </c>
      <c r="R9" s="5">
        <v>100</v>
      </c>
      <c r="S9" s="5">
        <v>100</v>
      </c>
    </row>
    <row r="10" spans="1:40" x14ac:dyDescent="0.15">
      <c r="B10" t="s">
        <v>80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5">
        <v>6</v>
      </c>
      <c r="N10" s="5">
        <v>5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/>
    </row>
    <row r="11" spans="1:40" x14ac:dyDescent="0.15">
      <c r="B11" t="s">
        <v>81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5">
        <v>15</v>
      </c>
      <c r="N11" s="5">
        <v>30</v>
      </c>
      <c r="O11" s="5">
        <v>40</v>
      </c>
      <c r="P11" s="5">
        <v>100</v>
      </c>
      <c r="Q11" s="5">
        <v>100</v>
      </c>
      <c r="R11" s="5">
        <v>100</v>
      </c>
      <c r="S11" s="5">
        <v>100</v>
      </c>
    </row>
    <row r="12" spans="1:40" x14ac:dyDescent="0.15">
      <c r="B12" t="s">
        <v>90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5">
        <v>7</v>
      </c>
      <c r="N12" s="5">
        <v>25</v>
      </c>
      <c r="O12" s="5">
        <v>25</v>
      </c>
      <c r="P12" s="5">
        <v>25</v>
      </c>
      <c r="Q12" s="5">
        <v>25</v>
      </c>
      <c r="R12" s="5">
        <v>25</v>
      </c>
      <c r="S12" s="5">
        <v>25</v>
      </c>
    </row>
    <row r="13" spans="1:40" x14ac:dyDescent="0.15">
      <c r="B13" s="11" t="s">
        <v>82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5">
        <v>10</v>
      </c>
      <c r="N13" s="5">
        <v>20</v>
      </c>
      <c r="O13" s="5">
        <v>20</v>
      </c>
      <c r="P13" s="5">
        <v>25</v>
      </c>
      <c r="Q13" s="5">
        <v>25</v>
      </c>
      <c r="R13" s="5">
        <v>25</v>
      </c>
      <c r="S13" s="5">
        <v>25</v>
      </c>
    </row>
    <row r="14" spans="1:40" x14ac:dyDescent="0.15">
      <c r="B14" t="s">
        <v>83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5">
        <v>10</v>
      </c>
      <c r="N14" s="5">
        <v>20</v>
      </c>
      <c r="O14" s="5">
        <v>20</v>
      </c>
      <c r="P14" s="5">
        <v>25</v>
      </c>
      <c r="Q14" s="5">
        <v>25</v>
      </c>
      <c r="R14" s="5">
        <v>25</v>
      </c>
      <c r="S14" s="5">
        <v>25</v>
      </c>
    </row>
    <row r="15" spans="1:40" x14ac:dyDescent="0.15">
      <c r="B15" t="s">
        <v>84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5">
        <v>6</v>
      </c>
      <c r="N15" s="5">
        <v>5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</row>
    <row r="16" spans="1:40" x14ac:dyDescent="0.15">
      <c r="B16" t="s">
        <v>85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5">
        <v>5</v>
      </c>
      <c r="N16" s="5">
        <v>5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</row>
    <row r="17" spans="2:30" x14ac:dyDescent="0.15">
      <c r="B17" t="s">
        <v>86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5">
        <v>25</v>
      </c>
      <c r="N17" s="5">
        <v>30</v>
      </c>
      <c r="O17" s="5">
        <v>35</v>
      </c>
      <c r="P17" s="5">
        <v>50</v>
      </c>
      <c r="Q17" s="5">
        <v>50</v>
      </c>
      <c r="R17" s="5">
        <v>50</v>
      </c>
      <c r="S17" s="5">
        <v>50</v>
      </c>
    </row>
    <row r="18" spans="2:30" x14ac:dyDescent="0.15">
      <c r="B18" t="s">
        <v>87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5">
        <v>25</v>
      </c>
      <c r="N18" s="5">
        <v>30</v>
      </c>
      <c r="O18" s="5">
        <v>35</v>
      </c>
      <c r="P18" s="5">
        <v>50</v>
      </c>
      <c r="Q18" s="5">
        <v>50</v>
      </c>
      <c r="R18" s="5">
        <v>50</v>
      </c>
      <c r="S18" s="5">
        <v>50</v>
      </c>
    </row>
    <row r="19" spans="2:30" x14ac:dyDescent="0.15">
      <c r="B19" t="s">
        <v>91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5">
        <v>5</v>
      </c>
      <c r="N19" s="5">
        <v>5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</row>
    <row r="20" spans="2:30" x14ac:dyDescent="0.15">
      <c r="B20" t="s">
        <v>94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5">
        <v>15</v>
      </c>
      <c r="N20" s="5">
        <v>20</v>
      </c>
      <c r="O20" s="5">
        <v>20</v>
      </c>
      <c r="P20" s="5">
        <v>50</v>
      </c>
      <c r="Q20" s="5">
        <v>50</v>
      </c>
      <c r="R20" s="5">
        <v>50</v>
      </c>
      <c r="S20" s="5">
        <v>50</v>
      </c>
    </row>
    <row r="21" spans="2:30" x14ac:dyDescent="0.15">
      <c r="B21" t="s">
        <v>95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5">
        <v>5</v>
      </c>
      <c r="N21" s="5">
        <v>5</v>
      </c>
      <c r="O21" s="5">
        <v>5</v>
      </c>
      <c r="P21" s="5">
        <v>50</v>
      </c>
      <c r="Q21" s="5">
        <v>50</v>
      </c>
      <c r="R21" s="5">
        <v>50</v>
      </c>
      <c r="S21" s="5">
        <v>50</v>
      </c>
    </row>
    <row r="22" spans="2:30" x14ac:dyDescent="0.15">
      <c r="B22" t="s">
        <v>92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5">
        <v>6</v>
      </c>
      <c r="N22" s="5">
        <v>5</v>
      </c>
      <c r="O22" s="5">
        <v>0</v>
      </c>
      <c r="P22" s="5">
        <v>5</v>
      </c>
      <c r="Q22" s="5">
        <v>10</v>
      </c>
      <c r="R22" s="5">
        <v>10</v>
      </c>
      <c r="S22" s="5">
        <v>10</v>
      </c>
    </row>
    <row r="23" spans="2:30" x14ac:dyDescent="0.15">
      <c r="B23" t="s">
        <v>93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5">
        <v>6</v>
      </c>
      <c r="N23" s="5">
        <v>5</v>
      </c>
      <c r="O23" s="5">
        <v>0</v>
      </c>
      <c r="P23" s="5">
        <v>5</v>
      </c>
      <c r="Q23" s="5">
        <v>10</v>
      </c>
      <c r="R23" s="5">
        <v>10</v>
      </c>
      <c r="S23" s="5">
        <v>10</v>
      </c>
    </row>
    <row r="24" spans="2:30" s="11" customFormat="1" x14ac:dyDescent="0.15">
      <c r="B24" s="11" t="s">
        <v>96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9">
        <f>SUM(M4:M23)</f>
        <v>258</v>
      </c>
      <c r="N24" s="9">
        <f>SUM(N4:N23)</f>
        <v>360</v>
      </c>
      <c r="O24" s="9">
        <f t="shared" ref="O24:S24" si="0">SUM(O4:O23)</f>
        <v>500</v>
      </c>
      <c r="P24" s="9">
        <f t="shared" si="0"/>
        <v>710</v>
      </c>
      <c r="Q24" s="9">
        <f t="shared" si="0"/>
        <v>705</v>
      </c>
      <c r="R24" s="9">
        <f t="shared" si="0"/>
        <v>695</v>
      </c>
      <c r="S24" s="9">
        <f t="shared" si="0"/>
        <v>695</v>
      </c>
    </row>
    <row r="25" spans="2:30" s="11" customFormat="1" x14ac:dyDescent="0.15">
      <c r="B25" s="11" t="s">
        <v>162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9"/>
      <c r="N25" s="9"/>
      <c r="O25" s="9">
        <f>+O5+O6+O8+O9+O11+O12+O13+O14</f>
        <v>280</v>
      </c>
      <c r="P25" s="9"/>
      <c r="Q25" s="9"/>
      <c r="R25" s="9"/>
      <c r="S25" s="9"/>
    </row>
    <row r="26" spans="2:30" x14ac:dyDescent="0.1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2:30" s="11" customFormat="1" x14ac:dyDescent="0.15">
      <c r="B27" s="11" t="s">
        <v>74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9">
        <f>+M36/M28</f>
        <v>258.07499999999999</v>
      </c>
      <c r="N27" s="9">
        <f>+N36/N28</f>
        <v>362.85</v>
      </c>
      <c r="O27" s="9">
        <v>450</v>
      </c>
      <c r="P27" s="12"/>
      <c r="Q27" s="12"/>
      <c r="R27" s="12"/>
      <c r="S27" s="12"/>
    </row>
    <row r="28" spans="2:30" x14ac:dyDescent="0.15">
      <c r="B28" t="s">
        <v>75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5">
        <v>40</v>
      </c>
      <c r="N28" s="5">
        <v>40</v>
      </c>
      <c r="O28" s="5">
        <v>40</v>
      </c>
      <c r="P28" s="5">
        <v>40</v>
      </c>
      <c r="Q28" s="4"/>
      <c r="R28" s="4"/>
      <c r="S28" s="4"/>
    </row>
    <row r="29" spans="2:30" x14ac:dyDescent="0.1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2:30" x14ac:dyDescent="0.15">
      <c r="B30" t="s">
        <v>163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Y30" s="2">
        <v>3557</v>
      </c>
      <c r="Z30" s="2">
        <v>3279</v>
      </c>
      <c r="AA30" s="2">
        <v>9834</v>
      </c>
      <c r="AB30" s="2">
        <v>15868</v>
      </c>
      <c r="AC30" s="2">
        <v>15068</v>
      </c>
      <c r="AD30" s="2">
        <v>47405</v>
      </c>
    </row>
    <row r="31" spans="2:30" x14ac:dyDescent="0.15">
      <c r="B31" t="s">
        <v>164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Y31" s="2">
        <v>8159</v>
      </c>
      <c r="Z31" s="2">
        <v>7639</v>
      </c>
      <c r="AA31" s="2">
        <v>6841</v>
      </c>
      <c r="AB31" s="2">
        <v>11046</v>
      </c>
      <c r="AC31" s="2">
        <v>11906</v>
      </c>
      <c r="AD31" s="2">
        <v>13517</v>
      </c>
    </row>
    <row r="32" spans="2:30" x14ac:dyDescent="0.1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2:82" x14ac:dyDescent="0.15">
      <c r="B33" t="s">
        <v>46</v>
      </c>
      <c r="C33" s="4"/>
      <c r="D33" s="4"/>
      <c r="E33" s="4"/>
      <c r="F33" s="4"/>
      <c r="G33" s="4"/>
      <c r="H33" s="4"/>
      <c r="I33" s="4"/>
      <c r="J33" s="5">
        <v>73</v>
      </c>
      <c r="K33" s="4"/>
      <c r="L33" s="5">
        <v>77</v>
      </c>
      <c r="M33" s="5">
        <v>66</v>
      </c>
      <c r="N33">
        <v>73</v>
      </c>
      <c r="O33">
        <f>+N33</f>
        <v>73</v>
      </c>
      <c r="AB33" s="19">
        <f>SUM(D33:G33)</f>
        <v>0</v>
      </c>
      <c r="AC33" s="19">
        <f>SUM(H33:K33)</f>
        <v>73</v>
      </c>
      <c r="AD33" s="19">
        <f>SUM(L33:O33)</f>
        <v>289</v>
      </c>
    </row>
    <row r="34" spans="2:82" x14ac:dyDescent="0.15">
      <c r="B34" t="s">
        <v>20</v>
      </c>
      <c r="C34" s="5"/>
      <c r="D34" s="5">
        <v>372</v>
      </c>
      <c r="E34" s="5"/>
      <c r="F34" s="5"/>
      <c r="G34" s="5">
        <v>643</v>
      </c>
      <c r="H34" s="5">
        <v>622</v>
      </c>
      <c r="I34" s="5">
        <v>496</v>
      </c>
      <c r="J34" s="5">
        <v>200</v>
      </c>
      <c r="K34" s="5">
        <v>226</v>
      </c>
      <c r="L34" s="5">
        <v>295</v>
      </c>
      <c r="M34" s="5">
        <v>379</v>
      </c>
      <c r="N34" s="2">
        <v>416</v>
      </c>
      <c r="O34">
        <v>463</v>
      </c>
      <c r="AB34" s="19">
        <f>SUM(D34:G34)</f>
        <v>1015</v>
      </c>
      <c r="AC34" s="19">
        <f>SUM(H34:K34)</f>
        <v>1544</v>
      </c>
      <c r="AD34" s="19">
        <f>SUM(L34:O34)</f>
        <v>1553</v>
      </c>
    </row>
    <row r="35" spans="2:82" x14ac:dyDescent="0.15">
      <c r="B35" t="s">
        <v>21</v>
      </c>
      <c r="C35" s="5"/>
      <c r="D35" s="5">
        <v>154</v>
      </c>
      <c r="E35" s="5"/>
      <c r="F35" s="5"/>
      <c r="G35" s="5">
        <v>125</v>
      </c>
      <c r="H35" s="5">
        <v>138</v>
      </c>
      <c r="I35" s="5">
        <v>220</v>
      </c>
      <c r="J35" s="5">
        <v>251</v>
      </c>
      <c r="K35" s="5">
        <v>294</v>
      </c>
      <c r="L35" s="5">
        <v>296</v>
      </c>
      <c r="M35" s="5">
        <v>253</v>
      </c>
      <c r="N35" s="2">
        <v>261</v>
      </c>
      <c r="O35" s="2">
        <v>281</v>
      </c>
      <c r="AB35" s="19">
        <f>SUM(D35:G35)</f>
        <v>279</v>
      </c>
      <c r="AC35" s="19">
        <f>SUM(H35:K35)</f>
        <v>903</v>
      </c>
      <c r="AD35" s="19">
        <f>SUM(L35:O35)</f>
        <v>1091</v>
      </c>
    </row>
    <row r="36" spans="2:82" x14ac:dyDescent="0.15">
      <c r="B36" t="s">
        <v>22</v>
      </c>
      <c r="C36" s="5"/>
      <c r="D36" s="5">
        <v>2050</v>
      </c>
      <c r="E36" s="5">
        <v>2370</v>
      </c>
      <c r="F36" s="5">
        <v>2940</v>
      </c>
      <c r="G36" s="5">
        <v>3260</v>
      </c>
      <c r="H36" s="5">
        <v>3750</v>
      </c>
      <c r="I36" s="5">
        <v>3810</v>
      </c>
      <c r="J36" s="5">
        <v>3833</v>
      </c>
      <c r="K36" s="5">
        <v>3620</v>
      </c>
      <c r="L36" s="5">
        <v>4284</v>
      </c>
      <c r="M36" s="2">
        <v>10323</v>
      </c>
      <c r="N36" s="2">
        <v>14514</v>
      </c>
      <c r="O36" s="5">
        <v>18386</v>
      </c>
      <c r="P36" s="2">
        <f>+P24*P28</f>
        <v>28400</v>
      </c>
      <c r="AB36" s="19">
        <f>SUM(D36:G36)</f>
        <v>10620</v>
      </c>
      <c r="AC36" s="19">
        <f>SUM(H36:K36)</f>
        <v>15013</v>
      </c>
      <c r="AD36" s="19">
        <f>SUM(L36:O36)</f>
        <v>47507</v>
      </c>
    </row>
    <row r="37" spans="2:82" x14ac:dyDescent="0.15">
      <c r="B37" t="s">
        <v>19</v>
      </c>
      <c r="C37" s="5"/>
      <c r="D37" s="5">
        <v>2760</v>
      </c>
      <c r="E37" s="5"/>
      <c r="F37" s="5"/>
      <c r="G37" s="5">
        <v>3420</v>
      </c>
      <c r="H37" s="5">
        <v>3620</v>
      </c>
      <c r="I37" s="5">
        <v>2040</v>
      </c>
      <c r="J37" s="5">
        <v>1574</v>
      </c>
      <c r="K37" s="5">
        <v>1830</v>
      </c>
      <c r="L37" s="5">
        <v>2240</v>
      </c>
      <c r="M37" s="5">
        <v>2486</v>
      </c>
      <c r="N37" s="2">
        <v>2856</v>
      </c>
      <c r="O37" s="2">
        <v>2900</v>
      </c>
      <c r="AB37" s="19">
        <f>SUM(D37:G37)</f>
        <v>6180</v>
      </c>
      <c r="AC37" s="19">
        <f>SUM(H37:K37)</f>
        <v>9064</v>
      </c>
      <c r="AD37" s="19">
        <f>SUM(L37:O37)</f>
        <v>10482</v>
      </c>
    </row>
    <row r="38" spans="2:82" s="8" customFormat="1" x14ac:dyDescent="0.15">
      <c r="B38" s="8" t="s">
        <v>1</v>
      </c>
      <c r="C38" s="9">
        <v>5003</v>
      </c>
      <c r="D38" s="9">
        <v>5661</v>
      </c>
      <c r="E38" s="9">
        <v>6507</v>
      </c>
      <c r="F38" s="9">
        <v>7103</v>
      </c>
      <c r="G38" s="9">
        <v>7643</v>
      </c>
      <c r="H38" s="9">
        <v>8288</v>
      </c>
      <c r="I38" s="9">
        <v>6704</v>
      </c>
      <c r="J38" s="9">
        <f>SUM(J33:J37)</f>
        <v>5931</v>
      </c>
      <c r="K38" s="9">
        <v>6051</v>
      </c>
      <c r="L38" s="8">
        <f>SUM(L33:L37)</f>
        <v>7192</v>
      </c>
      <c r="M38" s="8">
        <f>SUM(M33:M37)</f>
        <v>13507</v>
      </c>
      <c r="N38" s="9">
        <f>SUM(N33:N37)</f>
        <v>18120</v>
      </c>
      <c r="O38" s="9">
        <f>SUM(O33:O37)</f>
        <v>22103</v>
      </c>
      <c r="P38" s="5">
        <v>24690</v>
      </c>
      <c r="Q38" s="9">
        <v>26820</v>
      </c>
      <c r="R38" s="9">
        <v>29360</v>
      </c>
      <c r="S38" s="9">
        <v>31950</v>
      </c>
      <c r="V38" s="8">
        <v>5010</v>
      </c>
      <c r="W38" s="8">
        <v>6910</v>
      </c>
      <c r="X38" s="8">
        <v>9714</v>
      </c>
      <c r="Y38" s="8">
        <v>11716</v>
      </c>
      <c r="Z38" s="8">
        <v>10918</v>
      </c>
      <c r="AA38" s="8">
        <v>16675</v>
      </c>
      <c r="AB38" s="8">
        <f>SUM(D38:G38)</f>
        <v>26914</v>
      </c>
      <c r="AC38" s="8">
        <f>SUM(H38:K38)</f>
        <v>26974</v>
      </c>
      <c r="AD38" s="8">
        <f>SUM(L38:O38)</f>
        <v>60922</v>
      </c>
      <c r="AE38" s="8">
        <f>SUM(P38:S38)</f>
        <v>112820</v>
      </c>
      <c r="AF38" s="8">
        <f>+AE38*1.3</f>
        <v>146666</v>
      </c>
      <c r="AG38" s="8">
        <f>+AF38*1.25</f>
        <v>183332.5</v>
      </c>
      <c r="AH38" s="8">
        <f>+AG38*1.2</f>
        <v>219999</v>
      </c>
      <c r="AI38" s="8">
        <f>+AH38*1.15</f>
        <v>252998.84999999998</v>
      </c>
      <c r="AJ38" s="8">
        <f>+AI38*1.05</f>
        <v>265648.79249999998</v>
      </c>
    </row>
    <row r="39" spans="2:82" s="2" customFormat="1" x14ac:dyDescent="0.15">
      <c r="B39" s="2" t="s">
        <v>4</v>
      </c>
      <c r="C39" s="5">
        <v>1846</v>
      </c>
      <c r="D39" s="5">
        <v>2032</v>
      </c>
      <c r="E39" s="5">
        <v>2292</v>
      </c>
      <c r="F39" s="5">
        <v>2472</v>
      </c>
      <c r="G39" s="5">
        <v>2644</v>
      </c>
      <c r="H39" s="5">
        <v>2857</v>
      </c>
      <c r="I39" s="5">
        <v>3789</v>
      </c>
      <c r="J39" s="5">
        <v>2754</v>
      </c>
      <c r="K39" s="5">
        <f>AC39-J39-I39-H39</f>
        <v>2218</v>
      </c>
      <c r="L39" s="5">
        <v>2544</v>
      </c>
      <c r="M39" s="2">
        <v>4045</v>
      </c>
      <c r="N39" s="2">
        <v>4720</v>
      </c>
      <c r="O39" s="2">
        <v>5312</v>
      </c>
      <c r="P39" s="2">
        <f>+P38-P40</f>
        <v>5925.5999999999985</v>
      </c>
      <c r="Q39" s="2">
        <f t="shared" ref="Q39:S39" si="1">+Q38-Q40</f>
        <v>6168.5999999999985</v>
      </c>
      <c r="R39" s="2">
        <f t="shared" si="1"/>
        <v>6752.7999999999993</v>
      </c>
      <c r="S39" s="2">
        <f t="shared" si="1"/>
        <v>7029</v>
      </c>
      <c r="Y39" s="2">
        <v>4545</v>
      </c>
      <c r="Z39" s="2">
        <v>4150</v>
      </c>
      <c r="AA39" s="2">
        <v>6279</v>
      </c>
      <c r="AB39" s="2">
        <v>9439</v>
      </c>
      <c r="AC39" s="2">
        <v>11618</v>
      </c>
      <c r="AD39" s="2">
        <v>16621</v>
      </c>
      <c r="AE39" s="2">
        <f>SUM(P39:S39)</f>
        <v>25875.999999999996</v>
      </c>
      <c r="AF39" s="2">
        <f>+AF38*0.25</f>
        <v>36666.5</v>
      </c>
      <c r="AG39" s="2">
        <f>+AG38*0.25</f>
        <v>45833.125</v>
      </c>
      <c r="AH39" s="2">
        <f>+AH38*0.25</f>
        <v>54999.75</v>
      </c>
      <c r="AI39" s="2">
        <f>+AI38*0.25</f>
        <v>63249.712499999994</v>
      </c>
      <c r="AJ39" s="2">
        <f>+AJ38*0.25</f>
        <v>66412.198124999995</v>
      </c>
    </row>
    <row r="40" spans="2:82" s="2" customFormat="1" x14ac:dyDescent="0.15">
      <c r="B40" s="2" t="s">
        <v>5</v>
      </c>
      <c r="C40" s="5">
        <f>+C38-C39</f>
        <v>3157</v>
      </c>
      <c r="D40" s="5">
        <f>+D38-D39</f>
        <v>3629</v>
      </c>
      <c r="E40" s="5">
        <f>+E38-E39</f>
        <v>4215</v>
      </c>
      <c r="F40" s="5">
        <f>+F38-F39</f>
        <v>4631</v>
      </c>
      <c r="G40" s="5">
        <f>+G38-G39</f>
        <v>4999</v>
      </c>
      <c r="H40" s="5">
        <f>+H38-H39</f>
        <v>5431</v>
      </c>
      <c r="I40" s="5">
        <f>+I38-I39</f>
        <v>2915</v>
      </c>
      <c r="J40" s="5">
        <f>+J38-J39</f>
        <v>3177</v>
      </c>
      <c r="K40" s="5">
        <f>K38-K39</f>
        <v>3833</v>
      </c>
      <c r="L40" s="5">
        <f>+L38-L39</f>
        <v>4648</v>
      </c>
      <c r="M40" s="2">
        <f>M38-M39</f>
        <v>9462</v>
      </c>
      <c r="N40" s="2">
        <f>+N38-N39</f>
        <v>13400</v>
      </c>
      <c r="O40" s="2">
        <f>+O38-O39</f>
        <v>16791</v>
      </c>
      <c r="P40" s="2">
        <f>+P38*0.76</f>
        <v>18764.400000000001</v>
      </c>
      <c r="Q40" s="2">
        <f>+Q38*0.77</f>
        <v>20651.400000000001</v>
      </c>
      <c r="R40" s="2">
        <f>+R38*0.77</f>
        <v>22607.200000000001</v>
      </c>
      <c r="S40" s="2">
        <f>+S38*0.78</f>
        <v>24921</v>
      </c>
      <c r="Y40" s="2">
        <f>+Y38-Y39</f>
        <v>7171</v>
      </c>
      <c r="Z40" s="2">
        <f>+Z38-Z39</f>
        <v>6768</v>
      </c>
      <c r="AA40" s="2">
        <f>+AA38-AA39</f>
        <v>10396</v>
      </c>
      <c r="AB40" s="2">
        <f>+AB38-AB39</f>
        <v>17475</v>
      </c>
      <c r="AC40" s="2">
        <f>+AC38-AC39</f>
        <v>15356</v>
      </c>
      <c r="AD40" s="2">
        <f>+AD38-AD39</f>
        <v>44301</v>
      </c>
      <c r="AE40" s="2">
        <f>AE38-AE39</f>
        <v>86944</v>
      </c>
      <c r="AF40" s="2">
        <f t="shared" ref="AF40:AJ40" si="2">AF38-AF39</f>
        <v>109999.5</v>
      </c>
      <c r="AG40" s="2">
        <f t="shared" si="2"/>
        <v>137499.375</v>
      </c>
      <c r="AH40" s="2">
        <f t="shared" si="2"/>
        <v>164999.25</v>
      </c>
      <c r="AI40" s="2">
        <f t="shared" si="2"/>
        <v>189749.13749999998</v>
      </c>
      <c r="AJ40" s="2">
        <f t="shared" si="2"/>
        <v>199236.59437499999</v>
      </c>
    </row>
    <row r="41" spans="2:82" s="2" customFormat="1" x14ac:dyDescent="0.15">
      <c r="B41" s="2" t="s">
        <v>6</v>
      </c>
      <c r="C41" s="5">
        <v>1147</v>
      </c>
      <c r="D41" s="5">
        <v>1153</v>
      </c>
      <c r="E41" s="5">
        <v>1245</v>
      </c>
      <c r="F41" s="5">
        <v>1403</v>
      </c>
      <c r="G41" s="5">
        <v>1466</v>
      </c>
      <c r="H41" s="5">
        <v>1618</v>
      </c>
      <c r="I41" s="5">
        <v>1824</v>
      </c>
      <c r="J41" s="5">
        <v>1945</v>
      </c>
      <c r="K41" s="5">
        <f>AC41-J41-I41-H41</f>
        <v>1952</v>
      </c>
      <c r="L41" s="5">
        <v>1875</v>
      </c>
      <c r="M41" s="2">
        <v>2040</v>
      </c>
      <c r="N41" s="2">
        <v>2294</v>
      </c>
      <c r="O41" s="2">
        <v>2465</v>
      </c>
      <c r="P41" s="2">
        <f>+O41+100</f>
        <v>2565</v>
      </c>
      <c r="Q41" s="2">
        <f t="shared" ref="Q41:S41" si="3">+P41+100</f>
        <v>2665</v>
      </c>
      <c r="R41" s="2">
        <f t="shared" si="3"/>
        <v>2765</v>
      </c>
      <c r="S41" s="2">
        <f t="shared" si="3"/>
        <v>2865</v>
      </c>
      <c r="Y41" s="2">
        <v>2376</v>
      </c>
      <c r="Z41" s="2">
        <v>2829</v>
      </c>
      <c r="AA41" s="2">
        <v>3924</v>
      </c>
      <c r="AB41" s="2">
        <v>5268</v>
      </c>
      <c r="AC41" s="2">
        <v>7339</v>
      </c>
      <c r="AD41" s="2">
        <v>8675</v>
      </c>
      <c r="AE41" s="2">
        <f>SUM(P41:S41)</f>
        <v>10860</v>
      </c>
      <c r="AF41" s="2">
        <f>+AE41*1.01</f>
        <v>10968.6</v>
      </c>
      <c r="AG41" s="2">
        <f t="shared" ref="AG41:AJ41" si="4">+AF41*1.01</f>
        <v>11078.286</v>
      </c>
      <c r="AH41" s="2">
        <f t="shared" si="4"/>
        <v>11189.068859999999</v>
      </c>
      <c r="AI41" s="2">
        <f t="shared" si="4"/>
        <v>11300.9595486</v>
      </c>
      <c r="AJ41" s="2">
        <f t="shared" si="4"/>
        <v>11413.969144086001</v>
      </c>
    </row>
    <row r="42" spans="2:82" s="2" customFormat="1" x14ac:dyDescent="0.15">
      <c r="B42" s="2" t="s">
        <v>7</v>
      </c>
      <c r="C42" s="5">
        <v>503</v>
      </c>
      <c r="D42" s="5">
        <v>520</v>
      </c>
      <c r="E42" s="5">
        <v>526</v>
      </c>
      <c r="F42" s="5">
        <v>557</v>
      </c>
      <c r="G42" s="5">
        <v>563</v>
      </c>
      <c r="H42" s="5">
        <v>592</v>
      </c>
      <c r="I42" s="5">
        <v>592</v>
      </c>
      <c r="J42" s="5">
        <v>631</v>
      </c>
      <c r="K42" s="5">
        <f>AC42-J42-I42-H42</f>
        <v>625</v>
      </c>
      <c r="L42" s="5">
        <v>633</v>
      </c>
      <c r="M42" s="2">
        <v>622</v>
      </c>
      <c r="N42" s="2">
        <v>689</v>
      </c>
      <c r="O42" s="2">
        <v>711</v>
      </c>
      <c r="P42" s="2">
        <f>+O42+25</f>
        <v>736</v>
      </c>
      <c r="Q42" s="2">
        <f>+P42+25</f>
        <v>761</v>
      </c>
      <c r="R42" s="2">
        <f>+Q42+25</f>
        <v>786</v>
      </c>
      <c r="S42" s="2">
        <f>+R42+25</f>
        <v>811</v>
      </c>
      <c r="Y42" s="2">
        <v>991</v>
      </c>
      <c r="Z42" s="2">
        <v>1093</v>
      </c>
      <c r="AA42" s="2">
        <v>1940</v>
      </c>
      <c r="AB42" s="2">
        <v>2166</v>
      </c>
      <c r="AC42" s="2">
        <v>2440</v>
      </c>
      <c r="AD42" s="2">
        <v>2654</v>
      </c>
      <c r="AE42" s="2">
        <f>SUM(P42:S42)</f>
        <v>3094</v>
      </c>
      <c r="AF42" s="2">
        <f t="shared" ref="AF42:AJ42" si="5">+AE42*1.01</f>
        <v>3124.94</v>
      </c>
      <c r="AG42" s="2">
        <f t="shared" si="5"/>
        <v>3156.1894000000002</v>
      </c>
      <c r="AH42" s="2">
        <f t="shared" si="5"/>
        <v>3187.7512940000001</v>
      </c>
      <c r="AI42" s="2">
        <f t="shared" si="5"/>
        <v>3219.6288069400002</v>
      </c>
      <c r="AJ42" s="2">
        <f t="shared" si="5"/>
        <v>3251.8250950094002</v>
      </c>
    </row>
    <row r="43" spans="2:82" s="2" customFormat="1" x14ac:dyDescent="0.15">
      <c r="B43" s="2" t="s">
        <v>3</v>
      </c>
      <c r="C43" s="5">
        <f t="shared" ref="C43" si="6">+C41+C42</f>
        <v>1650</v>
      </c>
      <c r="D43" s="5">
        <f t="shared" ref="D43:F43" si="7">+D41+D42</f>
        <v>1673</v>
      </c>
      <c r="E43" s="5">
        <f t="shared" si="7"/>
        <v>1771</v>
      </c>
      <c r="F43" s="5">
        <f t="shared" si="7"/>
        <v>1960</v>
      </c>
      <c r="G43" s="5">
        <f t="shared" ref="G43" si="8">+G41+G42</f>
        <v>2029</v>
      </c>
      <c r="H43" s="5">
        <f>+H41+H42</f>
        <v>2210</v>
      </c>
      <c r="I43" s="5">
        <f t="shared" ref="I43" si="9">+I41+I42</f>
        <v>2416</v>
      </c>
      <c r="J43" s="5">
        <f>+J41+J42</f>
        <v>2576</v>
      </c>
      <c r="K43" s="5">
        <f>+K41+K42</f>
        <v>2577</v>
      </c>
      <c r="L43" s="5">
        <f>+L41+L42</f>
        <v>2508</v>
      </c>
      <c r="M43" s="5">
        <f>+M41+M42</f>
        <v>2662</v>
      </c>
      <c r="N43" s="5">
        <f t="shared" ref="N43:P43" si="10">+N41+N42</f>
        <v>2983</v>
      </c>
      <c r="O43" s="5">
        <f t="shared" si="10"/>
        <v>3176</v>
      </c>
      <c r="P43" s="5">
        <f t="shared" si="10"/>
        <v>3301</v>
      </c>
      <c r="Q43" s="5">
        <f t="shared" ref="Q43:S43" si="11">+Q41+Q42</f>
        <v>3426</v>
      </c>
      <c r="R43" s="5">
        <f t="shared" si="11"/>
        <v>3551</v>
      </c>
      <c r="S43" s="5">
        <f t="shared" si="11"/>
        <v>3676</v>
      </c>
      <c r="Y43" s="2">
        <f>+Y41+Y42</f>
        <v>3367</v>
      </c>
      <c r="Z43" s="2">
        <f>+Z41+Z42</f>
        <v>3922</v>
      </c>
      <c r="AA43" s="2">
        <f>+AA41+AA42</f>
        <v>5864</v>
      </c>
      <c r="AB43" s="2">
        <f>+AB41+AB42</f>
        <v>7434</v>
      </c>
      <c r="AC43" s="2">
        <f>+AC41+AC42</f>
        <v>9779</v>
      </c>
      <c r="AD43" s="2">
        <f>+AD41+AD42</f>
        <v>11329</v>
      </c>
      <c r="AE43" s="2">
        <f>+AE41+AE42</f>
        <v>13954</v>
      </c>
      <c r="AF43" s="2">
        <f t="shared" ref="AF43:AJ43" si="12">+AF41+AF42</f>
        <v>14093.54</v>
      </c>
      <c r="AG43" s="2">
        <f t="shared" si="12"/>
        <v>14234.475399999999</v>
      </c>
      <c r="AH43" s="2">
        <f t="shared" si="12"/>
        <v>14376.820153999999</v>
      </c>
      <c r="AI43" s="2">
        <f t="shared" si="12"/>
        <v>14520.58835554</v>
      </c>
      <c r="AJ43" s="2">
        <f t="shared" si="12"/>
        <v>14665.794239095401</v>
      </c>
    </row>
    <row r="44" spans="2:82" s="2" customFormat="1" x14ac:dyDescent="0.15">
      <c r="B44" s="2" t="s">
        <v>2</v>
      </c>
      <c r="C44" s="5">
        <f t="shared" ref="C44" si="13">+C40-C43</f>
        <v>1507</v>
      </c>
      <c r="D44" s="5">
        <f t="shared" ref="D44:F44" si="14">+D40-D43</f>
        <v>1956</v>
      </c>
      <c r="E44" s="5">
        <f t="shared" si="14"/>
        <v>2444</v>
      </c>
      <c r="F44" s="5">
        <f t="shared" si="14"/>
        <v>2671</v>
      </c>
      <c r="G44" s="5">
        <f t="shared" ref="G44" si="15">+G40-G43</f>
        <v>2970</v>
      </c>
      <c r="H44" s="5">
        <f>+H40-H43</f>
        <v>3221</v>
      </c>
      <c r="I44" s="5">
        <f t="shared" ref="I44" si="16">+I40-I43</f>
        <v>499</v>
      </c>
      <c r="J44" s="5">
        <f>+J40-J43</f>
        <v>601</v>
      </c>
      <c r="K44" s="5">
        <f>+K40-K43</f>
        <v>1256</v>
      </c>
      <c r="L44" s="5">
        <f>+L40-L43</f>
        <v>2140</v>
      </c>
      <c r="M44" s="5">
        <f>+M40-M43</f>
        <v>6800</v>
      </c>
      <c r="N44" s="5">
        <f t="shared" ref="N44:P44" si="17">+N40-N43</f>
        <v>10417</v>
      </c>
      <c r="O44" s="5">
        <f t="shared" si="17"/>
        <v>13615</v>
      </c>
      <c r="P44" s="5">
        <f t="shared" si="17"/>
        <v>15463.400000000001</v>
      </c>
      <c r="Q44" s="5">
        <f t="shared" ref="Q44:S44" si="18">+Q40-Q43</f>
        <v>17225.400000000001</v>
      </c>
      <c r="R44" s="5">
        <f t="shared" si="18"/>
        <v>19056.2</v>
      </c>
      <c r="S44" s="5">
        <f t="shared" si="18"/>
        <v>21245</v>
      </c>
      <c r="Y44" s="2">
        <f>+Y40-Y43</f>
        <v>3804</v>
      </c>
      <c r="Z44" s="2">
        <f>+Z40-Z43</f>
        <v>2846</v>
      </c>
      <c r="AA44" s="2">
        <f>+AA40-AA43</f>
        <v>4532</v>
      </c>
      <c r="AB44" s="2">
        <f>+AB40-AB43</f>
        <v>10041</v>
      </c>
      <c r="AC44" s="2">
        <f>+AC40-AC43</f>
        <v>5577</v>
      </c>
      <c r="AD44" s="2">
        <f>+AD40-AD43</f>
        <v>32972</v>
      </c>
      <c r="AE44" s="2">
        <f>+AE40-AE43</f>
        <v>72990</v>
      </c>
      <c r="AF44" s="2">
        <f t="shared" ref="AF44:AJ44" si="19">+AF40-AF43</f>
        <v>95905.959999999992</v>
      </c>
      <c r="AG44" s="2">
        <f t="shared" si="19"/>
        <v>123264.8996</v>
      </c>
      <c r="AH44" s="2">
        <f t="shared" si="19"/>
        <v>150622.42984600001</v>
      </c>
      <c r="AI44" s="2">
        <f t="shared" si="19"/>
        <v>175228.54914445998</v>
      </c>
      <c r="AJ44" s="2">
        <f t="shared" si="19"/>
        <v>184570.80013590457</v>
      </c>
    </row>
    <row r="45" spans="2:82" s="2" customFormat="1" x14ac:dyDescent="0.15">
      <c r="B45" s="2" t="s">
        <v>11</v>
      </c>
      <c r="C45" s="5">
        <v>-37</v>
      </c>
      <c r="D45" s="5">
        <v>88</v>
      </c>
      <c r="E45" s="5">
        <v>-50</v>
      </c>
      <c r="F45" s="5">
        <f>7-62+22</f>
        <v>-33</v>
      </c>
      <c r="G45" s="5">
        <v>-105</v>
      </c>
      <c r="H45" s="5">
        <f>18-68-13</f>
        <v>-63</v>
      </c>
      <c r="I45" s="5">
        <v>-24</v>
      </c>
      <c r="J45" s="5">
        <v>12</v>
      </c>
      <c r="K45" s="5">
        <f>AC45-J45-I45-H45</f>
        <v>32</v>
      </c>
      <c r="L45" s="5">
        <f>150-66-15</f>
        <v>69</v>
      </c>
      <c r="M45" s="2">
        <f>187-65+59</f>
        <v>181</v>
      </c>
      <c r="N45" s="2">
        <f>234-63-66</f>
        <v>105</v>
      </c>
      <c r="O45" s="2">
        <v>491</v>
      </c>
      <c r="P45" s="2">
        <f>+O45</f>
        <v>491</v>
      </c>
      <c r="Q45" s="2">
        <f>+P45</f>
        <v>491</v>
      </c>
      <c r="R45" s="2">
        <f>+Q45</f>
        <v>491</v>
      </c>
      <c r="S45" s="2">
        <f>+R45</f>
        <v>491</v>
      </c>
      <c r="Y45" s="2">
        <v>92</v>
      </c>
      <c r="Z45" s="2">
        <v>124</v>
      </c>
      <c r="AA45" s="2">
        <v>-123</v>
      </c>
      <c r="AB45" s="2">
        <f>29-236+107</f>
        <v>-100</v>
      </c>
      <c r="AC45" s="2">
        <f>267-262-48</f>
        <v>-43</v>
      </c>
      <c r="AD45" s="2">
        <f>866-257+237</f>
        <v>846</v>
      </c>
      <c r="AE45" s="2">
        <f>SUM(P45:S45)</f>
        <v>1964</v>
      </c>
      <c r="AF45" s="2">
        <f>+AE58*$AN$52</f>
        <v>799.85899999999992</v>
      </c>
      <c r="AG45" s="2">
        <f>+AF58*$AN$52</f>
        <v>1621.8584615</v>
      </c>
      <c r="AH45" s="2">
        <f>+AG58*$AN$52</f>
        <v>2683.3959050227504</v>
      </c>
      <c r="AI45" s="2">
        <f>+AH58*$AN$52</f>
        <v>3986.4954239064436</v>
      </c>
      <c r="AJ45" s="2">
        <f>+AI58*$AN$52</f>
        <v>5509.8233027375582</v>
      </c>
    </row>
    <row r="46" spans="2:82" s="2" customFormat="1" x14ac:dyDescent="0.15">
      <c r="B46" s="2" t="s">
        <v>10</v>
      </c>
      <c r="C46" s="5">
        <f>+C44+C45</f>
        <v>1470</v>
      </c>
      <c r="D46" s="5">
        <f>+D44+D45</f>
        <v>2044</v>
      </c>
      <c r="E46" s="5">
        <f>+E44+E45</f>
        <v>2394</v>
      </c>
      <c r="F46" s="5">
        <f>+F44+F45</f>
        <v>2638</v>
      </c>
      <c r="G46" s="5">
        <f>+G44+G45</f>
        <v>2865</v>
      </c>
      <c r="H46" s="5">
        <f>+H44+H45</f>
        <v>3158</v>
      </c>
      <c r="I46" s="5">
        <f>+I44+I45</f>
        <v>475</v>
      </c>
      <c r="J46" s="5">
        <f>+J44+J45</f>
        <v>613</v>
      </c>
      <c r="K46" s="5">
        <f>+K44+K45</f>
        <v>1288</v>
      </c>
      <c r="L46" s="5">
        <f>+L44+L45</f>
        <v>2209</v>
      </c>
      <c r="M46" s="5">
        <f>+M44+M45</f>
        <v>6981</v>
      </c>
      <c r="N46" s="5">
        <f t="shared" ref="N46:S46" si="20">+N44+N45</f>
        <v>10522</v>
      </c>
      <c r="O46" s="5">
        <f t="shared" si="20"/>
        <v>14106</v>
      </c>
      <c r="P46" s="5">
        <f t="shared" si="20"/>
        <v>15954.400000000001</v>
      </c>
      <c r="Q46" s="5">
        <f t="shared" si="20"/>
        <v>17716.400000000001</v>
      </c>
      <c r="R46" s="5">
        <f t="shared" si="20"/>
        <v>19547.2</v>
      </c>
      <c r="S46" s="5">
        <f t="shared" si="20"/>
        <v>21736</v>
      </c>
      <c r="Y46" s="2">
        <f>+Y44+Y45</f>
        <v>3896</v>
      </c>
      <c r="Z46" s="2">
        <f>+Z44+Z45</f>
        <v>2970</v>
      </c>
      <c r="AA46" s="2">
        <f>+AA44+AA45</f>
        <v>4409</v>
      </c>
      <c r="AB46" s="2">
        <f>+AB44+AB45</f>
        <v>9941</v>
      </c>
      <c r="AC46" s="2">
        <f>+AC44+AC45</f>
        <v>5534</v>
      </c>
      <c r="AD46" s="2">
        <f>+AD44+AD45</f>
        <v>33818</v>
      </c>
      <c r="AE46" s="2">
        <f>+AE44+AE45</f>
        <v>74954</v>
      </c>
      <c r="AF46" s="2">
        <f t="shared" ref="AF46:AJ46" si="21">+AF44+AF45</f>
        <v>96705.818999999989</v>
      </c>
      <c r="AG46" s="2">
        <f t="shared" si="21"/>
        <v>124886.7580615</v>
      </c>
      <c r="AH46" s="2">
        <f t="shared" si="21"/>
        <v>153305.82575102276</v>
      </c>
      <c r="AI46" s="2">
        <f t="shared" si="21"/>
        <v>179215.04456836643</v>
      </c>
      <c r="AJ46" s="2">
        <f t="shared" si="21"/>
        <v>190080.62343864213</v>
      </c>
    </row>
    <row r="47" spans="2:82" s="2" customFormat="1" x14ac:dyDescent="0.15">
      <c r="B47" s="2" t="s">
        <v>9</v>
      </c>
      <c r="C47" s="5">
        <v>13</v>
      </c>
      <c r="D47" s="5">
        <v>132</v>
      </c>
      <c r="E47" s="5">
        <v>20</v>
      </c>
      <c r="F47" s="5">
        <v>174</v>
      </c>
      <c r="G47" s="5">
        <v>-138</v>
      </c>
      <c r="H47" s="5">
        <v>187</v>
      </c>
      <c r="I47" s="5">
        <v>-181</v>
      </c>
      <c r="J47" s="5">
        <v>-67</v>
      </c>
      <c r="K47" s="5">
        <f>AC47-J47-I47-H47</f>
        <v>61</v>
      </c>
      <c r="L47" s="5">
        <v>166</v>
      </c>
      <c r="M47" s="2">
        <v>793</v>
      </c>
      <c r="N47" s="2">
        <v>1279</v>
      </c>
      <c r="O47" s="2">
        <v>1821</v>
      </c>
      <c r="P47" s="2">
        <f>+P46*0.15</f>
        <v>2393.1600000000003</v>
      </c>
      <c r="Q47" s="2">
        <f>+Q46*0.15</f>
        <v>2657.46</v>
      </c>
      <c r="R47" s="2">
        <f>+R46*0.15</f>
        <v>2932.08</v>
      </c>
      <c r="S47" s="2">
        <f>+S46*0.15</f>
        <v>3260.4</v>
      </c>
      <c r="Y47" s="2">
        <v>-245</v>
      </c>
      <c r="Z47" s="2">
        <v>174</v>
      </c>
      <c r="AA47" s="2">
        <v>77</v>
      </c>
      <c r="AB47" s="2">
        <v>189</v>
      </c>
      <c r="AC47" s="2">
        <v>0</v>
      </c>
      <c r="AD47" s="2">
        <v>4058</v>
      </c>
      <c r="AE47" s="2">
        <f>SUM(P47:S47)</f>
        <v>11243.1</v>
      </c>
      <c r="AF47" s="2">
        <f>+AF46*0.15</f>
        <v>14505.872849999998</v>
      </c>
      <c r="AG47" s="2">
        <f>+AG46*0.15</f>
        <v>18733.013709225001</v>
      </c>
      <c r="AH47" s="2">
        <f>+AH46*0.15</f>
        <v>22995.873862653414</v>
      </c>
      <c r="AI47" s="2">
        <f>+AI46*0.15</f>
        <v>26882.256685254964</v>
      </c>
      <c r="AJ47" s="2">
        <f>+AJ46*0.15</f>
        <v>28512.093515796318</v>
      </c>
    </row>
    <row r="48" spans="2:82" s="2" customFormat="1" x14ac:dyDescent="0.15">
      <c r="B48" s="2" t="s">
        <v>8</v>
      </c>
      <c r="C48" s="5">
        <f>+C46-C47</f>
        <v>1457</v>
      </c>
      <c r="D48" s="5">
        <f>+D46-D47</f>
        <v>1912</v>
      </c>
      <c r="E48" s="5">
        <f>+E46-E47</f>
        <v>2374</v>
      </c>
      <c r="F48" s="5">
        <f>+F46-F47</f>
        <v>2464</v>
      </c>
      <c r="G48" s="5">
        <f>+G46-G47</f>
        <v>3003</v>
      </c>
      <c r="H48" s="5">
        <f>+H46-H47</f>
        <v>2971</v>
      </c>
      <c r="I48" s="5">
        <f>+I46-I47</f>
        <v>656</v>
      </c>
      <c r="J48" s="5">
        <f>+J46-J47</f>
        <v>680</v>
      </c>
      <c r="K48" s="5">
        <f>+K46-K47</f>
        <v>1227</v>
      </c>
      <c r="L48" s="5">
        <f>+L46-L47</f>
        <v>2043</v>
      </c>
      <c r="M48" s="2">
        <f>M46-M47</f>
        <v>6188</v>
      </c>
      <c r="N48" s="2">
        <f t="shared" ref="N48" si="22">N46-N47</f>
        <v>9243</v>
      </c>
      <c r="O48" s="2">
        <f>+O46-O47</f>
        <v>12285</v>
      </c>
      <c r="P48" s="2">
        <f>+P46-P47</f>
        <v>13561.240000000002</v>
      </c>
      <c r="Q48" s="2">
        <f t="shared" ref="Q48:S48" si="23">+Q46-Q47</f>
        <v>15058.940000000002</v>
      </c>
      <c r="R48" s="2">
        <f t="shared" si="23"/>
        <v>16615.120000000003</v>
      </c>
      <c r="S48" s="2">
        <f t="shared" si="23"/>
        <v>18475.599999999999</v>
      </c>
      <c r="Y48" s="2">
        <f>+Y46-Y47</f>
        <v>4141</v>
      </c>
      <c r="Z48" s="2">
        <f>+Z46-Z47</f>
        <v>2796</v>
      </c>
      <c r="AA48" s="2">
        <f>+AA46-AA47</f>
        <v>4332</v>
      </c>
      <c r="AB48" s="2">
        <f>+AB46-AB47</f>
        <v>9752</v>
      </c>
      <c r="AC48" s="2">
        <f>+AC46-AC47</f>
        <v>5534</v>
      </c>
      <c r="AD48" s="2">
        <f>+AD46-AD47</f>
        <v>29760</v>
      </c>
      <c r="AE48" s="2">
        <f>+AE46-AE47</f>
        <v>63710.9</v>
      </c>
      <c r="AF48" s="2">
        <f t="shared" ref="AF48:AJ48" si="24">+AF46-AF47</f>
        <v>82199.946149999989</v>
      </c>
      <c r="AG48" s="2">
        <f t="shared" si="24"/>
        <v>106153.74435227501</v>
      </c>
      <c r="AH48" s="2">
        <f t="shared" si="24"/>
        <v>130309.95188836934</v>
      </c>
      <c r="AI48" s="2">
        <f t="shared" si="24"/>
        <v>152332.78788311145</v>
      </c>
      <c r="AJ48" s="2">
        <f t="shared" si="24"/>
        <v>161568.5299228458</v>
      </c>
      <c r="AK48" s="2">
        <f>AJ48*(1+$AN$53)</f>
        <v>164799.90052130271</v>
      </c>
      <c r="AL48" s="2">
        <f>AK48*(1+$AN$53)</f>
        <v>168095.89853172877</v>
      </c>
      <c r="AM48" s="2">
        <f>AL48*(1+$AN$53)</f>
        <v>171457.81650236336</v>
      </c>
      <c r="AN48" s="2">
        <f>AM48*(1+$AN$53)</f>
        <v>174886.97283241063</v>
      </c>
      <c r="AO48" s="2">
        <f>AN48*(1+$AN$53)</f>
        <v>178384.71228905884</v>
      </c>
      <c r="AP48" s="2">
        <f>AO48*(1+$AN$53)</f>
        <v>181952.40653484</v>
      </c>
      <c r="AQ48" s="2">
        <f>AP48*(1+$AN$53)</f>
        <v>185591.45466553682</v>
      </c>
      <c r="AR48" s="2">
        <f>AQ48*(1+$AN$53)</f>
        <v>189303.28375884757</v>
      </c>
      <c r="AS48" s="2">
        <f>AR48*(1+$AN$53)</f>
        <v>193089.34943402451</v>
      </c>
      <c r="AT48" s="2">
        <f>AS48*(1+$AN$53)</f>
        <v>196951.13642270499</v>
      </c>
      <c r="AU48" s="2">
        <f>AT48*(1+$AN$53)</f>
        <v>200890.15915115911</v>
      </c>
      <c r="AV48" s="2">
        <f>AU48*(1+$AN$53)</f>
        <v>204907.96233418229</v>
      </c>
      <c r="AW48" s="2">
        <f>AV48*(1+$AN$53)</f>
        <v>209006.12158086593</v>
      </c>
      <c r="AX48" s="2">
        <f>AW48*(1+$AN$53)</f>
        <v>213186.24401248325</v>
      </c>
      <c r="AY48" s="2">
        <f>AX48*(1+$AN$53)</f>
        <v>217449.96889273293</v>
      </c>
      <c r="AZ48" s="2">
        <f>AY48*(1+$AN$53)</f>
        <v>221798.96827058759</v>
      </c>
      <c r="BA48" s="2">
        <f>AZ48*(1+$AN$53)</f>
        <v>226234.94763599936</v>
      </c>
      <c r="BB48" s="2">
        <f>BA48*(1+$AN$53)</f>
        <v>230759.64658871933</v>
      </c>
      <c r="BC48" s="2">
        <f>BB48*(1+$AN$53)</f>
        <v>235374.83952049373</v>
      </c>
      <c r="BD48" s="2">
        <f>BC48*(1+$AN$53)</f>
        <v>240082.3363109036</v>
      </c>
      <c r="BE48" s="2">
        <f>BD48*(1+$AN$53)</f>
        <v>244883.98303712168</v>
      </c>
      <c r="BF48" s="2">
        <f>BE48*(1+$AN$53)</f>
        <v>249781.66269786411</v>
      </c>
      <c r="BG48" s="2">
        <f>BF48*(1+$AN$53)</f>
        <v>254777.2959518214</v>
      </c>
      <c r="BH48" s="2">
        <f>BG48*(1+$AN$53)</f>
        <v>259872.84187085784</v>
      </c>
      <c r="BI48" s="2">
        <f>BH48*(1+$AN$53)</f>
        <v>265070.29870827502</v>
      </c>
      <c r="BJ48" s="2">
        <f>BI48*(1+$AN$53)</f>
        <v>270371.7046824405</v>
      </c>
      <c r="BK48" s="2">
        <f>BJ48*(1+$AN$53)</f>
        <v>275779.1387760893</v>
      </c>
      <c r="BL48" s="2">
        <f>BK48*(1+$AN$53)</f>
        <v>281294.72155161109</v>
      </c>
      <c r="BM48" s="2">
        <f>BL48*(1+$AN$53)</f>
        <v>286920.61598264333</v>
      </c>
      <c r="BN48" s="2">
        <f>BM48*(1+$AN$53)</f>
        <v>292659.02830229618</v>
      </c>
      <c r="BO48" s="2">
        <f>BN48*(1+$AN$53)</f>
        <v>298512.2088683421</v>
      </c>
      <c r="BP48" s="2">
        <f>BO48*(1+$AN$53)</f>
        <v>304482.45304570894</v>
      </c>
      <c r="BQ48" s="2">
        <f>BP48*(1+$AN$53)</f>
        <v>310572.10210662312</v>
      </c>
      <c r="BR48" s="2">
        <f>BQ48*(1+$AN$53)</f>
        <v>316783.54414875561</v>
      </c>
      <c r="BS48" s="2">
        <f>BR48*(1+$AN$53)</f>
        <v>323119.21503173071</v>
      </c>
      <c r="BT48" s="2">
        <f>BS48*(1+$AN$53)</f>
        <v>329581.59933236532</v>
      </c>
      <c r="BU48" s="2">
        <f>BT48*(1+$AN$53)</f>
        <v>336173.23131901264</v>
      </c>
      <c r="BV48" s="2">
        <f>BU48*(1+$AN$53)</f>
        <v>342896.69594539289</v>
      </c>
      <c r="BW48" s="2">
        <f>BV48*(1+$AN$53)</f>
        <v>349754.62986430078</v>
      </c>
      <c r="BX48" s="2">
        <f>BW48*(1+$AN$53)</f>
        <v>356749.72246158682</v>
      </c>
      <c r="BY48" s="2">
        <f>BX48*(1+$AN$53)</f>
        <v>363884.71691081853</v>
      </c>
      <c r="BZ48" s="2">
        <f>BY48*(1+$AN$53)</f>
        <v>371162.41124903492</v>
      </c>
      <c r="CA48" s="2">
        <f>BZ48*(1+$AN$53)</f>
        <v>378585.65947401564</v>
      </c>
      <c r="CB48" s="2">
        <f>CA48*(1+$AN$53)</f>
        <v>386157.37266349595</v>
      </c>
      <c r="CC48" s="2">
        <f>CB48*(1+$AN$53)</f>
        <v>393880.52011676587</v>
      </c>
      <c r="CD48" s="2">
        <f>CC48*(1+$AN$53)</f>
        <v>401758.13051910116</v>
      </c>
    </row>
    <row r="49" spans="2:40" x14ac:dyDescent="0.15">
      <c r="B49" t="s">
        <v>12</v>
      </c>
      <c r="C49" s="6">
        <f>+C48/C50</f>
        <v>0.57725832012678291</v>
      </c>
      <c r="D49" s="6">
        <f>+D48/D50</f>
        <v>0.75632911392405067</v>
      </c>
      <c r="E49" s="6">
        <f>+E48/E50</f>
        <v>0.93759873617693523</v>
      </c>
      <c r="F49" s="6">
        <f>+F48/F50</f>
        <v>0.97084318360914101</v>
      </c>
      <c r="G49" s="6">
        <f>+G48/G50</f>
        <v>1.1799607072691551</v>
      </c>
      <c r="H49" s="6">
        <f>+H48/H50</f>
        <v>1.1710681907765077</v>
      </c>
      <c r="I49" s="6">
        <f>+I48/I50</f>
        <v>0.26073131955484896</v>
      </c>
      <c r="J49" s="6">
        <f>+J48/J50</f>
        <v>0.27210884353741499</v>
      </c>
      <c r="K49" s="6">
        <f>+K48/K50</f>
        <v>0.48942959712804146</v>
      </c>
      <c r="L49" s="6">
        <f>+L48/L50</f>
        <v>0.82048192771084338</v>
      </c>
      <c r="M49" s="6">
        <f>+M48/M50</f>
        <v>2.4761904761904763</v>
      </c>
      <c r="N49" s="6">
        <f t="shared" ref="N49:P49" si="25">+N48/N50</f>
        <v>3.7060946271050521</v>
      </c>
      <c r="O49" s="6">
        <f t="shared" si="25"/>
        <v>4.9337349397590362</v>
      </c>
      <c r="P49" s="6">
        <f t="shared" si="25"/>
        <v>5.4462811244979923</v>
      </c>
      <c r="Q49" s="6">
        <f t="shared" ref="Q49:S49" si="26">+Q48/Q50</f>
        <v>6.0477670682730933</v>
      </c>
      <c r="R49" s="6">
        <f t="shared" si="26"/>
        <v>6.6727389558232941</v>
      </c>
      <c r="S49" s="6">
        <f t="shared" si="26"/>
        <v>7.4199196787148587</v>
      </c>
      <c r="Y49" s="16">
        <f>+Y48/Y50</f>
        <v>6.6256000000000004</v>
      </c>
      <c r="Z49" s="16">
        <f>+Z48/Z50</f>
        <v>1.1310679611650485</v>
      </c>
      <c r="AA49" s="16">
        <f>+AA48/AA50</f>
        <v>1.7258964143426294</v>
      </c>
      <c r="AB49" s="16">
        <f>+AB48/AB50</f>
        <v>3.8469428007889546</v>
      </c>
      <c r="AC49" s="16">
        <f>+AC48/AC50</f>
        <v>2.2074192261667331</v>
      </c>
      <c r="AD49" s="16">
        <f>+AD48/AD50</f>
        <v>11.932638331996792</v>
      </c>
      <c r="AE49" s="16">
        <f>+AE48/AE50</f>
        <v>25.545669607056936</v>
      </c>
      <c r="AF49" s="16">
        <f>+AF48/AF50</f>
        <v>32.959080252606249</v>
      </c>
      <c r="AG49" s="16">
        <f t="shared" ref="AG49:AJ49" si="27">+AG48/AG50</f>
        <v>42.563650502115081</v>
      </c>
      <c r="AH49" s="16">
        <f t="shared" si="27"/>
        <v>52.249379265585141</v>
      </c>
      <c r="AI49" s="16">
        <f t="shared" si="27"/>
        <v>61.07970644872151</v>
      </c>
      <c r="AJ49" s="16">
        <f t="shared" si="27"/>
        <v>64.782890907315874</v>
      </c>
    </row>
    <row r="50" spans="2:40" x14ac:dyDescent="0.15">
      <c r="B50" t="s">
        <v>13</v>
      </c>
      <c r="C50" s="5">
        <v>2524</v>
      </c>
      <c r="D50" s="5">
        <v>2528</v>
      </c>
      <c r="E50" s="5">
        <v>2532</v>
      </c>
      <c r="F50" s="5">
        <v>2538</v>
      </c>
      <c r="G50" s="5">
        <v>2545</v>
      </c>
      <c r="H50" s="5">
        <v>2537</v>
      </c>
      <c r="I50" s="5">
        <v>2516</v>
      </c>
      <c r="J50" s="5">
        <v>2499</v>
      </c>
      <c r="K50" s="5">
        <f>AC50</f>
        <v>2507</v>
      </c>
      <c r="L50" s="5">
        <v>2490</v>
      </c>
      <c r="M50" s="5">
        <v>2499</v>
      </c>
      <c r="N50" s="5">
        <v>2494</v>
      </c>
      <c r="O50" s="2">
        <v>2490</v>
      </c>
      <c r="P50" s="2">
        <f>+O50</f>
        <v>2490</v>
      </c>
      <c r="Q50" s="2">
        <f t="shared" ref="Q50:S50" si="28">+P50</f>
        <v>2490</v>
      </c>
      <c r="R50" s="2">
        <f t="shared" si="28"/>
        <v>2490</v>
      </c>
      <c r="S50" s="2">
        <f t="shared" si="28"/>
        <v>2490</v>
      </c>
      <c r="Y50" s="2">
        <v>625</v>
      </c>
      <c r="Z50" s="2">
        <v>2472</v>
      </c>
      <c r="AA50" s="2">
        <v>2510</v>
      </c>
      <c r="AB50" s="2">
        <v>2535</v>
      </c>
      <c r="AC50" s="2">
        <v>2507</v>
      </c>
      <c r="AD50" s="2">
        <v>2494</v>
      </c>
      <c r="AE50" s="2">
        <f>+AD50</f>
        <v>2494</v>
      </c>
      <c r="AF50" s="2">
        <f>+AE50</f>
        <v>2494</v>
      </c>
      <c r="AG50" s="2">
        <f t="shared" ref="AG50:AJ50" si="29">+AF50</f>
        <v>2494</v>
      </c>
      <c r="AH50" s="2">
        <f t="shared" si="29"/>
        <v>2494</v>
      </c>
      <c r="AI50" s="2">
        <f t="shared" si="29"/>
        <v>2494</v>
      </c>
      <c r="AJ50" s="2">
        <f t="shared" si="29"/>
        <v>2494</v>
      </c>
    </row>
    <row r="52" spans="2:40" x14ac:dyDescent="0.15">
      <c r="B52" t="s">
        <v>71</v>
      </c>
      <c r="F52" s="10"/>
      <c r="G52" s="10">
        <f t="shared" ref="G52:O52" si="30">+G38/C38-1</f>
        <v>0.52768338996602049</v>
      </c>
      <c r="H52" s="10">
        <f t="shared" si="30"/>
        <v>0.46405228758169925</v>
      </c>
      <c r="I52" s="10">
        <f t="shared" si="30"/>
        <v>3.0275088366374714E-2</v>
      </c>
      <c r="J52" s="10">
        <f t="shared" si="30"/>
        <v>-0.16500070392791777</v>
      </c>
      <c r="K52" s="10">
        <f t="shared" si="30"/>
        <v>-0.20829517205285886</v>
      </c>
      <c r="L52" s="10">
        <f t="shared" si="30"/>
        <v>-0.13223938223938225</v>
      </c>
      <c r="M52" s="10">
        <f t="shared" si="30"/>
        <v>1.0147673031026252</v>
      </c>
      <c r="N52" s="10">
        <f t="shared" si="30"/>
        <v>2.0551340414769852</v>
      </c>
      <c r="O52" s="10">
        <f t="shared" si="30"/>
        <v>2.6527846636919516</v>
      </c>
      <c r="P52" s="10">
        <f t="shared" ref="P52" si="31">+P38/L38-1</f>
        <v>2.4329810901001112</v>
      </c>
      <c r="Q52" s="10">
        <f t="shared" ref="Q52" si="32">+Q38/M38-1</f>
        <v>0.98563707707114823</v>
      </c>
      <c r="R52" s="10">
        <f t="shared" ref="R52" si="33">+R38/N38-1</f>
        <v>0.62030905077262699</v>
      </c>
      <c r="S52" s="10">
        <f t="shared" ref="S52" si="34">+S38/O38-1</f>
        <v>0.4455051350495407</v>
      </c>
      <c r="W52" s="10">
        <f t="shared" ref="W52:Z52" si="35">+W38/V38-1</f>
        <v>0.37924151696606789</v>
      </c>
      <c r="X52" s="10">
        <f t="shared" si="35"/>
        <v>0.40578871201157751</v>
      </c>
      <c r="Y52" s="10">
        <f t="shared" si="35"/>
        <v>0.20609429689108505</v>
      </c>
      <c r="Z52" s="10">
        <f>+Z38/Y38-1</f>
        <v>-6.8111983612154314E-2</v>
      </c>
      <c r="AA52" s="10">
        <f>+AA38/Z38-1</f>
        <v>0.52729437625938824</v>
      </c>
      <c r="AB52" s="10">
        <f>+AB38/AA38-1</f>
        <v>0.61403298350824587</v>
      </c>
      <c r="AC52" s="10">
        <f>+AC38/AB38-1</f>
        <v>2.2293230289069932E-3</v>
      </c>
      <c r="AD52" s="10">
        <f>+AD38/AC38-1</f>
        <v>1.2585452658115224</v>
      </c>
      <c r="AE52" s="10">
        <f>+AE38/AD38-1</f>
        <v>0.85187616952824929</v>
      </c>
      <c r="AF52" s="10">
        <f t="shared" ref="AF52:AJ52" si="36">+AF38/AE38-1</f>
        <v>0.30000000000000004</v>
      </c>
      <c r="AG52" s="10">
        <f t="shared" si="36"/>
        <v>0.25</v>
      </c>
      <c r="AH52" s="10">
        <f t="shared" si="36"/>
        <v>0.19999999999999996</v>
      </c>
      <c r="AI52" s="10">
        <f t="shared" si="36"/>
        <v>0.14999999999999991</v>
      </c>
      <c r="AJ52" s="10">
        <f t="shared" si="36"/>
        <v>5.0000000000000044E-2</v>
      </c>
      <c r="AM52" t="s">
        <v>170</v>
      </c>
      <c r="AN52" s="10">
        <v>0.01</v>
      </c>
    </row>
    <row r="53" spans="2:40" x14ac:dyDescent="0.15">
      <c r="B53" t="s">
        <v>72</v>
      </c>
      <c r="D53" s="10">
        <f t="shared" ref="D53:O53" si="37">+D38/C38-1</f>
        <v>0.13152108734759138</v>
      </c>
      <c r="E53" s="10">
        <f t="shared" si="37"/>
        <v>0.14944356120826718</v>
      </c>
      <c r="F53" s="10">
        <f t="shared" si="37"/>
        <v>9.1593668357153879E-2</v>
      </c>
      <c r="G53" s="10">
        <f t="shared" si="37"/>
        <v>7.6024215120371608E-2</v>
      </c>
      <c r="H53" s="10">
        <f t="shared" si="37"/>
        <v>8.4390945963626951E-2</v>
      </c>
      <c r="I53" s="10">
        <f t="shared" si="37"/>
        <v>-0.19111969111969107</v>
      </c>
      <c r="J53" s="10">
        <f t="shared" si="37"/>
        <v>-0.11530429594272074</v>
      </c>
      <c r="K53" s="10">
        <f t="shared" si="37"/>
        <v>2.0232675771370667E-2</v>
      </c>
      <c r="L53" s="10">
        <f t="shared" si="37"/>
        <v>0.1885638737398776</v>
      </c>
      <c r="M53" s="10">
        <f t="shared" si="37"/>
        <v>0.87805895439377091</v>
      </c>
      <c r="N53" s="10">
        <f t="shared" si="37"/>
        <v>0.34152661582882948</v>
      </c>
      <c r="O53" s="10">
        <f t="shared" si="37"/>
        <v>0.21981236203090515</v>
      </c>
      <c r="P53" s="10">
        <f t="shared" ref="P53" si="38">+P38/O38-1</f>
        <v>0.11704293534814281</v>
      </c>
      <c r="Q53" s="10">
        <f t="shared" ref="Q53" si="39">+Q38/P38-1</f>
        <v>8.6269744835965945E-2</v>
      </c>
      <c r="R53" s="10">
        <f t="shared" ref="R53" si="40">+R38/Q38-1</f>
        <v>9.4705443698732239E-2</v>
      </c>
      <c r="S53" s="10">
        <f t="shared" ref="S53" si="41">+S38/R38-1</f>
        <v>8.8215258855585788E-2</v>
      </c>
      <c r="AM53" t="s">
        <v>167</v>
      </c>
      <c r="AN53" s="10">
        <v>0.02</v>
      </c>
    </row>
    <row r="54" spans="2:40" x14ac:dyDescent="0.15">
      <c r="B54" t="s">
        <v>73</v>
      </c>
      <c r="E54" s="10">
        <f t="shared" ref="E54:O54" si="42">+E36/D36-1</f>
        <v>0.15609756097560967</v>
      </c>
      <c r="F54" s="10">
        <f t="shared" si="42"/>
        <v>0.240506329113924</v>
      </c>
      <c r="G54" s="10">
        <f t="shared" si="42"/>
        <v>0.10884353741496589</v>
      </c>
      <c r="H54" s="10">
        <f t="shared" si="42"/>
        <v>0.15030674846625769</v>
      </c>
      <c r="I54" s="10">
        <f t="shared" si="42"/>
        <v>1.6000000000000014E-2</v>
      </c>
      <c r="J54" s="10">
        <f t="shared" si="42"/>
        <v>6.0367454068241955E-3</v>
      </c>
      <c r="K54" s="10">
        <f t="shared" si="42"/>
        <v>-5.5570049569527824E-2</v>
      </c>
      <c r="L54" s="10">
        <f t="shared" si="42"/>
        <v>0.18342541436464099</v>
      </c>
      <c r="M54" s="10">
        <f t="shared" si="42"/>
        <v>1.4096638655462184</v>
      </c>
      <c r="N54" s="10">
        <f t="shared" si="42"/>
        <v>0.40598663179308336</v>
      </c>
      <c r="O54" s="10">
        <f t="shared" si="42"/>
        <v>0.26677690505718621</v>
      </c>
      <c r="P54" s="10">
        <f t="shared" ref="P54" si="43">+P36/O36-1</f>
        <v>0.54465354073751771</v>
      </c>
      <c r="Q54" s="10">
        <f t="shared" ref="Q54" si="44">+Q36/P36-1</f>
        <v>-1</v>
      </c>
      <c r="R54" s="10" t="e">
        <f t="shared" ref="R54" si="45">+R36/Q36-1</f>
        <v>#DIV/0!</v>
      </c>
      <c r="S54" s="10" t="e">
        <f t="shared" ref="S54" si="46">+S36/R36-1</f>
        <v>#DIV/0!</v>
      </c>
      <c r="AM54" t="s">
        <v>168</v>
      </c>
      <c r="AN54" s="10">
        <v>0.08</v>
      </c>
    </row>
    <row r="55" spans="2:40" x14ac:dyDescent="0.15">
      <c r="B55" t="s">
        <v>5</v>
      </c>
      <c r="C55" s="7">
        <f>C40/C38</f>
        <v>0.6310213871676994</v>
      </c>
      <c r="D55" s="7">
        <f>D40/D38</f>
        <v>0.6410528175234057</v>
      </c>
      <c r="E55" s="7">
        <f>E40/E38</f>
        <v>0.64776394651913327</v>
      </c>
      <c r="F55" s="7">
        <f>F40/F38</f>
        <v>0.65197803744896521</v>
      </c>
      <c r="G55" s="7">
        <f>G40/G38</f>
        <v>0.65406254088708626</v>
      </c>
      <c r="H55" s="7">
        <f>H40/H38</f>
        <v>0.65528474903474898</v>
      </c>
      <c r="I55" s="7">
        <f>I40/I38</f>
        <v>0.43481503579952269</v>
      </c>
      <c r="J55" s="7">
        <f>J40/J38</f>
        <v>0.53566009104704093</v>
      </c>
      <c r="K55" s="7">
        <f>K40/K38</f>
        <v>0.63344901669145592</v>
      </c>
      <c r="L55" s="7">
        <f>L40/L38</f>
        <v>0.64627363737486099</v>
      </c>
      <c r="M55" s="7">
        <f>M40/M38</f>
        <v>0.7005256533649219</v>
      </c>
      <c r="N55" s="7">
        <f>N40/N38</f>
        <v>0.73951434878587197</v>
      </c>
      <c r="O55" s="7">
        <f>O40/O38</f>
        <v>0.75967063294575399</v>
      </c>
      <c r="P55" s="7">
        <f t="shared" ref="P55:S55" si="47">P40/P38</f>
        <v>0.76</v>
      </c>
      <c r="Q55" s="7">
        <f t="shared" si="47"/>
        <v>0.77</v>
      </c>
      <c r="R55" s="7">
        <f t="shared" si="47"/>
        <v>0.77</v>
      </c>
      <c r="S55" s="7">
        <f t="shared" si="47"/>
        <v>0.78</v>
      </c>
      <c r="AM55" t="s">
        <v>169</v>
      </c>
      <c r="AN55" s="2">
        <f>NPV(AN54,AE48:CD48)</f>
        <v>2121023.2707946864</v>
      </c>
    </row>
    <row r="56" spans="2:40" x14ac:dyDescent="0.15">
      <c r="B56" t="s">
        <v>24</v>
      </c>
      <c r="C56" s="7">
        <f t="shared" ref="C56:H56" si="48">C36/C38</f>
        <v>0</v>
      </c>
      <c r="D56" s="7">
        <f t="shared" si="48"/>
        <v>0.36212683271506801</v>
      </c>
      <c r="E56" s="7">
        <f t="shared" si="48"/>
        <v>0.36422314430613184</v>
      </c>
      <c r="F56" s="7">
        <f t="shared" si="48"/>
        <v>0.41390961565535689</v>
      </c>
      <c r="G56" s="7">
        <f t="shared" si="48"/>
        <v>0.42653408347507521</v>
      </c>
      <c r="H56" s="7">
        <f t="shared" si="48"/>
        <v>0.45246138996138996</v>
      </c>
      <c r="I56" s="7">
        <f t="shared" ref="I56:N56" si="49">I36/I38</f>
        <v>0.56831742243436756</v>
      </c>
      <c r="J56" s="7">
        <f t="shared" si="49"/>
        <v>0.64626538526386779</v>
      </c>
      <c r="K56" s="7">
        <f t="shared" si="49"/>
        <v>0.59824822343414308</v>
      </c>
      <c r="L56" s="7">
        <f t="shared" si="49"/>
        <v>0.59566184649610676</v>
      </c>
      <c r="M56" s="7">
        <f t="shared" si="49"/>
        <v>0.76427037832235134</v>
      </c>
      <c r="N56" s="7">
        <f t="shared" si="49"/>
        <v>0.80099337748344368</v>
      </c>
      <c r="O56" s="7">
        <f t="shared" ref="O56:S56" si="50">O36/O38</f>
        <v>0.83183278288015206</v>
      </c>
      <c r="P56" s="7">
        <f t="shared" si="50"/>
        <v>1.1502632644795463</v>
      </c>
      <c r="Q56" s="7">
        <f t="shared" si="50"/>
        <v>0</v>
      </c>
      <c r="R56" s="7">
        <f t="shared" si="50"/>
        <v>0</v>
      </c>
      <c r="S56" s="7">
        <f t="shared" si="50"/>
        <v>0</v>
      </c>
    </row>
    <row r="58" spans="2:40" x14ac:dyDescent="0.15">
      <c r="B58" t="s">
        <v>165</v>
      </c>
      <c r="G58" s="2">
        <f>+G59-G72</f>
        <v>0</v>
      </c>
      <c r="H58" s="2">
        <f>+H59-H72</f>
        <v>9391</v>
      </c>
      <c r="I58" s="2">
        <f>+I59-I72</f>
        <v>6088</v>
      </c>
      <c r="J58" s="2">
        <f>+J59-J72</f>
        <v>2193</v>
      </c>
      <c r="K58" s="2">
        <f>+K59-K72</f>
        <v>2343</v>
      </c>
      <c r="L58" s="2">
        <f>+L59-L72</f>
        <v>4366</v>
      </c>
      <c r="M58" s="2">
        <f>+M59-M72</f>
        <v>6318</v>
      </c>
      <c r="N58" s="2">
        <f>+N59-N72</f>
        <v>8575</v>
      </c>
      <c r="O58" s="2">
        <f>+O59-O72</f>
        <v>16275</v>
      </c>
      <c r="P58" s="2">
        <f t="shared" ref="P58:S58" si="51">+P59-P72</f>
        <v>0</v>
      </c>
      <c r="Q58" s="2">
        <f t="shared" si="51"/>
        <v>0</v>
      </c>
      <c r="R58" s="2">
        <f t="shared" si="51"/>
        <v>0</v>
      </c>
      <c r="S58" s="2">
        <f t="shared" si="51"/>
        <v>0</v>
      </c>
      <c r="AD58" s="2">
        <f>O58</f>
        <v>16275</v>
      </c>
      <c r="AE58" s="2">
        <f>+AD58+AE48</f>
        <v>79985.899999999994</v>
      </c>
      <c r="AF58" s="2">
        <f>+AE58+AF48</f>
        <v>162185.84615</v>
      </c>
      <c r="AG58" s="2">
        <f>+AF58+AG48</f>
        <v>268339.59050227504</v>
      </c>
      <c r="AH58" s="2">
        <f>+AG58+AH48</f>
        <v>398649.54239064438</v>
      </c>
      <c r="AI58" s="2">
        <f>+AH58+AI48</f>
        <v>550982.33027375583</v>
      </c>
      <c r="AJ58" s="2">
        <f>+AI58+AJ48</f>
        <v>712550.8601966016</v>
      </c>
    </row>
    <row r="59" spans="2:40" s="2" customFormat="1" x14ac:dyDescent="0.15">
      <c r="B59" s="2" t="s">
        <v>38</v>
      </c>
      <c r="C59" s="5"/>
      <c r="D59" s="5"/>
      <c r="E59" s="5"/>
      <c r="F59" s="5"/>
      <c r="G59" s="5"/>
      <c r="H59" s="5">
        <f>3887+16451</f>
        <v>20338</v>
      </c>
      <c r="I59" s="5">
        <f>3013+14024</f>
        <v>17037</v>
      </c>
      <c r="J59" s="5">
        <f>2800+10343</f>
        <v>13143</v>
      </c>
      <c r="K59" s="5">
        <f>3389+9907</f>
        <v>13296</v>
      </c>
      <c r="L59" s="2">
        <f>5079+10241</f>
        <v>15320</v>
      </c>
      <c r="M59" s="2">
        <f>5783+10240</f>
        <v>16023</v>
      </c>
      <c r="N59" s="2">
        <f>5519+12762</f>
        <v>18281</v>
      </c>
      <c r="O59" s="2">
        <f>7280+18704</f>
        <v>25984</v>
      </c>
      <c r="AD59" s="2">
        <f t="shared" ref="AD59:AD76" si="52">O59</f>
        <v>25984</v>
      </c>
    </row>
    <row r="60" spans="2:40" s="2" customFormat="1" x14ac:dyDescent="0.15">
      <c r="B60" s="2" t="s">
        <v>39</v>
      </c>
      <c r="C60" s="5"/>
      <c r="D60" s="5"/>
      <c r="E60" s="5"/>
      <c r="F60" s="5"/>
      <c r="G60" s="5"/>
      <c r="H60" s="5">
        <v>5438</v>
      </c>
      <c r="I60" s="5">
        <v>5317</v>
      </c>
      <c r="J60" s="5">
        <v>4908</v>
      </c>
      <c r="K60" s="5">
        <v>3827</v>
      </c>
      <c r="L60" s="2">
        <v>4080</v>
      </c>
      <c r="M60" s="2">
        <v>7066</v>
      </c>
      <c r="N60" s="2">
        <v>8309</v>
      </c>
      <c r="O60" s="2">
        <v>9999</v>
      </c>
      <c r="AD60" s="2">
        <f t="shared" si="52"/>
        <v>9999</v>
      </c>
    </row>
    <row r="61" spans="2:40" s="2" customFormat="1" x14ac:dyDescent="0.15">
      <c r="B61" s="2" t="s">
        <v>40</v>
      </c>
      <c r="C61" s="5"/>
      <c r="D61" s="5"/>
      <c r="E61" s="5"/>
      <c r="F61" s="5"/>
      <c r="G61" s="5"/>
      <c r="H61" s="5">
        <v>3163</v>
      </c>
      <c r="I61" s="5">
        <v>3889</v>
      </c>
      <c r="J61" s="5">
        <v>4454</v>
      </c>
      <c r="K61" s="5">
        <v>5159</v>
      </c>
      <c r="L61" s="2">
        <v>4611</v>
      </c>
      <c r="M61" s="2">
        <v>4319</v>
      </c>
      <c r="N61" s="2">
        <v>4779</v>
      </c>
      <c r="O61" s="2">
        <v>5282</v>
      </c>
      <c r="AD61" s="2">
        <f t="shared" si="52"/>
        <v>5282</v>
      </c>
    </row>
    <row r="62" spans="2:40" s="2" customFormat="1" x14ac:dyDescent="0.15">
      <c r="B62" s="2" t="s">
        <v>41</v>
      </c>
      <c r="C62" s="5"/>
      <c r="D62" s="5"/>
      <c r="E62" s="5"/>
      <c r="F62" s="5"/>
      <c r="G62" s="5"/>
      <c r="H62" s="5">
        <v>636</v>
      </c>
      <c r="I62" s="5">
        <v>1175</v>
      </c>
      <c r="J62" s="5">
        <v>718</v>
      </c>
      <c r="K62" s="5">
        <v>791</v>
      </c>
      <c r="L62" s="2">
        <v>872</v>
      </c>
      <c r="M62" s="2">
        <v>1389</v>
      </c>
      <c r="N62" s="2">
        <v>1289</v>
      </c>
      <c r="O62" s="2">
        <v>3080</v>
      </c>
      <c r="AD62" s="2">
        <f t="shared" si="52"/>
        <v>3080</v>
      </c>
    </row>
    <row r="63" spans="2:40" s="2" customFormat="1" x14ac:dyDescent="0.15">
      <c r="B63" s="2" t="s">
        <v>42</v>
      </c>
      <c r="C63" s="5"/>
      <c r="D63" s="5"/>
      <c r="E63" s="5"/>
      <c r="F63" s="5"/>
      <c r="G63" s="5"/>
      <c r="H63" s="5">
        <v>2916</v>
      </c>
      <c r="I63" s="5">
        <v>3233</v>
      </c>
      <c r="J63" s="5">
        <v>3774</v>
      </c>
      <c r="K63" s="5">
        <v>3807</v>
      </c>
      <c r="L63" s="2">
        <v>3740</v>
      </c>
      <c r="M63" s="2">
        <v>3799</v>
      </c>
      <c r="N63" s="2">
        <v>3844</v>
      </c>
      <c r="O63" s="2">
        <v>3914</v>
      </c>
      <c r="AD63" s="2">
        <f t="shared" si="52"/>
        <v>3914</v>
      </c>
    </row>
    <row r="64" spans="2:40" s="2" customFormat="1" x14ac:dyDescent="0.15">
      <c r="B64" s="2" t="s">
        <v>43</v>
      </c>
      <c r="C64" s="5"/>
      <c r="D64" s="5"/>
      <c r="E64" s="5"/>
      <c r="F64" s="5"/>
      <c r="G64" s="5"/>
      <c r="H64" s="5">
        <v>856</v>
      </c>
      <c r="I64" s="5">
        <v>852</v>
      </c>
      <c r="J64" s="5">
        <v>927</v>
      </c>
      <c r="K64" s="5">
        <v>1038</v>
      </c>
      <c r="L64" s="2">
        <v>1094</v>
      </c>
      <c r="M64" s="2">
        <v>1235</v>
      </c>
      <c r="N64" s="2">
        <v>1316</v>
      </c>
      <c r="O64" s="2">
        <v>1346</v>
      </c>
      <c r="AD64" s="2">
        <f t="shared" si="52"/>
        <v>1346</v>
      </c>
    </row>
    <row r="65" spans="2:30" s="2" customFormat="1" x14ac:dyDescent="0.15">
      <c r="B65" s="2" t="s">
        <v>44</v>
      </c>
      <c r="C65" s="5"/>
      <c r="D65" s="5"/>
      <c r="E65" s="5"/>
      <c r="F65" s="5"/>
      <c r="G65" s="5"/>
      <c r="H65" s="5">
        <f>4365+2211</f>
        <v>6576</v>
      </c>
      <c r="I65" s="5">
        <f>4372+2036</f>
        <v>6408</v>
      </c>
      <c r="J65" s="5">
        <f>4372+1850</f>
        <v>6222</v>
      </c>
      <c r="K65" s="5">
        <f>4372+1676</f>
        <v>6048</v>
      </c>
      <c r="L65" s="2">
        <f>4430+1541</f>
        <v>5971</v>
      </c>
      <c r="M65" s="2">
        <f>4430+1395</f>
        <v>5825</v>
      </c>
      <c r="N65" s="2">
        <f>4430+1251</f>
        <v>5681</v>
      </c>
      <c r="O65" s="2">
        <f>4430+1112</f>
        <v>5542</v>
      </c>
      <c r="AD65" s="2">
        <f t="shared" si="52"/>
        <v>5542</v>
      </c>
    </row>
    <row r="66" spans="2:30" s="2" customFormat="1" x14ac:dyDescent="0.15">
      <c r="B66" s="2" t="s">
        <v>9</v>
      </c>
      <c r="C66" s="5"/>
      <c r="D66" s="5"/>
      <c r="E66" s="5"/>
      <c r="F66" s="5"/>
      <c r="G66" s="5"/>
      <c r="H66" s="5">
        <v>1784</v>
      </c>
      <c r="I66" s="5">
        <v>2225</v>
      </c>
      <c r="J66" s="5">
        <v>2762</v>
      </c>
      <c r="K66" s="5">
        <v>3396</v>
      </c>
      <c r="L66" s="2">
        <v>4568</v>
      </c>
      <c r="M66" s="2">
        <v>5398</v>
      </c>
      <c r="N66" s="2">
        <v>5982</v>
      </c>
      <c r="O66" s="2">
        <v>6081</v>
      </c>
      <c r="AD66" s="2">
        <f t="shared" si="52"/>
        <v>6081</v>
      </c>
    </row>
    <row r="67" spans="2:30" s="2" customFormat="1" x14ac:dyDescent="0.15">
      <c r="B67" s="2" t="s">
        <v>45</v>
      </c>
      <c r="C67" s="5"/>
      <c r="D67" s="5"/>
      <c r="E67" s="5"/>
      <c r="F67" s="5"/>
      <c r="G67" s="5"/>
      <c r="H67" s="5">
        <v>3505</v>
      </c>
      <c r="I67" s="5">
        <v>3340</v>
      </c>
      <c r="J67" s="5">
        <v>3580</v>
      </c>
      <c r="K67" s="5">
        <v>3820</v>
      </c>
      <c r="L67" s="2">
        <v>4204</v>
      </c>
      <c r="M67" s="2">
        <v>4501</v>
      </c>
      <c r="N67" s="2">
        <v>4667</v>
      </c>
      <c r="O67" s="2">
        <v>4500</v>
      </c>
      <c r="AD67" s="2">
        <f t="shared" si="52"/>
        <v>4500</v>
      </c>
    </row>
    <row r="68" spans="2:30" s="2" customFormat="1" x14ac:dyDescent="0.15">
      <c r="B68" s="2" t="s">
        <v>37</v>
      </c>
      <c r="C68" s="5"/>
      <c r="D68" s="5"/>
      <c r="E68" s="5"/>
      <c r="F68" s="5"/>
      <c r="G68" s="2">
        <f t="shared" ref="G68:H68" si="53">SUM(G59:G67)</f>
        <v>0</v>
      </c>
      <c r="H68" s="2">
        <f t="shared" si="53"/>
        <v>45212</v>
      </c>
      <c r="I68" s="2">
        <f t="shared" ref="I68:L68" si="54">SUM(I59:I67)</f>
        <v>43476</v>
      </c>
      <c r="J68" s="2">
        <f t="shared" si="54"/>
        <v>40488</v>
      </c>
      <c r="K68" s="2">
        <f t="shared" si="54"/>
        <v>41182</v>
      </c>
      <c r="L68" s="2">
        <f t="shared" si="54"/>
        <v>44460</v>
      </c>
      <c r="M68" s="2">
        <f>SUM(M59:M67)</f>
        <v>49555</v>
      </c>
      <c r="N68" s="2">
        <f>SUM(N59:N67)</f>
        <v>54148</v>
      </c>
      <c r="O68" s="2">
        <f>SUM(O59:O67)</f>
        <v>65728</v>
      </c>
      <c r="AD68" s="2">
        <f t="shared" si="52"/>
        <v>65728</v>
      </c>
    </row>
    <row r="69" spans="2:30" s="2" customFormat="1" x14ac:dyDescent="0.15">
      <c r="C69" s="5"/>
      <c r="D69" s="5"/>
      <c r="E69" s="5"/>
      <c r="F69" s="5"/>
      <c r="G69" s="5"/>
      <c r="H69" s="5"/>
      <c r="I69" s="5"/>
      <c r="J69" s="5"/>
      <c r="K69" s="5"/>
    </row>
    <row r="70" spans="2:30" s="2" customFormat="1" x14ac:dyDescent="0.15">
      <c r="B70" s="2" t="s">
        <v>36</v>
      </c>
      <c r="C70" s="5"/>
      <c r="D70" s="5"/>
      <c r="E70" s="5"/>
      <c r="F70" s="5"/>
      <c r="G70" s="5"/>
      <c r="H70" s="5">
        <v>1999</v>
      </c>
      <c r="I70" s="5">
        <v>2421</v>
      </c>
      <c r="J70" s="5">
        <v>1491</v>
      </c>
      <c r="K70" s="5">
        <v>1193</v>
      </c>
      <c r="L70" s="2">
        <v>1141</v>
      </c>
      <c r="M70" s="2">
        <v>1929</v>
      </c>
      <c r="N70" s="2">
        <v>2380</v>
      </c>
      <c r="O70" s="2">
        <v>2699</v>
      </c>
      <c r="AD70" s="2">
        <f t="shared" si="52"/>
        <v>2699</v>
      </c>
    </row>
    <row r="71" spans="2:30" s="2" customFormat="1" x14ac:dyDescent="0.15">
      <c r="B71" s="2" t="s">
        <v>35</v>
      </c>
      <c r="C71" s="5"/>
      <c r="D71" s="5"/>
      <c r="E71" s="5"/>
      <c r="F71" s="5"/>
      <c r="G71" s="5"/>
      <c r="H71" s="5">
        <v>3563</v>
      </c>
      <c r="I71" s="5">
        <v>3903</v>
      </c>
      <c r="J71" s="5">
        <v>4115</v>
      </c>
      <c r="K71" s="5">
        <v>4120</v>
      </c>
      <c r="L71" s="2">
        <v>4869</v>
      </c>
      <c r="M71" s="2">
        <v>7156</v>
      </c>
      <c r="N71" s="2">
        <v>5472</v>
      </c>
      <c r="O71" s="2">
        <v>6682</v>
      </c>
      <c r="AD71" s="2">
        <f t="shared" si="52"/>
        <v>6682</v>
      </c>
    </row>
    <row r="72" spans="2:30" s="2" customFormat="1" x14ac:dyDescent="0.15">
      <c r="B72" s="2" t="s">
        <v>34</v>
      </c>
      <c r="C72" s="5"/>
      <c r="D72" s="5"/>
      <c r="E72" s="5"/>
      <c r="F72" s="5"/>
      <c r="G72" s="5"/>
      <c r="H72" s="5">
        <v>10947</v>
      </c>
      <c r="I72" s="5">
        <f>1249+9700</f>
        <v>10949</v>
      </c>
      <c r="J72" s="5">
        <f>+1249+9701</f>
        <v>10950</v>
      </c>
      <c r="K72" s="5">
        <f>1250+9703</f>
        <v>10953</v>
      </c>
      <c r="L72" s="2">
        <f>1250+9704</f>
        <v>10954</v>
      </c>
      <c r="M72" s="2">
        <f>1249+8456</f>
        <v>9705</v>
      </c>
      <c r="N72" s="2">
        <f>1249+8457</f>
        <v>9706</v>
      </c>
      <c r="O72" s="2">
        <f>1250+8459</f>
        <v>9709</v>
      </c>
      <c r="AD72" s="2">
        <f t="shared" si="52"/>
        <v>9709</v>
      </c>
    </row>
    <row r="73" spans="2:30" s="2" customFormat="1" x14ac:dyDescent="0.15">
      <c r="B73" s="2" t="s">
        <v>33</v>
      </c>
      <c r="C73" s="5"/>
      <c r="D73" s="5"/>
      <c r="E73" s="5"/>
      <c r="F73" s="5"/>
      <c r="G73" s="5"/>
      <c r="H73" s="5">
        <v>752</v>
      </c>
      <c r="I73" s="5">
        <v>743</v>
      </c>
      <c r="J73" s="5">
        <v>798</v>
      </c>
      <c r="K73" s="5">
        <v>902</v>
      </c>
      <c r="L73" s="2">
        <f>939</f>
        <v>939</v>
      </c>
      <c r="M73" s="2">
        <v>1041</v>
      </c>
      <c r="N73" s="2">
        <v>1091</v>
      </c>
      <c r="O73" s="2">
        <v>1119</v>
      </c>
      <c r="AD73" s="2">
        <f t="shared" si="52"/>
        <v>1119</v>
      </c>
    </row>
    <row r="74" spans="2:30" s="2" customFormat="1" x14ac:dyDescent="0.15">
      <c r="B74" s="2" t="s">
        <v>32</v>
      </c>
      <c r="C74" s="5"/>
      <c r="D74" s="5"/>
      <c r="E74" s="5"/>
      <c r="F74" s="5"/>
      <c r="G74" s="5"/>
      <c r="H74" s="5">
        <v>1631</v>
      </c>
      <c r="I74" s="5">
        <v>1609</v>
      </c>
      <c r="J74" s="5">
        <v>1785</v>
      </c>
      <c r="K74" s="5">
        <v>1913</v>
      </c>
      <c r="L74" s="2">
        <v>2037</v>
      </c>
      <c r="M74" s="2">
        <v>2223</v>
      </c>
      <c r="N74" s="2">
        <v>2234</v>
      </c>
      <c r="O74" s="2">
        <v>2541</v>
      </c>
      <c r="AD74" s="2">
        <f t="shared" si="52"/>
        <v>2541</v>
      </c>
    </row>
    <row r="75" spans="2:30" s="2" customFormat="1" x14ac:dyDescent="0.15">
      <c r="B75" s="2" t="s">
        <v>31</v>
      </c>
      <c r="C75" s="5"/>
      <c r="D75" s="5"/>
      <c r="E75" s="5"/>
      <c r="F75" s="5"/>
      <c r="G75" s="5"/>
      <c r="H75" s="5">
        <v>26320</v>
      </c>
      <c r="I75" s="5">
        <v>23851</v>
      </c>
      <c r="J75" s="5">
        <v>21349</v>
      </c>
      <c r="K75" s="5">
        <v>22101</v>
      </c>
      <c r="L75" s="2">
        <v>24520</v>
      </c>
      <c r="M75" s="2">
        <v>27501</v>
      </c>
      <c r="N75" s="2">
        <v>33265</v>
      </c>
      <c r="O75" s="2">
        <v>42978</v>
      </c>
      <c r="AD75" s="2">
        <f t="shared" si="52"/>
        <v>42978</v>
      </c>
    </row>
    <row r="76" spans="2:30" s="2" customFormat="1" x14ac:dyDescent="0.15">
      <c r="B76" s="2" t="s">
        <v>30</v>
      </c>
      <c r="C76" s="5"/>
      <c r="D76" s="5"/>
      <c r="E76" s="5"/>
      <c r="F76" s="5"/>
      <c r="G76" s="2">
        <f t="shared" ref="G76:H76" si="55">SUM(G70:G75)</f>
        <v>0</v>
      </c>
      <c r="H76" s="2">
        <f t="shared" si="55"/>
        <v>45212</v>
      </c>
      <c r="I76" s="2">
        <f t="shared" ref="I76:L76" si="56">SUM(I70:I75)</f>
        <v>43476</v>
      </c>
      <c r="J76" s="2">
        <f t="shared" si="56"/>
        <v>40488</v>
      </c>
      <c r="K76" s="2">
        <f t="shared" si="56"/>
        <v>41182</v>
      </c>
      <c r="L76" s="2">
        <f t="shared" si="56"/>
        <v>44460</v>
      </c>
      <c r="M76" s="2">
        <f>SUM(M70:M75)</f>
        <v>49555</v>
      </c>
      <c r="N76" s="2">
        <f>SUM(N70:N75)</f>
        <v>54148</v>
      </c>
      <c r="O76" s="2">
        <f>SUM(O70:O75)</f>
        <v>65728</v>
      </c>
      <c r="AD76" s="2">
        <f t="shared" si="52"/>
        <v>65728</v>
      </c>
    </row>
    <row r="77" spans="2:30" x14ac:dyDescent="0.15">
      <c r="J77" s="5"/>
      <c r="L77" s="5"/>
      <c r="M77" s="2"/>
      <c r="N77" s="2"/>
    </row>
    <row r="78" spans="2:30" x14ac:dyDescent="0.15">
      <c r="B78" s="2" t="s">
        <v>166</v>
      </c>
      <c r="H78" s="5">
        <f>+H48</f>
        <v>2971</v>
      </c>
      <c r="I78" s="5">
        <f>+I48</f>
        <v>656</v>
      </c>
      <c r="J78" s="5">
        <f>+J48</f>
        <v>680</v>
      </c>
      <c r="K78" s="5">
        <f>+K48</f>
        <v>1227</v>
      </c>
      <c r="L78" s="5">
        <f>+L48</f>
        <v>2043</v>
      </c>
      <c r="M78" s="5">
        <f>+M48</f>
        <v>6188</v>
      </c>
      <c r="N78" s="5">
        <f>+N48</f>
        <v>9243</v>
      </c>
      <c r="O78" s="5">
        <f>+O48</f>
        <v>12285</v>
      </c>
      <c r="AD78" s="2">
        <f>AD48</f>
        <v>29760</v>
      </c>
    </row>
    <row r="79" spans="2:30" x14ac:dyDescent="0.15">
      <c r="B79" s="2" t="s">
        <v>8</v>
      </c>
      <c r="G79" s="5">
        <f>9752-F79-E79-D79</f>
        <v>9752</v>
      </c>
      <c r="H79" s="5">
        <v>1618</v>
      </c>
      <c r="I79" s="5">
        <f>2274-H79</f>
        <v>656</v>
      </c>
      <c r="J79" s="5">
        <f>2954-I79-H79</f>
        <v>680</v>
      </c>
      <c r="K79" s="5">
        <f>4368-J79-I79-H79</f>
        <v>1414</v>
      </c>
      <c r="L79" s="5">
        <f>L48</f>
        <v>2043</v>
      </c>
      <c r="M79" s="5">
        <f>M48</f>
        <v>6188</v>
      </c>
      <c r="N79" s="5">
        <f>N48</f>
        <v>9243</v>
      </c>
      <c r="O79" s="5">
        <f>O48</f>
        <v>12285</v>
      </c>
      <c r="AD79" s="2">
        <f>SUM(L79:O79)</f>
        <v>29759</v>
      </c>
    </row>
    <row r="80" spans="2:30" x14ac:dyDescent="0.15">
      <c r="B80" s="2" t="s">
        <v>53</v>
      </c>
      <c r="G80" s="5">
        <f>2004-F80-E80-D80</f>
        <v>2004</v>
      </c>
      <c r="H80" s="5">
        <v>578</v>
      </c>
      <c r="I80" s="5">
        <f>1226-H80</f>
        <v>648</v>
      </c>
      <c r="J80" s="5">
        <f>1353-I80-H80</f>
        <v>127</v>
      </c>
      <c r="K80" s="5">
        <f>2709-J80-I80-H80</f>
        <v>1356</v>
      </c>
      <c r="L80" s="5">
        <v>735</v>
      </c>
      <c r="M80" s="2">
        <f>1576-L80</f>
        <v>841</v>
      </c>
      <c r="N80" s="2">
        <f>2555-M80-L80</f>
        <v>979</v>
      </c>
      <c r="O80" s="2">
        <f>3549-N80-M80-L80</f>
        <v>994</v>
      </c>
      <c r="AD80" s="2">
        <f t="shared" ref="AD80:AD99" si="57">SUM(L80:O80)</f>
        <v>3549</v>
      </c>
    </row>
    <row r="81" spans="2:30" x14ac:dyDescent="0.15">
      <c r="B81" s="2" t="s">
        <v>55</v>
      </c>
      <c r="G81" s="5">
        <f>1174-F81-E81-D81</f>
        <v>1174</v>
      </c>
      <c r="H81" s="5">
        <v>334</v>
      </c>
      <c r="I81" s="5">
        <f>712-H81</f>
        <v>378</v>
      </c>
      <c r="J81" s="5">
        <f>1118-I81-H81</f>
        <v>406</v>
      </c>
      <c r="K81" s="5">
        <f>1544-J81-I81-H81</f>
        <v>426</v>
      </c>
      <c r="L81" s="5">
        <v>384</v>
      </c>
      <c r="M81" s="2">
        <f>749-L81</f>
        <v>365</v>
      </c>
      <c r="N81" s="2">
        <f>1121-M81-L81</f>
        <v>372</v>
      </c>
      <c r="O81" s="2">
        <f>1508-N81-M81-L81</f>
        <v>387</v>
      </c>
      <c r="AD81" s="2">
        <f t="shared" si="57"/>
        <v>1508</v>
      </c>
    </row>
    <row r="82" spans="2:30" x14ac:dyDescent="0.15">
      <c r="B82" s="2" t="s">
        <v>56</v>
      </c>
      <c r="G82" s="5">
        <f>-100-F82-E82-D82</f>
        <v>-100</v>
      </c>
      <c r="H82" s="5">
        <v>17</v>
      </c>
      <c r="I82" s="5">
        <f>24-H82</f>
        <v>7</v>
      </c>
      <c r="J82" s="5">
        <f>35-I82-H82</f>
        <v>11</v>
      </c>
      <c r="K82" s="5">
        <f>45-J82-I82-H82+1353</f>
        <v>1363</v>
      </c>
      <c r="L82" s="5">
        <v>14</v>
      </c>
      <c r="M82" s="2">
        <f>-45-L82</f>
        <v>-59</v>
      </c>
      <c r="N82" s="2">
        <f>24-M82-L82</f>
        <v>69</v>
      </c>
      <c r="O82" s="2">
        <f>-238-N82-M82-L82</f>
        <v>-262</v>
      </c>
      <c r="AD82" s="2">
        <f t="shared" si="57"/>
        <v>-238</v>
      </c>
    </row>
    <row r="83" spans="2:30" x14ac:dyDescent="0.15">
      <c r="B83" s="2" t="s">
        <v>57</v>
      </c>
      <c r="G83" s="5">
        <f>-406-F83-E83-D83</f>
        <v>-406</v>
      </c>
      <c r="H83" s="5">
        <v>-542</v>
      </c>
      <c r="I83" s="5">
        <f>-985-H83</f>
        <v>-443</v>
      </c>
      <c r="J83" s="5">
        <f>-1517-I83-H83</f>
        <v>-532</v>
      </c>
      <c r="K83" s="5">
        <f>-2164-J83-I83-H83</f>
        <v>-647</v>
      </c>
      <c r="L83" s="5">
        <v>-1135</v>
      </c>
      <c r="M83" s="2">
        <f>-1881-L83</f>
        <v>-746</v>
      </c>
      <c r="N83" s="2">
        <f>-2411-M83-L83</f>
        <v>-530</v>
      </c>
      <c r="O83" s="2">
        <f>-2489-N83-M83-L83</f>
        <v>-78</v>
      </c>
      <c r="AD83" s="2">
        <f t="shared" si="57"/>
        <v>-2489</v>
      </c>
    </row>
    <row r="84" spans="2:30" x14ac:dyDescent="0.15">
      <c r="B84" s="2" t="s">
        <v>46</v>
      </c>
      <c r="G84" s="5">
        <f>47-F84-E84-D84</f>
        <v>47</v>
      </c>
      <c r="H84" s="5">
        <f>23+1353</f>
        <v>1376</v>
      </c>
      <c r="I84" s="5">
        <f>18+1353-H84</f>
        <v>-5</v>
      </c>
      <c r="J84" s="5">
        <f>-27-I84-H84</f>
        <v>-1398</v>
      </c>
      <c r="K84" s="3">
        <f>-7-J84-I84-H84</f>
        <v>20</v>
      </c>
      <c r="L84" s="5">
        <v>-34</v>
      </c>
      <c r="M84" s="2">
        <f>-102-L84</f>
        <v>-68</v>
      </c>
      <c r="N84" s="2">
        <f>-170-M84-L84</f>
        <v>-68</v>
      </c>
      <c r="O84" s="2">
        <f>-278-N84-M84-L84</f>
        <v>-108</v>
      </c>
      <c r="AD84" s="2">
        <f t="shared" si="57"/>
        <v>-278</v>
      </c>
    </row>
    <row r="85" spans="2:30" x14ac:dyDescent="0.15">
      <c r="B85" s="2" t="s">
        <v>58</v>
      </c>
      <c r="G85" s="5">
        <f>-2215-774-1715+568+581+192-F85-E85-D85</f>
        <v>-3363</v>
      </c>
      <c r="H85" s="5">
        <f>-788-560-1261+255+634+70</f>
        <v>-1650</v>
      </c>
      <c r="I85" s="5">
        <f>-668-1285-1554+559+1267+60-H85</f>
        <v>29</v>
      </c>
      <c r="J85" s="5">
        <f>-258-1848-1307-358+1175+102-I85-H85</f>
        <v>-873</v>
      </c>
      <c r="K85" s="5">
        <f>822-2554-1517-551+1341+252-J85-I85-H85</f>
        <v>287</v>
      </c>
      <c r="L85" s="5">
        <f>-252+566-215+11+689+105</f>
        <v>904</v>
      </c>
      <c r="M85" s="2">
        <f>-3239+861-592+789+2675+236-L85</f>
        <v>-174</v>
      </c>
      <c r="N85" s="2">
        <f>-4482+405-337+1250+953+208-M85-L85</f>
        <v>-2733</v>
      </c>
      <c r="O85" s="2">
        <f>-6172-98-1522+1531+2025+514-N85-M85-L85</f>
        <v>-1719</v>
      </c>
      <c r="AD85" s="2">
        <f t="shared" si="57"/>
        <v>-3722</v>
      </c>
    </row>
    <row r="86" spans="2:30" x14ac:dyDescent="0.15">
      <c r="B86" t="s">
        <v>54</v>
      </c>
      <c r="G86" s="5">
        <f>SUM(G79:G85)</f>
        <v>9108</v>
      </c>
      <c r="H86" s="5">
        <f>SUM(H79:H85)</f>
        <v>1731</v>
      </c>
      <c r="I86" s="5">
        <f>SUM(I79:I85)</f>
        <v>1270</v>
      </c>
      <c r="J86" s="5">
        <f>SUM(J79:J85)</f>
        <v>-1579</v>
      </c>
      <c r="K86" s="5">
        <f>SUM(K79:K85)</f>
        <v>4219</v>
      </c>
      <c r="L86" s="5">
        <f>SUM(L79:L85)</f>
        <v>2911</v>
      </c>
      <c r="M86" s="5">
        <f>SUM(M79:M85)</f>
        <v>6347</v>
      </c>
      <c r="N86" s="5">
        <f>SUM(N79:N85)</f>
        <v>7332</v>
      </c>
      <c r="O86" s="5">
        <f>SUM(O79:O85)</f>
        <v>11499</v>
      </c>
      <c r="AD86" s="2">
        <f t="shared" si="57"/>
        <v>28089</v>
      </c>
    </row>
    <row r="87" spans="2:30" x14ac:dyDescent="0.15">
      <c r="L87" s="5"/>
      <c r="M87" s="2"/>
      <c r="N87" s="2"/>
    </row>
    <row r="88" spans="2:30" x14ac:dyDescent="0.15">
      <c r="B88" s="2" t="s">
        <v>59</v>
      </c>
      <c r="G88" s="5">
        <f>15197+1023-24787-24-F88-E88-D88</f>
        <v>-8591</v>
      </c>
      <c r="H88" s="5">
        <f>5947+1029-3932-35</f>
        <v>3009</v>
      </c>
      <c r="I88" s="5">
        <f>10983+1731-7576-794-H88-65</f>
        <v>1270</v>
      </c>
      <c r="J88" s="5">
        <f>16792+1806-9764-83-I88-H88</f>
        <v>4472</v>
      </c>
      <c r="K88" s="5">
        <f>19425+1806-11897-77-J88-I88-H88</f>
        <v>506</v>
      </c>
      <c r="L88" s="5">
        <f>2512-2801-221</f>
        <v>-510</v>
      </c>
      <c r="M88" s="2">
        <f>5111-5343-L88-435</f>
        <v>-157</v>
      </c>
      <c r="N88" s="2">
        <f>8001-10688-M88-L88-872</f>
        <v>-2892</v>
      </c>
      <c r="O88" s="2">
        <f>9732+50-18211-N88-M88-L88-985</f>
        <v>-5855</v>
      </c>
      <c r="AD88" s="2">
        <f t="shared" si="57"/>
        <v>-9414</v>
      </c>
    </row>
    <row r="89" spans="2:30" x14ac:dyDescent="0.15">
      <c r="B89" s="2" t="s">
        <v>60</v>
      </c>
      <c r="G89" s="5">
        <f>-976-F89-E89-D89</f>
        <v>-976</v>
      </c>
      <c r="H89" s="5">
        <v>-361</v>
      </c>
      <c r="I89" s="5">
        <f>-794-H89</f>
        <v>-433</v>
      </c>
      <c r="J89" s="5">
        <f>-1324-I89-H89</f>
        <v>-530</v>
      </c>
      <c r="K89" s="5">
        <f>-1833-J89-I89-H89</f>
        <v>-509</v>
      </c>
      <c r="L89" s="5">
        <v>-248</v>
      </c>
      <c r="M89" s="2">
        <f>-537-L89</f>
        <v>-289</v>
      </c>
      <c r="N89" s="2">
        <f>-815-M89-L89</f>
        <v>-278</v>
      </c>
      <c r="O89" s="2">
        <f>-1069-N89-M89-L89</f>
        <v>-254</v>
      </c>
      <c r="AD89" s="2">
        <f t="shared" si="57"/>
        <v>-1069</v>
      </c>
    </row>
    <row r="90" spans="2:30" x14ac:dyDescent="0.15">
      <c r="B90" s="2" t="s">
        <v>61</v>
      </c>
      <c r="G90" s="5">
        <f>-263-F90-E90-D90</f>
        <v>-263</v>
      </c>
      <c r="H90" s="5">
        <v>-36</v>
      </c>
      <c r="I90" s="5">
        <f>-49-H90</f>
        <v>-13</v>
      </c>
      <c r="J90" s="5">
        <f>-49-I90-H90</f>
        <v>0</v>
      </c>
      <c r="K90" s="5">
        <f>-49-J90-I90-H90</f>
        <v>0</v>
      </c>
      <c r="L90" s="5">
        <v>-83</v>
      </c>
      <c r="M90" s="2">
        <f>-83-L90</f>
        <v>0</v>
      </c>
      <c r="N90" s="2">
        <f>-83-M90-L90</f>
        <v>0</v>
      </c>
      <c r="O90" s="2">
        <f>-83-N90-M90-L90</f>
        <v>0</v>
      </c>
      <c r="AD90" s="2">
        <f t="shared" si="57"/>
        <v>-83</v>
      </c>
    </row>
    <row r="91" spans="2:30" x14ac:dyDescent="0.15">
      <c r="B91" s="2" t="s">
        <v>62</v>
      </c>
      <c r="G91" s="5">
        <f>SUM(G88:G90)</f>
        <v>-9830</v>
      </c>
      <c r="H91" s="5">
        <f>SUM(H88:H90)</f>
        <v>2612</v>
      </c>
      <c r="I91" s="5">
        <f>SUM(I88:I90)</f>
        <v>824</v>
      </c>
      <c r="J91" s="5">
        <f>SUM(J88:J90)</f>
        <v>3942</v>
      </c>
      <c r="K91" s="5">
        <f>SUM(K88:K90)</f>
        <v>-3</v>
      </c>
      <c r="L91" s="5">
        <f>SUM(L88:L90)</f>
        <v>-841</v>
      </c>
      <c r="M91" s="5">
        <f>SUM(M88:M90)</f>
        <v>-446</v>
      </c>
      <c r="N91" s="5">
        <f>SUM(N88:N90)</f>
        <v>-3170</v>
      </c>
      <c r="O91" s="5">
        <f>SUM(O88:O90)</f>
        <v>-6109</v>
      </c>
      <c r="AD91" s="2">
        <f t="shared" si="57"/>
        <v>-10566</v>
      </c>
    </row>
    <row r="93" spans="2:30" x14ac:dyDescent="0.15">
      <c r="B93" s="2" t="s">
        <v>65</v>
      </c>
      <c r="G93" s="3">
        <f>281-F93-E93-D93</f>
        <v>281</v>
      </c>
      <c r="H93" s="5">
        <v>204</v>
      </c>
      <c r="I93" s="5">
        <f>205-H93</f>
        <v>1</v>
      </c>
      <c r="J93" s="5">
        <f>349-I93-H93</f>
        <v>144</v>
      </c>
      <c r="K93" s="5">
        <f>355-J93-I93-H93</f>
        <v>6</v>
      </c>
      <c r="L93" s="5">
        <f>246</f>
        <v>246</v>
      </c>
      <c r="M93" s="2">
        <f>247-L93</f>
        <v>1</v>
      </c>
      <c r="N93" s="2">
        <f>403-M93-L93</f>
        <v>156</v>
      </c>
      <c r="O93" s="2">
        <f>403-N93-M93-L93</f>
        <v>0</v>
      </c>
      <c r="AD93" s="2">
        <f t="shared" si="57"/>
        <v>403</v>
      </c>
    </row>
    <row r="94" spans="2:30" x14ac:dyDescent="0.15">
      <c r="B94" s="2" t="s">
        <v>66</v>
      </c>
      <c r="H94" s="5">
        <v>-532</v>
      </c>
      <c r="I94" s="5">
        <f>-837-H94</f>
        <v>-305</v>
      </c>
      <c r="J94" s="5">
        <f>-1131-I94-H94</f>
        <v>-294</v>
      </c>
      <c r="K94" s="5">
        <f>-1475-J94-I94-H94</f>
        <v>-344</v>
      </c>
      <c r="L94" s="5">
        <v>-507</v>
      </c>
      <c r="M94" s="2">
        <f>-1179-L94</f>
        <v>-672</v>
      </c>
      <c r="N94" s="2">
        <f>-1942-M94-L94</f>
        <v>-763</v>
      </c>
      <c r="O94" s="2">
        <f>-2783-N94-M94-L94</f>
        <v>-841</v>
      </c>
      <c r="AD94" s="2">
        <f t="shared" si="57"/>
        <v>-2783</v>
      </c>
    </row>
    <row r="95" spans="2:30" x14ac:dyDescent="0.15">
      <c r="B95" s="2" t="s">
        <v>67</v>
      </c>
      <c r="H95" s="5">
        <v>-100</v>
      </c>
      <c r="I95" s="5">
        <f>-200-H95</f>
        <v>-100</v>
      </c>
      <c r="J95" s="5">
        <f>-300-I95-H95</f>
        <v>-100</v>
      </c>
      <c r="K95" s="5">
        <f>-398-J95-I95-H95</f>
        <v>-98</v>
      </c>
      <c r="L95" s="5">
        <v>-99</v>
      </c>
      <c r="M95" s="2">
        <f>-199-L95</f>
        <v>-100</v>
      </c>
      <c r="N95" s="2">
        <f>-296-M95-L95</f>
        <v>-97</v>
      </c>
      <c r="O95" s="2">
        <f>-395-N95-M95-L95</f>
        <v>-99</v>
      </c>
      <c r="AD95" s="2">
        <f t="shared" si="57"/>
        <v>-395</v>
      </c>
    </row>
    <row r="96" spans="2:30" x14ac:dyDescent="0.15">
      <c r="B96" s="2" t="s">
        <v>69</v>
      </c>
      <c r="H96" s="5">
        <v>-1996</v>
      </c>
      <c r="I96" s="5">
        <f>-5341-H96</f>
        <v>-3345</v>
      </c>
      <c r="J96" s="5">
        <f>-8826-I96-H96</f>
        <v>-3485</v>
      </c>
      <c r="K96" s="5">
        <f>-10039-J96-I96-H96</f>
        <v>-1213</v>
      </c>
      <c r="L96" s="5">
        <v>0</v>
      </c>
      <c r="M96" s="2">
        <f>-3067-L96</f>
        <v>-3067</v>
      </c>
      <c r="N96" s="2">
        <f>-6874-M96-L96</f>
        <v>-3807</v>
      </c>
      <c r="O96" s="2">
        <f>-9533-N96-M96-L96</f>
        <v>-2659</v>
      </c>
      <c r="AD96" s="2">
        <f t="shared" si="57"/>
        <v>-9533</v>
      </c>
    </row>
    <row r="97" spans="2:40" x14ac:dyDescent="0.15">
      <c r="B97" s="2" t="s">
        <v>34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2">
        <f>-1250-L97</f>
        <v>-1250</v>
      </c>
      <c r="N97" s="2">
        <f>-1250-M97-L97</f>
        <v>0</v>
      </c>
      <c r="O97" s="2">
        <f>-1250-N97-M97-L97</f>
        <v>0</v>
      </c>
      <c r="AD97" s="2">
        <f t="shared" si="57"/>
        <v>-1250</v>
      </c>
    </row>
    <row r="98" spans="2:40" x14ac:dyDescent="0.15">
      <c r="B98" s="2" t="s">
        <v>68</v>
      </c>
      <c r="H98" s="5">
        <v>-22</v>
      </c>
      <c r="I98" s="5">
        <f>-36+1-H98</f>
        <v>-13</v>
      </c>
      <c r="J98" s="5">
        <f>-54-I98-H98</f>
        <v>-19</v>
      </c>
      <c r="K98" s="5">
        <f>-58-J98-I98-H98-2</f>
        <v>-6</v>
      </c>
      <c r="L98" s="5">
        <v>-20</v>
      </c>
      <c r="M98" s="2">
        <f>-31-L98</f>
        <v>-11</v>
      </c>
      <c r="N98" s="2">
        <f>-44-M98-L98</f>
        <v>-13</v>
      </c>
      <c r="O98" s="2">
        <f>-74-N98-M98-L98</f>
        <v>-30</v>
      </c>
      <c r="AD98" s="2">
        <f t="shared" si="57"/>
        <v>-74</v>
      </c>
    </row>
    <row r="99" spans="2:40" x14ac:dyDescent="0.15">
      <c r="B99" t="s">
        <v>64</v>
      </c>
      <c r="H99" s="5">
        <f>SUM(H93:H98)</f>
        <v>-2446</v>
      </c>
      <c r="I99" s="5">
        <f>SUM(I93:I98)</f>
        <v>-3762</v>
      </c>
      <c r="J99" s="5">
        <f>SUM(J93:J98)</f>
        <v>-3754</v>
      </c>
      <c r="K99" s="5">
        <f>SUM(K93:K98)</f>
        <v>-1655</v>
      </c>
      <c r="L99" s="5">
        <f>SUM(L93:L98)</f>
        <v>-380</v>
      </c>
      <c r="M99" s="5">
        <f>SUM(M93:M98)</f>
        <v>-5099</v>
      </c>
      <c r="N99" s="5">
        <f>SUM(N93:N98)</f>
        <v>-4524</v>
      </c>
      <c r="O99" s="5">
        <f>SUM(O93:O98)</f>
        <v>-3629</v>
      </c>
      <c r="AD99" s="2">
        <f t="shared" si="57"/>
        <v>-13632</v>
      </c>
    </row>
    <row r="100" spans="2:40" x14ac:dyDescent="0.15">
      <c r="B100" t="s">
        <v>63</v>
      </c>
      <c r="H100" s="5">
        <f>H99+H91+H86</f>
        <v>1897</v>
      </c>
      <c r="I100" s="5">
        <f>I99+I91+I86</f>
        <v>-1668</v>
      </c>
      <c r="J100" s="5">
        <f>J99+J91+J86</f>
        <v>-1391</v>
      </c>
      <c r="K100" s="5">
        <f>K99+K91+K86</f>
        <v>2561</v>
      </c>
      <c r="L100" s="5">
        <f>L99+L91+L86</f>
        <v>1690</v>
      </c>
      <c r="M100" s="5">
        <f>M99+M91+M86</f>
        <v>802</v>
      </c>
      <c r="N100" s="5">
        <f>N99+N91+N86</f>
        <v>-362</v>
      </c>
      <c r="O100" s="5">
        <f>O99+O91+O86</f>
        <v>1761</v>
      </c>
    </row>
    <row r="102" spans="2:40" x14ac:dyDescent="0.15">
      <c r="B102" t="s">
        <v>70</v>
      </c>
      <c r="H102" s="5">
        <f>(H60/H38)*90</f>
        <v>59.051640926640928</v>
      </c>
      <c r="I102" s="5">
        <f>(I60/I38)*90</f>
        <v>71.379773269689736</v>
      </c>
      <c r="J102" s="5">
        <f>(J60/J38)*90</f>
        <v>74.476479514415786</v>
      </c>
      <c r="K102" s="5">
        <f>(K60/K38)*90</f>
        <v>56.921170054536439</v>
      </c>
      <c r="L102" s="5">
        <f>(L60/L38)*90</f>
        <v>51.056729699666299</v>
      </c>
      <c r="M102" s="5">
        <f>(M60/M38)*90</f>
        <v>47.082253646257499</v>
      </c>
      <c r="N102" s="5">
        <f>(N60/N38)*90</f>
        <v>41.269867549668874</v>
      </c>
      <c r="O102" s="5">
        <f>(O60/O38)*90</f>
        <v>40.714382662986928</v>
      </c>
      <c r="AD102" s="5">
        <f>(AD60/AD38)*365</f>
        <v>59.906683956534586</v>
      </c>
    </row>
    <row r="104" spans="2:40" x14ac:dyDescent="0.15">
      <c r="B104" t="s">
        <v>149</v>
      </c>
      <c r="P104">
        <v>5.65</v>
      </c>
      <c r="Q104">
        <v>6.03</v>
      </c>
      <c r="R104">
        <v>6.58</v>
      </c>
      <c r="S104">
        <v>7.19</v>
      </c>
      <c r="AE104">
        <v>25.36</v>
      </c>
      <c r="AF104">
        <v>31.51</v>
      </c>
      <c r="AG104">
        <v>34.94</v>
      </c>
      <c r="AH104">
        <v>37.049999999999997</v>
      </c>
      <c r="AI104">
        <v>36.58</v>
      </c>
      <c r="AJ104">
        <v>44.15</v>
      </c>
      <c r="AK104">
        <v>49.91</v>
      </c>
      <c r="AL104">
        <v>81.459999999999994</v>
      </c>
      <c r="AM104">
        <v>92.67</v>
      </c>
      <c r="AN104">
        <v>105.45</v>
      </c>
    </row>
    <row r="105" spans="2:40" x14ac:dyDescent="0.15">
      <c r="B105" t="s">
        <v>150</v>
      </c>
      <c r="P105" s="15">
        <v>24.69</v>
      </c>
      <c r="Q105" s="15">
        <v>26.8</v>
      </c>
      <c r="R105" s="15">
        <v>29.36</v>
      </c>
      <c r="S105" s="15">
        <v>31.95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859C-674F-564F-AD85-9A1C3B5421F3}">
  <dimension ref="A1:AE6"/>
  <sheetViews>
    <sheetView zoomScale="174" zoomScaleNormal="174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6" sqref="D6"/>
    </sheetView>
  </sheetViews>
  <sheetFormatPr baseColWidth="10" defaultRowHeight="13" x14ac:dyDescent="0.15"/>
  <cols>
    <col min="1" max="1" width="4.83203125" bestFit="1" customWidth="1"/>
    <col min="3" max="4" width="6.5" customWidth="1"/>
    <col min="5" max="11" width="5.5" customWidth="1"/>
    <col min="12" max="16" width="5.33203125" customWidth="1"/>
    <col min="17" max="18" width="5.83203125" customWidth="1"/>
    <col min="19" max="19" width="6.6640625" customWidth="1"/>
    <col min="20" max="28" width="6" customWidth="1"/>
    <col min="29" max="30" width="5.6640625" customWidth="1"/>
    <col min="31" max="31" width="5.83203125" customWidth="1"/>
  </cols>
  <sheetData>
    <row r="1" spans="1:31" x14ac:dyDescent="0.15">
      <c r="A1" t="s">
        <v>0</v>
      </c>
    </row>
    <row r="2" spans="1:31" x14ac:dyDescent="0.15">
      <c r="C2">
        <v>1974</v>
      </c>
      <c r="D2">
        <v>1975</v>
      </c>
      <c r="E2">
        <v>1976</v>
      </c>
      <c r="F2">
        <v>1977</v>
      </c>
      <c r="G2">
        <v>1978</v>
      </c>
      <c r="H2">
        <v>1979</v>
      </c>
      <c r="I2">
        <v>1980</v>
      </c>
      <c r="J2">
        <v>1981</v>
      </c>
      <c r="K2">
        <v>1982</v>
      </c>
      <c r="L2">
        <v>1983</v>
      </c>
      <c r="M2">
        <v>1984</v>
      </c>
      <c r="N2">
        <v>1985</v>
      </c>
      <c r="O2">
        <v>1986</v>
      </c>
      <c r="P2">
        <v>1987</v>
      </c>
      <c r="Q2">
        <v>1988</v>
      </c>
      <c r="R2">
        <v>1989</v>
      </c>
      <c r="S2">
        <v>1990</v>
      </c>
      <c r="T2">
        <v>1991</v>
      </c>
      <c r="U2">
        <v>1992</v>
      </c>
      <c r="V2">
        <v>1993</v>
      </c>
      <c r="W2">
        <f>+V2+1</f>
        <v>1994</v>
      </c>
      <c r="X2">
        <f>+W2+1</f>
        <v>1995</v>
      </c>
      <c r="Y2">
        <f>+X2+1</f>
        <v>1996</v>
      </c>
      <c r="Z2">
        <f>+Y2+1</f>
        <v>1997</v>
      </c>
      <c r="AA2">
        <f>+Z2+1</f>
        <v>1998</v>
      </c>
      <c r="AB2">
        <f>+AA2+1</f>
        <v>1999</v>
      </c>
      <c r="AC2">
        <f>+AB2+1</f>
        <v>2000</v>
      </c>
      <c r="AD2">
        <f>+AC2+1</f>
        <v>2001</v>
      </c>
      <c r="AE2">
        <v>2002</v>
      </c>
    </row>
    <row r="3" spans="1:31" x14ac:dyDescent="0.15">
      <c r="B3" t="s">
        <v>1</v>
      </c>
      <c r="C3" s="2">
        <v>134.5</v>
      </c>
      <c r="D3" s="2">
        <v>136.80000000000001</v>
      </c>
      <c r="E3" s="2">
        <v>226</v>
      </c>
      <c r="F3" s="2">
        <v>285.5</v>
      </c>
      <c r="G3" s="2">
        <v>399.4</v>
      </c>
      <c r="H3" s="2">
        <v>661</v>
      </c>
      <c r="I3" s="2">
        <v>854.6</v>
      </c>
      <c r="J3" s="2">
        <v>788.7</v>
      </c>
      <c r="K3" s="2">
        <v>899.8</v>
      </c>
      <c r="L3" s="2">
        <v>1121.9000000000001</v>
      </c>
      <c r="M3" s="2">
        <v>1629</v>
      </c>
      <c r="N3" s="2">
        <v>1365</v>
      </c>
      <c r="O3" s="2">
        <v>1265</v>
      </c>
      <c r="P3" s="2">
        <v>1907</v>
      </c>
      <c r="Q3" s="2">
        <v>2874.7689999999998</v>
      </c>
      <c r="R3" s="2">
        <v>3126.8330000000001</v>
      </c>
      <c r="S3" s="2">
        <v>3921.2739999999999</v>
      </c>
      <c r="T3" s="2">
        <v>4779</v>
      </c>
      <c r="U3" s="2">
        <v>5884</v>
      </c>
      <c r="V3" s="2">
        <v>8782</v>
      </c>
      <c r="W3" s="2">
        <v>11521</v>
      </c>
      <c r="X3" s="2">
        <v>16202</v>
      </c>
      <c r="Y3" s="2">
        <v>20847</v>
      </c>
      <c r="Z3" s="2">
        <v>25070</v>
      </c>
      <c r="AA3" s="2">
        <v>26273</v>
      </c>
      <c r="AB3" s="2">
        <v>29389</v>
      </c>
      <c r="AC3" s="2">
        <v>33726</v>
      </c>
      <c r="AD3" s="2">
        <v>26539</v>
      </c>
      <c r="AE3" s="2">
        <v>26764</v>
      </c>
    </row>
    <row r="4" spans="1:31" x14ac:dyDescent="0.15">
      <c r="B4" t="s">
        <v>172</v>
      </c>
      <c r="D4" s="10">
        <f t="shared" ref="D4:M4" si="0">+D3/C3-1</f>
        <v>1.7100371747212018E-2</v>
      </c>
      <c r="E4" s="10">
        <f t="shared" si="0"/>
        <v>0.65204678362573087</v>
      </c>
      <c r="F4" s="10">
        <f t="shared" si="0"/>
        <v>0.26327433628318575</v>
      </c>
      <c r="G4" s="10">
        <f t="shared" si="0"/>
        <v>0.39894921190893151</v>
      </c>
      <c r="H4" s="10">
        <f t="shared" si="0"/>
        <v>0.65498247371056584</v>
      </c>
      <c r="I4" s="10">
        <f t="shared" si="0"/>
        <v>0.29288956127080179</v>
      </c>
      <c r="J4" s="10">
        <f t="shared" si="0"/>
        <v>-7.7112099227708786E-2</v>
      </c>
      <c r="K4" s="10">
        <f t="shared" si="0"/>
        <v>0.14086471408647139</v>
      </c>
      <c r="L4" s="10">
        <f t="shared" si="0"/>
        <v>0.24683262947321638</v>
      </c>
      <c r="M4" s="10">
        <f t="shared" si="0"/>
        <v>0.45200106961404751</v>
      </c>
      <c r="N4" s="10">
        <f>+N3/M3-1</f>
        <v>-0.16206261510128916</v>
      </c>
      <c r="O4" s="10">
        <f>+O3/N3-1</f>
        <v>-7.3260073260073222E-2</v>
      </c>
      <c r="P4" s="10">
        <f>+P3/O3-1</f>
        <v>0.50750988142292486</v>
      </c>
      <c r="Q4" s="10">
        <f>+Q3/P3-1</f>
        <v>0.50748243314105923</v>
      </c>
      <c r="R4" s="10">
        <f>+R3/Q3-1</f>
        <v>8.7681479798898732E-2</v>
      </c>
      <c r="S4" s="10">
        <f>+S3/R3-1</f>
        <v>0.25407209147402487</v>
      </c>
      <c r="T4" s="10">
        <f>+T3/S3-1</f>
        <v>0.21873656367802918</v>
      </c>
      <c r="U4" s="10">
        <f>+U3/T3-1</f>
        <v>0.23121992048545725</v>
      </c>
      <c r="V4" s="10">
        <f>+V3/U3-1</f>
        <v>0.49252209381373224</v>
      </c>
      <c r="W4" s="10">
        <f>+W3/V3-1</f>
        <v>0.31188795263038038</v>
      </c>
      <c r="X4" s="10">
        <f>+X3/W3-1</f>
        <v>0.40630153632497179</v>
      </c>
      <c r="Y4" s="10">
        <f>+Y3/X3-1</f>
        <v>0.28669300086409089</v>
      </c>
      <c r="Z4" s="10">
        <f>+Z3/Y3-1</f>
        <v>0.20257111334964262</v>
      </c>
      <c r="AA4" s="10">
        <f>+AA3/Z3-1</f>
        <v>4.7985640207419245E-2</v>
      </c>
      <c r="AB4" s="10">
        <f>+AB3/AA3-1</f>
        <v>0.11860084497392753</v>
      </c>
      <c r="AC4" s="10">
        <f>+AC3/AB3-1</f>
        <v>0.14757222089897581</v>
      </c>
      <c r="AD4" s="10">
        <f>+AD3/AC3-1</f>
        <v>-0.21309968570242543</v>
      </c>
      <c r="AE4" s="10">
        <f>+AE3/AD3-1</f>
        <v>8.4780888503710461E-3</v>
      </c>
    </row>
    <row r="6" spans="1:31" x14ac:dyDescent="0.15">
      <c r="C6" s="14" t="s">
        <v>177</v>
      </c>
      <c r="K6" s="14" t="s">
        <v>173</v>
      </c>
      <c r="N6" s="14" t="s">
        <v>178</v>
      </c>
      <c r="R6" s="14" t="s">
        <v>179</v>
      </c>
      <c r="V6" t="s">
        <v>174</v>
      </c>
      <c r="X6" t="s">
        <v>175</v>
      </c>
      <c r="AC6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C2DF-42DA-41EA-9376-8EEC08F9AC1D}">
  <dimension ref="A1:K24"/>
  <sheetViews>
    <sheetView zoomScale="175" zoomScaleNormal="175" workbookViewId="0">
      <selection activeCell="H10" sqref="H10"/>
    </sheetView>
  </sheetViews>
  <sheetFormatPr baseColWidth="10" defaultColWidth="8.83203125" defaultRowHeight="13" x14ac:dyDescent="0.15"/>
  <cols>
    <col min="1" max="1" width="5" bestFit="1" customWidth="1"/>
    <col min="2" max="2" width="16.83203125" customWidth="1"/>
    <col min="6" max="6" width="11.83203125" bestFit="1" customWidth="1"/>
  </cols>
  <sheetData>
    <row r="1" spans="1:11" x14ac:dyDescent="0.15">
      <c r="A1" t="s">
        <v>0</v>
      </c>
    </row>
    <row r="4" spans="1:11" x14ac:dyDescent="0.15">
      <c r="B4" t="s">
        <v>151</v>
      </c>
      <c r="F4" t="s">
        <v>156</v>
      </c>
    </row>
    <row r="5" spans="1:11" x14ac:dyDescent="0.15">
      <c r="B5" t="s">
        <v>152</v>
      </c>
      <c r="C5">
        <v>24690</v>
      </c>
      <c r="F5" t="s">
        <v>152</v>
      </c>
      <c r="G5">
        <v>26820</v>
      </c>
    </row>
    <row r="6" spans="1:11" x14ac:dyDescent="0.15">
      <c r="B6" t="s">
        <v>153</v>
      </c>
      <c r="C6">
        <v>23520</v>
      </c>
    </row>
    <row r="7" spans="1:11" x14ac:dyDescent="0.15">
      <c r="B7" t="s">
        <v>154</v>
      </c>
      <c r="C7">
        <v>24480</v>
      </c>
    </row>
    <row r="10" spans="1:11" x14ac:dyDescent="0.15">
      <c r="B10" t="s">
        <v>155</v>
      </c>
      <c r="C10">
        <v>24690</v>
      </c>
      <c r="D10" s="10">
        <v>-0.1</v>
      </c>
      <c r="F10" t="s">
        <v>155</v>
      </c>
      <c r="G10">
        <v>26820</v>
      </c>
      <c r="H10" s="10">
        <v>-0.1</v>
      </c>
      <c r="K10" s="10">
        <f>+D10+H10</f>
        <v>-0.2</v>
      </c>
    </row>
    <row r="11" spans="1:11" x14ac:dyDescent="0.15">
      <c r="C11">
        <v>25000</v>
      </c>
      <c r="D11" s="10">
        <v>-0.05</v>
      </c>
      <c r="G11">
        <f>G10+500</f>
        <v>27320</v>
      </c>
      <c r="H11" s="10">
        <v>-0.05</v>
      </c>
    </row>
    <row r="12" spans="1:11" x14ac:dyDescent="0.15">
      <c r="C12" s="11">
        <v>25500</v>
      </c>
      <c r="D12" s="18">
        <v>-0.03</v>
      </c>
      <c r="E12" s="11"/>
      <c r="F12" s="11"/>
      <c r="G12" s="11">
        <f t="shared" ref="G12:G18" si="0">G11+500</f>
        <v>27820</v>
      </c>
      <c r="H12" s="18">
        <v>-0.03</v>
      </c>
    </row>
    <row r="13" spans="1:11" x14ac:dyDescent="0.15">
      <c r="C13" s="11">
        <v>26000</v>
      </c>
      <c r="D13" s="18">
        <v>-0.01</v>
      </c>
      <c r="E13" s="11"/>
      <c r="F13" s="11"/>
      <c r="G13" s="11">
        <f t="shared" si="0"/>
        <v>28320</v>
      </c>
      <c r="H13" s="18">
        <v>-0.01</v>
      </c>
    </row>
    <row r="14" spans="1:11" x14ac:dyDescent="0.15">
      <c r="C14" s="11">
        <v>26500</v>
      </c>
      <c r="D14" s="18">
        <v>0</v>
      </c>
      <c r="E14" s="11"/>
      <c r="F14" s="11"/>
      <c r="G14" s="11">
        <f t="shared" si="0"/>
        <v>28820</v>
      </c>
      <c r="H14" s="18">
        <v>0</v>
      </c>
    </row>
    <row r="15" spans="1:11" x14ac:dyDescent="0.15">
      <c r="C15" s="11">
        <v>27000</v>
      </c>
      <c r="D15" s="18">
        <v>0</v>
      </c>
      <c r="E15" s="11"/>
      <c r="F15" s="11"/>
      <c r="G15" s="11">
        <f t="shared" si="0"/>
        <v>29320</v>
      </c>
      <c r="H15" s="18">
        <v>0</v>
      </c>
    </row>
    <row r="16" spans="1:11" x14ac:dyDescent="0.15">
      <c r="C16" s="11">
        <v>27500</v>
      </c>
      <c r="D16" s="18">
        <v>0.03</v>
      </c>
      <c r="E16" s="11"/>
      <c r="F16" s="11"/>
      <c r="G16" s="11">
        <f t="shared" si="0"/>
        <v>29820</v>
      </c>
      <c r="H16" s="18">
        <v>0.03</v>
      </c>
    </row>
    <row r="17" spans="2:11" x14ac:dyDescent="0.15">
      <c r="C17">
        <v>28000</v>
      </c>
      <c r="D17" s="10">
        <v>0.05</v>
      </c>
      <c r="G17">
        <f t="shared" si="0"/>
        <v>30320</v>
      </c>
      <c r="H17" s="10">
        <v>0.05</v>
      </c>
    </row>
    <row r="18" spans="2:11" x14ac:dyDescent="0.15">
      <c r="C18">
        <v>28500</v>
      </c>
      <c r="D18" s="10">
        <v>0.1</v>
      </c>
      <c r="G18">
        <f t="shared" si="0"/>
        <v>30820</v>
      </c>
      <c r="H18" s="10">
        <v>0.1</v>
      </c>
      <c r="K18" s="10">
        <f>+H18+D18</f>
        <v>0.2</v>
      </c>
    </row>
    <row r="20" spans="2:11" x14ac:dyDescent="0.15">
      <c r="B20" t="s">
        <v>157</v>
      </c>
      <c r="C20" s="16">
        <v>954</v>
      </c>
    </row>
    <row r="21" spans="2:11" x14ac:dyDescent="0.15">
      <c r="B21" t="s">
        <v>158</v>
      </c>
      <c r="C21" s="16">
        <v>39</v>
      </c>
    </row>
    <row r="22" spans="2:11" x14ac:dyDescent="0.15">
      <c r="B22" t="s">
        <v>159</v>
      </c>
      <c r="C22" s="16">
        <v>40</v>
      </c>
    </row>
    <row r="23" spans="2:11" x14ac:dyDescent="0.15">
      <c r="B23" t="s">
        <v>160</v>
      </c>
      <c r="C23" s="16">
        <f>C21+C22</f>
        <v>79</v>
      </c>
    </row>
    <row r="24" spans="2:11" x14ac:dyDescent="0.15">
      <c r="C24" s="17">
        <f>C23/C20</f>
        <v>8.2809224318658281E-2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Intel Case Study</vt:lpstr>
      <vt:lpstr>Quarterly Earnings 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2023-08-16T02:45:30Z</dcterms:created>
  <dcterms:modified xsi:type="dcterms:W3CDTF">2024-05-22T19:52:33Z</dcterms:modified>
</cp:coreProperties>
</file>