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372D98F-1C61-42C8-B606-0CE6E57D7CF2}" xr6:coauthVersionLast="47" xr6:coauthVersionMax="47" xr10:uidLastSave="{00000000-0000-0000-0000-000000000000}"/>
  <bookViews>
    <workbookView xWindow="-24630" yWindow="2850" windowWidth="24420" windowHeight="17865" xr2:uid="{1A28BDC2-CB33-447E-AED0-8D4C76155960}"/>
  </bookViews>
  <sheets>
    <sheet name="Main" sheetId="1" r:id="rId1"/>
    <sheet name="Model" sheetId="2" r:id="rId2"/>
    <sheet name="valrox" sheetId="4" r:id="rId3"/>
    <sheet name="Matri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L35" i="2"/>
  <c r="M35" i="2"/>
  <c r="M25" i="2"/>
  <c r="M20" i="2"/>
  <c r="M53" i="2"/>
  <c r="M43" i="2"/>
  <c r="M38" i="2"/>
  <c r="M37" i="2" s="1"/>
  <c r="F20" i="4"/>
  <c r="F19" i="4"/>
  <c r="F18" i="4"/>
  <c r="F21" i="4"/>
  <c r="D30" i="4"/>
  <c r="H10" i="3"/>
  <c r="H5" i="3"/>
  <c r="H4" i="3" s="1"/>
  <c r="H8" i="3" s="1"/>
  <c r="G5" i="3"/>
  <c r="G4" i="3"/>
  <c r="G9" i="3"/>
  <c r="G8" i="3"/>
  <c r="G10" i="3"/>
  <c r="AD9" i="2"/>
  <c r="AE9" i="2" s="1"/>
  <c r="AF9" i="2" s="1"/>
  <c r="AG9" i="2" s="1"/>
  <c r="D28" i="4"/>
  <c r="C28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5" i="4"/>
  <c r="D25" i="4" s="1"/>
  <c r="E25" i="4" s="1"/>
  <c r="E26" i="4" s="1"/>
  <c r="F10" i="3"/>
  <c r="E10" i="3"/>
  <c r="D10" i="3"/>
  <c r="C10" i="3"/>
  <c r="F9" i="3"/>
  <c r="E9" i="3"/>
  <c r="D9" i="3"/>
  <c r="C9" i="3"/>
  <c r="E8" i="3"/>
  <c r="D8" i="3"/>
  <c r="C8" i="3"/>
  <c r="F4" i="3"/>
  <c r="F8" i="3" s="1"/>
  <c r="E4" i="3"/>
  <c r="D4" i="3"/>
  <c r="F5" i="3"/>
  <c r="E5" i="3"/>
  <c r="D5" i="3"/>
  <c r="AB14" i="2"/>
  <c r="AC14" i="2" s="1"/>
  <c r="AD14" i="2" s="1"/>
  <c r="AE14" i="2" s="1"/>
  <c r="AF14" i="2" s="1"/>
  <c r="AG14" i="2" s="1"/>
  <c r="V25" i="2"/>
  <c r="V23" i="2"/>
  <c r="V16" i="2"/>
  <c r="V18" i="2" s="1"/>
  <c r="V20" i="2" s="1"/>
  <c r="V33" i="2" s="1"/>
  <c r="W35" i="2"/>
  <c r="W25" i="2"/>
  <c r="W23" i="2"/>
  <c r="W34" i="2"/>
  <c r="W16" i="2"/>
  <c r="W18" i="2" s="1"/>
  <c r="Y8" i="2"/>
  <c r="Z8" i="2" s="1"/>
  <c r="X27" i="2"/>
  <c r="X30" i="2"/>
  <c r="X22" i="2"/>
  <c r="X21" i="2"/>
  <c r="X19" i="2"/>
  <c r="X17" i="2"/>
  <c r="X15" i="2"/>
  <c r="X14" i="2"/>
  <c r="X13" i="2"/>
  <c r="X12" i="2"/>
  <c r="X11" i="2"/>
  <c r="X10" i="2"/>
  <c r="X8" i="2"/>
  <c r="Y21" i="2"/>
  <c r="Y14" i="2"/>
  <c r="Y10" i="2"/>
  <c r="Z10" i="2" s="1"/>
  <c r="AA10" i="2" s="1"/>
  <c r="AB10" i="2" s="1"/>
  <c r="AC10" i="2" s="1"/>
  <c r="AD10" i="2" s="1"/>
  <c r="AE10" i="2" s="1"/>
  <c r="AF10" i="2" s="1"/>
  <c r="AG10" i="2" s="1"/>
  <c r="N30" i="2"/>
  <c r="Y30" i="2" s="1"/>
  <c r="Z30" i="2" s="1"/>
  <c r="AA30" i="2" s="1"/>
  <c r="AB30" i="2" s="1"/>
  <c r="AC30" i="2" s="1"/>
  <c r="AD30" i="2" s="1"/>
  <c r="AE30" i="2" s="1"/>
  <c r="AF30" i="2" s="1"/>
  <c r="AG30" i="2" s="1"/>
  <c r="N22" i="2"/>
  <c r="N23" i="2" s="1"/>
  <c r="N34" i="2"/>
  <c r="M34" i="2"/>
  <c r="K34" i="2"/>
  <c r="J34" i="2"/>
  <c r="I34" i="2"/>
  <c r="L34" i="2"/>
  <c r="M16" i="2"/>
  <c r="L16" i="2"/>
  <c r="L18" i="2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E25" i="2"/>
  <c r="E23" i="2"/>
  <c r="I25" i="2"/>
  <c r="I23" i="2"/>
  <c r="E16" i="2"/>
  <c r="E18" i="2" s="1"/>
  <c r="I16" i="2"/>
  <c r="I18" i="2" s="1"/>
  <c r="I20" i="2" s="1"/>
  <c r="I33" i="2" s="1"/>
  <c r="F25" i="2"/>
  <c r="F23" i="2"/>
  <c r="J25" i="2"/>
  <c r="J23" i="2"/>
  <c r="F16" i="2"/>
  <c r="F18" i="2" s="1"/>
  <c r="F20" i="2" s="1"/>
  <c r="J16" i="2"/>
  <c r="J18" i="2" s="1"/>
  <c r="J20" i="2" s="1"/>
  <c r="J24" i="2" s="1"/>
  <c r="G25" i="2"/>
  <c r="G23" i="2"/>
  <c r="K25" i="2"/>
  <c r="K23" i="2"/>
  <c r="K16" i="2"/>
  <c r="K18" i="2" s="1"/>
  <c r="K20" i="2" s="1"/>
  <c r="K33" i="2" s="1"/>
  <c r="G16" i="2"/>
  <c r="G18" i="2" s="1"/>
  <c r="G20" i="2" s="1"/>
  <c r="H16" i="2"/>
  <c r="H18" i="2" s="1"/>
  <c r="H20" i="2" s="1"/>
  <c r="H25" i="2"/>
  <c r="L23" i="2"/>
  <c r="L25" i="2"/>
  <c r="H23" i="2"/>
  <c r="L37" i="2"/>
  <c r="L4" i="1"/>
  <c r="N25" i="2" l="1"/>
  <c r="X23" i="2"/>
  <c r="X34" i="2"/>
  <c r="M18" i="2"/>
  <c r="M32" i="2" s="1"/>
  <c r="M46" i="2"/>
  <c r="L7" i="1"/>
  <c r="E28" i="4"/>
  <c r="H9" i="3"/>
  <c r="W32" i="2"/>
  <c r="W20" i="2"/>
  <c r="W33" i="2" s="1"/>
  <c r="Z35" i="2"/>
  <c r="AA8" i="2"/>
  <c r="Y22" i="2"/>
  <c r="M23" i="2"/>
  <c r="Y35" i="2"/>
  <c r="Y25" i="2"/>
  <c r="N17" i="2"/>
  <c r="Y17" i="2" s="1"/>
  <c r="Z17" i="2" s="1"/>
  <c r="AA17" i="2" s="1"/>
  <c r="AB17" i="2" s="1"/>
  <c r="AC17" i="2" s="1"/>
  <c r="N11" i="2"/>
  <c r="X35" i="2"/>
  <c r="X16" i="2"/>
  <c r="X18" i="2" s="1"/>
  <c r="X20" i="2" s="1"/>
  <c r="N12" i="2"/>
  <c r="Y12" i="2" s="1"/>
  <c r="Z12" i="2" s="1"/>
  <c r="AA12" i="2" s="1"/>
  <c r="AB12" i="2" s="1"/>
  <c r="AC12" i="2" s="1"/>
  <c r="X25" i="2"/>
  <c r="N13" i="2"/>
  <c r="Y13" i="2" s="1"/>
  <c r="Z13" i="2" s="1"/>
  <c r="AA13" i="2" s="1"/>
  <c r="AB13" i="2" s="1"/>
  <c r="AC13" i="2" s="1"/>
  <c r="AD13" i="2" s="1"/>
  <c r="AE13" i="2" s="1"/>
  <c r="AF13" i="2" s="1"/>
  <c r="AG13" i="2" s="1"/>
  <c r="N15" i="2"/>
  <c r="Y15" i="2" s="1"/>
  <c r="Z15" i="2" s="1"/>
  <c r="AA15" i="2" s="1"/>
  <c r="AB15" i="2" s="1"/>
  <c r="AC15" i="2" s="1"/>
  <c r="AD15" i="2" s="1"/>
  <c r="AE15" i="2" s="1"/>
  <c r="AF15" i="2" s="1"/>
  <c r="AG15" i="2" s="1"/>
  <c r="V24" i="2"/>
  <c r="V26" i="2" s="1"/>
  <c r="V28" i="2" s="1"/>
  <c r="V29" i="2" s="1"/>
  <c r="G24" i="2"/>
  <c r="G26" i="2" s="1"/>
  <c r="G28" i="2" s="1"/>
  <c r="G29" i="2" s="1"/>
  <c r="G33" i="2"/>
  <c r="I32" i="2"/>
  <c r="E20" i="2"/>
  <c r="E33" i="2" s="1"/>
  <c r="J32" i="2"/>
  <c r="J33" i="2"/>
  <c r="I24" i="2"/>
  <c r="I26" i="2" s="1"/>
  <c r="I28" i="2" s="1"/>
  <c r="I29" i="2" s="1"/>
  <c r="F33" i="2"/>
  <c r="F24" i="2"/>
  <c r="F26" i="2" s="1"/>
  <c r="F28" i="2" s="1"/>
  <c r="F29" i="2" s="1"/>
  <c r="J26" i="2"/>
  <c r="J28" i="2" s="1"/>
  <c r="J29" i="2" s="1"/>
  <c r="K32" i="2"/>
  <c r="K24" i="2"/>
  <c r="K26" i="2" s="1"/>
  <c r="K28" i="2" s="1"/>
  <c r="K29" i="2" s="1"/>
  <c r="L32" i="2"/>
  <c r="H33" i="2"/>
  <c r="H24" i="2"/>
  <c r="H26" i="2" s="1"/>
  <c r="H28" i="2" s="1"/>
  <c r="H29" i="2" s="1"/>
  <c r="L20" i="2"/>
  <c r="M33" i="2" l="1"/>
  <c r="N16" i="2"/>
  <c r="N18" i="2" s="1"/>
  <c r="N20" i="2" s="1"/>
  <c r="W24" i="2"/>
  <c r="W26" i="2" s="1"/>
  <c r="W28" i="2" s="1"/>
  <c r="W29" i="2" s="1"/>
  <c r="F25" i="4"/>
  <c r="E30" i="4"/>
  <c r="X24" i="2"/>
  <c r="X26" i="2" s="1"/>
  <c r="X28" i="2" s="1"/>
  <c r="X29" i="2" s="1"/>
  <c r="X33" i="2"/>
  <c r="Y11" i="2"/>
  <c r="X32" i="2"/>
  <c r="M24" i="2"/>
  <c r="M26" i="2" s="1"/>
  <c r="Y34" i="2"/>
  <c r="Z22" i="2"/>
  <c r="Y23" i="2"/>
  <c r="AA35" i="2"/>
  <c r="AB8" i="2"/>
  <c r="E24" i="2"/>
  <c r="E26" i="2" s="1"/>
  <c r="E28" i="2" s="1"/>
  <c r="E29" i="2" s="1"/>
  <c r="AD12" i="2"/>
  <c r="AD17" i="2"/>
  <c r="L33" i="2"/>
  <c r="L24" i="2"/>
  <c r="L26" i="2" s="1"/>
  <c r="L28" i="2" s="1"/>
  <c r="L29" i="2" s="1"/>
  <c r="N32" i="2" l="1"/>
  <c r="F26" i="4"/>
  <c r="G25" i="4" s="1"/>
  <c r="G26" i="4" s="1"/>
  <c r="G28" i="4" s="1"/>
  <c r="AB35" i="2"/>
  <c r="AC8" i="2"/>
  <c r="Z23" i="2"/>
  <c r="Z34" i="2"/>
  <c r="AA22" i="2"/>
  <c r="Z11" i="2"/>
  <c r="Y16" i="2"/>
  <c r="Y18" i="2" s="1"/>
  <c r="N33" i="2"/>
  <c r="N24" i="2"/>
  <c r="N26" i="2" s="1"/>
  <c r="N19" i="2"/>
  <c r="Y19" i="2" s="1"/>
  <c r="AE12" i="2"/>
  <c r="AE17" i="2"/>
  <c r="F28" i="4" l="1"/>
  <c r="F30" i="4"/>
  <c r="G30" i="4"/>
  <c r="H25" i="4"/>
  <c r="H26" i="4" s="1"/>
  <c r="N27" i="2"/>
  <c r="N28" i="2"/>
  <c r="N29" i="2" s="1"/>
  <c r="Y20" i="2"/>
  <c r="Y32" i="2"/>
  <c r="AA11" i="2"/>
  <c r="Z16" i="2"/>
  <c r="Z18" i="2" s="1"/>
  <c r="Y27" i="2"/>
  <c r="M28" i="2"/>
  <c r="AA34" i="2"/>
  <c r="AA23" i="2"/>
  <c r="AB22" i="2"/>
  <c r="AD8" i="2"/>
  <c r="AC35" i="2"/>
  <c r="AF12" i="2"/>
  <c r="AF17" i="2"/>
  <c r="H28" i="4" l="1"/>
  <c r="AE8" i="2"/>
  <c r="AD35" i="2"/>
  <c r="AB34" i="2"/>
  <c r="AC22" i="2"/>
  <c r="AB23" i="2"/>
  <c r="M29" i="2"/>
  <c r="Y37" i="2"/>
  <c r="Z32" i="2"/>
  <c r="Z19" i="2"/>
  <c r="Z20" i="2" s="1"/>
  <c r="AB11" i="2"/>
  <c r="AA16" i="2"/>
  <c r="AA18" i="2" s="1"/>
  <c r="Y33" i="2"/>
  <c r="Y24" i="2"/>
  <c r="Y26" i="2" s="1"/>
  <c r="Y28" i="2" s="1"/>
  <c r="Y29" i="2" s="1"/>
  <c r="AG12" i="2"/>
  <c r="AG17" i="2"/>
  <c r="H30" i="4" l="1"/>
  <c r="I25" i="4"/>
  <c r="I26" i="4" s="1"/>
  <c r="Z33" i="2"/>
  <c r="Z24" i="2"/>
  <c r="AA32" i="2"/>
  <c r="AA19" i="2"/>
  <c r="AA20" i="2" s="1"/>
  <c r="AC11" i="2"/>
  <c r="AB16" i="2"/>
  <c r="AB18" i="2" s="1"/>
  <c r="Z25" i="2"/>
  <c r="AC34" i="2"/>
  <c r="AD22" i="2"/>
  <c r="AC23" i="2"/>
  <c r="AF8" i="2"/>
  <c r="AE35" i="2"/>
  <c r="I28" i="4" l="1"/>
  <c r="AA33" i="2"/>
  <c r="AA24" i="2"/>
  <c r="AG8" i="2"/>
  <c r="AF35" i="2"/>
  <c r="AD34" i="2"/>
  <c r="AE22" i="2"/>
  <c r="AD23" i="2"/>
  <c r="AB32" i="2"/>
  <c r="AB19" i="2"/>
  <c r="AB20" i="2" s="1"/>
  <c r="AD11" i="2"/>
  <c r="AC16" i="2"/>
  <c r="AC18" i="2" s="1"/>
  <c r="Z26" i="2"/>
  <c r="Z27" i="2" s="1"/>
  <c r="Z28" i="2" s="1"/>
  <c r="I30" i="4" l="1"/>
  <c r="J25" i="4"/>
  <c r="J26" i="4" s="1"/>
  <c r="AB33" i="2"/>
  <c r="AB24" i="2"/>
  <c r="Z29" i="2"/>
  <c r="Z37" i="2"/>
  <c r="AC32" i="2"/>
  <c r="AC19" i="2"/>
  <c r="AC20" i="2" s="1"/>
  <c r="AE11" i="2"/>
  <c r="AD16" i="2"/>
  <c r="AD18" i="2" s="1"/>
  <c r="AF22" i="2"/>
  <c r="AE34" i="2"/>
  <c r="AE23" i="2"/>
  <c r="AG35" i="2"/>
  <c r="J28" i="4" l="1"/>
  <c r="AC33" i="2"/>
  <c r="AC24" i="2"/>
  <c r="AG22" i="2"/>
  <c r="AF23" i="2"/>
  <c r="AF34" i="2"/>
  <c r="AD32" i="2"/>
  <c r="AD19" i="2"/>
  <c r="AD20" i="2" s="1"/>
  <c r="AF11" i="2"/>
  <c r="AE16" i="2"/>
  <c r="AE18" i="2" s="1"/>
  <c r="AA25" i="2"/>
  <c r="AA26" i="2" s="1"/>
  <c r="AA27" i="2" s="1"/>
  <c r="AA28" i="2" s="1"/>
  <c r="AA29" i="2" s="1"/>
  <c r="J30" i="4" l="1"/>
  <c r="K25" i="4"/>
  <c r="K26" i="4" s="1"/>
  <c r="AA37" i="2"/>
  <c r="AB25" i="2" s="1"/>
  <c r="AB26" i="2" s="1"/>
  <c r="AD33" i="2"/>
  <c r="AD24" i="2"/>
  <c r="AE19" i="2"/>
  <c r="AE20" i="2" s="1"/>
  <c r="AE32" i="2"/>
  <c r="AG11" i="2"/>
  <c r="AF16" i="2"/>
  <c r="AF18" i="2" s="1"/>
  <c r="AG23" i="2"/>
  <c r="AG34" i="2"/>
  <c r="AG16" i="2" l="1"/>
  <c r="AG18" i="2" s="1"/>
  <c r="K28" i="4"/>
  <c r="AE33" i="2"/>
  <c r="AE24" i="2"/>
  <c r="AF19" i="2"/>
  <c r="AF20" i="2" s="1"/>
  <c r="AF32" i="2"/>
  <c r="AB27" i="2"/>
  <c r="AB28" i="2" s="1"/>
  <c r="AG32" i="2" l="1"/>
  <c r="AG19" i="2"/>
  <c r="AG20" i="2" s="1"/>
  <c r="K30" i="4"/>
  <c r="L25" i="4"/>
  <c r="L26" i="4" s="1"/>
  <c r="AG33" i="2"/>
  <c r="AG24" i="2"/>
  <c r="AF33" i="2"/>
  <c r="AF24" i="2"/>
  <c r="AB29" i="2"/>
  <c r="AB37" i="2"/>
  <c r="L28" i="4" l="1"/>
  <c r="AC25" i="2"/>
  <c r="AC26" i="2" s="1"/>
  <c r="AC27" i="2" s="1"/>
  <c r="AC28" i="2" s="1"/>
  <c r="AC29" i="2" s="1"/>
  <c r="L30" i="4" l="1"/>
  <c r="M25" i="4"/>
  <c r="M26" i="4" s="1"/>
  <c r="AC37" i="2"/>
  <c r="AD25" i="2" s="1"/>
  <c r="AD26" i="2" s="1"/>
  <c r="AD27" i="2" s="1"/>
  <c r="AD28" i="2" s="1"/>
  <c r="M28" i="4" l="1"/>
  <c r="AD29" i="2"/>
  <c r="AD37" i="2"/>
  <c r="AE25" i="2" s="1"/>
  <c r="AE26" i="2" s="1"/>
  <c r="AE27" i="2" s="1"/>
  <c r="AE28" i="2" s="1"/>
  <c r="AE29" i="2" s="1"/>
  <c r="N25" i="4" l="1"/>
  <c r="AE37" i="2"/>
  <c r="AF25" i="2"/>
  <c r="AF26" i="2" s="1"/>
  <c r="N26" i="4" l="1"/>
  <c r="N28" i="4" s="1"/>
  <c r="AF27" i="2"/>
  <c r="AF28" i="2"/>
  <c r="AF29" i="2" l="1"/>
  <c r="AF37" i="2"/>
  <c r="AG25" i="2" l="1"/>
  <c r="AG26" i="2" s="1"/>
  <c r="AG27" i="2" l="1"/>
  <c r="AG28" i="2" s="1"/>
  <c r="AG29" i="2" l="1"/>
  <c r="AH28" i="2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AJ36" i="2" s="1"/>
  <c r="AJ37" i="2" s="1"/>
  <c r="AG37" i="2"/>
  <c r="AJ38" i="2" l="1"/>
</calcChain>
</file>

<file path=xl/sharedStrings.xml><?xml version="1.0" encoding="utf-8"?>
<sst xmlns="http://schemas.openxmlformats.org/spreadsheetml/2006/main" count="175" uniqueCount="153">
  <si>
    <t>Price</t>
  </si>
  <si>
    <t>Shares</t>
  </si>
  <si>
    <t>MC</t>
  </si>
  <si>
    <t>Cash</t>
  </si>
  <si>
    <t>Debt</t>
  </si>
  <si>
    <t>EV</t>
  </si>
  <si>
    <t>Q222</t>
  </si>
  <si>
    <t>Name</t>
  </si>
  <si>
    <t>Voxzogo (vosoritide)</t>
  </si>
  <si>
    <t>Palynziq (pegvaliase)</t>
  </si>
  <si>
    <t>Brineura (cerliponase)</t>
  </si>
  <si>
    <t>Vimizim (elosulfase)</t>
  </si>
  <si>
    <t>Kuvan (sapropterin)</t>
  </si>
  <si>
    <t>Naglazyme (galsulfase)</t>
  </si>
  <si>
    <t>Aldurazyme (laronidase)</t>
  </si>
  <si>
    <t>Indication</t>
  </si>
  <si>
    <t>Achondroplasia</t>
  </si>
  <si>
    <t>PKU</t>
  </si>
  <si>
    <t>Batten</t>
  </si>
  <si>
    <t>MPS IVA</t>
  </si>
  <si>
    <t>MPS VI</t>
  </si>
  <si>
    <t>MPS I</t>
  </si>
  <si>
    <t>Approved</t>
  </si>
  <si>
    <t>Economics</t>
  </si>
  <si>
    <t>SNY</t>
  </si>
  <si>
    <t>MRK GY</t>
  </si>
  <si>
    <t>Admin</t>
  </si>
  <si>
    <t>IP</t>
  </si>
  <si>
    <t>Oral</t>
  </si>
  <si>
    <t>valoctogene roxaparvovec</t>
  </si>
  <si>
    <t>Phase</t>
  </si>
  <si>
    <t>Hemophilia A</t>
  </si>
  <si>
    <t>IV</t>
  </si>
  <si>
    <t>MOA</t>
  </si>
  <si>
    <t>ERT</t>
  </si>
  <si>
    <t>AAV F8</t>
  </si>
  <si>
    <t>BMN 331</t>
  </si>
  <si>
    <t>I</t>
  </si>
  <si>
    <t>HAE</t>
  </si>
  <si>
    <t>BMN 307</t>
  </si>
  <si>
    <t>PC</t>
  </si>
  <si>
    <t>BMN 255</t>
  </si>
  <si>
    <t>Hyperoxaluria</t>
  </si>
  <si>
    <t>BMN 349</t>
  </si>
  <si>
    <t>A1AT</t>
  </si>
  <si>
    <t>BMN 351</t>
  </si>
  <si>
    <t>DMD</t>
  </si>
  <si>
    <t>BMN 293/DINA-001</t>
  </si>
  <si>
    <t>HCM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</si>
  <si>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</si>
  <si>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</si>
  <si>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</si>
  <si>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</si>
  <si>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</si>
  <si>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</si>
  <si>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</si>
  <si>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</si>
  <si>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</si>
  <si>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</si>
  <si>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</si>
  <si>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</si>
  <si>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</si>
  <si>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Royalty</t>
  </si>
  <si>
    <t>Products</t>
  </si>
  <si>
    <t>COGS</t>
  </si>
  <si>
    <t>Gross Profit</t>
  </si>
  <si>
    <t>Operating Income</t>
  </si>
  <si>
    <t>Operating Expenses</t>
  </si>
  <si>
    <t>R&amp;D</t>
  </si>
  <si>
    <t>SG&amp;A</t>
  </si>
  <si>
    <t>EPS</t>
  </si>
  <si>
    <t>Net Profit</t>
  </si>
  <si>
    <t>Interest Expense</t>
  </si>
  <si>
    <t>Pretax Income</t>
  </si>
  <si>
    <t>Taxes</t>
  </si>
  <si>
    <t>Revenue y/y</t>
  </si>
  <si>
    <t>Gross Margin</t>
  </si>
  <si>
    <t>Vimizim</t>
  </si>
  <si>
    <t>Naglazyme</t>
  </si>
  <si>
    <t>Palynziq</t>
  </si>
  <si>
    <t>Kuvan</t>
  </si>
  <si>
    <t>Brineura</t>
  </si>
  <si>
    <t>Voxzogo</t>
  </si>
  <si>
    <t>Aldurazyme</t>
  </si>
  <si>
    <t>US</t>
  </si>
  <si>
    <t>EU</t>
  </si>
  <si>
    <t>ROW</t>
  </si>
  <si>
    <t>LatAm</t>
  </si>
  <si>
    <t>SG&amp;A y/y</t>
  </si>
  <si>
    <t>Vimizim y/y</t>
  </si>
  <si>
    <t>Discount</t>
  </si>
  <si>
    <t>Maturity</t>
  </si>
  <si>
    <t>NPV</t>
  </si>
  <si>
    <t>Share</t>
  </si>
  <si>
    <t>THREE KEY QUESTIONS</t>
  </si>
  <si>
    <t>1. How big can Voxzogo get? $400m? $600m? $800m?</t>
  </si>
  <si>
    <t>2. What will valrox do? Zero? $500m? $1B+?</t>
  </si>
  <si>
    <t>3. What is the base business growth, if any?</t>
  </si>
  <si>
    <t>4. Is the rest of the pipeline worth anything?</t>
  </si>
  <si>
    <t>Net Cash</t>
  </si>
  <si>
    <t>ROIC</t>
  </si>
  <si>
    <t>Val/Vox</t>
  </si>
  <si>
    <t>ValRox</t>
  </si>
  <si>
    <t>Delta</t>
  </si>
  <si>
    <t>Brand</t>
  </si>
  <si>
    <t>Generic</t>
  </si>
  <si>
    <t>Clinical Trials</t>
  </si>
  <si>
    <t>Regulatory</t>
  </si>
  <si>
    <t>BLA accepted 10/12/2022, PDUFA 3/31/2023</t>
  </si>
  <si>
    <t>No participants have developed inhibitors to Factor VIII, thromboembolic events or malignancy associated with valoctocogene roxaparvovec.</t>
  </si>
  <si>
    <t>ValRox Treated</t>
  </si>
  <si>
    <t>US Patient Pool</t>
  </si>
  <si>
    <t>AAV5 Factor VIII gene therapy</t>
  </si>
  <si>
    <t>Hemophilia A. 1:10,000 people have hemophilia A</t>
  </si>
  <si>
    <t>Roctavian (valoctogene roxaparvovec)</t>
  </si>
  <si>
    <t>CCO: Jeff Ajer</t>
  </si>
  <si>
    <t>EU approved 8/24/22, sales start in Q422</t>
  </si>
  <si>
    <t>20,000 in 70 countries in Europe, 8,000 in "footprint", 3,200 "indicated"</t>
  </si>
  <si>
    <t>Cumulative</t>
  </si>
  <si>
    <t>Manufacturing</t>
  </si>
  <si>
    <t>Baculovirus</t>
  </si>
  <si>
    <t>Phase III "GENEr8-1" n=134 Hemophilia A</t>
  </si>
  <si>
    <t>PE at 104 weeks F8 activity</t>
  </si>
  <si>
    <t>6 months</t>
  </si>
  <si>
    <t>12 months</t>
  </si>
  <si>
    <t>18 months</t>
  </si>
  <si>
    <t>24 months</t>
  </si>
  <si>
    <t>36 months</t>
  </si>
  <si>
    <t>CSA</t>
  </si>
  <si>
    <t>OSA</t>
  </si>
  <si>
    <t>&lt;=5 IU/dL</t>
  </si>
  <si>
    <t>6E13 - 74% of patients had 0 bleeds at 2 years</t>
  </si>
  <si>
    <t>Competition</t>
  </si>
  <si>
    <t xml:space="preserve">  2a. Who else is pursuing hemophilia</t>
  </si>
  <si>
    <t>Belief Biomed BBM 002, DTX201/BAY2599023, ASC Therapeutics ASC 618, SPK-8011 (Roche), PF-07055480, Expression Therapeutics, LLC, SPK-8016 (Roche), Freeline Therapeutics, CSL AMT-061</t>
  </si>
  <si>
    <t>L+SE</t>
  </si>
  <si>
    <t>SE</t>
  </si>
  <si>
    <t>AR</t>
  </si>
  <si>
    <t>Inventory</t>
  </si>
  <si>
    <t>OCA</t>
  </si>
  <si>
    <t>PP&amp;E</t>
  </si>
  <si>
    <t>Goodwill</t>
  </si>
  <si>
    <t>DT</t>
  </si>
  <si>
    <t>Other</t>
  </si>
  <si>
    <t>Assets</t>
  </si>
  <si>
    <t>AP</t>
  </si>
  <si>
    <t>CoCo</t>
  </si>
  <si>
    <t>OLTL</t>
  </si>
  <si>
    <t>Q123</t>
  </si>
  <si>
    <t>Q223</t>
  </si>
  <si>
    <t>Q323</t>
  </si>
  <si>
    <t>Q423</t>
  </si>
  <si>
    <t>3/31/23 PDUFA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</si>
</sst>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3" fillId="0" borderId="0" xfId="0" applyFont="1"/>
    <xf numFmtId="4" fontId="0" fillId="0" borderId="4" xfId="0" applyNumberFormat="1" applyBorder="1"/>
    <xf numFmtId="4" fontId="0" fillId="0" borderId="6" xfId="0" applyNumberFormat="1" applyBorder="1"/>
    <xf numFmtId="4" fontId="0" fillId="0" borderId="10" xfId="0" applyNumberFormat="1" applyBorder="1"/>
    <xf numFmtId="4" fontId="0" fillId="2" borderId="9" xfId="0" applyNumberFormat="1" applyFill="1" applyBorder="1"/>
    <xf numFmtId="9" fontId="1" fillId="2" borderId="0" xfId="0" applyNumberFormat="1" applyFont="1" applyFill="1"/>
    <xf numFmtId="9" fontId="0" fillId="3" borderId="0" xfId="0" applyNumberFormat="1" applyFill="1"/>
    <xf numFmtId="9" fontId="0" fillId="4" borderId="0" xfId="0" applyNumberFormat="1" applyFill="1"/>
    <xf numFmtId="4" fontId="1" fillId="4" borderId="0" xfId="0" applyNumberFormat="1" applyFont="1" applyFill="1"/>
    <xf numFmtId="4" fontId="0" fillId="4" borderId="10" xfId="0" applyNumberFormat="1" applyFill="1" applyBorder="1"/>
    <xf numFmtId="4" fontId="0" fillId="4" borderId="0" xfId="0" applyNumberFormat="1" applyFill="1"/>
    <xf numFmtId="4" fontId="0" fillId="4" borderId="8" xfId="0" applyNumberFormat="1" applyFill="1" applyBorder="1"/>
    <xf numFmtId="9" fontId="1" fillId="3" borderId="0" xfId="0" applyNumberFormat="1" applyFont="1" applyFill="1"/>
    <xf numFmtId="4" fontId="1" fillId="0" borderId="10" xfId="0" applyNumberFormat="1" applyFont="1" applyBorder="1"/>
    <xf numFmtId="4" fontId="1" fillId="0" borderId="0" xfId="0" applyNumberFormat="1" applyFont="1"/>
    <xf numFmtId="4" fontId="1" fillId="0" borderId="7" xfId="0" applyNumberFormat="1" applyFont="1" applyBorder="1"/>
    <xf numFmtId="0" fontId="2" fillId="0" borderId="4" xfId="1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15602</xdr:colOff>
      <xdr:row>0</xdr:row>
      <xdr:rowOff>32410</xdr:rowOff>
    </xdr:from>
    <xdr:to>
      <xdr:col>13</xdr:col>
      <xdr:colOff>15602</xdr:colOff>
      <xdr:row>56</xdr:row>
      <xdr:rowOff>53578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948877-654B-BFB3-1647-625114A49D41}"/>
            </a:ext>
          </a:extLst>
        </xdr:cNvPr>
        <xdr:cNvCxnSpPr/>
      </xdr:nvCxnSpPr>
      <xdr:spPr>
        <a:xfrm>
          <a:off x="8236868" y="32410"/>
          <a:ext cx="0" cy="9022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31421</xdr:colOff>
      <xdr:row>0</xdr:row>
      <xdr:rowOff>0</xdr:rowOff>
    </xdr:from>
    <xdr:to>
      <xdr:col>24</xdr:col>
      <xdr:colOff>31421</xdr:colOff>
      <xdr:row>45</xdr:row>
      <xdr:rowOff>71437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B76C57-8012-4D5F-8D3D-257B1CBEBF90}"/>
            </a:ext>
          </a:extLst>
        </xdr:cNvPr>
        <xdr:cNvCxnSpPr/>
      </xdr:nvCxnSpPr>
      <xdr:spPr>
        <a:xfrm>
          <a:off x="12503218" y="0"/>
          <a:ext cx="0" cy="714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2D-8D10-4D01-9D30-7F79A6792282}">
  <dimension ref="B2:M26"/>
  <sheetViews>
    <sheetView tabSelected="1" zoomScale="145" zoomScaleNormal="145" workbookViewId="0">
      <selection activeCell="E9" sqref="E9"/>
    </sheetView>
  </sheetViews>
  <sheetFormatPr defaultRowHeight="12.75" x14ac:dyDescent="0.2"/>
  <cols>
    <col min="1" max="1" width="2.7109375" customWidth="1"/>
    <col min="2" max="2" width="35.42578125" customWidth="1"/>
    <col min="3" max="3" width="13.5703125" customWidth="1"/>
    <col min="4" max="4" width="16.28515625" customWidth="1"/>
    <col min="5" max="6" width="12.5703125" customWidth="1"/>
    <col min="9" max="10" width="4.85546875" customWidth="1"/>
    <col min="13" max="13" width="8.42578125" customWidth="1"/>
  </cols>
  <sheetData>
    <row r="2" spans="2:13" x14ac:dyDescent="0.2">
      <c r="B2" s="5" t="s">
        <v>7</v>
      </c>
      <c r="C2" s="6" t="s">
        <v>15</v>
      </c>
      <c r="D2" s="13" t="s">
        <v>22</v>
      </c>
      <c r="E2" s="13" t="s">
        <v>23</v>
      </c>
      <c r="F2" s="13" t="s">
        <v>33</v>
      </c>
      <c r="G2" s="13" t="s">
        <v>26</v>
      </c>
      <c r="H2" s="17" t="s">
        <v>27</v>
      </c>
      <c r="K2" t="s">
        <v>0</v>
      </c>
      <c r="L2" s="1">
        <v>109</v>
      </c>
      <c r="M2" s="30"/>
    </row>
    <row r="3" spans="2:13" x14ac:dyDescent="0.2">
      <c r="B3" s="8" t="s">
        <v>8</v>
      </c>
      <c r="C3" t="s">
        <v>16</v>
      </c>
      <c r="D3" s="14">
        <v>44519</v>
      </c>
      <c r="E3" s="16">
        <v>1</v>
      </c>
      <c r="F3" s="16"/>
      <c r="G3" s="3"/>
      <c r="H3" s="18"/>
      <c r="K3" t="s">
        <v>1</v>
      </c>
      <c r="L3" s="2">
        <v>185.84891500000001</v>
      </c>
      <c r="M3" s="3" t="s">
        <v>60</v>
      </c>
    </row>
    <row r="4" spans="2:13" x14ac:dyDescent="0.2">
      <c r="B4" s="8" t="s">
        <v>9</v>
      </c>
      <c r="C4" t="s">
        <v>17</v>
      </c>
      <c r="D4" s="14">
        <v>43244</v>
      </c>
      <c r="E4" s="16">
        <v>1</v>
      </c>
      <c r="F4" s="16"/>
      <c r="G4" s="3"/>
      <c r="H4" s="18"/>
      <c r="K4" t="s">
        <v>2</v>
      </c>
      <c r="L4" s="2">
        <f>+L2*L3</f>
        <v>20257.531735</v>
      </c>
    </row>
    <row r="5" spans="2:13" x14ac:dyDescent="0.2">
      <c r="B5" s="8" t="s">
        <v>10</v>
      </c>
      <c r="C5" t="s">
        <v>18</v>
      </c>
      <c r="D5" s="14">
        <v>42852</v>
      </c>
      <c r="E5" s="16">
        <v>1</v>
      </c>
      <c r="F5" s="16"/>
      <c r="G5" s="3"/>
      <c r="H5" s="18"/>
      <c r="K5" t="s">
        <v>3</v>
      </c>
      <c r="L5" s="2">
        <v>1646</v>
      </c>
      <c r="M5" s="3" t="s">
        <v>60</v>
      </c>
    </row>
    <row r="6" spans="2:13" x14ac:dyDescent="0.2">
      <c r="B6" s="8" t="s">
        <v>11</v>
      </c>
      <c r="C6" t="s">
        <v>19</v>
      </c>
      <c r="D6" s="14">
        <v>41684</v>
      </c>
      <c r="E6" s="16">
        <v>1</v>
      </c>
      <c r="F6" s="16" t="s">
        <v>34</v>
      </c>
      <c r="G6" s="3"/>
      <c r="H6" s="18"/>
      <c r="K6" t="s">
        <v>4</v>
      </c>
      <c r="L6" s="2">
        <v>1082</v>
      </c>
      <c r="M6" s="3" t="s">
        <v>60</v>
      </c>
    </row>
    <row r="7" spans="2:13" x14ac:dyDescent="0.2">
      <c r="B7" s="8" t="s">
        <v>12</v>
      </c>
      <c r="C7" t="s">
        <v>17</v>
      </c>
      <c r="D7" s="14">
        <v>39429</v>
      </c>
      <c r="E7" s="3" t="s">
        <v>25</v>
      </c>
      <c r="F7" s="3"/>
      <c r="G7" s="3" t="s">
        <v>28</v>
      </c>
      <c r="H7" s="18"/>
      <c r="K7" t="s">
        <v>5</v>
      </c>
      <c r="L7" s="2">
        <f>+L4-L5+L6</f>
        <v>19693.531735</v>
      </c>
    </row>
    <row r="8" spans="2:13" x14ac:dyDescent="0.2">
      <c r="B8" s="8" t="s">
        <v>13</v>
      </c>
      <c r="C8" t="s">
        <v>20</v>
      </c>
      <c r="D8" s="14">
        <v>38503</v>
      </c>
      <c r="E8" s="16">
        <v>1</v>
      </c>
      <c r="F8" s="16" t="s">
        <v>34</v>
      </c>
      <c r="G8" s="3"/>
      <c r="H8" s="18"/>
    </row>
    <row r="9" spans="2:13" x14ac:dyDescent="0.2">
      <c r="B9" s="8" t="s">
        <v>14</v>
      </c>
      <c r="C9" t="s">
        <v>21</v>
      </c>
      <c r="D9" s="14">
        <v>37741</v>
      </c>
      <c r="E9" s="3" t="s">
        <v>24</v>
      </c>
      <c r="F9" s="3" t="s">
        <v>34</v>
      </c>
      <c r="G9" s="3"/>
      <c r="H9" s="18"/>
    </row>
    <row r="10" spans="2:13" x14ac:dyDescent="0.2">
      <c r="B10" s="10"/>
      <c r="C10" s="11"/>
      <c r="D10" s="15"/>
      <c r="E10" s="11"/>
      <c r="F10" s="15"/>
      <c r="G10" s="11"/>
      <c r="H10" s="12"/>
      <c r="K10" t="s">
        <v>115</v>
      </c>
    </row>
    <row r="11" spans="2:13" x14ac:dyDescent="0.2">
      <c r="B11" s="5"/>
      <c r="C11" s="6"/>
      <c r="D11" s="19" t="s">
        <v>30</v>
      </c>
      <c r="E11" s="6"/>
      <c r="F11" s="13"/>
      <c r="G11" s="13"/>
      <c r="H11" s="7"/>
    </row>
    <row r="12" spans="2:13" x14ac:dyDescent="0.2">
      <c r="B12" s="47" t="s">
        <v>114</v>
      </c>
      <c r="C12" t="s">
        <v>31</v>
      </c>
      <c r="D12" s="20" t="s">
        <v>152</v>
      </c>
      <c r="E12" s="30">
        <v>1</v>
      </c>
      <c r="F12" s="16" t="s">
        <v>35</v>
      </c>
      <c r="G12" s="3" t="s">
        <v>32</v>
      </c>
      <c r="H12" s="9"/>
    </row>
    <row r="13" spans="2:13" x14ac:dyDescent="0.2">
      <c r="B13" s="8" t="s">
        <v>36</v>
      </c>
      <c r="C13" t="s">
        <v>38</v>
      </c>
      <c r="D13" s="20" t="s">
        <v>37</v>
      </c>
      <c r="F13" s="3"/>
      <c r="G13" s="3"/>
      <c r="H13" s="9"/>
    </row>
    <row r="14" spans="2:13" x14ac:dyDescent="0.2">
      <c r="B14" s="8" t="s">
        <v>39</v>
      </c>
      <c r="C14" t="s">
        <v>17</v>
      </c>
      <c r="D14" s="20" t="s">
        <v>40</v>
      </c>
      <c r="F14" s="3"/>
      <c r="G14" s="3"/>
      <c r="H14" s="9"/>
    </row>
    <row r="15" spans="2:13" x14ac:dyDescent="0.2">
      <c r="B15" s="8" t="s">
        <v>41</v>
      </c>
      <c r="C15" t="s">
        <v>42</v>
      </c>
      <c r="D15" s="20" t="s">
        <v>40</v>
      </c>
      <c r="F15" s="3"/>
      <c r="G15" s="3"/>
      <c r="H15" s="9"/>
    </row>
    <row r="16" spans="2:13" x14ac:dyDescent="0.2">
      <c r="B16" s="8" t="s">
        <v>43</v>
      </c>
      <c r="C16" t="s">
        <v>44</v>
      </c>
      <c r="D16" s="20" t="s">
        <v>40</v>
      </c>
      <c r="F16" s="3"/>
      <c r="G16" s="3"/>
      <c r="H16" s="9"/>
    </row>
    <row r="17" spans="2:8" x14ac:dyDescent="0.2">
      <c r="B17" s="8" t="s">
        <v>45</v>
      </c>
      <c r="C17" t="s">
        <v>46</v>
      </c>
      <c r="D17" s="20" t="s">
        <v>40</v>
      </c>
      <c r="F17" s="3"/>
      <c r="G17" s="3"/>
      <c r="H17" s="9"/>
    </row>
    <row r="18" spans="2:8" x14ac:dyDescent="0.2">
      <c r="B18" s="10" t="s">
        <v>47</v>
      </c>
      <c r="C18" s="11" t="s">
        <v>48</v>
      </c>
      <c r="D18" s="21" t="s">
        <v>40</v>
      </c>
      <c r="E18" s="11"/>
      <c r="F18" s="15"/>
      <c r="G18" s="15"/>
      <c r="H18" s="12"/>
    </row>
    <row r="20" spans="2:8" x14ac:dyDescent="0.2">
      <c r="B20" s="31" t="s">
        <v>94</v>
      </c>
    </row>
    <row r="21" spans="2:8" x14ac:dyDescent="0.2">
      <c r="B21" t="s">
        <v>95</v>
      </c>
    </row>
    <row r="22" spans="2:8" x14ac:dyDescent="0.2">
      <c r="B22" s="23" t="s">
        <v>96</v>
      </c>
    </row>
    <row r="23" spans="2:8" x14ac:dyDescent="0.2">
      <c r="B23" s="23" t="s">
        <v>133</v>
      </c>
    </row>
    <row r="24" spans="2:8" x14ac:dyDescent="0.2">
      <c r="B24" s="23"/>
    </row>
    <row r="25" spans="2:8" x14ac:dyDescent="0.2">
      <c r="B25" t="s">
        <v>97</v>
      </c>
    </row>
    <row r="26" spans="2:8" x14ac:dyDescent="0.2">
      <c r="B26" t="s">
        <v>98</v>
      </c>
    </row>
  </sheetData>
  <hyperlinks>
    <hyperlink ref="B12" location="valrox!A1" display="Roctavian (valoctogene roxaparvovec)" xr:uid="{E70517BA-A69B-4419-96B8-40614DF47CF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7BFD-C986-43B5-AFE7-A2D1E0EBF425}">
  <dimension ref="A1:DJ53"/>
  <sheetViews>
    <sheetView zoomScale="160" zoomScaleNormal="160" workbookViewId="0">
      <pane xSplit="2" ySplit="2" topLeftCell="K33" activePane="bottomRight" state="frozen"/>
      <selection pane="topRight" activeCell="C1" sqref="C1"/>
      <selection pane="bottomLeft" activeCell="A3" sqref="A3"/>
      <selection pane="bottomRight" activeCell="M53" sqref="M53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  <col min="35" max="35" width="11.140625" bestFit="1" customWidth="1"/>
  </cols>
  <sheetData>
    <row r="1" spans="1:33" x14ac:dyDescent="0.2">
      <c r="A1" s="22" t="s">
        <v>49</v>
      </c>
    </row>
    <row r="2" spans="1:33" x14ac:dyDescent="0.2"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</v>
      </c>
      <c r="M2" s="3" t="s">
        <v>60</v>
      </c>
      <c r="N2" s="3" t="s">
        <v>61</v>
      </c>
      <c r="O2" s="3" t="s">
        <v>148</v>
      </c>
      <c r="P2" s="3" t="s">
        <v>149</v>
      </c>
      <c r="Q2" s="3" t="s">
        <v>150</v>
      </c>
      <c r="R2" s="3" t="s">
        <v>151</v>
      </c>
      <c r="U2">
        <v>2018</v>
      </c>
      <c r="V2">
        <f>+U2+1</f>
        <v>2019</v>
      </c>
      <c r="W2">
        <f>+V2+1</f>
        <v>2020</v>
      </c>
      <c r="X2">
        <f>+W2+1</f>
        <v>2021</v>
      </c>
      <c r="Y2">
        <f t="shared" ref="Y2:AG2" si="0">+X2+1</f>
        <v>2022</v>
      </c>
      <c r="Z2">
        <f t="shared" si="0"/>
        <v>2023</v>
      </c>
      <c r="AA2">
        <f t="shared" si="0"/>
        <v>2024</v>
      </c>
      <c r="AB2">
        <f t="shared" si="0"/>
        <v>2025</v>
      </c>
      <c r="AC2">
        <f t="shared" si="0"/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</row>
    <row r="3" spans="1:33" s="2" customFormat="1" x14ac:dyDescent="0.2">
      <c r="B3" s="2" t="s">
        <v>84</v>
      </c>
      <c r="C3" s="25"/>
      <c r="D3" s="25"/>
      <c r="E3" s="25"/>
      <c r="F3" s="25"/>
      <c r="G3" s="25"/>
      <c r="H3" s="25">
        <v>169.411</v>
      </c>
      <c r="I3" s="25">
        <v>166.554</v>
      </c>
      <c r="J3" s="25"/>
      <c r="K3" s="25"/>
      <c r="L3" s="25">
        <v>169.83799999999999</v>
      </c>
      <c r="M3" s="25">
        <v>176.55199999999999</v>
      </c>
      <c r="N3" s="25"/>
      <c r="O3" s="25"/>
      <c r="P3" s="25"/>
      <c r="Q3" s="25"/>
      <c r="R3" s="25"/>
    </row>
    <row r="4" spans="1:33" s="2" customFormat="1" x14ac:dyDescent="0.2">
      <c r="B4" s="2" t="s">
        <v>85</v>
      </c>
      <c r="C4" s="25"/>
      <c r="D4" s="25"/>
      <c r="E4" s="25"/>
      <c r="F4" s="25"/>
      <c r="G4" s="25"/>
      <c r="H4" s="25">
        <v>166.70400000000001</v>
      </c>
      <c r="I4" s="25">
        <v>108.568</v>
      </c>
      <c r="J4" s="25"/>
      <c r="K4" s="25"/>
      <c r="L4" s="25">
        <v>161.22999999999999</v>
      </c>
      <c r="M4" s="25">
        <v>162.583</v>
      </c>
      <c r="N4" s="25"/>
      <c r="O4" s="25"/>
      <c r="P4" s="25"/>
      <c r="Q4" s="25"/>
      <c r="R4" s="25"/>
    </row>
    <row r="5" spans="1:33" s="2" customFormat="1" x14ac:dyDescent="0.2">
      <c r="B5" s="2" t="s">
        <v>87</v>
      </c>
      <c r="C5" s="25"/>
      <c r="D5" s="25"/>
      <c r="E5" s="25"/>
      <c r="F5" s="25"/>
      <c r="G5" s="25"/>
      <c r="H5" s="25">
        <v>42.247999999999998</v>
      </c>
      <c r="I5" s="25">
        <v>38.957999999999998</v>
      </c>
      <c r="J5" s="25"/>
      <c r="K5" s="25"/>
      <c r="L5" s="25">
        <v>89.911000000000001</v>
      </c>
      <c r="M5" s="25">
        <v>60.790999999999997</v>
      </c>
      <c r="N5" s="25"/>
      <c r="O5" s="25"/>
      <c r="P5" s="25"/>
      <c r="Q5" s="25"/>
      <c r="R5" s="25"/>
    </row>
    <row r="6" spans="1:33" s="2" customFormat="1" x14ac:dyDescent="0.2">
      <c r="B6" s="2" t="s">
        <v>86</v>
      </c>
      <c r="C6" s="25"/>
      <c r="D6" s="25"/>
      <c r="E6" s="25"/>
      <c r="F6" s="25"/>
      <c r="G6" s="25"/>
      <c r="H6" s="25">
        <v>80.179000000000002</v>
      </c>
      <c r="I6" s="25">
        <v>55.38</v>
      </c>
      <c r="J6" s="25"/>
      <c r="K6" s="25"/>
      <c r="L6" s="25">
        <v>59.353999999999999</v>
      </c>
      <c r="M6" s="25">
        <v>64.376000000000005</v>
      </c>
      <c r="N6" s="25"/>
      <c r="O6" s="25"/>
      <c r="P6" s="25"/>
      <c r="Q6" s="25"/>
      <c r="R6" s="25"/>
    </row>
    <row r="7" spans="1:33" x14ac:dyDescent="0.2">
      <c r="H7" s="25"/>
      <c r="I7" s="25"/>
      <c r="J7" s="25"/>
      <c r="K7" s="25"/>
      <c r="L7" s="25"/>
    </row>
    <row r="8" spans="1:33" s="2" customFormat="1" x14ac:dyDescent="0.2">
      <c r="B8" s="2" t="s">
        <v>77</v>
      </c>
      <c r="C8" s="25"/>
      <c r="D8" s="25"/>
      <c r="E8" s="25">
        <v>147.9</v>
      </c>
      <c r="F8" s="25">
        <v>142.5</v>
      </c>
      <c r="G8" s="25">
        <v>158.4</v>
      </c>
      <c r="H8" s="25">
        <v>171.655</v>
      </c>
      <c r="I8" s="25">
        <v>136.9</v>
      </c>
      <c r="J8" s="25">
        <v>156.30000000000001</v>
      </c>
      <c r="K8" s="25">
        <v>183</v>
      </c>
      <c r="L8" s="25">
        <v>173.20599999999999</v>
      </c>
      <c r="M8" s="25">
        <v>155.47</v>
      </c>
      <c r="N8" s="25">
        <v>165</v>
      </c>
      <c r="O8" s="25"/>
      <c r="P8" s="25"/>
      <c r="Q8" s="25"/>
      <c r="R8" s="25"/>
      <c r="V8" s="2">
        <v>544.29999999999995</v>
      </c>
      <c r="W8" s="2">
        <v>544.4</v>
      </c>
      <c r="X8" s="2">
        <f>SUM(G8:J8)</f>
        <v>623.25500000000011</v>
      </c>
      <c r="Y8" s="2">
        <f>SUM(K8:N8)</f>
        <v>676.67600000000004</v>
      </c>
      <c r="Z8" s="2">
        <f>+Y8*1.07</f>
        <v>724.04332000000011</v>
      </c>
      <c r="AA8" s="2">
        <f t="shared" ref="AA8" si="1">+Z8*1.07</f>
        <v>774.72635240000011</v>
      </c>
      <c r="AB8" s="2">
        <f>+AA8*1.04</f>
        <v>805.71540649600013</v>
      </c>
      <c r="AC8" s="2">
        <f t="shared" ref="AC8:AG8" si="2">+AB8*1.04</f>
        <v>837.94402275584014</v>
      </c>
      <c r="AD8" s="2">
        <f t="shared" si="2"/>
        <v>871.46178366607376</v>
      </c>
      <c r="AE8" s="2">
        <f t="shared" si="2"/>
        <v>906.32025501271676</v>
      </c>
      <c r="AF8" s="2">
        <f t="shared" si="2"/>
        <v>942.5730652132255</v>
      </c>
      <c r="AG8" s="2">
        <f t="shared" si="2"/>
        <v>980.2759878217546</v>
      </c>
    </row>
    <row r="9" spans="1:33" s="2" customFormat="1" x14ac:dyDescent="0.2">
      <c r="B9" s="2" t="s">
        <v>102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X9" s="2">
        <v>0</v>
      </c>
      <c r="Y9" s="2">
        <v>0</v>
      </c>
      <c r="Z9" s="2">
        <v>500</v>
      </c>
      <c r="AA9" s="2">
        <v>1000</v>
      </c>
      <c r="AB9" s="2">
        <v>1500</v>
      </c>
      <c r="AC9" s="2">
        <v>2000</v>
      </c>
      <c r="AD9" s="2">
        <f>+AC9*1.2</f>
        <v>2400</v>
      </c>
      <c r="AE9" s="2">
        <f>+AD9*1.2</f>
        <v>2880</v>
      </c>
      <c r="AF9" s="2">
        <f>+AE9*1.2</f>
        <v>3456</v>
      </c>
      <c r="AG9" s="2">
        <f>+AF9*1.15</f>
        <v>3974.3999999999996</v>
      </c>
    </row>
    <row r="10" spans="1:33" s="2" customFormat="1" x14ac:dyDescent="0.2">
      <c r="B10" s="2" t="s">
        <v>78</v>
      </c>
      <c r="C10" s="25"/>
      <c r="D10" s="25"/>
      <c r="E10" s="25">
        <v>76.3</v>
      </c>
      <c r="F10" s="25">
        <v>119.7</v>
      </c>
      <c r="G10" s="25">
        <v>107.3</v>
      </c>
      <c r="H10" s="25">
        <v>118.813</v>
      </c>
      <c r="I10" s="25">
        <v>71.2</v>
      </c>
      <c r="J10" s="25">
        <v>83.1</v>
      </c>
      <c r="K10" s="25">
        <v>128</v>
      </c>
      <c r="L10" s="25">
        <v>115.783</v>
      </c>
      <c r="M10" s="25">
        <v>99.506</v>
      </c>
      <c r="N10" s="25">
        <v>100</v>
      </c>
      <c r="O10" s="25"/>
      <c r="P10" s="25"/>
      <c r="Q10" s="25"/>
      <c r="R10" s="25"/>
      <c r="V10" s="2">
        <v>374.3</v>
      </c>
      <c r="W10" s="2">
        <v>391.3</v>
      </c>
      <c r="X10" s="2">
        <f t="shared" ref="X10:X22" si="3">SUM(G10:J10)</f>
        <v>380.41300000000001</v>
      </c>
      <c r="Y10" s="2">
        <f t="shared" ref="Y10:Y22" si="4">SUM(K10:N10)</f>
        <v>443.28899999999999</v>
      </c>
      <c r="Z10" s="2">
        <f>+Y10*1.04</f>
        <v>461.02055999999999</v>
      </c>
      <c r="AA10" s="2">
        <f t="shared" ref="AA10:AG10" si="5">+Z10*1.04</f>
        <v>479.46138239999999</v>
      </c>
      <c r="AB10" s="2">
        <f t="shared" si="5"/>
        <v>498.63983769600003</v>
      </c>
      <c r="AC10" s="2">
        <f t="shared" si="5"/>
        <v>518.58543120384002</v>
      </c>
      <c r="AD10" s="2">
        <f t="shared" si="5"/>
        <v>539.32884845199362</v>
      </c>
      <c r="AE10" s="2">
        <f t="shared" si="5"/>
        <v>560.90200239007333</v>
      </c>
      <c r="AF10" s="2">
        <f t="shared" si="5"/>
        <v>583.3380824856763</v>
      </c>
      <c r="AG10" s="2">
        <f t="shared" si="5"/>
        <v>606.67160578510334</v>
      </c>
    </row>
    <row r="11" spans="1:33" s="2" customFormat="1" x14ac:dyDescent="0.2">
      <c r="B11" s="2" t="s">
        <v>79</v>
      </c>
      <c r="C11" s="25"/>
      <c r="D11" s="25"/>
      <c r="E11" s="25">
        <v>46.1</v>
      </c>
      <c r="F11" s="25">
        <v>49.6</v>
      </c>
      <c r="G11" s="25">
        <v>54</v>
      </c>
      <c r="H11" s="25">
        <v>58.935000000000002</v>
      </c>
      <c r="I11" s="25">
        <v>60.7</v>
      </c>
      <c r="J11" s="25">
        <v>63.8</v>
      </c>
      <c r="K11" s="25">
        <v>54.9</v>
      </c>
      <c r="L11" s="25">
        <v>61.643000000000001</v>
      </c>
      <c r="M11" s="25">
        <v>66.206000000000003</v>
      </c>
      <c r="N11" s="25">
        <f>+M11+1</f>
        <v>67.206000000000003</v>
      </c>
      <c r="O11" s="25"/>
      <c r="P11" s="25"/>
      <c r="Q11" s="25"/>
      <c r="R11" s="25"/>
      <c r="V11" s="2">
        <v>86.9</v>
      </c>
      <c r="W11" s="2">
        <v>171</v>
      </c>
      <c r="X11" s="2">
        <f t="shared" si="3"/>
        <v>237.435</v>
      </c>
      <c r="Y11" s="2">
        <f t="shared" si="4"/>
        <v>249.95500000000004</v>
      </c>
      <c r="Z11" s="2">
        <f>+Y11*1.05</f>
        <v>262.45275000000004</v>
      </c>
      <c r="AA11" s="2">
        <f t="shared" ref="AA11:AG11" si="6">+Z11*1.05</f>
        <v>275.57538750000003</v>
      </c>
      <c r="AB11" s="2">
        <f t="shared" si="6"/>
        <v>289.35415687500006</v>
      </c>
      <c r="AC11" s="2">
        <f t="shared" si="6"/>
        <v>303.82186471875008</v>
      </c>
      <c r="AD11" s="2">
        <f t="shared" si="6"/>
        <v>319.01295795468758</v>
      </c>
      <c r="AE11" s="2">
        <f t="shared" si="6"/>
        <v>334.96360585242195</v>
      </c>
      <c r="AF11" s="2">
        <f t="shared" si="6"/>
        <v>351.71178614504305</v>
      </c>
      <c r="AG11" s="2">
        <f t="shared" si="6"/>
        <v>369.29737545229523</v>
      </c>
    </row>
    <row r="12" spans="1:33" s="2" customFormat="1" x14ac:dyDescent="0.2">
      <c r="B12" s="2" t="s">
        <v>80</v>
      </c>
      <c r="C12" s="25"/>
      <c r="D12" s="25"/>
      <c r="E12" s="25">
        <v>124.1</v>
      </c>
      <c r="F12" s="25">
        <v>89</v>
      </c>
      <c r="G12" s="25">
        <v>70.8</v>
      </c>
      <c r="H12" s="25">
        <v>78.807000000000002</v>
      </c>
      <c r="I12" s="25">
        <v>67.7</v>
      </c>
      <c r="J12" s="25">
        <v>68.5</v>
      </c>
      <c r="K12" s="25">
        <v>59.3</v>
      </c>
      <c r="L12" s="25">
        <v>57.601999999999997</v>
      </c>
      <c r="M12" s="25">
        <v>57.037999999999997</v>
      </c>
      <c r="N12" s="25">
        <f>+M12-3</f>
        <v>54.037999999999997</v>
      </c>
      <c r="O12" s="25"/>
      <c r="P12" s="25"/>
      <c r="Q12" s="25"/>
      <c r="R12" s="25"/>
      <c r="V12" s="2">
        <v>463.4</v>
      </c>
      <c r="W12" s="2">
        <v>457.7</v>
      </c>
      <c r="X12" s="2">
        <f t="shared" si="3"/>
        <v>285.80700000000002</v>
      </c>
      <c r="Y12" s="2">
        <f t="shared" si="4"/>
        <v>227.97800000000001</v>
      </c>
      <c r="Z12" s="2">
        <f>+Y12*0.9</f>
        <v>205.18020000000001</v>
      </c>
      <c r="AA12" s="2">
        <f t="shared" ref="AA12:AG12" si="7">+Z12*0.9</f>
        <v>184.66218000000001</v>
      </c>
      <c r="AB12" s="2">
        <f t="shared" si="7"/>
        <v>166.19596200000001</v>
      </c>
      <c r="AC12" s="2">
        <f t="shared" si="7"/>
        <v>149.57636580000002</v>
      </c>
      <c r="AD12" s="2">
        <f t="shared" si="7"/>
        <v>134.61872922000003</v>
      </c>
      <c r="AE12" s="2">
        <f t="shared" si="7"/>
        <v>121.15685629800004</v>
      </c>
      <c r="AF12" s="2">
        <f t="shared" si="7"/>
        <v>109.04117066820004</v>
      </c>
      <c r="AG12" s="2">
        <f t="shared" si="7"/>
        <v>98.137053601380032</v>
      </c>
    </row>
    <row r="13" spans="1:33" s="2" customFormat="1" x14ac:dyDescent="0.2">
      <c r="B13" s="2" t="s">
        <v>81</v>
      </c>
      <c r="C13" s="25"/>
      <c r="D13" s="25"/>
      <c r="E13" s="25">
        <v>25.4</v>
      </c>
      <c r="F13" s="25">
        <v>35</v>
      </c>
      <c r="G13" s="25">
        <v>27.3</v>
      </c>
      <c r="H13" s="25">
        <v>30.332000000000001</v>
      </c>
      <c r="I13" s="25">
        <v>32.9</v>
      </c>
      <c r="J13" s="25">
        <v>37.4</v>
      </c>
      <c r="K13" s="25">
        <v>36.200000000000003</v>
      </c>
      <c r="L13" s="25">
        <v>37.725000000000001</v>
      </c>
      <c r="M13" s="25">
        <v>37.792999999999999</v>
      </c>
      <c r="N13" s="25">
        <f>+M13+1</f>
        <v>38.792999999999999</v>
      </c>
      <c r="O13" s="25"/>
      <c r="P13" s="25"/>
      <c r="Q13" s="25"/>
      <c r="R13" s="25"/>
      <c r="V13" s="2">
        <v>72</v>
      </c>
      <c r="W13" s="2">
        <v>110.2</v>
      </c>
      <c r="X13" s="2">
        <f t="shared" si="3"/>
        <v>127.93200000000002</v>
      </c>
      <c r="Y13" s="2">
        <f t="shared" si="4"/>
        <v>150.51100000000002</v>
      </c>
      <c r="Z13" s="2">
        <f>+Y13*1.1</f>
        <v>165.56210000000004</v>
      </c>
      <c r="AA13" s="2">
        <f>+Z13*1.1</f>
        <v>182.11831000000006</v>
      </c>
      <c r="AB13" s="2">
        <f>+AA13*1.05</f>
        <v>191.22422550000007</v>
      </c>
      <c r="AC13" s="2">
        <f t="shared" ref="AC13:AG13" si="8">+AB13*1.05</f>
        <v>200.78543677500008</v>
      </c>
      <c r="AD13" s="2">
        <f t="shared" si="8"/>
        <v>210.82470861375009</v>
      </c>
      <c r="AE13" s="2">
        <f t="shared" si="8"/>
        <v>221.36594404443761</v>
      </c>
      <c r="AF13" s="2">
        <f t="shared" si="8"/>
        <v>232.4342412466595</v>
      </c>
      <c r="AG13" s="2">
        <f t="shared" si="8"/>
        <v>244.05595330899249</v>
      </c>
    </row>
    <row r="14" spans="1:33" s="2" customFormat="1" x14ac:dyDescent="0.2">
      <c r="B14" s="2" t="s">
        <v>82</v>
      </c>
      <c r="C14" s="25"/>
      <c r="D14" s="25"/>
      <c r="E14" s="25">
        <v>0</v>
      </c>
      <c r="F14" s="25">
        <v>0</v>
      </c>
      <c r="G14" s="25">
        <v>0</v>
      </c>
      <c r="H14" s="25">
        <v>0</v>
      </c>
      <c r="I14" s="25">
        <v>0.1</v>
      </c>
      <c r="J14" s="25">
        <v>5.8</v>
      </c>
      <c r="K14" s="25">
        <v>19.7</v>
      </c>
      <c r="L14" s="25">
        <v>34.374000000000002</v>
      </c>
      <c r="M14" s="25">
        <v>48.289000000000001</v>
      </c>
      <c r="N14" s="25">
        <v>60</v>
      </c>
      <c r="O14" s="25"/>
      <c r="P14" s="25"/>
      <c r="Q14" s="25"/>
      <c r="R14" s="25"/>
      <c r="V14" s="2">
        <v>0</v>
      </c>
      <c r="W14" s="2">
        <v>0</v>
      </c>
      <c r="X14" s="2">
        <f t="shared" si="3"/>
        <v>5.8999999999999995</v>
      </c>
      <c r="Y14" s="2">
        <f t="shared" si="4"/>
        <v>162.363</v>
      </c>
      <c r="Z14" s="2">
        <v>320</v>
      </c>
      <c r="AA14" s="2">
        <v>500</v>
      </c>
      <c r="AB14" s="2">
        <f>+AA14*1.08</f>
        <v>540</v>
      </c>
      <c r="AC14" s="2">
        <f t="shared" ref="AC14:AG14" si="9">+AB14*1.08</f>
        <v>583.20000000000005</v>
      </c>
      <c r="AD14" s="2">
        <f t="shared" si="9"/>
        <v>629.85600000000011</v>
      </c>
      <c r="AE14" s="2">
        <f t="shared" si="9"/>
        <v>680.24448000000018</v>
      </c>
      <c r="AF14" s="2">
        <f t="shared" si="9"/>
        <v>734.66403840000021</v>
      </c>
      <c r="AG14" s="2">
        <f t="shared" si="9"/>
        <v>793.4371614720003</v>
      </c>
    </row>
    <row r="15" spans="1:33" s="2" customFormat="1" x14ac:dyDescent="0.2">
      <c r="B15" s="2" t="s">
        <v>83</v>
      </c>
      <c r="C15" s="25"/>
      <c r="D15" s="25"/>
      <c r="E15" s="25">
        <v>40.9</v>
      </c>
      <c r="F15" s="25">
        <v>1.2</v>
      </c>
      <c r="G15" s="25">
        <v>50</v>
      </c>
      <c r="H15" s="25">
        <v>28.128</v>
      </c>
      <c r="I15" s="25">
        <v>24.4</v>
      </c>
      <c r="J15" s="25">
        <v>20.3</v>
      </c>
      <c r="K15" s="25">
        <v>24.4</v>
      </c>
      <c r="L15" s="25">
        <v>37.326999999999998</v>
      </c>
      <c r="M15" s="25">
        <v>29.045999999999999</v>
      </c>
      <c r="N15" s="25">
        <f>AVERAGE(F15:M15)</f>
        <v>26.850124999999998</v>
      </c>
      <c r="O15" s="25"/>
      <c r="P15" s="25"/>
      <c r="Q15" s="25"/>
      <c r="R15" s="25"/>
      <c r="V15" s="2">
        <v>97.8</v>
      </c>
      <c r="W15" s="2">
        <v>130.1</v>
      </c>
      <c r="X15" s="2">
        <f t="shared" si="3"/>
        <v>122.82799999999999</v>
      </c>
      <c r="Y15" s="2">
        <f t="shared" si="4"/>
        <v>117.62312499999999</v>
      </c>
      <c r="Z15" s="2">
        <f>+Y15*1.03</f>
        <v>121.15181874999999</v>
      </c>
      <c r="AA15" s="2">
        <f t="shared" ref="AA15:AG15" si="10">+Z15*1.03</f>
        <v>124.78637331249999</v>
      </c>
      <c r="AB15" s="2">
        <f t="shared" si="10"/>
        <v>128.52996451187499</v>
      </c>
      <c r="AC15" s="2">
        <f t="shared" si="10"/>
        <v>132.38586344723126</v>
      </c>
      <c r="AD15" s="2">
        <f t="shared" si="10"/>
        <v>136.35743935064821</v>
      </c>
      <c r="AE15" s="2">
        <f t="shared" si="10"/>
        <v>140.44816253116767</v>
      </c>
      <c r="AF15" s="2">
        <f t="shared" si="10"/>
        <v>144.66160740710271</v>
      </c>
      <c r="AG15" s="2">
        <f t="shared" si="10"/>
        <v>149.00145562931579</v>
      </c>
    </row>
    <row r="16" spans="1:33" s="2" customFormat="1" x14ac:dyDescent="0.2">
      <c r="B16" s="2" t="s">
        <v>63</v>
      </c>
      <c r="C16" s="25"/>
      <c r="D16" s="25"/>
      <c r="E16" s="25">
        <f t="shared" ref="E16:L16" si="11">SUM(E8:E15)</f>
        <v>460.69999999999993</v>
      </c>
      <c r="F16" s="25">
        <f t="shared" si="11"/>
        <v>437</v>
      </c>
      <c r="G16" s="25">
        <f t="shared" si="11"/>
        <v>467.8</v>
      </c>
      <c r="H16" s="25">
        <f t="shared" si="11"/>
        <v>486.67</v>
      </c>
      <c r="I16" s="25">
        <f t="shared" si="11"/>
        <v>393.9</v>
      </c>
      <c r="J16" s="25">
        <f t="shared" si="11"/>
        <v>435.2</v>
      </c>
      <c r="K16" s="25">
        <f t="shared" si="11"/>
        <v>505.49999999999994</v>
      </c>
      <c r="L16" s="25">
        <f t="shared" si="11"/>
        <v>517.66</v>
      </c>
      <c r="M16" s="25">
        <f t="shared" ref="M16:N16" si="12">SUM(M8:M15)</f>
        <v>493.34800000000001</v>
      </c>
      <c r="N16" s="25">
        <f t="shared" si="12"/>
        <v>511.88712500000003</v>
      </c>
      <c r="O16" s="25"/>
      <c r="P16" s="25"/>
      <c r="Q16" s="25"/>
      <c r="R16" s="25"/>
      <c r="V16" s="2">
        <f>SUM(V8:V15)</f>
        <v>1638.6999999999998</v>
      </c>
      <c r="W16" s="2">
        <f>SUM(W8:W15)</f>
        <v>1804.7</v>
      </c>
      <c r="X16" s="2">
        <f>SUM(X8:X15)</f>
        <v>1783.5700000000002</v>
      </c>
      <c r="Y16" s="2">
        <f>SUM(Y8:Y15)</f>
        <v>2028.3951250000002</v>
      </c>
      <c r="Z16" s="2">
        <f t="shared" ref="Z16:AF16" si="13">SUM(Z8:Z15)</f>
        <v>2759.41074875</v>
      </c>
      <c r="AA16" s="2">
        <f t="shared" si="13"/>
        <v>3521.3299856125</v>
      </c>
      <c r="AB16" s="2">
        <f t="shared" si="13"/>
        <v>4119.6595530788754</v>
      </c>
      <c r="AC16" s="2">
        <f t="shared" si="13"/>
        <v>4726.2989847006611</v>
      </c>
      <c r="AD16" s="2">
        <f t="shared" si="13"/>
        <v>5241.4604672571522</v>
      </c>
      <c r="AE16" s="2">
        <f t="shared" si="13"/>
        <v>5845.4013061288179</v>
      </c>
      <c r="AF16" s="2">
        <f t="shared" si="13"/>
        <v>6554.4239915659073</v>
      </c>
      <c r="AG16" s="2">
        <f>SUM(AG8:AG15)</f>
        <v>7215.276593070842</v>
      </c>
    </row>
    <row r="17" spans="2:114" s="2" customFormat="1" x14ac:dyDescent="0.2">
      <c r="B17" s="2" t="s">
        <v>62</v>
      </c>
      <c r="C17" s="25"/>
      <c r="D17" s="25"/>
      <c r="E17" s="25">
        <v>16.042999999999999</v>
      </c>
      <c r="F17" s="25">
        <v>15.071999999999999</v>
      </c>
      <c r="G17" s="25">
        <v>18.260999999999999</v>
      </c>
      <c r="H17" s="25">
        <v>15.023</v>
      </c>
      <c r="I17" s="25">
        <v>14.901999999999999</v>
      </c>
      <c r="J17" s="25">
        <v>14.590999999999999</v>
      </c>
      <c r="K17" s="25">
        <v>13.834</v>
      </c>
      <c r="L17" s="25">
        <v>16.138000000000002</v>
      </c>
      <c r="M17" s="25">
        <v>11.996</v>
      </c>
      <c r="N17" s="25">
        <f>AVERAGE(F17:M17)</f>
        <v>14.977124999999999</v>
      </c>
      <c r="O17" s="25"/>
      <c r="P17" s="25"/>
      <c r="Q17" s="25"/>
      <c r="R17" s="25"/>
      <c r="V17" s="2">
        <v>43.005000000000003</v>
      </c>
      <c r="W17" s="2">
        <v>54.594000000000001</v>
      </c>
      <c r="X17" s="2">
        <f t="shared" si="3"/>
        <v>62.777000000000001</v>
      </c>
      <c r="Y17" s="2">
        <f t="shared" si="4"/>
        <v>56.945125000000004</v>
      </c>
      <c r="Z17" s="2">
        <f>+Y17</f>
        <v>56.945125000000004</v>
      </c>
      <c r="AA17" s="2">
        <f t="shared" ref="AA17:AG17" si="14">+Z17</f>
        <v>56.945125000000004</v>
      </c>
      <c r="AB17" s="2">
        <f t="shared" si="14"/>
        <v>56.945125000000004</v>
      </c>
      <c r="AC17" s="2">
        <f t="shared" si="14"/>
        <v>56.945125000000004</v>
      </c>
      <c r="AD17" s="2">
        <f t="shared" si="14"/>
        <v>56.945125000000004</v>
      </c>
      <c r="AE17" s="2">
        <f t="shared" si="14"/>
        <v>56.945125000000004</v>
      </c>
      <c r="AF17" s="2">
        <f t="shared" si="14"/>
        <v>56.945125000000004</v>
      </c>
      <c r="AG17" s="2">
        <f t="shared" si="14"/>
        <v>56.945125000000004</v>
      </c>
    </row>
    <row r="18" spans="2:114" s="4" customFormat="1" x14ac:dyDescent="0.2">
      <c r="B18" s="4" t="s">
        <v>50</v>
      </c>
      <c r="C18" s="26"/>
      <c r="D18" s="26"/>
      <c r="E18" s="26">
        <f t="shared" ref="E18:L18" si="15">+E16+E17</f>
        <v>476.74299999999994</v>
      </c>
      <c r="F18" s="26">
        <f t="shared" si="15"/>
        <v>452.072</v>
      </c>
      <c r="G18" s="26">
        <f t="shared" si="15"/>
        <v>486.06100000000004</v>
      </c>
      <c r="H18" s="26">
        <f t="shared" si="15"/>
        <v>501.69300000000004</v>
      </c>
      <c r="I18" s="26">
        <f t="shared" si="15"/>
        <v>408.80199999999996</v>
      </c>
      <c r="J18" s="26">
        <f t="shared" si="15"/>
        <v>449.791</v>
      </c>
      <c r="K18" s="26">
        <f t="shared" si="15"/>
        <v>519.33399999999995</v>
      </c>
      <c r="L18" s="26">
        <f t="shared" si="15"/>
        <v>533.798</v>
      </c>
      <c r="M18" s="26">
        <f t="shared" ref="M18:N18" si="16">+M16+M17</f>
        <v>505.34399999999999</v>
      </c>
      <c r="N18" s="26">
        <f t="shared" si="16"/>
        <v>526.86424999999997</v>
      </c>
      <c r="O18" s="26"/>
      <c r="P18" s="26"/>
      <c r="Q18" s="26"/>
      <c r="R18" s="26"/>
      <c r="V18" s="4">
        <f>+V16+V17</f>
        <v>1681.7049999999999</v>
      </c>
      <c r="W18" s="4">
        <f>+W16+W17</f>
        <v>1859.2940000000001</v>
      </c>
      <c r="X18" s="4">
        <f>+X16+X17</f>
        <v>1846.3470000000002</v>
      </c>
      <c r="Y18" s="4">
        <f>+Y16+Y17</f>
        <v>2085.3402500000002</v>
      </c>
      <c r="Z18" s="4">
        <f t="shared" ref="Z18:AG18" si="17">+Z16+Z17</f>
        <v>2816.3558737500002</v>
      </c>
      <c r="AA18" s="4">
        <f t="shared" si="17"/>
        <v>3578.2751106125002</v>
      </c>
      <c r="AB18" s="4">
        <f t="shared" si="17"/>
        <v>4176.6046780788756</v>
      </c>
      <c r="AC18" s="4">
        <f t="shared" si="17"/>
        <v>4783.2441097006613</v>
      </c>
      <c r="AD18" s="4">
        <f t="shared" si="17"/>
        <v>5298.4055922571524</v>
      </c>
      <c r="AE18" s="4">
        <f t="shared" si="17"/>
        <v>5902.346431128818</v>
      </c>
      <c r="AF18" s="4">
        <f t="shared" si="17"/>
        <v>6611.3691165659075</v>
      </c>
      <c r="AG18" s="4">
        <f t="shared" si="17"/>
        <v>7272.2217180708421</v>
      </c>
    </row>
    <row r="19" spans="2:114" s="2" customFormat="1" x14ac:dyDescent="0.2">
      <c r="B19" s="2" t="s">
        <v>64</v>
      </c>
      <c r="C19" s="25"/>
      <c r="D19" s="25"/>
      <c r="E19" s="25">
        <v>188.79300000000001</v>
      </c>
      <c r="F19" s="25">
        <v>126.13800000000001</v>
      </c>
      <c r="G19" s="25">
        <v>120.166</v>
      </c>
      <c r="H19" s="25">
        <v>127.062</v>
      </c>
      <c r="I19" s="25">
        <v>103.53700000000001</v>
      </c>
      <c r="J19" s="25">
        <v>119.75</v>
      </c>
      <c r="K19" s="25">
        <v>116.965</v>
      </c>
      <c r="L19" s="25">
        <v>123.126</v>
      </c>
      <c r="M19" s="25">
        <v>116.288</v>
      </c>
      <c r="N19" s="25">
        <f>+N18-N20</f>
        <v>115.91013499999997</v>
      </c>
      <c r="O19" s="25"/>
      <c r="P19" s="25"/>
      <c r="Q19" s="25"/>
      <c r="R19" s="25"/>
      <c r="V19" s="2">
        <v>359.46600000000001</v>
      </c>
      <c r="W19" s="2">
        <v>524.27200000000005</v>
      </c>
      <c r="X19" s="2">
        <f t="shared" si="3"/>
        <v>470.51499999999999</v>
      </c>
      <c r="Y19" s="2">
        <f t="shared" si="4"/>
        <v>472.28913499999999</v>
      </c>
      <c r="Z19" s="2">
        <f>+Z18*0.21</f>
        <v>591.43473348750001</v>
      </c>
      <c r="AA19" s="2">
        <f t="shared" ref="AA19:AG19" si="18">+AA18*0.21</f>
        <v>751.43777322862502</v>
      </c>
      <c r="AB19" s="2">
        <f t="shared" si="18"/>
        <v>877.08698239656383</v>
      </c>
      <c r="AC19" s="2">
        <f t="shared" si="18"/>
        <v>1004.4812630371389</v>
      </c>
      <c r="AD19" s="2">
        <f t="shared" si="18"/>
        <v>1112.6651743740019</v>
      </c>
      <c r="AE19" s="2">
        <f t="shared" si="18"/>
        <v>1239.4927505370517</v>
      </c>
      <c r="AF19" s="2">
        <f t="shared" si="18"/>
        <v>1388.3875144788406</v>
      </c>
      <c r="AG19" s="2">
        <f t="shared" si="18"/>
        <v>1527.1665607948769</v>
      </c>
    </row>
    <row r="20" spans="2:114" s="2" customFormat="1" x14ac:dyDescent="0.2">
      <c r="B20" s="2" t="s">
        <v>65</v>
      </c>
      <c r="C20" s="25"/>
      <c r="D20" s="25"/>
      <c r="E20" s="25">
        <f t="shared" ref="E20:L20" si="19">+E18-E19</f>
        <v>287.94999999999993</v>
      </c>
      <c r="F20" s="25">
        <f t="shared" si="19"/>
        <v>325.93399999999997</v>
      </c>
      <c r="G20" s="25">
        <f t="shared" si="19"/>
        <v>365.89500000000004</v>
      </c>
      <c r="H20" s="25">
        <f t="shared" si="19"/>
        <v>374.63100000000003</v>
      </c>
      <c r="I20" s="25">
        <f t="shared" si="19"/>
        <v>305.26499999999999</v>
      </c>
      <c r="J20" s="25">
        <f t="shared" si="19"/>
        <v>330.041</v>
      </c>
      <c r="K20" s="25">
        <f t="shared" si="19"/>
        <v>402.36899999999991</v>
      </c>
      <c r="L20" s="25">
        <f t="shared" si="19"/>
        <v>410.67200000000003</v>
      </c>
      <c r="M20" s="25">
        <f>+M18-M19</f>
        <v>389.05599999999998</v>
      </c>
      <c r="N20" s="25">
        <f>+N18*0.78</f>
        <v>410.954115</v>
      </c>
      <c r="O20" s="25"/>
      <c r="P20" s="25"/>
      <c r="Q20" s="25"/>
      <c r="R20" s="25"/>
      <c r="V20" s="2">
        <f>+V18-V19</f>
        <v>1322.239</v>
      </c>
      <c r="W20" s="2">
        <f>+W18-W19</f>
        <v>1335.0219999999999</v>
      </c>
      <c r="X20" s="2">
        <f>+X18-X19</f>
        <v>1375.8320000000003</v>
      </c>
      <c r="Y20" s="2">
        <f>+Y18-Y19</f>
        <v>1613.0511150000002</v>
      </c>
      <c r="Z20" s="2">
        <f>+Z18-Z19</f>
        <v>2224.9211402625001</v>
      </c>
      <c r="AA20" s="2">
        <f t="shared" ref="AA20:AG20" si="20">+AA18-AA19</f>
        <v>2826.8373373838749</v>
      </c>
      <c r="AB20" s="2">
        <f t="shared" si="20"/>
        <v>3299.5176956823116</v>
      </c>
      <c r="AC20" s="2">
        <f t="shared" si="20"/>
        <v>3778.7628466635224</v>
      </c>
      <c r="AD20" s="2">
        <f t="shared" si="20"/>
        <v>4185.7404178831503</v>
      </c>
      <c r="AE20" s="2">
        <f t="shared" si="20"/>
        <v>4662.8536805917665</v>
      </c>
      <c r="AF20" s="2">
        <f t="shared" si="20"/>
        <v>5222.9816020870667</v>
      </c>
      <c r="AG20" s="2">
        <f t="shared" si="20"/>
        <v>5745.055157275965</v>
      </c>
    </row>
    <row r="21" spans="2:114" s="2" customFormat="1" x14ac:dyDescent="0.2">
      <c r="B21" s="2" t="s">
        <v>68</v>
      </c>
      <c r="C21" s="25"/>
      <c r="D21" s="25"/>
      <c r="E21" s="25">
        <v>147.053</v>
      </c>
      <c r="F21" s="25">
        <v>156.667</v>
      </c>
      <c r="G21" s="25">
        <v>148.72499999999999</v>
      </c>
      <c r="H21" s="25">
        <v>161.107</v>
      </c>
      <c r="I21" s="25">
        <v>157.869</v>
      </c>
      <c r="J21" s="25">
        <v>161.09200000000001</v>
      </c>
      <c r="K21" s="25">
        <v>160.83600000000001</v>
      </c>
      <c r="L21" s="25">
        <v>158.19</v>
      </c>
      <c r="M21" s="25">
        <v>157.82900000000001</v>
      </c>
      <c r="N21" s="25"/>
      <c r="O21" s="25"/>
      <c r="P21" s="25"/>
      <c r="Q21" s="25"/>
      <c r="R21" s="25"/>
      <c r="V21" s="2">
        <v>715.00699999999995</v>
      </c>
      <c r="W21" s="2">
        <v>628.11599999999999</v>
      </c>
      <c r="X21" s="2">
        <f t="shared" si="3"/>
        <v>628.79300000000001</v>
      </c>
      <c r="Y21" s="2">
        <f t="shared" si="4"/>
        <v>476.85500000000002</v>
      </c>
    </row>
    <row r="22" spans="2:114" s="2" customFormat="1" x14ac:dyDescent="0.2">
      <c r="B22" s="2" t="s">
        <v>69</v>
      </c>
      <c r="C22" s="25"/>
      <c r="D22" s="25"/>
      <c r="E22" s="25">
        <v>179.45</v>
      </c>
      <c r="F22" s="25">
        <v>195.512</v>
      </c>
      <c r="G22" s="25">
        <v>174.31800000000001</v>
      </c>
      <c r="H22" s="25">
        <v>184.161</v>
      </c>
      <c r="I22" s="25">
        <v>183.333</v>
      </c>
      <c r="J22" s="25">
        <v>217.56299999999999</v>
      </c>
      <c r="K22" s="25">
        <v>194.619</v>
      </c>
      <c r="L22" s="25">
        <v>196.83500000000001</v>
      </c>
      <c r="M22" s="25">
        <v>216.816</v>
      </c>
      <c r="N22" s="25">
        <f>+J22*1.05</f>
        <v>228.44114999999999</v>
      </c>
      <c r="O22" s="25"/>
      <c r="P22" s="25"/>
      <c r="Q22" s="25"/>
      <c r="R22" s="25"/>
      <c r="V22" s="2">
        <v>680.92399999999998</v>
      </c>
      <c r="W22" s="2">
        <v>737.66899999999998</v>
      </c>
      <c r="X22" s="2">
        <f t="shared" si="3"/>
        <v>759.375</v>
      </c>
      <c r="Y22" s="2">
        <f t="shared" si="4"/>
        <v>836.71114999999998</v>
      </c>
      <c r="Z22" s="2">
        <f>+Y22*1.04</f>
        <v>870.17959600000006</v>
      </c>
      <c r="AA22" s="2">
        <f t="shared" ref="AA22:AG22" si="21">+Z22*1.04</f>
        <v>904.98677984000005</v>
      </c>
      <c r="AB22" s="2">
        <f t="shared" si="21"/>
        <v>941.18625103360012</v>
      </c>
      <c r="AC22" s="2">
        <f t="shared" si="21"/>
        <v>978.8337010749442</v>
      </c>
      <c r="AD22" s="2">
        <f t="shared" si="21"/>
        <v>1017.987049117942</v>
      </c>
      <c r="AE22" s="2">
        <f t="shared" si="21"/>
        <v>1058.7065310826597</v>
      </c>
      <c r="AF22" s="2">
        <f t="shared" si="21"/>
        <v>1101.0547923259662</v>
      </c>
      <c r="AG22" s="2">
        <f t="shared" si="21"/>
        <v>1145.0969840190048</v>
      </c>
    </row>
    <row r="23" spans="2:114" s="2" customFormat="1" x14ac:dyDescent="0.2">
      <c r="B23" s="2" t="s">
        <v>67</v>
      </c>
      <c r="C23" s="25"/>
      <c r="D23" s="25"/>
      <c r="E23" s="25">
        <f t="shared" ref="E23:L23" si="22">+E21+E22</f>
        <v>326.50299999999999</v>
      </c>
      <c r="F23" s="25">
        <f t="shared" si="22"/>
        <v>352.17899999999997</v>
      </c>
      <c r="G23" s="25">
        <f t="shared" si="22"/>
        <v>323.04300000000001</v>
      </c>
      <c r="H23" s="25">
        <f t="shared" si="22"/>
        <v>345.26800000000003</v>
      </c>
      <c r="I23" s="25">
        <f t="shared" si="22"/>
        <v>341.202</v>
      </c>
      <c r="J23" s="25">
        <f t="shared" si="22"/>
        <v>378.65499999999997</v>
      </c>
      <c r="K23" s="25">
        <f t="shared" si="22"/>
        <v>355.45500000000004</v>
      </c>
      <c r="L23" s="25">
        <f t="shared" si="22"/>
        <v>355.02499999999998</v>
      </c>
      <c r="M23" s="25">
        <f t="shared" ref="M23:N23" si="23">+M21+M22</f>
        <v>374.64499999999998</v>
      </c>
      <c r="N23" s="25">
        <f t="shared" si="23"/>
        <v>228.44114999999999</v>
      </c>
      <c r="O23" s="25"/>
      <c r="P23" s="25"/>
      <c r="Q23" s="25"/>
      <c r="R23" s="25"/>
      <c r="V23" s="2">
        <f>+V22+V21</f>
        <v>1395.931</v>
      </c>
      <c r="W23" s="2">
        <f>+W22+W21</f>
        <v>1365.7849999999999</v>
      </c>
      <c r="X23" s="2">
        <f>+X22+X21</f>
        <v>1388.1680000000001</v>
      </c>
      <c r="Y23" s="2">
        <f>+Y22+Y21</f>
        <v>1313.5661500000001</v>
      </c>
      <c r="Z23" s="2">
        <f t="shared" ref="Z23:AG23" si="24">+Z22+Z21</f>
        <v>870.17959600000006</v>
      </c>
      <c r="AA23" s="2">
        <f t="shared" si="24"/>
        <v>904.98677984000005</v>
      </c>
      <c r="AB23" s="2">
        <f t="shared" si="24"/>
        <v>941.18625103360012</v>
      </c>
      <c r="AC23" s="2">
        <f t="shared" si="24"/>
        <v>978.8337010749442</v>
      </c>
      <c r="AD23" s="2">
        <f t="shared" si="24"/>
        <v>1017.987049117942</v>
      </c>
      <c r="AE23" s="2">
        <f t="shared" si="24"/>
        <v>1058.7065310826597</v>
      </c>
      <c r="AF23" s="2">
        <f t="shared" si="24"/>
        <v>1101.0547923259662</v>
      </c>
      <c r="AG23" s="2">
        <f t="shared" si="24"/>
        <v>1145.0969840190048</v>
      </c>
    </row>
    <row r="24" spans="2:114" s="2" customFormat="1" x14ac:dyDescent="0.2">
      <c r="B24" s="2" t="s">
        <v>66</v>
      </c>
      <c r="C24" s="25"/>
      <c r="D24" s="25"/>
      <c r="E24" s="25">
        <f t="shared" ref="E24:L24" si="25">+E20-E23</f>
        <v>-38.553000000000054</v>
      </c>
      <c r="F24" s="25">
        <f t="shared" si="25"/>
        <v>-26.245000000000005</v>
      </c>
      <c r="G24" s="25">
        <f t="shared" si="25"/>
        <v>42.852000000000032</v>
      </c>
      <c r="H24" s="25">
        <f t="shared" si="25"/>
        <v>29.363</v>
      </c>
      <c r="I24" s="25">
        <f t="shared" si="25"/>
        <v>-35.937000000000012</v>
      </c>
      <c r="J24" s="25">
        <f t="shared" si="25"/>
        <v>-48.613999999999976</v>
      </c>
      <c r="K24" s="25">
        <f t="shared" si="25"/>
        <v>46.913999999999874</v>
      </c>
      <c r="L24" s="25">
        <f t="shared" si="25"/>
        <v>55.647000000000048</v>
      </c>
      <c r="M24" s="25">
        <f t="shared" ref="M24:N24" si="26">+M20-M23</f>
        <v>14.411000000000001</v>
      </c>
      <c r="N24" s="25">
        <f t="shared" si="26"/>
        <v>182.51296500000001</v>
      </c>
      <c r="O24" s="25"/>
      <c r="P24" s="25"/>
      <c r="Q24" s="25"/>
      <c r="R24" s="25"/>
      <c r="V24" s="2">
        <f>+V20-V23</f>
        <v>-73.692000000000007</v>
      </c>
      <c r="W24" s="2">
        <f>+W20-W23</f>
        <v>-30.76299999999992</v>
      </c>
      <c r="X24" s="2">
        <f>+X20-X23</f>
        <v>-12.335999999999785</v>
      </c>
      <c r="Y24" s="2">
        <f>+Y20-Y23</f>
        <v>299.4849650000001</v>
      </c>
      <c r="Z24" s="2">
        <f t="shared" ref="Z24:AG24" si="27">+Z20-Z23</f>
        <v>1354.7415442625002</v>
      </c>
      <c r="AA24" s="2">
        <f t="shared" si="27"/>
        <v>1921.8505575438749</v>
      </c>
      <c r="AB24" s="2">
        <f t="shared" si="27"/>
        <v>2358.3314446487116</v>
      </c>
      <c r="AC24" s="2">
        <f t="shared" si="27"/>
        <v>2799.9291455885782</v>
      </c>
      <c r="AD24" s="2">
        <f t="shared" si="27"/>
        <v>3167.7533687652085</v>
      </c>
      <c r="AE24" s="2">
        <f t="shared" si="27"/>
        <v>3604.1471495091068</v>
      </c>
      <c r="AF24" s="2">
        <f t="shared" si="27"/>
        <v>4121.9268097611002</v>
      </c>
      <c r="AG24" s="2">
        <f t="shared" si="27"/>
        <v>4599.9581732569604</v>
      </c>
    </row>
    <row r="25" spans="2:114" s="2" customFormat="1" x14ac:dyDescent="0.2">
      <c r="B25" s="2" t="s">
        <v>72</v>
      </c>
      <c r="C25" s="25"/>
      <c r="D25" s="25"/>
      <c r="E25" s="25">
        <f>-0.921+4.004-9.597+1.239</f>
        <v>-5.2750000000000004</v>
      </c>
      <c r="F25" s="25">
        <f>3.071-4.749+6.333</f>
        <v>4.6550000000000011</v>
      </c>
      <c r="G25" s="25">
        <f>2.439-3.804-0.493</f>
        <v>-1.8579999999999997</v>
      </c>
      <c r="H25" s="25">
        <f>4.471-3.817+1.83</f>
        <v>2.484</v>
      </c>
      <c r="I25" s="25">
        <f>0.177+1.827-3.87+8.925</f>
        <v>7.0590000000000011</v>
      </c>
      <c r="J25" s="25">
        <f>1.745-3.846+1.407</f>
        <v>-0.69399999999999995</v>
      </c>
      <c r="K25" s="25">
        <f>1.82-3.806-1.154</f>
        <v>-3.1399999999999997</v>
      </c>
      <c r="L25" s="25">
        <f>2.505-3.859-2.947</f>
        <v>-4.3010000000000002</v>
      </c>
      <c r="M25" s="25">
        <f>4.999-4.679+0.193</f>
        <v>0.51299999999999946</v>
      </c>
      <c r="N25" s="25">
        <f>+M25</f>
        <v>0.51299999999999946</v>
      </c>
      <c r="O25" s="25"/>
      <c r="P25" s="25"/>
      <c r="Q25" s="25"/>
      <c r="R25" s="25"/>
      <c r="V25" s="2">
        <f>-0.587+22.748-23.46+6.945</f>
        <v>5.6460000000000008</v>
      </c>
      <c r="W25" s="2">
        <f>16.61-29.309+7.142</f>
        <v>-5.5570000000000013</v>
      </c>
      <c r="X25" s="2">
        <f t="shared" ref="X25" si="28">SUM(G25:J25)</f>
        <v>6.9910000000000014</v>
      </c>
      <c r="Y25" s="2">
        <f t="shared" ref="Y25:Y27" si="29">SUM(K25:N25)</f>
        <v>-6.4150000000000009</v>
      </c>
      <c r="Z25" s="2">
        <f>+Y37*$AJ$35</f>
        <v>0</v>
      </c>
      <c r="AA25" s="2">
        <f t="shared" ref="AA25:AG25" si="30">+Z37*$AJ$35</f>
        <v>27.094830885250005</v>
      </c>
      <c r="AB25" s="2">
        <f t="shared" si="30"/>
        <v>66.073738653832493</v>
      </c>
      <c r="AC25" s="2">
        <f t="shared" si="30"/>
        <v>109.7130319532783</v>
      </c>
      <c r="AD25" s="2">
        <f t="shared" si="30"/>
        <v>156.26730679394802</v>
      </c>
      <c r="AE25" s="2">
        <f t="shared" si="30"/>
        <v>209.45163760289452</v>
      </c>
      <c r="AF25" s="2">
        <f t="shared" si="30"/>
        <v>270.46921819668654</v>
      </c>
      <c r="AG25" s="2">
        <f t="shared" si="30"/>
        <v>340.74755464401119</v>
      </c>
    </row>
    <row r="26" spans="2:114" s="2" customFormat="1" x14ac:dyDescent="0.2">
      <c r="B26" s="2" t="s">
        <v>73</v>
      </c>
      <c r="C26" s="25"/>
      <c r="D26" s="25"/>
      <c r="E26" s="25">
        <f t="shared" ref="E26:N26" si="31">+E24+E25</f>
        <v>-43.828000000000053</v>
      </c>
      <c r="F26" s="25">
        <f t="shared" si="31"/>
        <v>-21.590000000000003</v>
      </c>
      <c r="G26" s="25">
        <f t="shared" si="31"/>
        <v>40.994000000000035</v>
      </c>
      <c r="H26" s="25">
        <f t="shared" si="31"/>
        <v>31.847000000000001</v>
      </c>
      <c r="I26" s="25">
        <f t="shared" si="31"/>
        <v>-28.878000000000011</v>
      </c>
      <c r="J26" s="25">
        <f t="shared" si="31"/>
        <v>-49.307999999999979</v>
      </c>
      <c r="K26" s="25">
        <f t="shared" si="31"/>
        <v>43.773999999999873</v>
      </c>
      <c r="L26" s="25">
        <f t="shared" si="31"/>
        <v>51.346000000000046</v>
      </c>
      <c r="M26" s="25">
        <f t="shared" si="31"/>
        <v>14.924000000000001</v>
      </c>
      <c r="N26" s="25">
        <f t="shared" si="31"/>
        <v>183.02596500000001</v>
      </c>
      <c r="O26" s="25"/>
      <c r="P26" s="25"/>
      <c r="Q26" s="25"/>
      <c r="R26" s="25"/>
      <c r="V26" s="2">
        <f>+V24+V25</f>
        <v>-68.046000000000006</v>
      </c>
      <c r="W26" s="2">
        <f>+W24+W25</f>
        <v>-36.319999999999922</v>
      </c>
      <c r="X26" s="2">
        <f>+X24+X25</f>
        <v>-5.3449999999997839</v>
      </c>
      <c r="Y26" s="2">
        <f>+Y24+Y25</f>
        <v>293.06996500000008</v>
      </c>
      <c r="Z26" s="2">
        <f t="shared" ref="Z26:AG26" si="32">+Z24+Z25</f>
        <v>1354.7415442625002</v>
      </c>
      <c r="AA26" s="2">
        <f t="shared" si="32"/>
        <v>1948.9453884291249</v>
      </c>
      <c r="AB26" s="2">
        <f t="shared" si="32"/>
        <v>2424.4051833025442</v>
      </c>
      <c r="AC26" s="2">
        <f t="shared" si="32"/>
        <v>2909.6421775418567</v>
      </c>
      <c r="AD26" s="2">
        <f t="shared" si="32"/>
        <v>3324.0206755591566</v>
      </c>
      <c r="AE26" s="2">
        <f t="shared" si="32"/>
        <v>3813.5987871120014</v>
      </c>
      <c r="AF26" s="2">
        <f t="shared" si="32"/>
        <v>4392.3960279577868</v>
      </c>
      <c r="AG26" s="2">
        <f t="shared" si="32"/>
        <v>4940.7057279009714</v>
      </c>
    </row>
    <row r="27" spans="2:114" s="2" customFormat="1" x14ac:dyDescent="0.2">
      <c r="B27" s="2" t="s">
        <v>74</v>
      </c>
      <c r="C27" s="25"/>
      <c r="D27" s="25"/>
      <c r="E27" s="25">
        <v>0</v>
      </c>
      <c r="F27" s="25">
        <v>0</v>
      </c>
      <c r="G27" s="25">
        <v>5.8570000000000002</v>
      </c>
      <c r="H27" s="25">
        <v>1.2150000000000001</v>
      </c>
      <c r="I27" s="25">
        <v>-9.6660000000000004</v>
      </c>
      <c r="J27" s="25">
        <v>-8.6760000000000002</v>
      </c>
      <c r="K27" s="25">
        <v>13.388999999999999</v>
      </c>
      <c r="L27" s="25">
        <v>7.1870000000000003</v>
      </c>
      <c r="M27" s="25">
        <v>4.7480000000000002</v>
      </c>
      <c r="N27" s="25">
        <f>+N26*0.15</f>
        <v>27.45389475</v>
      </c>
      <c r="O27" s="25"/>
      <c r="P27" s="25"/>
      <c r="Q27" s="25"/>
      <c r="R27" s="25"/>
      <c r="V27" s="2">
        <v>0</v>
      </c>
      <c r="W27" s="2">
        <v>0</v>
      </c>
      <c r="X27" s="2">
        <f t="shared" ref="X27" si="33">SUM(G27:J27)</f>
        <v>-11.27</v>
      </c>
      <c r="Y27" s="2">
        <f t="shared" si="29"/>
        <v>52.777894750000002</v>
      </c>
      <c r="Z27" s="2">
        <f>+Z26*0</f>
        <v>0</v>
      </c>
      <c r="AA27" s="2">
        <f>+AA26*0</f>
        <v>0</v>
      </c>
      <c r="AB27" s="2">
        <f>+AB26*0.1</f>
        <v>242.44051833025443</v>
      </c>
      <c r="AC27" s="2">
        <f>+AC26*0.2</f>
        <v>581.92843550837131</v>
      </c>
      <c r="AD27" s="2">
        <f t="shared" ref="AD27:AG27" si="34">+AD26*0.2</f>
        <v>664.80413511183133</v>
      </c>
      <c r="AE27" s="2">
        <f t="shared" si="34"/>
        <v>762.71975742240033</v>
      </c>
      <c r="AF27" s="2">
        <f t="shared" si="34"/>
        <v>878.47920559155739</v>
      </c>
      <c r="AG27" s="2">
        <f t="shared" si="34"/>
        <v>988.14114558019435</v>
      </c>
    </row>
    <row r="28" spans="2:114" s="2" customFormat="1" x14ac:dyDescent="0.2">
      <c r="B28" s="2" t="s">
        <v>71</v>
      </c>
      <c r="C28" s="25"/>
      <c r="D28" s="25"/>
      <c r="E28" s="25">
        <f t="shared" ref="E28:N28" si="35">+E26-E27</f>
        <v>-43.828000000000053</v>
      </c>
      <c r="F28" s="25">
        <f t="shared" si="35"/>
        <v>-21.590000000000003</v>
      </c>
      <c r="G28" s="25">
        <f t="shared" si="35"/>
        <v>35.137000000000036</v>
      </c>
      <c r="H28" s="25">
        <f t="shared" si="35"/>
        <v>30.632000000000001</v>
      </c>
      <c r="I28" s="25">
        <f t="shared" si="35"/>
        <v>-19.21200000000001</v>
      </c>
      <c r="J28" s="25">
        <f t="shared" si="35"/>
        <v>-40.631999999999977</v>
      </c>
      <c r="K28" s="25">
        <f t="shared" si="35"/>
        <v>30.384999999999874</v>
      </c>
      <c r="L28" s="25">
        <f t="shared" si="35"/>
        <v>44.159000000000049</v>
      </c>
      <c r="M28" s="25">
        <f t="shared" si="35"/>
        <v>10.176000000000002</v>
      </c>
      <c r="N28" s="25">
        <f t="shared" si="35"/>
        <v>155.57207025000002</v>
      </c>
      <c r="O28" s="25"/>
      <c r="P28" s="25"/>
      <c r="Q28" s="25"/>
      <c r="R28" s="25"/>
      <c r="V28" s="2">
        <f>+V26-V27</f>
        <v>-68.046000000000006</v>
      </c>
      <c r="W28" s="2">
        <f>+W26-W27</f>
        <v>-36.319999999999922</v>
      </c>
      <c r="X28" s="2">
        <f>+X26-X27</f>
        <v>5.9250000000002156</v>
      </c>
      <c r="Y28" s="2">
        <f>+Y26-Y27</f>
        <v>240.29207025000008</v>
      </c>
      <c r="Z28" s="2">
        <f t="shared" ref="Z28:AG28" si="36">+Z26-Z27</f>
        <v>1354.7415442625002</v>
      </c>
      <c r="AA28" s="2">
        <f t="shared" si="36"/>
        <v>1948.9453884291249</v>
      </c>
      <c r="AB28" s="2">
        <f t="shared" si="36"/>
        <v>2181.9646649722899</v>
      </c>
      <c r="AC28" s="2">
        <f t="shared" si="36"/>
        <v>2327.7137420334852</v>
      </c>
      <c r="AD28" s="2">
        <f t="shared" si="36"/>
        <v>2659.2165404473253</v>
      </c>
      <c r="AE28" s="2">
        <f t="shared" si="36"/>
        <v>3050.8790296896013</v>
      </c>
      <c r="AF28" s="2">
        <f t="shared" si="36"/>
        <v>3513.9168223662296</v>
      </c>
      <c r="AG28" s="2">
        <f t="shared" si="36"/>
        <v>3952.5645823207769</v>
      </c>
      <c r="AH28" s="2">
        <f>+AG28*(1+$AJ$34)</f>
        <v>3913.038936497569</v>
      </c>
      <c r="AI28" s="2">
        <f t="shared" ref="AI28:CT28" si="37">+AH28*(1+$AJ$34)</f>
        <v>3873.9085471325934</v>
      </c>
      <c r="AJ28" s="2">
        <f t="shared" si="37"/>
        <v>3835.1694616612676</v>
      </c>
      <c r="AK28" s="2">
        <f t="shared" si="37"/>
        <v>3796.8177670446548</v>
      </c>
      <c r="AL28" s="2">
        <f t="shared" si="37"/>
        <v>3758.8495893742083</v>
      </c>
      <c r="AM28" s="2">
        <f t="shared" si="37"/>
        <v>3721.2610934804661</v>
      </c>
      <c r="AN28" s="2">
        <f t="shared" si="37"/>
        <v>3684.0484825456615</v>
      </c>
      <c r="AO28" s="2">
        <f t="shared" si="37"/>
        <v>3647.2079977202047</v>
      </c>
      <c r="AP28" s="2">
        <f t="shared" si="37"/>
        <v>3610.7359177430026</v>
      </c>
      <c r="AQ28" s="2">
        <f t="shared" si="37"/>
        <v>3574.6285585655723</v>
      </c>
      <c r="AR28" s="2">
        <f t="shared" si="37"/>
        <v>3538.8822729799167</v>
      </c>
      <c r="AS28" s="2">
        <f t="shared" si="37"/>
        <v>3503.4934502501173</v>
      </c>
      <c r="AT28" s="2">
        <f t="shared" si="37"/>
        <v>3468.4585157476163</v>
      </c>
      <c r="AU28" s="2">
        <f t="shared" si="37"/>
        <v>3433.77393059014</v>
      </c>
      <c r="AV28" s="2">
        <f t="shared" si="37"/>
        <v>3399.4361912842387</v>
      </c>
      <c r="AW28" s="2">
        <f t="shared" si="37"/>
        <v>3365.4418293713961</v>
      </c>
      <c r="AX28" s="2">
        <f t="shared" si="37"/>
        <v>3331.787411077682</v>
      </c>
      <c r="AY28" s="2">
        <f t="shared" si="37"/>
        <v>3298.4695369669053</v>
      </c>
      <c r="AZ28" s="2">
        <f t="shared" si="37"/>
        <v>3265.484841597236</v>
      </c>
      <c r="BA28" s="2">
        <f t="shared" si="37"/>
        <v>3232.8299931812635</v>
      </c>
      <c r="BB28" s="2">
        <f t="shared" si="37"/>
        <v>3200.5016932494509</v>
      </c>
      <c r="BC28" s="2">
        <f t="shared" si="37"/>
        <v>3168.4966763169564</v>
      </c>
      <c r="BD28" s="2">
        <f t="shared" si="37"/>
        <v>3136.8117095537868</v>
      </c>
      <c r="BE28" s="2">
        <f t="shared" si="37"/>
        <v>3105.443592458249</v>
      </c>
      <c r="BF28" s="2">
        <f t="shared" si="37"/>
        <v>3074.3891565336667</v>
      </c>
      <c r="BG28" s="2">
        <f t="shared" si="37"/>
        <v>3043.6452649683301</v>
      </c>
      <c r="BH28" s="2">
        <f t="shared" si="37"/>
        <v>3013.2088123186468</v>
      </c>
      <c r="BI28" s="2">
        <f t="shared" si="37"/>
        <v>2983.0767241954604</v>
      </c>
      <c r="BJ28" s="2">
        <f t="shared" si="37"/>
        <v>2953.2459569535058</v>
      </c>
      <c r="BK28" s="2">
        <f t="shared" si="37"/>
        <v>2923.7134973839707</v>
      </c>
      <c r="BL28" s="2">
        <f t="shared" si="37"/>
        <v>2894.4763624101311</v>
      </c>
      <c r="BM28" s="2">
        <f t="shared" si="37"/>
        <v>2865.5315987860299</v>
      </c>
      <c r="BN28" s="2">
        <f t="shared" si="37"/>
        <v>2836.8762827981695</v>
      </c>
      <c r="BO28" s="2">
        <f t="shared" si="37"/>
        <v>2808.5075199701878</v>
      </c>
      <c r="BP28" s="2">
        <f t="shared" si="37"/>
        <v>2780.422444770486</v>
      </c>
      <c r="BQ28" s="2">
        <f t="shared" si="37"/>
        <v>2752.6182203227809</v>
      </c>
      <c r="BR28" s="2">
        <f t="shared" si="37"/>
        <v>2725.0920381195529</v>
      </c>
      <c r="BS28" s="2">
        <f t="shared" si="37"/>
        <v>2697.8411177383573</v>
      </c>
      <c r="BT28" s="2">
        <f t="shared" si="37"/>
        <v>2670.8627065609735</v>
      </c>
      <c r="BU28" s="2">
        <f t="shared" si="37"/>
        <v>2644.1540794953639</v>
      </c>
      <c r="BV28" s="2">
        <f t="shared" si="37"/>
        <v>2617.7125387004103</v>
      </c>
      <c r="BW28" s="2">
        <f t="shared" si="37"/>
        <v>2591.535413313406</v>
      </c>
      <c r="BX28" s="2">
        <f t="shared" si="37"/>
        <v>2565.6200591802722</v>
      </c>
      <c r="BY28" s="2">
        <f t="shared" si="37"/>
        <v>2539.9638585884695</v>
      </c>
      <c r="BZ28" s="2">
        <f t="shared" si="37"/>
        <v>2514.564220002585</v>
      </c>
      <c r="CA28" s="2">
        <f t="shared" si="37"/>
        <v>2489.418577802559</v>
      </c>
      <c r="CB28" s="2">
        <f t="shared" si="37"/>
        <v>2464.5243920245334</v>
      </c>
      <c r="CC28" s="2">
        <f t="shared" si="37"/>
        <v>2439.8791481042881</v>
      </c>
      <c r="CD28" s="2">
        <f t="shared" si="37"/>
        <v>2415.4803566232454</v>
      </c>
      <c r="CE28" s="2">
        <f t="shared" si="37"/>
        <v>2391.3255530570127</v>
      </c>
      <c r="CF28" s="2">
        <f t="shared" si="37"/>
        <v>2367.4122975264427</v>
      </c>
      <c r="CG28" s="2">
        <f t="shared" si="37"/>
        <v>2343.7381745511784</v>
      </c>
      <c r="CH28" s="2">
        <f t="shared" si="37"/>
        <v>2320.3007928056668</v>
      </c>
      <c r="CI28" s="2">
        <f t="shared" si="37"/>
        <v>2297.0977848776101</v>
      </c>
      <c r="CJ28" s="2">
        <f t="shared" si="37"/>
        <v>2274.1268070288338</v>
      </c>
      <c r="CK28" s="2">
        <f t="shared" si="37"/>
        <v>2251.3855389585456</v>
      </c>
      <c r="CL28" s="2">
        <f t="shared" si="37"/>
        <v>2228.8716835689602</v>
      </c>
      <c r="CM28" s="2">
        <f t="shared" si="37"/>
        <v>2206.5829667332705</v>
      </c>
      <c r="CN28" s="2">
        <f t="shared" si="37"/>
        <v>2184.5171370659377</v>
      </c>
      <c r="CO28" s="2">
        <f t="shared" si="37"/>
        <v>2162.6719656952782</v>
      </c>
      <c r="CP28" s="2">
        <f t="shared" si="37"/>
        <v>2141.0452460383253</v>
      </c>
      <c r="CQ28" s="2">
        <f t="shared" si="37"/>
        <v>2119.6347935779422</v>
      </c>
      <c r="CR28" s="2">
        <f t="shared" si="37"/>
        <v>2098.4384456421626</v>
      </c>
      <c r="CS28" s="2">
        <f t="shared" si="37"/>
        <v>2077.454061185741</v>
      </c>
      <c r="CT28" s="2">
        <f t="shared" si="37"/>
        <v>2056.6795205738836</v>
      </c>
      <c r="CU28" s="2">
        <f t="shared" ref="CU28:DJ28" si="38">+CT28*(1+$AJ$34)</f>
        <v>2036.1127253681448</v>
      </c>
      <c r="CV28" s="2">
        <f t="shared" si="38"/>
        <v>2015.7515981144634</v>
      </c>
      <c r="CW28" s="2">
        <f t="shared" si="38"/>
        <v>1995.5940821333188</v>
      </c>
      <c r="CX28" s="2">
        <f t="shared" si="38"/>
        <v>1975.6381413119857</v>
      </c>
      <c r="CY28" s="2">
        <f t="shared" si="38"/>
        <v>1955.8817598988658</v>
      </c>
      <c r="CZ28" s="2">
        <f t="shared" si="38"/>
        <v>1936.322942299877</v>
      </c>
      <c r="DA28" s="2">
        <f t="shared" si="38"/>
        <v>1916.9597128768783</v>
      </c>
      <c r="DB28" s="2">
        <f t="shared" si="38"/>
        <v>1897.7901157481094</v>
      </c>
      <c r="DC28" s="2">
        <f t="shared" si="38"/>
        <v>1878.8122145906284</v>
      </c>
      <c r="DD28" s="2">
        <f t="shared" si="38"/>
        <v>1860.0240924447221</v>
      </c>
      <c r="DE28" s="2">
        <f t="shared" si="38"/>
        <v>1841.4238515202749</v>
      </c>
      <c r="DF28" s="2">
        <f t="shared" si="38"/>
        <v>1823.0096130050722</v>
      </c>
      <c r="DG28" s="2">
        <f t="shared" si="38"/>
        <v>1804.7795168750215</v>
      </c>
      <c r="DH28" s="2">
        <f t="shared" si="38"/>
        <v>1786.7317217062712</v>
      </c>
      <c r="DI28" s="2">
        <f t="shared" si="38"/>
        <v>1768.8644044892085</v>
      </c>
      <c r="DJ28" s="2">
        <f t="shared" si="38"/>
        <v>1751.1757604443164</v>
      </c>
    </row>
    <row r="29" spans="2:114" x14ac:dyDescent="0.2">
      <c r="B29" t="s">
        <v>70</v>
      </c>
      <c r="E29" s="27">
        <f t="shared" ref="E29:N29" si="39">+E28/E30</f>
        <v>-0.22171858716877307</v>
      </c>
      <c r="F29" s="27">
        <f t="shared" si="39"/>
        <v>-0.11703419414991655</v>
      </c>
      <c r="G29" s="27">
        <f t="shared" si="39"/>
        <v>0.19058389607571954</v>
      </c>
      <c r="H29" s="27">
        <f t="shared" si="39"/>
        <v>0.16519708564556404</v>
      </c>
      <c r="I29" s="27">
        <f t="shared" si="39"/>
        <v>-0.10486098223934857</v>
      </c>
      <c r="J29" s="27">
        <f t="shared" si="39"/>
        <v>-0.22136265077306938</v>
      </c>
      <c r="K29" s="27">
        <f t="shared" si="39"/>
        <v>0.15591166117627678</v>
      </c>
      <c r="L29" s="27">
        <f t="shared" si="39"/>
        <v>0.23558000085357031</v>
      </c>
      <c r="M29" s="27">
        <f t="shared" si="39"/>
        <v>5.4828472442981308E-2</v>
      </c>
      <c r="N29" s="27">
        <f t="shared" si="39"/>
        <v>0.83822513429635181</v>
      </c>
      <c r="O29" s="27"/>
      <c r="P29" s="27"/>
      <c r="Q29" s="27"/>
      <c r="R29" s="27"/>
      <c r="V29" s="1">
        <f>+V28/V30</f>
        <v>-0.3800624444953335</v>
      </c>
      <c r="W29" s="1">
        <f>+W28/W30</f>
        <v>-0.18948444787612517</v>
      </c>
      <c r="X29" s="1">
        <f>+X28/X30</f>
        <v>3.2176604757251086E-2</v>
      </c>
      <c r="Y29" s="1">
        <f>+Y28/Y30</f>
        <v>1.2755574855877954</v>
      </c>
      <c r="Z29" s="1">
        <f t="shared" ref="Z29:AG29" si="40">+Z28/Z30</f>
        <v>7.1914596100609405</v>
      </c>
      <c r="AA29" s="1">
        <f t="shared" si="40"/>
        <v>10.345709188930604</v>
      </c>
      <c r="AB29" s="1">
        <f t="shared" si="40"/>
        <v>11.582660046991167</v>
      </c>
      <c r="AC29" s="1">
        <f t="shared" si="40"/>
        <v>12.356349025031506</v>
      </c>
      <c r="AD29" s="1">
        <f t="shared" si="40"/>
        <v>14.116086146485998</v>
      </c>
      <c r="AE29" s="1">
        <f t="shared" si="40"/>
        <v>16.195172732477634</v>
      </c>
      <c r="AF29" s="1">
        <f t="shared" si="40"/>
        <v>18.653145323683948</v>
      </c>
      <c r="AG29" s="1">
        <f t="shared" si="40"/>
        <v>20.981646772625712</v>
      </c>
    </row>
    <row r="30" spans="2:114" x14ac:dyDescent="0.2">
      <c r="B30" t="s">
        <v>1</v>
      </c>
      <c r="E30" s="25">
        <v>197.67400000000001</v>
      </c>
      <c r="F30" s="25">
        <v>184.476</v>
      </c>
      <c r="G30" s="25">
        <v>184.36500000000001</v>
      </c>
      <c r="H30" s="25">
        <v>185.42699999999999</v>
      </c>
      <c r="I30" s="25">
        <v>183.214</v>
      </c>
      <c r="J30" s="25">
        <v>183.554</v>
      </c>
      <c r="K30" s="25">
        <v>194.886</v>
      </c>
      <c r="L30" s="25">
        <v>187.44800000000001</v>
      </c>
      <c r="M30" s="25">
        <v>185.59700000000001</v>
      </c>
      <c r="N30" s="25">
        <f>+M30</f>
        <v>185.59700000000001</v>
      </c>
      <c r="O30" s="25"/>
      <c r="P30" s="25"/>
      <c r="Q30" s="25"/>
      <c r="R30" s="25"/>
      <c r="V30" s="2">
        <v>179.03899999999999</v>
      </c>
      <c r="W30" s="2">
        <v>191.678</v>
      </c>
      <c r="X30" s="2">
        <f>AVERAGE(G30:J30)</f>
        <v>184.14000000000001</v>
      </c>
      <c r="Y30" s="2">
        <f>AVERAGE(K30:N30)</f>
        <v>188.38200000000001</v>
      </c>
      <c r="Z30" s="2">
        <f>+Y30</f>
        <v>188.38200000000001</v>
      </c>
      <c r="AA30" s="2">
        <f t="shared" ref="AA30:AG30" si="41">+Z30</f>
        <v>188.38200000000001</v>
      </c>
      <c r="AB30" s="2">
        <f t="shared" si="41"/>
        <v>188.38200000000001</v>
      </c>
      <c r="AC30" s="2">
        <f t="shared" si="41"/>
        <v>188.38200000000001</v>
      </c>
      <c r="AD30" s="2">
        <f t="shared" si="41"/>
        <v>188.38200000000001</v>
      </c>
      <c r="AE30" s="2">
        <f t="shared" si="41"/>
        <v>188.38200000000001</v>
      </c>
      <c r="AF30" s="2">
        <f t="shared" si="41"/>
        <v>188.38200000000001</v>
      </c>
      <c r="AG30" s="2">
        <f t="shared" si="41"/>
        <v>188.38200000000001</v>
      </c>
    </row>
    <row r="32" spans="2:114" s="23" customFormat="1" x14ac:dyDescent="0.2">
      <c r="B32" s="23" t="s">
        <v>75</v>
      </c>
      <c r="C32" s="24"/>
      <c r="D32" s="24"/>
      <c r="E32" s="24"/>
      <c r="F32" s="24"/>
      <c r="G32" s="24"/>
      <c r="H32" s="24"/>
      <c r="I32" s="28">
        <f t="shared" ref="I32:N32" si="42">+I18/E18-1</f>
        <v>-0.14251074478282844</v>
      </c>
      <c r="J32" s="28">
        <f t="shared" si="42"/>
        <v>-5.0456564441062612E-3</v>
      </c>
      <c r="K32" s="28">
        <f t="shared" si="42"/>
        <v>6.8454370953439758E-2</v>
      </c>
      <c r="L32" s="28">
        <f t="shared" si="42"/>
        <v>6.3993318623142059E-2</v>
      </c>
      <c r="M32" s="28">
        <f t="shared" si="42"/>
        <v>0.23615833582027501</v>
      </c>
      <c r="N32" s="28">
        <f t="shared" si="42"/>
        <v>0.1713534730574866</v>
      </c>
      <c r="O32" s="28"/>
      <c r="P32" s="28"/>
      <c r="Q32" s="28"/>
      <c r="R32" s="28"/>
      <c r="W32" s="29">
        <f>+W18/V18-1</f>
        <v>0.10560056609215063</v>
      </c>
      <c r="X32" s="29">
        <f>+X18/W18-1</f>
        <v>-6.9633957835607552E-3</v>
      </c>
      <c r="Y32" s="29">
        <f>+Y18/X18-1</f>
        <v>0.12944113430465665</v>
      </c>
      <c r="Z32" s="29">
        <f t="shared" ref="Z32:AG32" si="43">+Z18/Y18-1</f>
        <v>0.35054980775918931</v>
      </c>
      <c r="AA32" s="29">
        <f t="shared" si="43"/>
        <v>0.2705337219504147</v>
      </c>
      <c r="AB32" s="29">
        <f t="shared" si="43"/>
        <v>0.16721172882762447</v>
      </c>
      <c r="AC32" s="29">
        <f t="shared" si="43"/>
        <v>0.14524703159141783</v>
      </c>
      <c r="AD32" s="29">
        <f t="shared" si="43"/>
        <v>0.10770127360042481</v>
      </c>
      <c r="AE32" s="29">
        <f t="shared" si="43"/>
        <v>0.11398539208743053</v>
      </c>
      <c r="AF32" s="29">
        <f t="shared" si="43"/>
        <v>0.12012556255554951</v>
      </c>
      <c r="AG32" s="29">
        <f t="shared" si="43"/>
        <v>9.9956996781356056E-2</v>
      </c>
    </row>
    <row r="33" spans="2:36" x14ac:dyDescent="0.2">
      <c r="B33" t="s">
        <v>76</v>
      </c>
      <c r="E33" s="16">
        <f t="shared" ref="E33:L33" si="44">+E20/E18</f>
        <v>0.6039941855465103</v>
      </c>
      <c r="F33" s="16">
        <f t="shared" si="44"/>
        <v>0.72097807428905125</v>
      </c>
      <c r="G33" s="16">
        <f t="shared" si="44"/>
        <v>0.75277588615420699</v>
      </c>
      <c r="H33" s="16">
        <f t="shared" si="44"/>
        <v>0.74673356016528036</v>
      </c>
      <c r="I33" s="16">
        <f t="shared" si="44"/>
        <v>0.74673069114143276</v>
      </c>
      <c r="J33" s="16">
        <f t="shared" si="44"/>
        <v>0.73376523763258938</v>
      </c>
      <c r="K33" s="16">
        <f t="shared" si="44"/>
        <v>0.77477885137503022</v>
      </c>
      <c r="L33" s="16">
        <f t="shared" si="44"/>
        <v>0.7693397127752446</v>
      </c>
      <c r="M33" s="16">
        <f t="shared" ref="M33:N33" si="45">+M20/M18</f>
        <v>0.76988348530901718</v>
      </c>
      <c r="N33" s="16">
        <f t="shared" si="45"/>
        <v>0.78</v>
      </c>
      <c r="O33" s="16"/>
      <c r="P33" s="16"/>
      <c r="Q33" s="16"/>
      <c r="R33" s="16"/>
      <c r="V33" s="16">
        <f>+V20/V18</f>
        <v>0.78624907459988524</v>
      </c>
      <c r="W33" s="16">
        <f>+W20/W18</f>
        <v>0.71802630460809314</v>
      </c>
      <c r="X33" s="16">
        <f>+X20/X18</f>
        <v>0.74516437051106876</v>
      </c>
      <c r="Y33" s="16">
        <f>+Y20/Y18</f>
        <v>0.77351938850266766</v>
      </c>
      <c r="Z33" s="16">
        <f t="shared" ref="Z33:AG33" si="46">+Z20/Z18</f>
        <v>0.78999999999999992</v>
      </c>
      <c r="AA33" s="16">
        <f t="shared" si="46"/>
        <v>0.78999999999999992</v>
      </c>
      <c r="AB33" s="16">
        <f t="shared" si="46"/>
        <v>0.78999999999999992</v>
      </c>
      <c r="AC33" s="16">
        <f t="shared" si="46"/>
        <v>0.79</v>
      </c>
      <c r="AD33" s="16">
        <f t="shared" si="46"/>
        <v>0.78999999999999992</v>
      </c>
      <c r="AE33" s="16">
        <f t="shared" si="46"/>
        <v>0.79</v>
      </c>
      <c r="AF33" s="16">
        <f t="shared" si="46"/>
        <v>0.78999999999999992</v>
      </c>
      <c r="AG33" s="16">
        <f t="shared" si="46"/>
        <v>0.78999999999999992</v>
      </c>
      <c r="AI33" t="s">
        <v>90</v>
      </c>
      <c r="AJ33" s="30">
        <v>0.08</v>
      </c>
    </row>
    <row r="34" spans="2:36" x14ac:dyDescent="0.2">
      <c r="B34" t="s">
        <v>88</v>
      </c>
      <c r="H34" s="16"/>
      <c r="I34" s="16">
        <f t="shared" ref="I34:K34" si="47">+I22/E22-1</f>
        <v>2.1638339370298132E-2</v>
      </c>
      <c r="J34" s="16">
        <f t="shared" si="47"/>
        <v>0.11278591595400789</v>
      </c>
      <c r="K34" s="16">
        <f t="shared" si="47"/>
        <v>0.11645957388221517</v>
      </c>
      <c r="L34" s="16">
        <f>+L22/H22-1</f>
        <v>6.8820217092652625E-2</v>
      </c>
      <c r="M34" s="16">
        <f t="shared" ref="M34:N34" si="48">+M22/I22-1</f>
        <v>0.18263487751795915</v>
      </c>
      <c r="N34" s="16">
        <f t="shared" si="48"/>
        <v>5.0000000000000044E-2</v>
      </c>
      <c r="O34" s="16"/>
      <c r="P34" s="16"/>
      <c r="Q34" s="16"/>
      <c r="R34" s="16"/>
      <c r="S34" s="16"/>
      <c r="W34" s="16">
        <f>+W22/V22-1</f>
        <v>8.3335291456902771E-2</v>
      </c>
      <c r="X34" s="16">
        <f>+X22/W22-1</f>
        <v>2.9425121565363366E-2</v>
      </c>
      <c r="Y34" s="16">
        <f>+Y22/X22-1</f>
        <v>0.10184184362139925</v>
      </c>
      <c r="Z34" s="16">
        <f t="shared" ref="Z34:AG34" si="49">+Z22/Y22-1</f>
        <v>4.0000000000000036E-2</v>
      </c>
      <c r="AA34" s="16">
        <f t="shared" si="49"/>
        <v>4.0000000000000036E-2</v>
      </c>
      <c r="AB34" s="16">
        <f t="shared" si="49"/>
        <v>4.0000000000000036E-2</v>
      </c>
      <c r="AC34" s="16">
        <f t="shared" si="49"/>
        <v>4.0000000000000036E-2</v>
      </c>
      <c r="AD34" s="16">
        <f t="shared" si="49"/>
        <v>4.0000000000000036E-2</v>
      </c>
      <c r="AE34" s="16">
        <f t="shared" si="49"/>
        <v>4.0000000000000036E-2</v>
      </c>
      <c r="AF34" s="16">
        <f t="shared" si="49"/>
        <v>4.0000000000000036E-2</v>
      </c>
      <c r="AG34" s="16">
        <f t="shared" si="49"/>
        <v>4.0000000000000036E-2</v>
      </c>
      <c r="AI34" t="s">
        <v>91</v>
      </c>
      <c r="AJ34" s="30">
        <v>-0.01</v>
      </c>
    </row>
    <row r="35" spans="2:36" x14ac:dyDescent="0.2">
      <c r="B35" t="s">
        <v>89</v>
      </c>
      <c r="L35" s="16">
        <f>+L8/H8-1</f>
        <v>9.0355655238705257E-3</v>
      </c>
      <c r="M35" s="16">
        <f>+M8/I8-1</f>
        <v>0.13564645726807889</v>
      </c>
      <c r="N35" s="16">
        <f>+N8/J8-1</f>
        <v>5.5662188099808052E-2</v>
      </c>
      <c r="W35" s="30">
        <f>+W8/V8-1</f>
        <v>1.8372221201556904E-4</v>
      </c>
      <c r="X35" s="30">
        <f>+X8/W8-1</f>
        <v>0.14484753857457777</v>
      </c>
      <c r="Y35" s="30">
        <f>+Y8/X8-1</f>
        <v>8.5712910445965074E-2</v>
      </c>
      <c r="Z35" s="30">
        <f t="shared" ref="Z35:AG35" si="50">+Z8/Y8-1</f>
        <v>7.0000000000000062E-2</v>
      </c>
      <c r="AA35" s="30">
        <f t="shared" si="50"/>
        <v>7.0000000000000062E-2</v>
      </c>
      <c r="AB35" s="30">
        <f t="shared" si="50"/>
        <v>4.0000000000000036E-2</v>
      </c>
      <c r="AC35" s="30">
        <f t="shared" si="50"/>
        <v>4.0000000000000036E-2</v>
      </c>
      <c r="AD35" s="30">
        <f t="shared" si="50"/>
        <v>4.0000000000000036E-2</v>
      </c>
      <c r="AE35" s="30">
        <f t="shared" si="50"/>
        <v>4.0000000000000036E-2</v>
      </c>
      <c r="AF35" s="30">
        <f t="shared" si="50"/>
        <v>4.0000000000000036E-2</v>
      </c>
      <c r="AG35" s="30">
        <f t="shared" si="50"/>
        <v>4.0000000000000036E-2</v>
      </c>
      <c r="AI35" t="s">
        <v>100</v>
      </c>
      <c r="AJ35" s="30">
        <v>0.02</v>
      </c>
    </row>
    <row r="36" spans="2:36" x14ac:dyDescent="0.2">
      <c r="AI36" t="s">
        <v>92</v>
      </c>
      <c r="AJ36" s="2">
        <f>NPV(AJ33,Z28:DJ28)+Main!L5-Main!L6</f>
        <v>38320.030087547508</v>
      </c>
    </row>
    <row r="37" spans="2:36" x14ac:dyDescent="0.2">
      <c r="B37" t="s">
        <v>99</v>
      </c>
      <c r="L37" s="25">
        <f>+Main!L5-Main!L6</f>
        <v>564</v>
      </c>
      <c r="M37" s="25">
        <f>+M38-M50</f>
        <v>564.03700000000026</v>
      </c>
      <c r="N37" s="25"/>
      <c r="O37" s="25"/>
      <c r="P37" s="25"/>
      <c r="Q37" s="25"/>
      <c r="R37" s="25"/>
      <c r="Y37" s="2">
        <f>+N37</f>
        <v>0</v>
      </c>
      <c r="Z37" s="2">
        <f>+Y37+Z28</f>
        <v>1354.7415442625002</v>
      </c>
      <c r="AA37" s="2">
        <f t="shared" ref="AA37:AG37" si="51">+Z37+AA28</f>
        <v>3303.6869326916249</v>
      </c>
      <c r="AB37" s="2">
        <f t="shared" si="51"/>
        <v>5485.6515976639148</v>
      </c>
      <c r="AC37" s="2">
        <f t="shared" si="51"/>
        <v>7813.3653396974005</v>
      </c>
      <c r="AD37" s="2">
        <f t="shared" si="51"/>
        <v>10472.581880144726</v>
      </c>
      <c r="AE37" s="2">
        <f t="shared" si="51"/>
        <v>13523.460909834328</v>
      </c>
      <c r="AF37" s="2">
        <f t="shared" si="51"/>
        <v>17037.377732200559</v>
      </c>
      <c r="AG37" s="2">
        <f t="shared" si="51"/>
        <v>20989.942314521337</v>
      </c>
      <c r="AI37" t="s">
        <v>93</v>
      </c>
      <c r="AJ37" s="1">
        <f>+AJ36/Main!L3</f>
        <v>206.18915148117765</v>
      </c>
    </row>
    <row r="38" spans="2:36" s="2" customFormat="1" x14ac:dyDescent="0.2">
      <c r="B38" s="2" t="s">
        <v>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>
        <f>761.515+512.253+372.302</f>
        <v>1646.0700000000002</v>
      </c>
      <c r="N38" s="25"/>
      <c r="O38" s="25"/>
      <c r="P38" s="25"/>
      <c r="Q38" s="25"/>
      <c r="R38" s="25"/>
      <c r="AJ38" s="2">
        <f>+AJ37/Main!L2-1</f>
        <v>0.89164359157043704</v>
      </c>
    </row>
    <row r="39" spans="2:36" s="2" customFormat="1" x14ac:dyDescent="0.2">
      <c r="B39" s="2" t="s">
        <v>137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>
        <v>419.62200000000001</v>
      </c>
      <c r="N39" s="25"/>
      <c r="O39" s="25"/>
      <c r="P39" s="25"/>
      <c r="Q39" s="25"/>
      <c r="R39" s="25"/>
    </row>
    <row r="40" spans="2:36" s="2" customFormat="1" x14ac:dyDescent="0.2">
      <c r="B40" s="2" t="s">
        <v>138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839.46</v>
      </c>
      <c r="N40" s="25"/>
      <c r="O40" s="25"/>
      <c r="P40" s="25"/>
      <c r="Q40" s="25"/>
      <c r="R40" s="25"/>
    </row>
    <row r="41" spans="2:36" s="2" customFormat="1" x14ac:dyDescent="0.2">
      <c r="B41" s="2" t="s">
        <v>139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>
        <v>149.851</v>
      </c>
      <c r="N41" s="25"/>
      <c r="O41" s="25"/>
      <c r="P41" s="25"/>
      <c r="Q41" s="25"/>
      <c r="R41" s="25"/>
    </row>
    <row r="42" spans="2:36" s="2" customFormat="1" x14ac:dyDescent="0.2">
      <c r="B42" s="2" t="s">
        <v>140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>
        <v>1051.8209999999999</v>
      </c>
      <c r="N42" s="25"/>
      <c r="O42" s="25"/>
      <c r="P42" s="25"/>
      <c r="Q42" s="25"/>
      <c r="R42" s="25"/>
    </row>
    <row r="43" spans="2:36" s="2" customFormat="1" x14ac:dyDescent="0.2">
      <c r="B43" s="2" t="s">
        <v>141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>
        <f>354.024+196.199</f>
        <v>550.22299999999996</v>
      </c>
      <c r="N43" s="25"/>
      <c r="O43" s="25"/>
      <c r="P43" s="25"/>
      <c r="Q43" s="25"/>
      <c r="R43" s="25"/>
    </row>
    <row r="44" spans="2:36" s="2" customFormat="1" x14ac:dyDescent="0.2">
      <c r="B44" s="2" t="s">
        <v>142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>
        <v>1455.2049999999999</v>
      </c>
      <c r="N44" s="25"/>
      <c r="O44" s="25"/>
      <c r="P44" s="25"/>
      <c r="Q44" s="25"/>
      <c r="R44" s="25"/>
    </row>
    <row r="45" spans="2:36" s="2" customFormat="1" x14ac:dyDescent="0.2">
      <c r="B45" s="2" t="s">
        <v>143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>
        <v>151.78800000000001</v>
      </c>
      <c r="N45" s="25"/>
      <c r="O45" s="25"/>
      <c r="P45" s="25"/>
      <c r="Q45" s="25"/>
      <c r="R45" s="25"/>
    </row>
    <row r="46" spans="2:36" s="2" customFormat="1" x14ac:dyDescent="0.2">
      <c r="B46" s="2" t="s">
        <v>144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>
        <f>SUM(M38:M45)</f>
        <v>6264.0400000000009</v>
      </c>
      <c r="N46" s="25"/>
      <c r="O46" s="25"/>
      <c r="P46" s="25"/>
      <c r="Q46" s="25"/>
      <c r="R46" s="25"/>
    </row>
    <row r="48" spans="2:36" s="2" customFormat="1" x14ac:dyDescent="0.2">
      <c r="B48" s="2" t="s">
        <v>145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>
        <v>492.71699999999998</v>
      </c>
      <c r="N48" s="25"/>
      <c r="O48" s="25"/>
      <c r="P48" s="25"/>
      <c r="Q48" s="25"/>
      <c r="R48" s="25"/>
    </row>
    <row r="49" spans="2:18" s="2" customFormat="1" x14ac:dyDescent="0.2">
      <c r="B49" s="2" t="s">
        <v>146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>
        <v>28.303000000000001</v>
      </c>
      <c r="N49" s="25"/>
      <c r="O49" s="25"/>
      <c r="P49" s="25"/>
      <c r="Q49" s="25"/>
      <c r="R49" s="25"/>
    </row>
    <row r="50" spans="2:18" s="2" customFormat="1" x14ac:dyDescent="0.2">
      <c r="B50" s="2" t="s">
        <v>4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>
        <v>1082.0329999999999</v>
      </c>
      <c r="N50" s="25"/>
      <c r="O50" s="25"/>
      <c r="P50" s="25"/>
      <c r="Q50" s="25"/>
      <c r="R50" s="25"/>
    </row>
    <row r="51" spans="2:18" s="2" customFormat="1" x14ac:dyDescent="0.2">
      <c r="B51" s="2" t="s">
        <v>147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>
        <v>92.472999999999999</v>
      </c>
      <c r="N51" s="25"/>
      <c r="O51" s="25"/>
      <c r="P51" s="25"/>
      <c r="Q51" s="25"/>
      <c r="R51" s="25"/>
    </row>
    <row r="52" spans="2:18" s="2" customFormat="1" x14ac:dyDescent="0.2">
      <c r="B52" s="2" t="s">
        <v>136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>
        <v>4568.5140000000001</v>
      </c>
      <c r="N52" s="25"/>
      <c r="O52" s="25"/>
      <c r="P52" s="25"/>
      <c r="Q52" s="25"/>
      <c r="R52" s="25"/>
    </row>
    <row r="53" spans="2:18" s="2" customFormat="1" x14ac:dyDescent="0.2">
      <c r="B53" s="2" t="s">
        <v>135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>
        <f>SUM(M48:M52)</f>
        <v>6264.04</v>
      </c>
      <c r="N53" s="25"/>
      <c r="O53" s="25"/>
      <c r="P53" s="25"/>
      <c r="Q53" s="25"/>
      <c r="R53" s="25"/>
    </row>
  </sheetData>
  <hyperlinks>
    <hyperlink ref="A1" location="Main!A1" display="Main" xr:uid="{A55303B1-EC0E-4753-B9F5-82325FA3A6D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E64F-F7F4-44D8-89AE-BB5BF258514B}">
  <dimension ref="A1:N30"/>
  <sheetViews>
    <sheetView zoomScale="160" zoomScaleNormal="160" workbookViewId="0">
      <selection activeCell="D17" sqref="D17"/>
    </sheetView>
  </sheetViews>
  <sheetFormatPr defaultRowHeight="12.75" x14ac:dyDescent="0.2"/>
  <cols>
    <col min="1" max="1" width="5" bestFit="1" customWidth="1"/>
    <col min="2" max="2" width="14.42578125" customWidth="1"/>
    <col min="3" max="9" width="9.7109375" customWidth="1"/>
    <col min="10" max="11" width="9.85546875" customWidth="1"/>
    <col min="12" max="12" width="10.28515625" customWidth="1"/>
    <col min="13" max="13" width="9.85546875" customWidth="1"/>
    <col min="14" max="14" width="10.42578125" customWidth="1"/>
  </cols>
  <sheetData>
    <row r="1" spans="1:9" x14ac:dyDescent="0.2">
      <c r="A1" s="22" t="s">
        <v>49</v>
      </c>
    </row>
    <row r="2" spans="1:9" x14ac:dyDescent="0.2">
      <c r="B2" t="s">
        <v>104</v>
      </c>
    </row>
    <row r="3" spans="1:9" x14ac:dyDescent="0.2">
      <c r="B3" t="s">
        <v>105</v>
      </c>
      <c r="C3" t="s">
        <v>29</v>
      </c>
    </row>
    <row r="4" spans="1:9" x14ac:dyDescent="0.2">
      <c r="B4" t="s">
        <v>15</v>
      </c>
      <c r="C4" t="s">
        <v>113</v>
      </c>
    </row>
    <row r="5" spans="1:9" x14ac:dyDescent="0.2">
      <c r="C5" t="s">
        <v>117</v>
      </c>
    </row>
    <row r="6" spans="1:9" x14ac:dyDescent="0.2">
      <c r="B6" t="s">
        <v>33</v>
      </c>
      <c r="C6" t="s">
        <v>112</v>
      </c>
      <c r="I6" s="2"/>
    </row>
    <row r="7" spans="1:9" x14ac:dyDescent="0.2">
      <c r="B7" t="s">
        <v>107</v>
      </c>
      <c r="C7" t="s">
        <v>108</v>
      </c>
    </row>
    <row r="8" spans="1:9" x14ac:dyDescent="0.2">
      <c r="C8" t="s">
        <v>116</v>
      </c>
    </row>
    <row r="9" spans="1:9" x14ac:dyDescent="0.2">
      <c r="B9" t="s">
        <v>132</v>
      </c>
      <c r="C9" t="s">
        <v>134</v>
      </c>
    </row>
    <row r="10" spans="1:9" x14ac:dyDescent="0.2">
      <c r="B10" t="s">
        <v>119</v>
      </c>
      <c r="C10" t="s">
        <v>120</v>
      </c>
    </row>
    <row r="11" spans="1:9" x14ac:dyDescent="0.2">
      <c r="B11" t="s">
        <v>106</v>
      </c>
    </row>
    <row r="12" spans="1:9" x14ac:dyDescent="0.2">
      <c r="C12" s="31" t="s">
        <v>121</v>
      </c>
    </row>
    <row r="13" spans="1:9" x14ac:dyDescent="0.2">
      <c r="C13" t="s">
        <v>109</v>
      </c>
    </row>
    <row r="14" spans="1:9" x14ac:dyDescent="0.2">
      <c r="C14" s="48" t="s">
        <v>131</v>
      </c>
    </row>
    <row r="15" spans="1:9" x14ac:dyDescent="0.2">
      <c r="C15" t="s">
        <v>122</v>
      </c>
    </row>
    <row r="16" spans="1:9" x14ac:dyDescent="0.2">
      <c r="D16" s="3" t="s">
        <v>128</v>
      </c>
      <c r="E16" s="3" t="s">
        <v>129</v>
      </c>
      <c r="G16" t="s">
        <v>130</v>
      </c>
      <c r="H16" s="3" t="s">
        <v>128</v>
      </c>
      <c r="I16" s="3" t="s">
        <v>129</v>
      </c>
    </row>
    <row r="17" spans="2:14" x14ac:dyDescent="0.2">
      <c r="C17" t="s">
        <v>123</v>
      </c>
      <c r="D17" s="3">
        <v>52.6</v>
      </c>
      <c r="E17" s="3">
        <v>80.8</v>
      </c>
      <c r="H17" s="3"/>
      <c r="I17" s="3"/>
    </row>
    <row r="18" spans="2:14" x14ac:dyDescent="0.2">
      <c r="C18" t="s">
        <v>124</v>
      </c>
      <c r="D18" s="3">
        <v>42.4</v>
      </c>
      <c r="E18" s="3">
        <v>63.4</v>
      </c>
      <c r="F18" s="30">
        <f t="shared" ref="F18:F20" si="0">+E18/E17-1</f>
        <v>-0.21534653465346532</v>
      </c>
      <c r="H18" s="16">
        <v>0.12</v>
      </c>
      <c r="I18" s="16">
        <v>7.0000000000000007E-2</v>
      </c>
    </row>
    <row r="19" spans="2:14" x14ac:dyDescent="0.2">
      <c r="C19" t="s">
        <v>125</v>
      </c>
      <c r="D19" s="3">
        <v>26.1</v>
      </c>
      <c r="E19" s="3">
        <v>38.6</v>
      </c>
      <c r="F19" s="30">
        <f t="shared" si="0"/>
        <v>-0.39116719242902209</v>
      </c>
      <c r="H19" s="3"/>
      <c r="I19" s="3"/>
    </row>
    <row r="20" spans="2:14" x14ac:dyDescent="0.2">
      <c r="C20" t="s">
        <v>126</v>
      </c>
      <c r="D20" s="3">
        <v>22.7</v>
      </c>
      <c r="E20" s="3">
        <v>35.6</v>
      </c>
      <c r="F20" s="30">
        <f t="shared" si="0"/>
        <v>-7.7720207253885953E-2</v>
      </c>
      <c r="H20" s="16">
        <v>0.25</v>
      </c>
      <c r="I20" s="16">
        <v>0.15</v>
      </c>
    </row>
    <row r="21" spans="2:14" x14ac:dyDescent="0.2">
      <c r="C21" t="s">
        <v>127</v>
      </c>
      <c r="D21" s="3">
        <v>15.2</v>
      </c>
      <c r="E21" s="3">
        <v>24.6</v>
      </c>
      <c r="F21" s="30">
        <f>+E21/E20-1</f>
        <v>-0.3089887640449438</v>
      </c>
      <c r="H21" s="16">
        <v>0.37</v>
      </c>
      <c r="I21" s="16">
        <v>0.27</v>
      </c>
    </row>
    <row r="24" spans="2:14" x14ac:dyDescent="0.2">
      <c r="C24">
        <v>2023</v>
      </c>
      <c r="D24">
        <f>+C24+1</f>
        <v>2024</v>
      </c>
      <c r="E24">
        <f t="shared" ref="E24:N24" si="1">+D24+1</f>
        <v>2025</v>
      </c>
      <c r="F24">
        <f t="shared" si="1"/>
        <v>2026</v>
      </c>
      <c r="G24">
        <f t="shared" si="1"/>
        <v>2027</v>
      </c>
      <c r="H24">
        <f t="shared" si="1"/>
        <v>2028</v>
      </c>
      <c r="I24">
        <f t="shared" si="1"/>
        <v>2029</v>
      </c>
      <c r="J24">
        <f t="shared" si="1"/>
        <v>2030</v>
      </c>
      <c r="K24">
        <f t="shared" si="1"/>
        <v>2031</v>
      </c>
      <c r="L24">
        <f t="shared" si="1"/>
        <v>2032</v>
      </c>
      <c r="M24">
        <f t="shared" si="1"/>
        <v>2033</v>
      </c>
      <c r="N24">
        <f t="shared" si="1"/>
        <v>2034</v>
      </c>
    </row>
    <row r="25" spans="2:14" x14ac:dyDescent="0.2">
      <c r="B25" t="s">
        <v>111</v>
      </c>
      <c r="C25" s="2">
        <f>330000000/10000</f>
        <v>33000</v>
      </c>
      <c r="D25" s="2">
        <f>+C25-C26</f>
        <v>32700</v>
      </c>
      <c r="E25" s="2">
        <f>+D25-D26</f>
        <v>32100</v>
      </c>
      <c r="F25" s="2">
        <f t="shared" ref="F25:G25" si="2">+E25-E26</f>
        <v>31137</v>
      </c>
      <c r="G25" s="2">
        <f t="shared" si="2"/>
        <v>30202.89</v>
      </c>
      <c r="H25" s="2">
        <f t="shared" ref="H25:I25" si="3">+G25-G26</f>
        <v>29296.8033</v>
      </c>
      <c r="I25" s="2">
        <f t="shared" si="3"/>
        <v>28417.899201</v>
      </c>
      <c r="J25" s="2">
        <f t="shared" ref="J25:L25" si="4">+I25-I26</f>
        <v>27565.362224969998</v>
      </c>
      <c r="K25" s="2">
        <f t="shared" si="4"/>
        <v>26738.401358220897</v>
      </c>
      <c r="L25" s="2">
        <f t="shared" si="4"/>
        <v>25936.24931747427</v>
      </c>
      <c r="M25" s="2">
        <f t="shared" ref="M25:N25" si="5">+L25-L26</f>
        <v>25158.161837950043</v>
      </c>
      <c r="N25" s="2">
        <f t="shared" si="5"/>
        <v>24403.416982811541</v>
      </c>
    </row>
    <row r="26" spans="2:14" x14ac:dyDescent="0.2">
      <c r="B26" t="s">
        <v>110</v>
      </c>
      <c r="C26" s="2">
        <v>300</v>
      </c>
      <c r="D26" s="2">
        <v>600</v>
      </c>
      <c r="E26" s="2">
        <f>+E25*0.03</f>
        <v>963</v>
      </c>
      <c r="F26" s="2">
        <f t="shared" ref="F26:N26" si="6">+F25*0.03</f>
        <v>934.11</v>
      </c>
      <c r="G26" s="2">
        <f t="shared" si="6"/>
        <v>906.08669999999995</v>
      </c>
      <c r="H26" s="2">
        <f t="shared" si="6"/>
        <v>878.90409899999997</v>
      </c>
      <c r="I26" s="2">
        <f t="shared" si="6"/>
        <v>852.53697603000001</v>
      </c>
      <c r="J26" s="2">
        <f t="shared" si="6"/>
        <v>826.96086674909986</v>
      </c>
      <c r="K26" s="2">
        <f t="shared" si="6"/>
        <v>802.15204074662688</v>
      </c>
      <c r="L26" s="2">
        <f t="shared" si="6"/>
        <v>778.08747952422812</v>
      </c>
      <c r="M26" s="2">
        <f t="shared" si="6"/>
        <v>754.74485513850129</v>
      </c>
      <c r="N26" s="2">
        <f t="shared" si="6"/>
        <v>732.10250948434623</v>
      </c>
    </row>
    <row r="27" spans="2:14" x14ac:dyDescent="0.2">
      <c r="B27" t="s">
        <v>0</v>
      </c>
      <c r="C27" s="2">
        <v>2000</v>
      </c>
      <c r="D27" s="2">
        <v>2000</v>
      </c>
      <c r="E27" s="2">
        <v>2000</v>
      </c>
      <c r="F27" s="2">
        <v>2000</v>
      </c>
      <c r="G27" s="2">
        <v>2000</v>
      </c>
      <c r="H27" s="2">
        <v>2000</v>
      </c>
      <c r="I27" s="2">
        <v>2000</v>
      </c>
      <c r="J27" s="2">
        <v>2000</v>
      </c>
      <c r="K27" s="2">
        <v>2000</v>
      </c>
      <c r="L27" s="2">
        <v>2000</v>
      </c>
      <c r="M27" s="2">
        <v>2000</v>
      </c>
      <c r="N27" s="2">
        <v>2000</v>
      </c>
    </row>
    <row r="28" spans="2:14" s="23" customFormat="1" x14ac:dyDescent="0.2">
      <c r="B28" s="23" t="s">
        <v>50</v>
      </c>
      <c r="C28" s="4">
        <f>+C26*C27</f>
        <v>600000</v>
      </c>
      <c r="D28" s="4">
        <f t="shared" ref="D28:I28" si="7">+D26*D27</f>
        <v>1200000</v>
      </c>
      <c r="E28" s="4">
        <f t="shared" si="7"/>
        <v>1926000</v>
      </c>
      <c r="F28" s="4">
        <f t="shared" si="7"/>
        <v>1868220</v>
      </c>
      <c r="G28" s="4">
        <f t="shared" si="7"/>
        <v>1812173.4</v>
      </c>
      <c r="H28" s="4">
        <f t="shared" si="7"/>
        <v>1757808.1979999999</v>
      </c>
      <c r="I28" s="4">
        <f t="shared" si="7"/>
        <v>1705073.95206</v>
      </c>
      <c r="J28" s="4">
        <f t="shared" ref="J28" si="8">+J26*J27</f>
        <v>1653921.7334981998</v>
      </c>
      <c r="K28" s="4">
        <f t="shared" ref="K28" si="9">+K26*K27</f>
        <v>1604304.0814932538</v>
      </c>
      <c r="L28" s="4">
        <f t="shared" ref="L28" si="10">+L26*L27</f>
        <v>1556174.9590484563</v>
      </c>
      <c r="M28" s="4">
        <f t="shared" ref="M28" si="11">+M26*M27</f>
        <v>1509489.7102770025</v>
      </c>
      <c r="N28" s="4">
        <f t="shared" ref="N28" si="12">+N26*N27</f>
        <v>1464205.0189686925</v>
      </c>
    </row>
    <row r="30" spans="2:14" x14ac:dyDescent="0.2">
      <c r="B30" t="s">
        <v>118</v>
      </c>
      <c r="D30" s="2">
        <f>D26+C26</f>
        <v>900</v>
      </c>
      <c r="E30" s="2">
        <f>+D30+E26</f>
        <v>1863</v>
      </c>
      <c r="F30" s="2">
        <f t="shared" ref="F30:L30" si="13">+E30+F26</f>
        <v>2797.11</v>
      </c>
      <c r="G30" s="2">
        <f t="shared" si="13"/>
        <v>3703.1967</v>
      </c>
      <c r="H30" s="2">
        <f t="shared" si="13"/>
        <v>4582.1007989999998</v>
      </c>
      <c r="I30" s="2">
        <f t="shared" si="13"/>
        <v>5434.6377750299998</v>
      </c>
      <c r="J30" s="2">
        <f t="shared" si="13"/>
        <v>6261.5986417791</v>
      </c>
      <c r="K30" s="2">
        <f t="shared" si="13"/>
        <v>7063.7506825257269</v>
      </c>
      <c r="L30" s="2">
        <f t="shared" si="13"/>
        <v>7841.8381620499549</v>
      </c>
    </row>
  </sheetData>
  <hyperlinks>
    <hyperlink ref="A1" location="Main!A1" display="Main" xr:uid="{C51FEB2E-034C-40F6-8038-95D6F02F18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0A15-29A8-4F13-9FCA-9B377E9F471D}">
  <dimension ref="A1:H10"/>
  <sheetViews>
    <sheetView zoomScale="250" zoomScaleNormal="250" workbookViewId="0">
      <selection activeCell="D5" sqref="D5"/>
    </sheetView>
  </sheetViews>
  <sheetFormatPr defaultRowHeight="12.75" x14ac:dyDescent="0.2"/>
  <cols>
    <col min="1" max="1" width="5" bestFit="1" customWidth="1"/>
  </cols>
  <sheetData>
    <row r="1" spans="1:8" x14ac:dyDescent="0.2">
      <c r="A1" s="22" t="s">
        <v>49</v>
      </c>
    </row>
    <row r="3" spans="1:8" x14ac:dyDescent="0.2">
      <c r="B3" s="3" t="s">
        <v>101</v>
      </c>
      <c r="C3">
        <v>0</v>
      </c>
      <c r="D3" s="4">
        <v>500</v>
      </c>
      <c r="E3" s="2">
        <v>1000</v>
      </c>
      <c r="F3" s="2">
        <v>2000</v>
      </c>
      <c r="G3" s="2">
        <v>3000</v>
      </c>
      <c r="H3" s="2">
        <v>4000</v>
      </c>
    </row>
    <row r="4" spans="1:8" x14ac:dyDescent="0.2">
      <c r="B4">
        <v>400</v>
      </c>
      <c r="C4" s="35">
        <v>68</v>
      </c>
      <c r="D4" s="44">
        <f>+D5-7</f>
        <v>86</v>
      </c>
      <c r="E4" s="34">
        <f t="shared" ref="E4:F4" si="0">+E5-7</f>
        <v>104</v>
      </c>
      <c r="F4" s="40">
        <f t="shared" si="0"/>
        <v>141</v>
      </c>
      <c r="G4" s="40">
        <f t="shared" ref="G4" si="1">+G5-7</f>
        <v>167</v>
      </c>
      <c r="H4" s="40">
        <f t="shared" ref="H4" si="2">+H5-7</f>
        <v>196</v>
      </c>
    </row>
    <row r="5" spans="1:8" x14ac:dyDescent="0.2">
      <c r="B5">
        <v>600</v>
      </c>
      <c r="C5" s="32">
        <v>75</v>
      </c>
      <c r="D5" s="45">
        <f>+D6-6</f>
        <v>93</v>
      </c>
      <c r="E5" s="1">
        <f t="shared" ref="E5:F5" si="3">+E6-6</f>
        <v>111</v>
      </c>
      <c r="F5" s="41">
        <f t="shared" si="3"/>
        <v>148</v>
      </c>
      <c r="G5" s="41">
        <f t="shared" ref="G5" si="4">+G6-6</f>
        <v>174</v>
      </c>
      <c r="H5" s="41">
        <f t="shared" ref="H5" si="5">+H6-6</f>
        <v>203</v>
      </c>
    </row>
    <row r="6" spans="1:8" x14ac:dyDescent="0.2">
      <c r="B6">
        <v>800</v>
      </c>
      <c r="C6" s="33">
        <v>81</v>
      </c>
      <c r="D6" s="46">
        <v>99</v>
      </c>
      <c r="E6" s="42">
        <v>117</v>
      </c>
      <c r="F6" s="39">
        <v>154</v>
      </c>
      <c r="G6" s="39">
        <v>180</v>
      </c>
      <c r="H6" s="39">
        <v>209</v>
      </c>
    </row>
    <row r="7" spans="1:8" x14ac:dyDescent="0.2">
      <c r="D7" s="23"/>
    </row>
    <row r="8" spans="1:8" x14ac:dyDescent="0.2">
      <c r="B8" s="3" t="s">
        <v>103</v>
      </c>
      <c r="C8" s="36">
        <f>+C4/90-1</f>
        <v>-0.24444444444444446</v>
      </c>
      <c r="D8" s="43">
        <f t="shared" ref="D8:F8" si="6">+D4/90-1</f>
        <v>-4.4444444444444398E-2</v>
      </c>
      <c r="E8" s="30">
        <f t="shared" si="6"/>
        <v>0.15555555555555545</v>
      </c>
      <c r="F8" s="38">
        <f t="shared" si="6"/>
        <v>0.56666666666666665</v>
      </c>
      <c r="G8" s="38">
        <f t="shared" ref="G8:H8" si="7">+G4/90-1</f>
        <v>0.85555555555555562</v>
      </c>
      <c r="H8" s="38">
        <f t="shared" si="7"/>
        <v>1.1777777777777776</v>
      </c>
    </row>
    <row r="9" spans="1:8" x14ac:dyDescent="0.2">
      <c r="C9" s="37">
        <f t="shared" ref="C9:F9" si="8">+C5/90-1</f>
        <v>-0.16666666666666663</v>
      </c>
      <c r="D9" s="29">
        <f t="shared" si="8"/>
        <v>3.3333333333333437E-2</v>
      </c>
      <c r="E9" s="30">
        <f t="shared" si="8"/>
        <v>0.23333333333333339</v>
      </c>
      <c r="F9" s="38">
        <f t="shared" si="8"/>
        <v>0.64444444444444438</v>
      </c>
      <c r="G9" s="38">
        <f t="shared" ref="G9:H9" si="9">+G5/90-1</f>
        <v>0.93333333333333335</v>
      </c>
      <c r="H9" s="38">
        <f t="shared" si="9"/>
        <v>1.2555555555555555</v>
      </c>
    </row>
    <row r="10" spans="1:8" x14ac:dyDescent="0.2">
      <c r="C10" s="37">
        <f t="shared" ref="C10:G10" si="10">+C6/90-1</f>
        <v>-9.9999999999999978E-2</v>
      </c>
      <c r="D10" s="29">
        <f t="shared" si="10"/>
        <v>0.10000000000000009</v>
      </c>
      <c r="E10" s="38">
        <f t="shared" si="10"/>
        <v>0.30000000000000004</v>
      </c>
      <c r="F10" s="38">
        <f t="shared" si="10"/>
        <v>0.71111111111111103</v>
      </c>
      <c r="G10" s="38">
        <f t="shared" si="10"/>
        <v>1</v>
      </c>
      <c r="H10" s="38">
        <f t="shared" ref="H10" si="11">+H6/90-1</f>
        <v>1.3222222222222224</v>
      </c>
    </row>
  </sheetData>
  <hyperlinks>
    <hyperlink ref="A1" location="Main!A1" display="Main" xr:uid="{6A390398-FFC2-4430-9FE1-6766737CC2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valrox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2022-10-24T19:25:36Z</dcterms:created>
  <dcterms:modified xsi:type="dcterms:W3CDTF">2023-01-11T17:08:56Z</dcterms:modified>
</cp:coreProperties>
</file>