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79C97CC-5F32-4B87-867F-3A53737F855D}" xr6:coauthVersionLast="47" xr6:coauthVersionMax="47" xr10:uidLastSave="{00000000-0000-0000-0000-000000000000}"/>
  <bookViews>
    <workbookView xWindow="-31350" yWindow="2250" windowWidth="30135" windowHeight="17865" firstSheet="1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Vytorin" sheetId="26" r:id="rId5"/>
    <sheet name="Gardasil" sheetId="3" r:id="rId6"/>
    <sheet name="Lynparza" sheetId="32" r:id="rId7"/>
    <sheet name="Padcev" sheetId="33" r:id="rId8"/>
    <sheet name="Rotateq" sheetId="17" r:id="rId9"/>
    <sheet name="V940" sheetId="34" r:id="rId10"/>
    <sheet name="Zostavax" sheetId="15" r:id="rId11"/>
    <sheet name="Singulair" sheetId="19" r:id="rId12"/>
    <sheet name="Januvia" sheetId="4" r:id="rId13"/>
    <sheet name="odanacatib" sheetId="27" r:id="rId14"/>
    <sheet name="524" sheetId="6" r:id="rId15"/>
    <sheet name="517" sheetId="13" r:id="rId16"/>
    <sheet name="Isentress" sheetId="14" r:id="rId17"/>
    <sheet name="rolofylline" sheetId="25" r:id="rId18"/>
    <sheet name="taranabant" sheetId="23" r:id="rId19"/>
    <sheet name="telcagepant" sheetId="24" r:id="rId20"/>
    <sheet name="457" sheetId="20" r:id="rId21"/>
    <sheet name="vorapaxar" sheetId="28" r:id="rId22"/>
    <sheet name="Crixivan" sheetId="30" r:id="rId23"/>
    <sheet name="Fosamax" sheetId="22" r:id="rId24"/>
    <sheet name="Arcoxia" sheetId="21" r:id="rId25"/>
    <sheet name="Zolinza" sheetId="5" r:id="rId26"/>
  </sheets>
  <externalReferences>
    <externalReference r:id="rId27"/>
    <externalReference r:id="rId28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Model!$A$2:$CV$112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168" i="8" l="1"/>
  <c r="CJ164" i="8"/>
  <c r="CJ161" i="8"/>
  <c r="CJ159" i="8"/>
  <c r="CJ157" i="8"/>
  <c r="CJ152" i="8"/>
  <c r="CK97" i="8"/>
  <c r="CK84" i="8"/>
  <c r="CK114" i="8"/>
  <c r="CK81" i="8"/>
  <c r="CM38" i="8"/>
  <c r="CN38" i="8" s="1"/>
  <c r="CO38" i="8" s="1"/>
  <c r="CP38" i="8" s="1"/>
  <c r="CL38" i="8"/>
  <c r="CL90" i="8"/>
  <c r="CN86" i="8"/>
  <c r="CM86" i="8"/>
  <c r="CL86" i="8"/>
  <c r="CP86" i="8" s="1"/>
  <c r="CO86" i="8"/>
  <c r="CO85" i="8"/>
  <c r="CN85" i="8"/>
  <c r="CN87" i="8" s="1"/>
  <c r="CM85" i="8"/>
  <c r="CM87" i="8" s="1"/>
  <c r="CL85" i="8"/>
  <c r="CP85" i="8" s="1"/>
  <c r="CJ107" i="8"/>
  <c r="CI107" i="8"/>
  <c r="CH107" i="8"/>
  <c r="CG107" i="8"/>
  <c r="CF107" i="8"/>
  <c r="CE107" i="8"/>
  <c r="CD107" i="8"/>
  <c r="CJ106" i="8"/>
  <c r="CI106" i="8"/>
  <c r="CH106" i="8"/>
  <c r="CG106" i="8"/>
  <c r="CF106" i="8"/>
  <c r="CE106" i="8"/>
  <c r="CD106" i="8"/>
  <c r="CJ105" i="8"/>
  <c r="CI105" i="8"/>
  <c r="CH105" i="8"/>
  <c r="CG105" i="8"/>
  <c r="CF105" i="8"/>
  <c r="CE105" i="8"/>
  <c r="CD105" i="8"/>
  <c r="CJ110" i="8"/>
  <c r="CI110" i="8"/>
  <c r="CH110" i="8"/>
  <c r="CG110" i="8"/>
  <c r="CF110" i="8"/>
  <c r="CE110" i="8"/>
  <c r="CD110" i="8"/>
  <c r="CJ109" i="8"/>
  <c r="CI109" i="8"/>
  <c r="CH109" i="8"/>
  <c r="CG109" i="8"/>
  <c r="CF109" i="8"/>
  <c r="CE109" i="8"/>
  <c r="CD109" i="8"/>
  <c r="CC110" i="8"/>
  <c r="CC109" i="8"/>
  <c r="CC107" i="8"/>
  <c r="CC106" i="8"/>
  <c r="CC105" i="8"/>
  <c r="CL100" i="8"/>
  <c r="CM100" i="8" s="1"/>
  <c r="CN100" i="8" s="1"/>
  <c r="CO100" i="8" s="1"/>
  <c r="CP100" i="8" s="1"/>
  <c r="CJ104" i="8"/>
  <c r="CI104" i="8"/>
  <c r="CH104" i="8"/>
  <c r="CG104" i="8"/>
  <c r="CF104" i="8"/>
  <c r="CE104" i="8"/>
  <c r="CD104" i="8"/>
  <c r="CC104" i="8"/>
  <c r="CC81" i="8"/>
  <c r="CC87" i="8"/>
  <c r="CG87" i="8"/>
  <c r="CC82" i="8"/>
  <c r="CC84" i="8" s="1"/>
  <c r="CJ117" i="8"/>
  <c r="CI117" i="8"/>
  <c r="CH117" i="8"/>
  <c r="CG117" i="8"/>
  <c r="CF117" i="8"/>
  <c r="CE117" i="8"/>
  <c r="CD117" i="8"/>
  <c r="CC117" i="8"/>
  <c r="CB117" i="8"/>
  <c r="CA117" i="8"/>
  <c r="CI116" i="8"/>
  <c r="CH116" i="8"/>
  <c r="CG116" i="8"/>
  <c r="CF116" i="8"/>
  <c r="CE116" i="8"/>
  <c r="CD116" i="8"/>
  <c r="CC116" i="8"/>
  <c r="CB116" i="8"/>
  <c r="CA116" i="8"/>
  <c r="CJ116" i="8"/>
  <c r="CL39" i="8"/>
  <c r="CM39" i="8" s="1"/>
  <c r="CN39" i="8" s="1"/>
  <c r="CO39" i="8" s="1"/>
  <c r="CP39" i="8" s="1"/>
  <c r="CL41" i="8"/>
  <c r="CM41" i="8" s="1"/>
  <c r="CN41" i="8" s="1"/>
  <c r="CO41" i="8" s="1"/>
  <c r="CP41" i="8" s="1"/>
  <c r="CL42" i="8"/>
  <c r="CM42" i="8" s="1"/>
  <c r="CN42" i="8" s="1"/>
  <c r="CO42" i="8" s="1"/>
  <c r="CP42" i="8" s="1"/>
  <c r="CL43" i="8"/>
  <c r="CM43" i="8" s="1"/>
  <c r="CN43" i="8" s="1"/>
  <c r="CO43" i="8" s="1"/>
  <c r="CP43" i="8" s="1"/>
  <c r="CL32" i="8"/>
  <c r="CM32" i="8" s="1"/>
  <c r="CN32" i="8" s="1"/>
  <c r="CO32" i="8" s="1"/>
  <c r="CP32" i="8" s="1"/>
  <c r="CN31" i="8"/>
  <c r="CM31" i="8"/>
  <c r="CL31" i="8"/>
  <c r="CP31" i="8" s="1"/>
  <c r="CO31" i="8"/>
  <c r="CN30" i="8"/>
  <c r="CM30" i="8"/>
  <c r="CL30" i="8"/>
  <c r="CP30" i="8" s="1"/>
  <c r="CO30" i="8"/>
  <c r="CL25" i="8"/>
  <c r="CM25" i="8" s="1"/>
  <c r="CN25" i="8" s="1"/>
  <c r="CO25" i="8" s="1"/>
  <c r="CP25" i="8" s="1"/>
  <c r="CN24" i="8"/>
  <c r="CM24" i="8"/>
  <c r="CL24" i="8"/>
  <c r="CP24" i="8" s="1"/>
  <c r="CO24" i="8"/>
  <c r="CN23" i="8"/>
  <c r="CM23" i="8"/>
  <c r="CL23" i="8"/>
  <c r="CP23" i="8" s="1"/>
  <c r="CO23" i="8"/>
  <c r="CN21" i="8"/>
  <c r="CM21" i="8"/>
  <c r="CL21" i="8"/>
  <c r="CP21" i="8" s="1"/>
  <c r="CO21" i="8"/>
  <c r="CN18" i="8"/>
  <c r="CM18" i="8"/>
  <c r="CL18" i="8"/>
  <c r="CP18" i="8" s="1"/>
  <c r="CO18" i="8"/>
  <c r="CN17" i="8"/>
  <c r="CM17" i="8"/>
  <c r="CL17" i="8"/>
  <c r="CP17" i="8" s="1"/>
  <c r="CO17" i="8"/>
  <c r="CN13" i="8"/>
  <c r="CM13" i="8"/>
  <c r="CL13" i="8"/>
  <c r="CP13" i="8" s="1"/>
  <c r="CO13" i="8"/>
  <c r="CL10" i="8"/>
  <c r="CM10" i="8" s="1"/>
  <c r="CN10" i="8" s="1"/>
  <c r="CO10" i="8" s="1"/>
  <c r="CP10" i="8" s="1"/>
  <c r="CP117" i="8" s="1"/>
  <c r="CK116" i="8"/>
  <c r="CN5" i="8"/>
  <c r="CM5" i="8"/>
  <c r="CL5" i="8"/>
  <c r="CP5" i="8" s="1"/>
  <c r="CO5" i="8"/>
  <c r="CL6" i="8"/>
  <c r="CM6" i="8" s="1"/>
  <c r="CN6" i="8" s="1"/>
  <c r="CO6" i="8" s="1"/>
  <c r="CP6" i="8" s="1"/>
  <c r="CN4" i="8"/>
  <c r="CM4" i="8"/>
  <c r="CL4" i="8"/>
  <c r="CP4" i="8" s="1"/>
  <c r="CO4" i="8"/>
  <c r="CN12" i="8"/>
  <c r="CM12" i="8"/>
  <c r="CL12" i="8"/>
  <c r="CP12" i="8" s="1"/>
  <c r="CO12" i="8"/>
  <c r="CN11" i="8"/>
  <c r="CM11" i="8"/>
  <c r="CL11" i="8"/>
  <c r="CP11" i="8" s="1"/>
  <c r="CO11" i="8"/>
  <c r="CN8" i="8"/>
  <c r="CN121" i="8" s="1"/>
  <c r="CM8" i="8"/>
  <c r="CM121" i="8" s="1"/>
  <c r="CL8" i="8"/>
  <c r="CP8" i="8" s="1"/>
  <c r="CP121" i="8" s="1"/>
  <c r="CK121" i="8"/>
  <c r="CI121" i="8"/>
  <c r="CH121" i="8"/>
  <c r="CG121" i="8"/>
  <c r="CF121" i="8"/>
  <c r="CE121" i="8"/>
  <c r="CD121" i="8"/>
  <c r="CC121" i="8"/>
  <c r="CB121" i="8"/>
  <c r="CA121" i="8"/>
  <c r="CJ121" i="8"/>
  <c r="CL7" i="8"/>
  <c r="CM7" i="8" s="1"/>
  <c r="CN7" i="8" s="1"/>
  <c r="CO7" i="8" s="1"/>
  <c r="CP7" i="8" s="1"/>
  <c r="CA115" i="8"/>
  <c r="CH115" i="8"/>
  <c r="CG115" i="8"/>
  <c r="CF115" i="8"/>
  <c r="CE115" i="8"/>
  <c r="CD115" i="8"/>
  <c r="CC115" i="8"/>
  <c r="CB115" i="8"/>
  <c r="CJ115" i="8"/>
  <c r="CD87" i="8"/>
  <c r="CH87" i="8"/>
  <c r="CE87" i="8"/>
  <c r="CI87" i="8"/>
  <c r="CF87" i="8"/>
  <c r="CJ87" i="8"/>
  <c r="CT82" i="8"/>
  <c r="CJ81" i="8"/>
  <c r="CJ82" i="8" s="1"/>
  <c r="CJ84" i="8" s="1"/>
  <c r="CL49" i="8"/>
  <c r="CM49" i="8" s="1"/>
  <c r="CN49" i="8" s="1"/>
  <c r="CO49" i="8" s="1"/>
  <c r="CP49" i="8" s="1"/>
  <c r="CN72" i="8"/>
  <c r="CM72" i="8"/>
  <c r="CL72" i="8"/>
  <c r="CP72" i="8" s="1"/>
  <c r="CO72" i="8"/>
  <c r="CM3" i="8"/>
  <c r="CM115" i="8" s="1"/>
  <c r="CL3" i="8"/>
  <c r="CP3" i="8" s="1"/>
  <c r="CP115" i="8" s="1"/>
  <c r="CO3" i="8"/>
  <c r="CO115" i="8" s="1"/>
  <c r="CN3" i="8"/>
  <c r="CN115" i="8" s="1"/>
  <c r="CD81" i="8"/>
  <c r="CD82" i="8" s="1"/>
  <c r="CD84" i="8" s="1"/>
  <c r="CB81" i="8"/>
  <c r="CB82" i="8" s="1"/>
  <c r="CA81" i="8"/>
  <c r="CA82" i="8" s="1"/>
  <c r="BZ81" i="8"/>
  <c r="BZ82" i="8" s="1"/>
  <c r="BY81" i="8"/>
  <c r="BY82" i="8" s="1"/>
  <c r="BX81" i="8"/>
  <c r="BX82" i="8" s="1"/>
  <c r="BW81" i="8"/>
  <c r="BW82" i="8" s="1"/>
  <c r="CI115" i="8"/>
  <c r="CI81" i="8"/>
  <c r="CI82" i="8" s="1"/>
  <c r="CH81" i="8"/>
  <c r="CH82" i="8" s="1"/>
  <c r="CH84" i="8" s="1"/>
  <c r="CG81" i="8"/>
  <c r="CG82" i="8" s="1"/>
  <c r="CG84" i="8" s="1"/>
  <c r="CF81" i="8"/>
  <c r="CF82" i="8" s="1"/>
  <c r="CF84" i="8" s="1"/>
  <c r="CE81" i="8"/>
  <c r="CE82" i="8" s="1"/>
  <c r="CE84" i="8" s="1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1" i="8"/>
  <c r="AW81" i="8"/>
  <c r="AV81" i="8"/>
  <c r="AU81" i="8"/>
  <c r="AT81" i="8"/>
  <c r="AS81" i="8"/>
  <c r="AR81" i="8"/>
  <c r="J4" i="2"/>
  <c r="AQ95" i="8"/>
  <c r="AQ87" i="8"/>
  <c r="AQ81" i="8"/>
  <c r="DC65" i="8"/>
  <c r="DD65" i="8" s="1"/>
  <c r="DE65" i="8" s="1"/>
  <c r="DF65" i="8" s="1"/>
  <c r="DG65" i="8" s="1"/>
  <c r="DH65" i="8" s="1"/>
  <c r="DI65" i="8" s="1"/>
  <c r="DJ65" i="8" s="1"/>
  <c r="DK65" i="8" s="1"/>
  <c r="DL65" i="8" s="1"/>
  <c r="DM65" i="8" s="1"/>
  <c r="DN65" i="8" s="1"/>
  <c r="DO65" i="8" s="1"/>
  <c r="DP65" i="8" s="1"/>
  <c r="DQ65" i="8" s="1"/>
  <c r="DR65" i="8" s="1"/>
  <c r="DS65" i="8" s="1"/>
  <c r="AT86" i="8"/>
  <c r="AS86" i="8"/>
  <c r="AR86" i="8"/>
  <c r="AQ122" i="8"/>
  <c r="AP122" i="8"/>
  <c r="AO122" i="8"/>
  <c r="AN122" i="8"/>
  <c r="AM122" i="8"/>
  <c r="AK122" i="8"/>
  <c r="AJ122" i="8"/>
  <c r="AI122" i="8"/>
  <c r="AG122" i="8"/>
  <c r="AF122" i="8"/>
  <c r="AE122" i="8"/>
  <c r="AT122" i="8"/>
  <c r="AS122" i="8"/>
  <c r="AR122" i="8"/>
  <c r="AT121" i="8"/>
  <c r="AS121" i="8"/>
  <c r="AR121" i="8"/>
  <c r="AQ121" i="8"/>
  <c r="AP121" i="8"/>
  <c r="AO121" i="8"/>
  <c r="AN121" i="8"/>
  <c r="AM121" i="8"/>
  <c r="AK121" i="8"/>
  <c r="AJ121" i="8"/>
  <c r="AI121" i="8"/>
  <c r="AG121" i="8"/>
  <c r="AF121" i="8"/>
  <c r="AE121" i="8"/>
  <c r="AD121" i="8"/>
  <c r="AQ117" i="8"/>
  <c r="AP117" i="8"/>
  <c r="AO117" i="8"/>
  <c r="AN117" i="8"/>
  <c r="AM117" i="8"/>
  <c r="AK117" i="8"/>
  <c r="AJ117" i="8"/>
  <c r="AI117" i="8"/>
  <c r="AG117" i="8"/>
  <c r="AF117" i="8"/>
  <c r="AR120" i="8"/>
  <c r="AR119" i="8"/>
  <c r="AQ119" i="8"/>
  <c r="AP120" i="8"/>
  <c r="AO120" i="8"/>
  <c r="AN120" i="8"/>
  <c r="AK120" i="8"/>
  <c r="AJ120" i="8"/>
  <c r="AI120" i="8"/>
  <c r="AG120" i="8"/>
  <c r="AF120" i="8"/>
  <c r="AE120" i="8"/>
  <c r="AD120" i="8"/>
  <c r="AP119" i="8"/>
  <c r="AO119" i="8"/>
  <c r="AN119" i="8"/>
  <c r="AM119" i="8"/>
  <c r="AK119" i="8"/>
  <c r="AJ119" i="8"/>
  <c r="AI119" i="8"/>
  <c r="AG119" i="8"/>
  <c r="AF119" i="8"/>
  <c r="AE119" i="8"/>
  <c r="AD119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S116" i="8"/>
  <c r="AR116" i="8"/>
  <c r="AT117" i="8"/>
  <c r="AS117" i="8"/>
  <c r="AR117" i="8"/>
  <c r="AP116" i="8"/>
  <c r="DD89" i="8"/>
  <c r="DD95" i="8" s="1"/>
  <c r="DC69" i="8"/>
  <c r="DD69" i="8" s="1"/>
  <c r="DE69" i="8" s="1"/>
  <c r="DF69" i="8" s="1"/>
  <c r="DG69" i="8" s="1"/>
  <c r="DH69" i="8" s="1"/>
  <c r="DI69" i="8" s="1"/>
  <c r="DJ69" i="8" s="1"/>
  <c r="DK69" i="8" s="1"/>
  <c r="DL69" i="8" s="1"/>
  <c r="DM69" i="8" s="1"/>
  <c r="DN69" i="8" s="1"/>
  <c r="DO69" i="8" s="1"/>
  <c r="DP69" i="8" s="1"/>
  <c r="DQ69" i="8" s="1"/>
  <c r="DR69" i="8" s="1"/>
  <c r="DS69" i="8" s="1"/>
  <c r="DC15" i="8"/>
  <c r="DC20" i="8"/>
  <c r="DC13" i="8"/>
  <c r="DC100" i="8"/>
  <c r="DD100" i="8" s="1"/>
  <c r="DE100" i="8" s="1"/>
  <c r="DF100" i="8" s="1"/>
  <c r="DG100" i="8" s="1"/>
  <c r="DH100" i="8" s="1"/>
  <c r="DI100" i="8" s="1"/>
  <c r="DJ100" i="8" s="1"/>
  <c r="DK100" i="8" s="1"/>
  <c r="DL100" i="8" s="1"/>
  <c r="DM100" i="8" s="1"/>
  <c r="DN100" i="8" s="1"/>
  <c r="DO100" i="8" s="1"/>
  <c r="DP100" i="8" s="1"/>
  <c r="DQ100" i="8" s="1"/>
  <c r="DR100" i="8" s="1"/>
  <c r="DS100" i="8" s="1"/>
  <c r="DC86" i="8"/>
  <c r="DC85" i="8"/>
  <c r="AO97" i="8"/>
  <c r="AO95" i="8"/>
  <c r="AO87" i="8"/>
  <c r="AO81" i="8"/>
  <c r="AP97" i="8"/>
  <c r="AP95" i="8"/>
  <c r="AP87" i="8"/>
  <c r="AP81" i="8"/>
  <c r="AN97" i="8"/>
  <c r="AN95" i="8"/>
  <c r="AN81" i="8"/>
  <c r="AH97" i="8"/>
  <c r="AH95" i="8"/>
  <c r="AJ81" i="8"/>
  <c r="AL97" i="8"/>
  <c r="AL81" i="8"/>
  <c r="AL95" i="8"/>
  <c r="AL87" i="8"/>
  <c r="AO116" i="8"/>
  <c r="AN116" i="8"/>
  <c r="AE116" i="8"/>
  <c r="AD116" i="8"/>
  <c r="AK116" i="8"/>
  <c r="AJ116" i="8"/>
  <c r="AI116" i="8"/>
  <c r="AG116" i="8"/>
  <c r="AF116" i="8"/>
  <c r="AM116" i="8"/>
  <c r="AM14" i="8"/>
  <c r="AM63" i="8"/>
  <c r="DC63" i="8" s="1"/>
  <c r="DD63" i="8" s="1"/>
  <c r="DE63" i="8" s="1"/>
  <c r="DF63" i="8" s="1"/>
  <c r="DG63" i="8" s="1"/>
  <c r="DH63" i="8" s="1"/>
  <c r="DI63" i="8" s="1"/>
  <c r="DJ63" i="8" s="1"/>
  <c r="DK63" i="8" s="1"/>
  <c r="DL63" i="8" s="1"/>
  <c r="DM63" i="8" s="1"/>
  <c r="DN63" i="8" s="1"/>
  <c r="DO63" i="8" s="1"/>
  <c r="DP63" i="8" s="1"/>
  <c r="DQ63" i="8" s="1"/>
  <c r="DR63" i="8" s="1"/>
  <c r="DS63" i="8" s="1"/>
  <c r="DC27" i="8"/>
  <c r="DD27" i="8" s="1"/>
  <c r="DE27" i="8" s="1"/>
  <c r="DF27" i="8" s="1"/>
  <c r="DG27" i="8" s="1"/>
  <c r="DH27" i="8" s="1"/>
  <c r="DI27" i="8" s="1"/>
  <c r="DJ27" i="8" s="1"/>
  <c r="DK27" i="8" s="1"/>
  <c r="DL27" i="8" s="1"/>
  <c r="DM27" i="8" s="1"/>
  <c r="DN27" i="8" s="1"/>
  <c r="DO27" i="8" s="1"/>
  <c r="DP27" i="8" s="1"/>
  <c r="DQ27" i="8" s="1"/>
  <c r="DR27" i="8" s="1"/>
  <c r="DS27" i="8" s="1"/>
  <c r="AM50" i="8"/>
  <c r="DC50" i="8" s="1"/>
  <c r="DD50" i="8" s="1"/>
  <c r="DE50" i="8" s="1"/>
  <c r="DF50" i="8" s="1"/>
  <c r="DG50" i="8" s="1"/>
  <c r="DH50" i="8" s="1"/>
  <c r="DI50" i="8" s="1"/>
  <c r="DJ50" i="8" s="1"/>
  <c r="DK50" i="8" s="1"/>
  <c r="DL50" i="8" s="1"/>
  <c r="DM50" i="8" s="1"/>
  <c r="DN50" i="8" s="1"/>
  <c r="DO50" i="8" s="1"/>
  <c r="DP50" i="8" s="1"/>
  <c r="DQ50" i="8" s="1"/>
  <c r="DR50" i="8" s="1"/>
  <c r="DS50" i="8" s="1"/>
  <c r="AM48" i="8"/>
  <c r="DC48" i="8" s="1"/>
  <c r="DD48" i="8" s="1"/>
  <c r="DE48" i="8" s="1"/>
  <c r="DF48" i="8" s="1"/>
  <c r="DG48" i="8" s="1"/>
  <c r="DH48" i="8" s="1"/>
  <c r="DI48" i="8" s="1"/>
  <c r="DJ48" i="8" s="1"/>
  <c r="DK48" i="8" s="1"/>
  <c r="DL48" i="8" s="1"/>
  <c r="DM48" i="8" s="1"/>
  <c r="DN48" i="8" s="1"/>
  <c r="DO48" i="8" s="1"/>
  <c r="DP48" i="8" s="1"/>
  <c r="DQ48" i="8" s="1"/>
  <c r="DR48" i="8" s="1"/>
  <c r="DS48" i="8" s="1"/>
  <c r="AM28" i="8"/>
  <c r="DC28" i="8" s="1"/>
  <c r="AM19" i="8"/>
  <c r="DC19" i="8" s="1"/>
  <c r="DD19" i="8" s="1"/>
  <c r="DE19" i="8" s="1"/>
  <c r="DF19" i="8" s="1"/>
  <c r="DG19" i="8" s="1"/>
  <c r="DH19" i="8" s="1"/>
  <c r="DI19" i="8" s="1"/>
  <c r="DJ19" i="8" s="1"/>
  <c r="DK19" i="8" s="1"/>
  <c r="DL19" i="8" s="1"/>
  <c r="DM19" i="8" s="1"/>
  <c r="DN19" i="8" s="1"/>
  <c r="DO19" i="8" s="1"/>
  <c r="DP19" i="8" s="1"/>
  <c r="DQ19" i="8" s="1"/>
  <c r="DR19" i="8" s="1"/>
  <c r="DS19" i="8" s="1"/>
  <c r="AM57" i="8"/>
  <c r="DC57" i="8" s="1"/>
  <c r="DC33" i="8"/>
  <c r="DD33" i="8" s="1"/>
  <c r="DE33" i="8" s="1"/>
  <c r="DF33" i="8" s="1"/>
  <c r="DG33" i="8" s="1"/>
  <c r="DH33" i="8" s="1"/>
  <c r="DI33" i="8" s="1"/>
  <c r="DJ33" i="8" s="1"/>
  <c r="DK33" i="8" s="1"/>
  <c r="DL33" i="8" s="1"/>
  <c r="DM33" i="8" s="1"/>
  <c r="DN33" i="8" s="1"/>
  <c r="DO33" i="8" s="1"/>
  <c r="DP33" i="8" s="1"/>
  <c r="DQ33" i="8" s="1"/>
  <c r="DR33" i="8" s="1"/>
  <c r="DS33" i="8" s="1"/>
  <c r="AM97" i="8"/>
  <c r="DC22" i="8"/>
  <c r="DD22" i="8" s="1"/>
  <c r="DE22" i="8" s="1"/>
  <c r="DF22" i="8" s="1"/>
  <c r="DG22" i="8" s="1"/>
  <c r="DH22" i="8" s="1"/>
  <c r="DI22" i="8" s="1"/>
  <c r="DJ22" i="8" s="1"/>
  <c r="DK22" i="8" s="1"/>
  <c r="DL22" i="8" s="1"/>
  <c r="DM22" i="8" s="1"/>
  <c r="DN22" i="8" s="1"/>
  <c r="DO22" i="8" s="1"/>
  <c r="DP22" i="8" s="1"/>
  <c r="DQ22" i="8" s="1"/>
  <c r="DR22" i="8" s="1"/>
  <c r="DS22" i="8" s="1"/>
  <c r="DB11" i="8"/>
  <c r="DB28" i="8"/>
  <c r="AN87" i="8"/>
  <c r="AM87" i="8"/>
  <c r="AM81" i="8"/>
  <c r="DC72" i="8"/>
  <c r="DD72" i="8" s="1"/>
  <c r="DE72" i="8" s="1"/>
  <c r="DF72" i="8" s="1"/>
  <c r="DG72" i="8" s="1"/>
  <c r="DH72" i="8" s="1"/>
  <c r="DI72" i="8" s="1"/>
  <c r="DJ72" i="8" s="1"/>
  <c r="DK72" i="8" s="1"/>
  <c r="DL72" i="8" s="1"/>
  <c r="DM72" i="8" s="1"/>
  <c r="DN72" i="8" s="1"/>
  <c r="DO72" i="8" s="1"/>
  <c r="DP72" i="8" s="1"/>
  <c r="DQ72" i="8" s="1"/>
  <c r="DR72" i="8" s="1"/>
  <c r="DS72" i="8" s="1"/>
  <c r="DC41" i="8"/>
  <c r="DD41" i="8" s="1"/>
  <c r="DE41" i="8" s="1"/>
  <c r="DF41" i="8" s="1"/>
  <c r="DG41" i="8" s="1"/>
  <c r="DH41" i="8" s="1"/>
  <c r="DI41" i="8" s="1"/>
  <c r="DJ41" i="8" s="1"/>
  <c r="DK41" i="8" s="1"/>
  <c r="DL41" i="8" s="1"/>
  <c r="DM41" i="8" s="1"/>
  <c r="DN41" i="8" s="1"/>
  <c r="DO41" i="8" s="1"/>
  <c r="DP41" i="8" s="1"/>
  <c r="DQ41" i="8" s="1"/>
  <c r="DR41" i="8" s="1"/>
  <c r="DS41" i="8" s="1"/>
  <c r="AL21" i="8"/>
  <c r="DB21" i="8" s="1"/>
  <c r="DC21" i="8"/>
  <c r="DD21" i="8" s="1"/>
  <c r="DE21" i="8" s="1"/>
  <c r="DF21" i="8" s="1"/>
  <c r="DG21" i="8" s="1"/>
  <c r="DH21" i="8" s="1"/>
  <c r="DI21" i="8" s="1"/>
  <c r="DJ21" i="8" s="1"/>
  <c r="DK21" i="8" s="1"/>
  <c r="DL21" i="8" s="1"/>
  <c r="DM21" i="8" s="1"/>
  <c r="DN21" i="8" s="1"/>
  <c r="DO21" i="8" s="1"/>
  <c r="DP21" i="8" s="1"/>
  <c r="DQ21" i="8" s="1"/>
  <c r="DR21" i="8" s="1"/>
  <c r="DS21" i="8" s="1"/>
  <c r="DC51" i="8"/>
  <c r="DD51" i="8" s="1"/>
  <c r="DE51" i="8" s="1"/>
  <c r="DF51" i="8" s="1"/>
  <c r="DG51" i="8" s="1"/>
  <c r="DH51" i="8" s="1"/>
  <c r="DI51" i="8" s="1"/>
  <c r="DJ51" i="8" s="1"/>
  <c r="DK51" i="8" s="1"/>
  <c r="DC53" i="8"/>
  <c r="DD53" i="8" s="1"/>
  <c r="DE53" i="8" s="1"/>
  <c r="DF53" i="8" s="1"/>
  <c r="DG53" i="8" s="1"/>
  <c r="DH53" i="8" s="1"/>
  <c r="DI53" i="8" s="1"/>
  <c r="DJ53" i="8" s="1"/>
  <c r="DK53" i="8" s="1"/>
  <c r="DL53" i="8" s="1"/>
  <c r="DM53" i="8" s="1"/>
  <c r="DN53" i="8" s="1"/>
  <c r="DO53" i="8" s="1"/>
  <c r="DP53" i="8" s="1"/>
  <c r="DQ53" i="8" s="1"/>
  <c r="DR53" i="8" s="1"/>
  <c r="DS53" i="8" s="1"/>
  <c r="DB57" i="8"/>
  <c r="DC58" i="8"/>
  <c r="DD58" i="8" s="1"/>
  <c r="DE58" i="8" s="1"/>
  <c r="DF58" i="8" s="1"/>
  <c r="DG58" i="8" s="1"/>
  <c r="DH58" i="8" s="1"/>
  <c r="DI58" i="8" s="1"/>
  <c r="DJ58" i="8" s="1"/>
  <c r="DK58" i="8" s="1"/>
  <c r="DL58" i="8" s="1"/>
  <c r="DM58" i="8" s="1"/>
  <c r="DN58" i="8" s="1"/>
  <c r="DO58" i="8" s="1"/>
  <c r="DP58" i="8" s="1"/>
  <c r="DQ58" i="8" s="1"/>
  <c r="DR58" i="8" s="1"/>
  <c r="DS58" i="8" s="1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E80" i="8"/>
  <c r="DF80" i="8" s="1"/>
  <c r="DG80" i="8" s="1"/>
  <c r="DH80" i="8" s="1"/>
  <c r="DI80" i="8" s="1"/>
  <c r="DJ80" i="8" s="1"/>
  <c r="DK80" i="8" s="1"/>
  <c r="DL80" i="8" s="1"/>
  <c r="DM80" i="8" s="1"/>
  <c r="DN80" i="8" s="1"/>
  <c r="DO80" i="8" s="1"/>
  <c r="DP80" i="8" s="1"/>
  <c r="DQ80" i="8" s="1"/>
  <c r="DR80" i="8" s="1"/>
  <c r="DS80" i="8" s="1"/>
  <c r="CU82" i="8"/>
  <c r="AK70" i="8"/>
  <c r="AK81" i="8" s="1"/>
  <c r="AK82" i="8" s="1"/>
  <c r="DB59" i="8"/>
  <c r="DB56" i="8"/>
  <c r="DB27" i="8"/>
  <c r="DB46" i="8"/>
  <c r="DB41" i="8"/>
  <c r="DB40" i="8"/>
  <c r="DB15" i="8"/>
  <c r="DA57" i="8"/>
  <c r="AI86" i="8"/>
  <c r="AI85" i="8"/>
  <c r="AI83" i="8"/>
  <c r="AI97" i="8"/>
  <c r="AA81" i="8"/>
  <c r="AB81" i="8"/>
  <c r="AB82" i="8" s="1"/>
  <c r="AB105" i="8" s="1"/>
  <c r="AC81" i="8"/>
  <c r="AC82" i="8" s="1"/>
  <c r="AE81" i="8"/>
  <c r="AE82" i="8" s="1"/>
  <c r="AF81" i="8"/>
  <c r="AF82" i="8" s="1"/>
  <c r="AG81" i="8"/>
  <c r="AG82" i="8" s="1"/>
  <c r="AI81" i="8"/>
  <c r="AI82" i="8" s="1"/>
  <c r="AJ97" i="8"/>
  <c r="AJ86" i="8"/>
  <c r="AJ85" i="8"/>
  <c r="AJ83" i="8"/>
  <c r="C33" i="4"/>
  <c r="C34" i="4"/>
  <c r="C35" i="4"/>
  <c r="C31" i="4"/>
  <c r="AG95" i="8"/>
  <c r="AG87" i="8"/>
  <c r="AL116" i="8"/>
  <c r="AH15" i="8"/>
  <c r="AH119" i="8" s="1"/>
  <c r="AH28" i="8"/>
  <c r="DA28" i="8" s="1"/>
  <c r="AH20" i="8"/>
  <c r="DA70" i="8"/>
  <c r="AH56" i="8"/>
  <c r="DA56" i="8" s="1"/>
  <c r="DA26" i="8"/>
  <c r="DA14" i="8"/>
  <c r="AH8" i="8"/>
  <c r="AL121" i="8" s="1"/>
  <c r="AH17" i="8"/>
  <c r="AH11" i="8"/>
  <c r="DA11" i="8" s="1"/>
  <c r="AH21" i="8"/>
  <c r="DA21" i="8" s="1"/>
  <c r="AH67" i="8"/>
  <c r="DA67" i="8" s="1"/>
  <c r="AH66" i="8"/>
  <c r="DA66" i="8" s="1"/>
  <c r="AH27" i="8"/>
  <c r="DA27" i="8" s="1"/>
  <c r="AH23" i="8"/>
  <c r="DA23" i="8" s="1"/>
  <c r="AH40" i="8"/>
  <c r="DA40" i="8" s="1"/>
  <c r="AH54" i="8"/>
  <c r="DA54" i="8" s="1"/>
  <c r="AH29" i="8"/>
  <c r="DA29" i="8" s="1"/>
  <c r="AH30" i="8"/>
  <c r="DA30" i="8" s="1"/>
  <c r="AH41" i="8"/>
  <c r="DA41" i="8" s="1"/>
  <c r="AH50" i="8"/>
  <c r="DA50" i="8" s="1"/>
  <c r="AH52" i="8"/>
  <c r="DA52" i="8" s="1"/>
  <c r="AH59" i="8"/>
  <c r="DA59" i="8" s="1"/>
  <c r="AH68" i="8"/>
  <c r="DA68" i="8" s="1"/>
  <c r="AH46" i="8"/>
  <c r="DA46" i="8" s="1"/>
  <c r="AH71" i="8"/>
  <c r="DA71" i="8" s="1"/>
  <c r="DE79" i="8"/>
  <c r="DF79" i="8" s="1"/>
  <c r="DG79" i="8" s="1"/>
  <c r="DH79" i="8" s="1"/>
  <c r="DI79" i="8" s="1"/>
  <c r="DJ79" i="8" s="1"/>
  <c r="DK79" i="8" s="1"/>
  <c r="DL79" i="8" s="1"/>
  <c r="DM79" i="8" s="1"/>
  <c r="DN79" i="8" s="1"/>
  <c r="DO79" i="8" s="1"/>
  <c r="DP79" i="8" s="1"/>
  <c r="DQ79" i="8" s="1"/>
  <c r="DR79" i="8" s="1"/>
  <c r="DS79" i="8" s="1"/>
  <c r="AD41" i="8"/>
  <c r="CZ41" i="8" s="1"/>
  <c r="AD23" i="8"/>
  <c r="CZ23" i="8" s="1"/>
  <c r="AD11" i="8"/>
  <c r="CZ11" i="8" s="1"/>
  <c r="AD40" i="8"/>
  <c r="CZ40" i="8" s="1"/>
  <c r="AD27" i="8"/>
  <c r="CZ27" i="8" s="1"/>
  <c r="AD54" i="8"/>
  <c r="CZ54" i="8" s="1"/>
  <c r="AD29" i="8"/>
  <c r="CZ29" i="8" s="1"/>
  <c r="AD30" i="8"/>
  <c r="CZ30" i="8" s="1"/>
  <c r="AD56" i="8"/>
  <c r="CZ56" i="8" s="1"/>
  <c r="AD50" i="8"/>
  <c r="CZ50" i="8" s="1"/>
  <c r="AD52" i="8"/>
  <c r="CZ52" i="8" s="1"/>
  <c r="AD59" i="8"/>
  <c r="CZ59" i="8" s="1"/>
  <c r="AD66" i="8"/>
  <c r="CZ66" i="8" s="1"/>
  <c r="AD67" i="8"/>
  <c r="CZ67" i="8" s="1"/>
  <c r="AD68" i="8"/>
  <c r="CZ68" i="8" s="1"/>
  <c r="AD70" i="8"/>
  <c r="CZ70" i="8" s="1"/>
  <c r="AD71" i="8"/>
  <c r="CZ71" i="8" s="1"/>
  <c r="CZ89" i="8"/>
  <c r="CZ90" i="8"/>
  <c r="CZ91" i="8"/>
  <c r="CZ92" i="8"/>
  <c r="CZ93" i="8"/>
  <c r="DA93" i="8"/>
  <c r="DB2" i="8"/>
  <c r="DC2" i="8" s="1"/>
  <c r="DD2" i="8" s="1"/>
  <c r="DE2" i="8" s="1"/>
  <c r="DF2" i="8" s="1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DS2" i="8" s="1"/>
  <c r="AE85" i="8"/>
  <c r="DA85" i="8" s="1"/>
  <c r="AE83" i="8"/>
  <c r="DA83" i="8" s="1"/>
  <c r="AE95" i="8"/>
  <c r="AF87" i="8"/>
  <c r="AF95" i="8"/>
  <c r="Z11" i="8"/>
  <c r="Z81" i="8" s="1"/>
  <c r="Z82" i="8" s="1"/>
  <c r="CZ2" i="8"/>
  <c r="CY2" i="8" s="1"/>
  <c r="CX2" i="8" s="1"/>
  <c r="CW2" i="8" s="1"/>
  <c r="CV2" i="8" s="1"/>
  <c r="CU2" i="8" s="1"/>
  <c r="CT2" i="8" s="1"/>
  <c r="I85" i="8"/>
  <c r="CU85" i="8" s="1"/>
  <c r="O85" i="8"/>
  <c r="O81" i="8"/>
  <c r="O82" i="8" s="1"/>
  <c r="P85" i="8"/>
  <c r="P143" i="8" s="1"/>
  <c r="T143" i="8" s="1"/>
  <c r="P81" i="8"/>
  <c r="Q81" i="8"/>
  <c r="Q82" i="8" s="1"/>
  <c r="Q84" i="8" s="1"/>
  <c r="R85" i="8"/>
  <c r="R87" i="8" s="1"/>
  <c r="R81" i="8"/>
  <c r="R82" i="8" s="1"/>
  <c r="R84" i="8" s="1"/>
  <c r="O86" i="8"/>
  <c r="P86" i="8"/>
  <c r="Q86" i="8"/>
  <c r="Q87" i="8" s="1"/>
  <c r="C87" i="8"/>
  <c r="C88" i="8" s="1"/>
  <c r="D87" i="8"/>
  <c r="D88" i="8" s="1"/>
  <c r="E87" i="8"/>
  <c r="E88" i="8" s="1"/>
  <c r="F87" i="8"/>
  <c r="F88" i="8" s="1"/>
  <c r="G87" i="8"/>
  <c r="G88" i="8" s="1"/>
  <c r="H83" i="8"/>
  <c r="H87" i="8" s="1"/>
  <c r="H88" i="8" s="1"/>
  <c r="I83" i="8"/>
  <c r="J83" i="8"/>
  <c r="J87" i="8" s="1"/>
  <c r="J88" i="8" s="1"/>
  <c r="K83" i="8"/>
  <c r="K144" i="8" s="1"/>
  <c r="L83" i="8"/>
  <c r="L144" i="8" s="1"/>
  <c r="M87" i="8"/>
  <c r="M88" i="8" s="1"/>
  <c r="N87" i="8"/>
  <c r="N88" i="8" s="1"/>
  <c r="O83" i="8"/>
  <c r="O144" i="8" s="1"/>
  <c r="P83" i="8"/>
  <c r="P144" i="8" s="1"/>
  <c r="C95" i="8"/>
  <c r="D95" i="8"/>
  <c r="E95" i="8"/>
  <c r="F95" i="8"/>
  <c r="G89" i="8"/>
  <c r="CU89" i="8" s="1"/>
  <c r="G90" i="8"/>
  <c r="CU90" i="8" s="1"/>
  <c r="G91" i="8"/>
  <c r="CU91" i="8" s="1"/>
  <c r="G92" i="8"/>
  <c r="CU92" i="8" s="1"/>
  <c r="H94" i="8"/>
  <c r="H95" i="8" s="1"/>
  <c r="I94" i="8"/>
  <c r="I95" i="8" s="1"/>
  <c r="J94" i="8"/>
  <c r="J95" i="8" s="1"/>
  <c r="K94" i="8"/>
  <c r="K95" i="8" s="1"/>
  <c r="L94" i="8"/>
  <c r="L95" i="8" s="1"/>
  <c r="M95" i="8"/>
  <c r="N94" i="8"/>
  <c r="N95" i="8" s="1"/>
  <c r="O95" i="8"/>
  <c r="P95" i="8"/>
  <c r="Q95" i="8"/>
  <c r="R95" i="8"/>
  <c r="F97" i="8"/>
  <c r="CT97" i="8" s="1"/>
  <c r="CZ100" i="8"/>
  <c r="DA100" i="8" s="1"/>
  <c r="DB100" i="8" s="1"/>
  <c r="CY57" i="8"/>
  <c r="CY20" i="8"/>
  <c r="CY28" i="8"/>
  <c r="CY15" i="8"/>
  <c r="CY14" i="8"/>
  <c r="CY8" i="8"/>
  <c r="X11" i="8"/>
  <c r="Y11" i="8"/>
  <c r="Y81" i="8" s="1"/>
  <c r="Y82" i="8" s="1"/>
  <c r="Y84" i="8" s="1"/>
  <c r="CY9" i="8"/>
  <c r="CY21" i="8"/>
  <c r="CY40" i="8"/>
  <c r="CY46" i="8"/>
  <c r="CY41" i="8"/>
  <c r="CY23" i="8"/>
  <c r="CY26" i="8"/>
  <c r="CY27" i="8"/>
  <c r="CY54" i="8"/>
  <c r="CY29" i="8"/>
  <c r="CY30" i="8"/>
  <c r="CY56" i="8"/>
  <c r="CY50" i="8"/>
  <c r="CY52" i="8"/>
  <c r="CY59" i="8"/>
  <c r="CY66" i="8"/>
  <c r="CY67" i="8"/>
  <c r="CY68" i="8"/>
  <c r="CY70" i="8"/>
  <c r="CY71" i="8"/>
  <c r="W81" i="8"/>
  <c r="W82" i="8" s="1"/>
  <c r="W83" i="8"/>
  <c r="X83" i="8"/>
  <c r="Z83" i="8"/>
  <c r="W86" i="8"/>
  <c r="W87" i="8" s="1"/>
  <c r="X86" i="8"/>
  <c r="Z86" i="8"/>
  <c r="Z85" i="8"/>
  <c r="CY89" i="8"/>
  <c r="CY90" i="8"/>
  <c r="CY91" i="8"/>
  <c r="CY92" i="8"/>
  <c r="CY93" i="8"/>
  <c r="CY94" i="8"/>
  <c r="CZ57" i="8"/>
  <c r="CZ20" i="8"/>
  <c r="CZ28" i="8"/>
  <c r="CZ15" i="8"/>
  <c r="CZ14" i="8"/>
  <c r="CZ8" i="8"/>
  <c r="CZ9" i="8"/>
  <c r="CZ21" i="8"/>
  <c r="CZ46" i="8"/>
  <c r="CZ26" i="8"/>
  <c r="CZ10" i="8"/>
  <c r="AC86" i="8"/>
  <c r="AC87" i="8" s="1"/>
  <c r="CZ94" i="8"/>
  <c r="CY97" i="8"/>
  <c r="CX57" i="8"/>
  <c r="CX20" i="8"/>
  <c r="CX28" i="8"/>
  <c r="CX15" i="8"/>
  <c r="CX14" i="8"/>
  <c r="CX8" i="8"/>
  <c r="CX11" i="8"/>
  <c r="CX9" i="8"/>
  <c r="CX21" i="8"/>
  <c r="CX40" i="8"/>
  <c r="CX46" i="8"/>
  <c r="CX41" i="8"/>
  <c r="CX23" i="8"/>
  <c r="CX26" i="8"/>
  <c r="CX27" i="8"/>
  <c r="CX54" i="8"/>
  <c r="CX29" i="8"/>
  <c r="CX30" i="8"/>
  <c r="CX56" i="8"/>
  <c r="CX50" i="8"/>
  <c r="CX52" i="8"/>
  <c r="CX59" i="8"/>
  <c r="CX66" i="8"/>
  <c r="CX67" i="8"/>
  <c r="CX68" i="8"/>
  <c r="CX70" i="8"/>
  <c r="CX71" i="8"/>
  <c r="S81" i="8"/>
  <c r="T81" i="8"/>
  <c r="T82" i="8" s="1"/>
  <c r="T84" i="8" s="1"/>
  <c r="U81" i="8"/>
  <c r="U82" i="8" s="1"/>
  <c r="U84" i="8" s="1"/>
  <c r="V81" i="8"/>
  <c r="V82" i="8" s="1"/>
  <c r="V83" i="8"/>
  <c r="CX83" i="8" s="1"/>
  <c r="V86" i="8"/>
  <c r="CX86" i="8" s="1"/>
  <c r="U85" i="8"/>
  <c r="U87" i="8" s="1"/>
  <c r="V85" i="8"/>
  <c r="CX89" i="8"/>
  <c r="CX90" i="8"/>
  <c r="CX91" i="8"/>
  <c r="CX92" i="8"/>
  <c r="CX93" i="8"/>
  <c r="CX94" i="8"/>
  <c r="T97" i="8"/>
  <c r="CX97" i="8" s="1"/>
  <c r="CT83" i="8"/>
  <c r="CT86" i="8"/>
  <c r="CT85" i="8"/>
  <c r="CU86" i="8"/>
  <c r="CV86" i="8"/>
  <c r="CV85" i="8"/>
  <c r="CT93" i="8"/>
  <c r="CT94" i="8"/>
  <c r="CU93" i="8"/>
  <c r="CV89" i="8"/>
  <c r="CV90" i="8"/>
  <c r="CV91" i="8"/>
  <c r="CV92" i="8"/>
  <c r="CV93" i="8"/>
  <c r="CW93" i="8"/>
  <c r="CU97" i="8"/>
  <c r="CV97" i="8"/>
  <c r="CY100" i="8"/>
  <c r="CW97" i="8"/>
  <c r="CW89" i="8"/>
  <c r="CW90" i="8"/>
  <c r="CW91" i="8"/>
  <c r="CW92" i="8"/>
  <c r="CW94" i="8"/>
  <c r="CW57" i="8"/>
  <c r="CW20" i="8"/>
  <c r="CW28" i="8"/>
  <c r="CW15" i="8"/>
  <c r="CW14" i="8"/>
  <c r="CW8" i="8"/>
  <c r="CW11" i="8"/>
  <c r="CW9" i="8"/>
  <c r="CW21" i="8"/>
  <c r="CW40" i="8"/>
  <c r="CW46" i="8"/>
  <c r="CW41" i="8"/>
  <c r="CW23" i="8"/>
  <c r="CW26" i="8"/>
  <c r="CW27" i="8"/>
  <c r="CW54" i="8"/>
  <c r="CW29" i="8"/>
  <c r="CW30" i="8"/>
  <c r="CW56" i="8"/>
  <c r="CW50" i="8"/>
  <c r="CW52" i="8"/>
  <c r="CW59" i="8"/>
  <c r="CW66" i="8"/>
  <c r="CW67" i="8"/>
  <c r="CW68" i="8"/>
  <c r="CW70" i="8"/>
  <c r="CW78" i="8"/>
  <c r="S87" i="8"/>
  <c r="S95" i="8"/>
  <c r="T95" i="8"/>
  <c r="T87" i="8"/>
  <c r="U95" i="8"/>
  <c r="V95" i="8"/>
  <c r="W95" i="8"/>
  <c r="X95" i="8"/>
  <c r="Y95" i="8"/>
  <c r="Y87" i="8"/>
  <c r="Z95" i="8"/>
  <c r="AA87" i="8"/>
  <c r="AA95" i="8"/>
  <c r="AB87" i="8"/>
  <c r="AB95" i="8"/>
  <c r="AC95" i="8"/>
  <c r="Q143" i="8"/>
  <c r="E28" i="3"/>
  <c r="F28" i="3"/>
  <c r="G28" i="3"/>
  <c r="H28" i="3"/>
  <c r="I28" i="3"/>
  <c r="J28" i="3"/>
  <c r="K28" i="3"/>
  <c r="CX125" i="8"/>
  <c r="T126" i="8"/>
  <c r="U126" i="8"/>
  <c r="V126" i="8"/>
  <c r="CX124" i="8"/>
  <c r="CX100" i="8"/>
  <c r="T131" i="8"/>
  <c r="S135" i="8"/>
  <c r="U135" i="8"/>
  <c r="S132" i="8"/>
  <c r="S129" i="8"/>
  <c r="V129" i="8" s="1"/>
  <c r="S126" i="8"/>
  <c r="O139" i="8"/>
  <c r="CW139" i="8" s="1"/>
  <c r="CW100" i="8"/>
  <c r="CV100" i="8"/>
  <c r="T133" i="8"/>
  <c r="U133" i="8" s="1"/>
  <c r="P129" i="8"/>
  <c r="P130" i="8" s="1"/>
  <c r="Q129" i="8"/>
  <c r="Q130" i="8" s="1"/>
  <c r="R129" i="8"/>
  <c r="R130" i="8" s="1"/>
  <c r="O129" i="8"/>
  <c r="O130" i="8" s="1"/>
  <c r="CW124" i="8"/>
  <c r="O126" i="8"/>
  <c r="O125" i="8" s="1"/>
  <c r="P126" i="8"/>
  <c r="P125" i="8" s="1"/>
  <c r="Q126" i="8"/>
  <c r="Q125" i="8" s="1"/>
  <c r="R126" i="8"/>
  <c r="R125" i="8" s="1"/>
  <c r="Q133" i="8"/>
  <c r="R133" i="8" s="1"/>
  <c r="R132" i="8"/>
  <c r="CW131" i="8"/>
  <c r="O135" i="8"/>
  <c r="P135" i="8"/>
  <c r="Q135" i="8"/>
  <c r="R135" i="8"/>
  <c r="N133" i="8"/>
  <c r="L132" i="8"/>
  <c r="CW140" i="8"/>
  <c r="R144" i="8"/>
  <c r="Q144" i="8"/>
  <c r="M144" i="8"/>
  <c r="N144" i="8"/>
  <c r="K143" i="8"/>
  <c r="L143" i="8"/>
  <c r="M143" i="8"/>
  <c r="N143" i="8"/>
  <c r="CV142" i="8"/>
  <c r="CV141" i="8"/>
  <c r="CV140" i="8"/>
  <c r="CV139" i="8"/>
  <c r="CV131" i="8"/>
  <c r="CW142" i="8"/>
  <c r="CW141" i="8"/>
  <c r="CV132" i="8"/>
  <c r="S131" i="8"/>
  <c r="DB8" i="8"/>
  <c r="DB17" i="8"/>
  <c r="DB23" i="8"/>
  <c r="DB29" i="8"/>
  <c r="DB26" i="8"/>
  <c r="DB67" i="8"/>
  <c r="DB54" i="8"/>
  <c r="DB30" i="8"/>
  <c r="DB50" i="8"/>
  <c r="DB52" i="8"/>
  <c r="DB66" i="8"/>
  <c r="DB68" i="8"/>
  <c r="DB71" i="8"/>
  <c r="DB10" i="8"/>
  <c r="CV82" i="8"/>
  <c r="AK87" i="8"/>
  <c r="V132" i="8"/>
  <c r="T129" i="8"/>
  <c r="V131" i="8"/>
  <c r="U131" i="8"/>
  <c r="DB14" i="8"/>
  <c r="DB9" i="8"/>
  <c r="DB20" i="8"/>
  <c r="T135" i="8"/>
  <c r="U129" i="8"/>
  <c r="DC40" i="8"/>
  <c r="DD40" i="8" s="1"/>
  <c r="DE40" i="8" s="1"/>
  <c r="DF40" i="8" s="1"/>
  <c r="DG40" i="8" s="1"/>
  <c r="DH40" i="8" s="1"/>
  <c r="DI40" i="8" s="1"/>
  <c r="DJ40" i="8" s="1"/>
  <c r="DK40" i="8" s="1"/>
  <c r="DL40" i="8" s="1"/>
  <c r="DM40" i="8" s="1"/>
  <c r="DN40" i="8" s="1"/>
  <c r="DO40" i="8" s="1"/>
  <c r="DP40" i="8" s="1"/>
  <c r="DQ40" i="8" s="1"/>
  <c r="DR40" i="8" s="1"/>
  <c r="DS40" i="8" s="1"/>
  <c r="DC23" i="8"/>
  <c r="DD23" i="8" s="1"/>
  <c r="DE23" i="8" s="1"/>
  <c r="DF23" i="8" s="1"/>
  <c r="DG23" i="8" s="1"/>
  <c r="DH23" i="8" s="1"/>
  <c r="DI23" i="8" s="1"/>
  <c r="DJ23" i="8" s="1"/>
  <c r="DK23" i="8" s="1"/>
  <c r="DL23" i="8" s="1"/>
  <c r="DM23" i="8" s="1"/>
  <c r="DN23" i="8" s="1"/>
  <c r="DO23" i="8" s="1"/>
  <c r="DP23" i="8" s="1"/>
  <c r="DQ23" i="8" s="1"/>
  <c r="DR23" i="8" s="1"/>
  <c r="DS23" i="8" s="1"/>
  <c r="DC8" i="8"/>
  <c r="DC52" i="8"/>
  <c r="DD52" i="8" s="1"/>
  <c r="DE52" i="8" s="1"/>
  <c r="DF52" i="8" s="1"/>
  <c r="DG52" i="8" s="1"/>
  <c r="DH52" i="8" s="1"/>
  <c r="DI52" i="8" s="1"/>
  <c r="DJ52" i="8" s="1"/>
  <c r="DK52" i="8" s="1"/>
  <c r="DL52" i="8" s="1"/>
  <c r="DM52" i="8" s="1"/>
  <c r="DN52" i="8" s="1"/>
  <c r="DO52" i="8" s="1"/>
  <c r="DP52" i="8" s="1"/>
  <c r="DQ52" i="8" s="1"/>
  <c r="DR52" i="8" s="1"/>
  <c r="DS52" i="8" s="1"/>
  <c r="DA89" i="8"/>
  <c r="DB93" i="8"/>
  <c r="DB95" i="8" s="1"/>
  <c r="DC11" i="8"/>
  <c r="DC54" i="8"/>
  <c r="DD54" i="8" s="1"/>
  <c r="DE54" i="8" s="1"/>
  <c r="DF54" i="8" s="1"/>
  <c r="DG54" i="8" s="1"/>
  <c r="DH54" i="8" s="1"/>
  <c r="DI54" i="8" s="1"/>
  <c r="DJ54" i="8" s="1"/>
  <c r="DK54" i="8" s="1"/>
  <c r="DL54" i="8" s="1"/>
  <c r="DM54" i="8" s="1"/>
  <c r="DN54" i="8" s="1"/>
  <c r="DO54" i="8" s="1"/>
  <c r="DP54" i="8" s="1"/>
  <c r="DQ54" i="8" s="1"/>
  <c r="DR54" i="8" s="1"/>
  <c r="DS54" i="8" s="1"/>
  <c r="DC10" i="8"/>
  <c r="DC46" i="8"/>
  <c r="DD46" i="8" s="1"/>
  <c r="DE46" i="8" s="1"/>
  <c r="DF46" i="8" s="1"/>
  <c r="DG46" i="8" s="1"/>
  <c r="DH46" i="8" s="1"/>
  <c r="DI46" i="8" s="1"/>
  <c r="DJ46" i="8" s="1"/>
  <c r="DK46" i="8" s="1"/>
  <c r="DL46" i="8" s="1"/>
  <c r="DM46" i="8" s="1"/>
  <c r="DN46" i="8" s="1"/>
  <c r="DO46" i="8" s="1"/>
  <c r="DP46" i="8" s="1"/>
  <c r="DQ46" i="8" s="1"/>
  <c r="DR46" i="8" s="1"/>
  <c r="DS46" i="8" s="1"/>
  <c r="AH87" i="8"/>
  <c r="DA86" i="8"/>
  <c r="DC38" i="8"/>
  <c r="DD38" i="8" s="1"/>
  <c r="DE38" i="8" s="1"/>
  <c r="DF38" i="8" s="1"/>
  <c r="DG38" i="8" s="1"/>
  <c r="DH38" i="8" s="1"/>
  <c r="DI38" i="8" s="1"/>
  <c r="DJ38" i="8" s="1"/>
  <c r="DK38" i="8" s="1"/>
  <c r="DL38" i="8" s="1"/>
  <c r="DM38" i="8" s="1"/>
  <c r="DN38" i="8" s="1"/>
  <c r="DO38" i="8" s="1"/>
  <c r="DP38" i="8" s="1"/>
  <c r="DQ38" i="8" s="1"/>
  <c r="DR38" i="8" s="1"/>
  <c r="DS38" i="8" s="1"/>
  <c r="DC64" i="8"/>
  <c r="DD64" i="8" s="1"/>
  <c r="DE64" i="8" s="1"/>
  <c r="DF64" i="8" s="1"/>
  <c r="DG64" i="8" s="1"/>
  <c r="DH64" i="8" s="1"/>
  <c r="DI64" i="8" s="1"/>
  <c r="DJ64" i="8" s="1"/>
  <c r="DK64" i="8" s="1"/>
  <c r="DL64" i="8" s="1"/>
  <c r="DM64" i="8" s="1"/>
  <c r="DN64" i="8" s="1"/>
  <c r="DO64" i="8" s="1"/>
  <c r="DP64" i="8" s="1"/>
  <c r="DQ64" i="8" s="1"/>
  <c r="DR64" i="8" s="1"/>
  <c r="DS64" i="8" s="1"/>
  <c r="CZ85" i="8"/>
  <c r="CZ83" i="8"/>
  <c r="CZ97" i="8"/>
  <c r="DC9" i="8"/>
  <c r="DC62" i="8"/>
  <c r="DD62" i="8" s="1"/>
  <c r="DE62" i="8" s="1"/>
  <c r="DF62" i="8" s="1"/>
  <c r="DG62" i="8" s="1"/>
  <c r="DH62" i="8" s="1"/>
  <c r="DI62" i="8" s="1"/>
  <c r="DJ62" i="8" s="1"/>
  <c r="DK62" i="8" s="1"/>
  <c r="DL62" i="8" s="1"/>
  <c r="DM62" i="8" s="1"/>
  <c r="DN62" i="8" s="1"/>
  <c r="DO62" i="8" s="1"/>
  <c r="DP62" i="8" s="1"/>
  <c r="DQ62" i="8" s="1"/>
  <c r="DR62" i="8" s="1"/>
  <c r="DS62" i="8" s="1"/>
  <c r="DC17" i="8"/>
  <c r="DD17" i="8" s="1"/>
  <c r="DE17" i="8" s="1"/>
  <c r="DF17" i="8" s="1"/>
  <c r="DG17" i="8" s="1"/>
  <c r="DH17" i="8" s="1"/>
  <c r="DI17" i="8" s="1"/>
  <c r="DJ17" i="8" s="1"/>
  <c r="DK17" i="8" s="1"/>
  <c r="DL17" i="8" s="1"/>
  <c r="DM17" i="8" s="1"/>
  <c r="DN17" i="8" s="1"/>
  <c r="DO17" i="8" s="1"/>
  <c r="DP17" i="8" s="1"/>
  <c r="DQ17" i="8" s="1"/>
  <c r="DR17" i="8" s="1"/>
  <c r="DS17" i="8" s="1"/>
  <c r="DC26" i="8"/>
  <c r="DD26" i="8" s="1"/>
  <c r="DE26" i="8" s="1"/>
  <c r="DF26" i="8" s="1"/>
  <c r="DG26" i="8" s="1"/>
  <c r="DH26" i="8" s="1"/>
  <c r="DI26" i="8" s="1"/>
  <c r="DJ26" i="8" s="1"/>
  <c r="DK26" i="8" s="1"/>
  <c r="DL26" i="8" s="1"/>
  <c r="DM26" i="8" s="1"/>
  <c r="DN26" i="8" s="1"/>
  <c r="DO26" i="8" s="1"/>
  <c r="DP26" i="8" s="1"/>
  <c r="DQ26" i="8" s="1"/>
  <c r="DR26" i="8" s="1"/>
  <c r="DS26" i="8" s="1"/>
  <c r="DC55" i="8"/>
  <c r="DD55" i="8" s="1"/>
  <c r="DE55" i="8" s="1"/>
  <c r="DF55" i="8" s="1"/>
  <c r="DG55" i="8" s="1"/>
  <c r="DH55" i="8" s="1"/>
  <c r="DI55" i="8" s="1"/>
  <c r="DJ55" i="8" s="1"/>
  <c r="DK55" i="8" s="1"/>
  <c r="DL55" i="8" s="1"/>
  <c r="DM55" i="8" s="1"/>
  <c r="DN55" i="8" s="1"/>
  <c r="DO55" i="8" s="1"/>
  <c r="DP55" i="8" s="1"/>
  <c r="DQ55" i="8" s="1"/>
  <c r="DR55" i="8" s="1"/>
  <c r="DS55" i="8" s="1"/>
  <c r="DC45" i="8"/>
  <c r="DD45" i="8" s="1"/>
  <c r="DE45" i="8" s="1"/>
  <c r="DF45" i="8" s="1"/>
  <c r="DG45" i="8" s="1"/>
  <c r="DH45" i="8" s="1"/>
  <c r="DI45" i="8" s="1"/>
  <c r="DJ45" i="8" s="1"/>
  <c r="DK45" i="8" s="1"/>
  <c r="DL45" i="8" s="1"/>
  <c r="DM45" i="8" s="1"/>
  <c r="DN45" i="8" s="1"/>
  <c r="DO45" i="8" s="1"/>
  <c r="DP45" i="8" s="1"/>
  <c r="DQ45" i="8" s="1"/>
  <c r="DR45" i="8" s="1"/>
  <c r="DS45" i="8" s="1"/>
  <c r="DC73" i="8"/>
  <c r="DD73" i="8" s="1"/>
  <c r="DE73" i="8" s="1"/>
  <c r="DF73" i="8" s="1"/>
  <c r="DG73" i="8" s="1"/>
  <c r="DH73" i="8" s="1"/>
  <c r="DI73" i="8" s="1"/>
  <c r="DJ73" i="8" s="1"/>
  <c r="DK73" i="8" s="1"/>
  <c r="DL73" i="8" s="1"/>
  <c r="DM73" i="8" s="1"/>
  <c r="DN73" i="8" s="1"/>
  <c r="DO73" i="8" s="1"/>
  <c r="DP73" i="8" s="1"/>
  <c r="DQ73" i="8" s="1"/>
  <c r="DR73" i="8" s="1"/>
  <c r="DS73" i="8" s="1"/>
  <c r="DC56" i="8"/>
  <c r="DD56" i="8" s="1"/>
  <c r="DE56" i="8" s="1"/>
  <c r="DF56" i="8" s="1"/>
  <c r="DG56" i="8" s="1"/>
  <c r="DH56" i="8" s="1"/>
  <c r="DI56" i="8" s="1"/>
  <c r="DJ56" i="8" s="1"/>
  <c r="DK56" i="8" s="1"/>
  <c r="DL56" i="8" s="1"/>
  <c r="DM56" i="8" s="1"/>
  <c r="DN56" i="8" s="1"/>
  <c r="DO56" i="8" s="1"/>
  <c r="DP56" i="8" s="1"/>
  <c r="DQ56" i="8" s="1"/>
  <c r="DR56" i="8" s="1"/>
  <c r="DS56" i="8" s="1"/>
  <c r="DC60" i="8"/>
  <c r="DD60" i="8" s="1"/>
  <c r="DE60" i="8" s="1"/>
  <c r="DF60" i="8" s="1"/>
  <c r="DG60" i="8" s="1"/>
  <c r="DH60" i="8" s="1"/>
  <c r="DI60" i="8" s="1"/>
  <c r="DJ60" i="8" s="1"/>
  <c r="DK60" i="8" s="1"/>
  <c r="DL60" i="8" s="1"/>
  <c r="DM60" i="8" s="1"/>
  <c r="DN60" i="8" s="1"/>
  <c r="DO60" i="8" s="1"/>
  <c r="DP60" i="8" s="1"/>
  <c r="DQ60" i="8" s="1"/>
  <c r="DR60" i="8" s="1"/>
  <c r="DS60" i="8" s="1"/>
  <c r="DC59" i="8"/>
  <c r="DD59" i="8" s="1"/>
  <c r="DE59" i="8" s="1"/>
  <c r="DF59" i="8" s="1"/>
  <c r="DG59" i="8" s="1"/>
  <c r="DH59" i="8" s="1"/>
  <c r="DI59" i="8" s="1"/>
  <c r="DJ59" i="8" s="1"/>
  <c r="DK59" i="8" s="1"/>
  <c r="DL59" i="8" s="1"/>
  <c r="DM59" i="8" s="1"/>
  <c r="DN59" i="8" s="1"/>
  <c r="DO59" i="8" s="1"/>
  <c r="DP59" i="8" s="1"/>
  <c r="DQ59" i="8" s="1"/>
  <c r="DR59" i="8" s="1"/>
  <c r="DS59" i="8" s="1"/>
  <c r="DC61" i="8"/>
  <c r="DD61" i="8" s="1"/>
  <c r="DE61" i="8" s="1"/>
  <c r="DF61" i="8" s="1"/>
  <c r="DG61" i="8" s="1"/>
  <c r="DH61" i="8" s="1"/>
  <c r="DI61" i="8" s="1"/>
  <c r="DJ61" i="8" s="1"/>
  <c r="DK61" i="8" s="1"/>
  <c r="DL61" i="8" s="1"/>
  <c r="DM61" i="8" s="1"/>
  <c r="DN61" i="8" s="1"/>
  <c r="DO61" i="8" s="1"/>
  <c r="DP61" i="8" s="1"/>
  <c r="DQ61" i="8" s="1"/>
  <c r="DR61" i="8" s="1"/>
  <c r="DS61" i="8" s="1"/>
  <c r="DC30" i="8"/>
  <c r="DD30" i="8" s="1"/>
  <c r="DE30" i="8" s="1"/>
  <c r="DF30" i="8" s="1"/>
  <c r="DG30" i="8" s="1"/>
  <c r="DH30" i="8" s="1"/>
  <c r="DI30" i="8" s="1"/>
  <c r="DJ30" i="8" s="1"/>
  <c r="DK30" i="8" s="1"/>
  <c r="DL30" i="8" s="1"/>
  <c r="DM30" i="8" s="1"/>
  <c r="DN30" i="8" s="1"/>
  <c r="DO30" i="8" s="1"/>
  <c r="DP30" i="8" s="1"/>
  <c r="DQ30" i="8" s="1"/>
  <c r="DR30" i="8" s="1"/>
  <c r="DS30" i="8" s="1"/>
  <c r="DC29" i="8"/>
  <c r="DD29" i="8" s="1"/>
  <c r="DE29" i="8" s="1"/>
  <c r="DF29" i="8" s="1"/>
  <c r="DG29" i="8" s="1"/>
  <c r="DH29" i="8" s="1"/>
  <c r="DI29" i="8" s="1"/>
  <c r="DJ29" i="8" s="1"/>
  <c r="DK29" i="8" s="1"/>
  <c r="DL29" i="8" s="1"/>
  <c r="DM29" i="8" s="1"/>
  <c r="DN29" i="8" s="1"/>
  <c r="DO29" i="8" s="1"/>
  <c r="DP29" i="8" s="1"/>
  <c r="DQ29" i="8" s="1"/>
  <c r="DR29" i="8" s="1"/>
  <c r="DS29" i="8" s="1"/>
  <c r="DC36" i="8"/>
  <c r="DD36" i="8" s="1"/>
  <c r="DE36" i="8" s="1"/>
  <c r="DF36" i="8" s="1"/>
  <c r="DG36" i="8" s="1"/>
  <c r="DH36" i="8" s="1"/>
  <c r="DI36" i="8" s="1"/>
  <c r="DJ36" i="8" s="1"/>
  <c r="DK36" i="8" s="1"/>
  <c r="DL36" i="8" s="1"/>
  <c r="DM36" i="8" s="1"/>
  <c r="DN36" i="8" s="1"/>
  <c r="DO36" i="8" s="1"/>
  <c r="DP36" i="8" s="1"/>
  <c r="DQ36" i="8" s="1"/>
  <c r="DR36" i="8" s="1"/>
  <c r="DS36" i="8" s="1"/>
  <c r="DC35" i="8"/>
  <c r="DD35" i="8" s="1"/>
  <c r="DE35" i="8" s="1"/>
  <c r="DF35" i="8" s="1"/>
  <c r="DG35" i="8" s="1"/>
  <c r="DH35" i="8" s="1"/>
  <c r="DI35" i="8" s="1"/>
  <c r="DJ35" i="8" s="1"/>
  <c r="DK35" i="8" s="1"/>
  <c r="DL35" i="8" s="1"/>
  <c r="DM35" i="8" s="1"/>
  <c r="DN35" i="8" s="1"/>
  <c r="DO35" i="8" s="1"/>
  <c r="DP35" i="8" s="1"/>
  <c r="DQ35" i="8" s="1"/>
  <c r="DR35" i="8" s="1"/>
  <c r="DS35" i="8" s="1"/>
  <c r="AQ116" i="8"/>
  <c r="AH120" i="8"/>
  <c r="DA9" i="8"/>
  <c r="AH116" i="8"/>
  <c r="DD13" i="8"/>
  <c r="DD28" i="8"/>
  <c r="DE28" i="8" s="1"/>
  <c r="DF28" i="8" s="1"/>
  <c r="DG28" i="8" s="1"/>
  <c r="DH28" i="8" s="1"/>
  <c r="DI28" i="8" s="1"/>
  <c r="DJ28" i="8" s="1"/>
  <c r="DK28" i="8" s="1"/>
  <c r="DL28" i="8" s="1"/>
  <c r="DM28" i="8" s="1"/>
  <c r="DN28" i="8" s="1"/>
  <c r="DO28" i="8" s="1"/>
  <c r="DP28" i="8" s="1"/>
  <c r="DQ28" i="8" s="1"/>
  <c r="DR28" i="8" s="1"/>
  <c r="DS28" i="8" s="1"/>
  <c r="DD9" i="8"/>
  <c r="DE9" i="8" s="1"/>
  <c r="DF9" i="8" s="1"/>
  <c r="DG9" i="8" s="1"/>
  <c r="DH9" i="8" s="1"/>
  <c r="DI9" i="8" s="1"/>
  <c r="DJ9" i="8" s="1"/>
  <c r="DK9" i="8" s="1"/>
  <c r="DL9" i="8" s="1"/>
  <c r="DM9" i="8" s="1"/>
  <c r="DN9" i="8" s="1"/>
  <c r="DO9" i="8" s="1"/>
  <c r="DP9" i="8" s="1"/>
  <c r="DQ9" i="8" s="1"/>
  <c r="DR9" i="8" s="1"/>
  <c r="DS9" i="8" s="1"/>
  <c r="DD8" i="8"/>
  <c r="DE8" i="8" s="1"/>
  <c r="DF8" i="8" s="1"/>
  <c r="DG8" i="8" s="1"/>
  <c r="DH8" i="8" s="1"/>
  <c r="DI8" i="8" s="1"/>
  <c r="DJ8" i="8" s="1"/>
  <c r="DK8" i="8" s="1"/>
  <c r="DL8" i="8" s="1"/>
  <c r="DM8" i="8" s="1"/>
  <c r="DN8" i="8" s="1"/>
  <c r="DO8" i="8" s="1"/>
  <c r="DP8" i="8" s="1"/>
  <c r="DQ8" i="8" s="1"/>
  <c r="DR8" i="8" s="1"/>
  <c r="DS8" i="8" s="1"/>
  <c r="AL120" i="8"/>
  <c r="DD10" i="8"/>
  <c r="DE10" i="8" s="1"/>
  <c r="DF10" i="8" s="1"/>
  <c r="DG10" i="8" s="1"/>
  <c r="DH10" i="8" s="1"/>
  <c r="DI10" i="8" s="1"/>
  <c r="DJ10" i="8" s="1"/>
  <c r="DK10" i="8" s="1"/>
  <c r="DL10" i="8" s="1"/>
  <c r="DM10" i="8" s="1"/>
  <c r="DN10" i="8" s="1"/>
  <c r="DO10" i="8" s="1"/>
  <c r="DP10" i="8" s="1"/>
  <c r="DQ10" i="8" s="1"/>
  <c r="DR10" i="8" s="1"/>
  <c r="DS10" i="8" s="1"/>
  <c r="DD57" i="8"/>
  <c r="DE57" i="8" s="1"/>
  <c r="DD11" i="8"/>
  <c r="DE11" i="8" s="1"/>
  <c r="DF11" i="8" s="1"/>
  <c r="DG11" i="8" s="1"/>
  <c r="DH11" i="8" s="1"/>
  <c r="DI11" i="8" s="1"/>
  <c r="DJ11" i="8" s="1"/>
  <c r="DK11" i="8" s="1"/>
  <c r="DL11" i="8" s="1"/>
  <c r="DM11" i="8" s="1"/>
  <c r="DN11" i="8" s="1"/>
  <c r="DO11" i="8" s="1"/>
  <c r="DP11" i="8" s="1"/>
  <c r="DQ11" i="8" s="1"/>
  <c r="DR11" i="8" s="1"/>
  <c r="DS11" i="8" s="1"/>
  <c r="AL117" i="8"/>
  <c r="AH117" i="8"/>
  <c r="DA10" i="8"/>
  <c r="AT116" i="8"/>
  <c r="AT120" i="8"/>
  <c r="DD20" i="8"/>
  <c r="DE20" i="8" s="1"/>
  <c r="DF20" i="8" s="1"/>
  <c r="DG20" i="8" s="1"/>
  <c r="DH20" i="8" s="1"/>
  <c r="DI20" i="8" s="1"/>
  <c r="DJ20" i="8" s="1"/>
  <c r="DK20" i="8" s="1"/>
  <c r="DL20" i="8" s="1"/>
  <c r="DM20" i="8" s="1"/>
  <c r="DN20" i="8" s="1"/>
  <c r="DO20" i="8" s="1"/>
  <c r="DP20" i="8" s="1"/>
  <c r="DQ20" i="8" s="1"/>
  <c r="DR20" i="8" s="1"/>
  <c r="DS20" i="8" s="1"/>
  <c r="AS119" i="8"/>
  <c r="AS120" i="8"/>
  <c r="DD14" i="8"/>
  <c r="DE14" i="8" s="1"/>
  <c r="DF14" i="8" s="1"/>
  <c r="DG14" i="8" s="1"/>
  <c r="DH14" i="8" s="1"/>
  <c r="DI14" i="8" s="1"/>
  <c r="DJ14" i="8" s="1"/>
  <c r="DK14" i="8" s="1"/>
  <c r="DL14" i="8" s="1"/>
  <c r="DM14" i="8" s="1"/>
  <c r="DN14" i="8" s="1"/>
  <c r="DO14" i="8" s="1"/>
  <c r="DP14" i="8" s="1"/>
  <c r="DQ14" i="8" s="1"/>
  <c r="DR14" i="8" s="1"/>
  <c r="DS14" i="8" s="1"/>
  <c r="AT119" i="8"/>
  <c r="DD15" i="8"/>
  <c r="DE15" i="8" s="1"/>
  <c r="DF15" i="8" s="1"/>
  <c r="DG15" i="8" s="1"/>
  <c r="DH15" i="8" s="1"/>
  <c r="DI15" i="8" s="1"/>
  <c r="DJ15" i="8" s="1"/>
  <c r="DK15" i="8" s="1"/>
  <c r="DL15" i="8" s="1"/>
  <c r="DM15" i="8" s="1"/>
  <c r="DN15" i="8" s="1"/>
  <c r="DO15" i="8" s="1"/>
  <c r="DP15" i="8" s="1"/>
  <c r="DQ15" i="8" s="1"/>
  <c r="DR15" i="8" s="1"/>
  <c r="DS15" i="8" s="1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M90" i="8" l="1"/>
  <c r="CN90" i="8" s="1"/>
  <c r="CO87" i="8"/>
  <c r="CP87" i="8"/>
  <c r="CK87" i="8"/>
  <c r="CL87" i="8"/>
  <c r="CG88" i="8"/>
  <c r="CG96" i="8" s="1"/>
  <c r="CG98" i="8" s="1"/>
  <c r="CG99" i="8" s="1"/>
  <c r="CC88" i="8"/>
  <c r="CC96" i="8" s="1"/>
  <c r="CC98" i="8" s="1"/>
  <c r="CC99" i="8" s="1"/>
  <c r="CA114" i="8"/>
  <c r="DB86" i="8"/>
  <c r="CD88" i="8"/>
  <c r="CB114" i="8"/>
  <c r="CF114" i="8"/>
  <c r="CL9" i="8"/>
  <c r="CM9" i="8" s="1"/>
  <c r="CN9" i="8" s="1"/>
  <c r="CO9" i="8" s="1"/>
  <c r="CP9" i="8" s="1"/>
  <c r="CP116" i="8" s="1"/>
  <c r="CH114" i="8"/>
  <c r="CO8" i="8"/>
  <c r="CO121" i="8" s="1"/>
  <c r="CE114" i="8"/>
  <c r="CK117" i="8"/>
  <c r="CL117" i="8"/>
  <c r="CM117" i="8"/>
  <c r="CG114" i="8"/>
  <c r="CC114" i="8"/>
  <c r="CT84" i="8"/>
  <c r="CL121" i="8"/>
  <c r="CK115" i="8"/>
  <c r="CL115" i="8"/>
  <c r="CI84" i="8"/>
  <c r="CI88" i="8" s="1"/>
  <c r="CI96" i="8" s="1"/>
  <c r="CI98" i="8" s="1"/>
  <c r="CI99" i="8" s="1"/>
  <c r="CD114" i="8"/>
  <c r="CO117" i="8"/>
  <c r="CN117" i="8"/>
  <c r="CJ114" i="8"/>
  <c r="CJ88" i="8"/>
  <c r="CJ96" i="8" s="1"/>
  <c r="CJ98" i="8" s="1"/>
  <c r="CJ99" i="8" s="1"/>
  <c r="CF88" i="8"/>
  <c r="CF96" i="8" s="1"/>
  <c r="CF98" i="8" s="1"/>
  <c r="CF99" i="8" s="1"/>
  <c r="CL81" i="8"/>
  <c r="CM81" i="8" s="1"/>
  <c r="O84" i="8"/>
  <c r="CD96" i="8"/>
  <c r="CD98" i="8" s="1"/>
  <c r="CD99" i="8" s="1"/>
  <c r="CH88" i="8"/>
  <c r="CH96" i="8" s="1"/>
  <c r="CH98" i="8" s="1"/>
  <c r="CH99" i="8" s="1"/>
  <c r="CE88" i="8"/>
  <c r="CE96" i="8" s="1"/>
  <c r="CE98" i="8" s="1"/>
  <c r="CE99" i="8" s="1"/>
  <c r="J7" i="2"/>
  <c r="AL70" i="8"/>
  <c r="AL105" i="8" s="1"/>
  <c r="I87" i="8"/>
  <c r="I88" i="8" s="1"/>
  <c r="CI114" i="8"/>
  <c r="CT105" i="8"/>
  <c r="F96" i="8"/>
  <c r="F98" i="8" s="1"/>
  <c r="F99" i="8" s="1"/>
  <c r="T130" i="8"/>
  <c r="T88" i="8"/>
  <c r="T96" i="8" s="1"/>
  <c r="DA87" i="8"/>
  <c r="AI84" i="8"/>
  <c r="I96" i="8"/>
  <c r="I98" i="8" s="1"/>
  <c r="I99" i="8" s="1"/>
  <c r="AQ84" i="8"/>
  <c r="AQ106" i="8"/>
  <c r="AL119" i="8"/>
  <c r="CY95" i="8"/>
  <c r="DA15" i="8"/>
  <c r="CZ86" i="8"/>
  <c r="CZ87" i="8" s="1"/>
  <c r="W84" i="8"/>
  <c r="W88" i="8" s="1"/>
  <c r="W96" i="8" s="1"/>
  <c r="W98" i="8" s="1"/>
  <c r="W99" i="8" s="1"/>
  <c r="E96" i="8"/>
  <c r="E98" i="8" s="1"/>
  <c r="E99" i="8" s="1"/>
  <c r="CW85" i="8"/>
  <c r="CV144" i="8"/>
  <c r="CU87" i="8"/>
  <c r="R143" i="8"/>
  <c r="V143" i="8" s="1"/>
  <c r="CY83" i="8"/>
  <c r="CT95" i="8"/>
  <c r="AQ105" i="8"/>
  <c r="Q132" i="8"/>
  <c r="U130" i="8"/>
  <c r="CU83" i="8"/>
  <c r="CU84" i="8" s="1"/>
  <c r="CW83" i="8"/>
  <c r="M96" i="8"/>
  <c r="DC87" i="8"/>
  <c r="AH121" i="8"/>
  <c r="DA8" i="8"/>
  <c r="DA95" i="8"/>
  <c r="Y88" i="8"/>
  <c r="Y96" i="8" s="1"/>
  <c r="Y98" i="8" s="1"/>
  <c r="Y99" i="8" s="1"/>
  <c r="CV94" i="8"/>
  <c r="CV95" i="8" s="1"/>
  <c r="T132" i="8"/>
  <c r="U132" i="8" s="1"/>
  <c r="O87" i="8"/>
  <c r="DB85" i="8"/>
  <c r="DB87" i="8" s="1"/>
  <c r="AD122" i="8"/>
  <c r="AN84" i="8"/>
  <c r="AN106" i="8"/>
  <c r="AN105" i="8"/>
  <c r="AK106" i="8"/>
  <c r="AK84" i="8"/>
  <c r="AK105" i="8"/>
  <c r="CW86" i="8"/>
  <c r="Z84" i="8"/>
  <c r="DA20" i="8"/>
  <c r="CV143" i="8"/>
  <c r="DC97" i="8"/>
  <c r="L87" i="8"/>
  <c r="L88" i="8" s="1"/>
  <c r="L96" i="8" s="1"/>
  <c r="L136" i="8" s="1"/>
  <c r="CV83" i="8"/>
  <c r="CV84" i="8" s="1"/>
  <c r="AR114" i="8"/>
  <c r="U143" i="8"/>
  <c r="CW95" i="8"/>
  <c r="CX95" i="8"/>
  <c r="V84" i="8"/>
  <c r="AJ87" i="8"/>
  <c r="Q88" i="8"/>
  <c r="Q96" i="8" s="1"/>
  <c r="Q98" i="8" s="1"/>
  <c r="CX126" i="8"/>
  <c r="CV87" i="8"/>
  <c r="AE87" i="8"/>
  <c r="AS114" i="8"/>
  <c r="AD82" i="8"/>
  <c r="Z106" i="8"/>
  <c r="CW144" i="8"/>
  <c r="V130" i="8"/>
  <c r="CT106" i="8"/>
  <c r="V87" i="8"/>
  <c r="H96" i="8"/>
  <c r="H98" i="8" s="1"/>
  <c r="H99" i="8" s="1"/>
  <c r="DD86" i="8"/>
  <c r="AP105" i="8"/>
  <c r="AT114" i="8"/>
  <c r="AP84" i="8"/>
  <c r="AP106" i="8"/>
  <c r="AG84" i="8"/>
  <c r="AG105" i="8"/>
  <c r="AF84" i="8"/>
  <c r="AF106" i="8"/>
  <c r="AF105" i="8"/>
  <c r="AC106" i="8"/>
  <c r="AC105" i="8"/>
  <c r="AC84" i="8"/>
  <c r="P87" i="8"/>
  <c r="R88" i="8"/>
  <c r="R96" i="8" s="1"/>
  <c r="R98" i="8" s="1"/>
  <c r="DC95" i="8"/>
  <c r="AI105" i="8"/>
  <c r="G94" i="8"/>
  <c r="CU94" i="8" s="1"/>
  <c r="CU95" i="8" s="1"/>
  <c r="J96" i="8"/>
  <c r="J98" i="8" s="1"/>
  <c r="J99" i="8" s="1"/>
  <c r="AH122" i="8"/>
  <c r="AI106" i="8"/>
  <c r="O143" i="8"/>
  <c r="CT87" i="8"/>
  <c r="AL122" i="8"/>
  <c r="CW125" i="8"/>
  <c r="CW126" i="8" s="1"/>
  <c r="V133" i="8"/>
  <c r="S130" i="8"/>
  <c r="K87" i="8"/>
  <c r="K88" i="8" s="1"/>
  <c r="K96" i="8" s="1"/>
  <c r="C96" i="8"/>
  <c r="C98" i="8" s="1"/>
  <c r="C99" i="8" s="1"/>
  <c r="AI87" i="8"/>
  <c r="CX85" i="8"/>
  <c r="CX87" i="8" s="1"/>
  <c r="DC81" i="8"/>
  <c r="DD81" i="8" s="1"/>
  <c r="DE81" i="8" s="1"/>
  <c r="DF81" i="8" s="1"/>
  <c r="DG81" i="8" s="1"/>
  <c r="DH81" i="8" s="1"/>
  <c r="DI81" i="8" s="1"/>
  <c r="DJ81" i="8" s="1"/>
  <c r="DK81" i="8" s="1"/>
  <c r="DL81" i="8" s="1"/>
  <c r="DM81" i="8" s="1"/>
  <c r="DN81" i="8" s="1"/>
  <c r="DO81" i="8" s="1"/>
  <c r="DP81" i="8" s="1"/>
  <c r="DQ81" i="8" s="1"/>
  <c r="DR81" i="8" s="1"/>
  <c r="DS81" i="8" s="1"/>
  <c r="Z87" i="8"/>
  <c r="CY86" i="8"/>
  <c r="X87" i="8"/>
  <c r="AE105" i="8"/>
  <c r="AE106" i="8"/>
  <c r="AJ82" i="8"/>
  <c r="DB81" i="8"/>
  <c r="AO106" i="8"/>
  <c r="AO105" i="8"/>
  <c r="AO84" i="8"/>
  <c r="DE149" i="8"/>
  <c r="DE13" i="8"/>
  <c r="AE84" i="8"/>
  <c r="CW81" i="8"/>
  <c r="CW82" i="8" s="1"/>
  <c r="P82" i="8"/>
  <c r="P84" i="8" s="1"/>
  <c r="U88" i="8"/>
  <c r="U96" i="8" s="1"/>
  <c r="CY85" i="8"/>
  <c r="Z105" i="8"/>
  <c r="DD149" i="8"/>
  <c r="D96" i="8"/>
  <c r="D98" i="8" s="1"/>
  <c r="D99" i="8" s="1"/>
  <c r="CZ81" i="8"/>
  <c r="CZ82" i="8" s="1"/>
  <c r="AA82" i="8"/>
  <c r="AM120" i="8"/>
  <c r="DC14" i="8"/>
  <c r="DC82" i="8" s="1"/>
  <c r="AQ120" i="8"/>
  <c r="AO114" i="8"/>
  <c r="CZ95" i="8"/>
  <c r="DA17" i="8"/>
  <c r="AH81" i="8"/>
  <c r="AG106" i="8"/>
  <c r="X81" i="8"/>
  <c r="CY11" i="8"/>
  <c r="DF57" i="8"/>
  <c r="AB106" i="8"/>
  <c r="N96" i="8"/>
  <c r="S82" i="8"/>
  <c r="S84" i="8" s="1"/>
  <c r="S88" i="8" s="1"/>
  <c r="S96" i="8" s="1"/>
  <c r="CX81" i="8"/>
  <c r="CX82" i="8" s="1"/>
  <c r="AB84" i="8"/>
  <c r="CM82" i="8" l="1"/>
  <c r="CM105" i="8" s="1"/>
  <c r="CO116" i="8"/>
  <c r="CL116" i="8"/>
  <c r="CN116" i="8"/>
  <c r="CM116" i="8"/>
  <c r="CO90" i="8"/>
  <c r="CP90" i="8" s="1"/>
  <c r="CW106" i="8"/>
  <c r="O88" i="8"/>
  <c r="O96" i="8" s="1"/>
  <c r="DD82" i="8"/>
  <c r="DD150" i="8" s="1"/>
  <c r="CK82" i="8"/>
  <c r="DB70" i="8"/>
  <c r="CX105" i="8"/>
  <c r="CL82" i="8"/>
  <c r="CT88" i="8"/>
  <c r="CT107" i="8" s="1"/>
  <c r="CN81" i="8"/>
  <c r="CN82" i="8" s="1"/>
  <c r="AI88" i="8"/>
  <c r="AI96" i="8" s="1"/>
  <c r="R136" i="8"/>
  <c r="AQ88" i="8"/>
  <c r="Z88" i="8"/>
  <c r="Z107" i="8" s="1"/>
  <c r="L98" i="8"/>
  <c r="L134" i="8" s="1"/>
  <c r="P88" i="8"/>
  <c r="P96" i="8" s="1"/>
  <c r="P136" i="8" s="1"/>
  <c r="CU88" i="8"/>
  <c r="CU96" i="8" s="1"/>
  <c r="CU110" i="8" s="1"/>
  <c r="CW87" i="8"/>
  <c r="DB82" i="8"/>
  <c r="DB105" i="8" s="1"/>
  <c r="O98" i="8"/>
  <c r="O99" i="8" s="1"/>
  <c r="O136" i="8"/>
  <c r="CV88" i="8"/>
  <c r="CV96" i="8" s="1"/>
  <c r="CV136" i="8" s="1"/>
  <c r="AP114" i="8"/>
  <c r="AL84" i="8"/>
  <c r="AL88" i="8" s="1"/>
  <c r="AL106" i="8"/>
  <c r="M98" i="8"/>
  <c r="M136" i="8"/>
  <c r="V88" i="8"/>
  <c r="V96" i="8" s="1"/>
  <c r="V98" i="8" s="1"/>
  <c r="V99" i="8" s="1"/>
  <c r="Q136" i="8"/>
  <c r="AK88" i="8"/>
  <c r="DC149" i="8"/>
  <c r="DC150" i="8" s="1"/>
  <c r="CT99" i="8"/>
  <c r="AN88" i="8"/>
  <c r="AC88" i="8"/>
  <c r="AP88" i="8"/>
  <c r="AG88" i="8"/>
  <c r="AQ96" i="8"/>
  <c r="AQ107" i="8"/>
  <c r="CW143" i="8"/>
  <c r="CX139" i="8" s="1"/>
  <c r="S143" i="8"/>
  <c r="CT96" i="8"/>
  <c r="G95" i="8"/>
  <c r="G96" i="8" s="1"/>
  <c r="G98" i="8" s="1"/>
  <c r="G99" i="8" s="1"/>
  <c r="AF88" i="8"/>
  <c r="K136" i="8"/>
  <c r="K98" i="8"/>
  <c r="AN114" i="8"/>
  <c r="DC106" i="8"/>
  <c r="DC105" i="8"/>
  <c r="AB88" i="8"/>
  <c r="AM84" i="8"/>
  <c r="AQ114" i="8"/>
  <c r="AM114" i="8"/>
  <c r="AM106" i="8"/>
  <c r="AM105" i="8"/>
  <c r="Q134" i="8"/>
  <c r="Q99" i="8"/>
  <c r="CY87" i="8"/>
  <c r="DD84" i="8"/>
  <c r="DD85" i="8"/>
  <c r="DD87" i="8" s="1"/>
  <c r="CX84" i="8"/>
  <c r="CX106" i="8"/>
  <c r="CZ106" i="8"/>
  <c r="CZ84" i="8"/>
  <c r="DF13" i="8"/>
  <c r="DE82" i="8"/>
  <c r="DE150" i="8" s="1"/>
  <c r="DA81" i="8"/>
  <c r="DA82" i="8" s="1"/>
  <c r="AH82" i="8"/>
  <c r="U136" i="8"/>
  <c r="U98" i="8"/>
  <c r="S136" i="8"/>
  <c r="S98" i="8"/>
  <c r="N136" i="8"/>
  <c r="N98" i="8"/>
  <c r="T136" i="8"/>
  <c r="T98" i="8"/>
  <c r="CW84" i="8"/>
  <c r="CX140" i="8"/>
  <c r="CW105" i="8"/>
  <c r="AO88" i="8"/>
  <c r="R99" i="8"/>
  <c r="R134" i="8"/>
  <c r="AE88" i="8"/>
  <c r="AA105" i="8"/>
  <c r="AA84" i="8"/>
  <c r="AA106" i="8"/>
  <c r="DG57" i="8"/>
  <c r="DF149" i="8"/>
  <c r="CY81" i="8"/>
  <c r="CY82" i="8" s="1"/>
  <c r="CY84" i="8" s="1"/>
  <c r="X82" i="8"/>
  <c r="X84" i="8" s="1"/>
  <c r="X88" i="8" s="1"/>
  <c r="X96" i="8" s="1"/>
  <c r="X98" i="8" s="1"/>
  <c r="X99" i="8" s="1"/>
  <c r="CZ105" i="8"/>
  <c r="CM84" i="8" l="1"/>
  <c r="CM83" i="8" s="1"/>
  <c r="CM106" i="8"/>
  <c r="CM114" i="8"/>
  <c r="CL114" i="8"/>
  <c r="CL106" i="8"/>
  <c r="CL84" i="8"/>
  <c r="CL105" i="8"/>
  <c r="CM104" i="8"/>
  <c r="CM88" i="8"/>
  <c r="CN114" i="8"/>
  <c r="CN106" i="8"/>
  <c r="CN84" i="8"/>
  <c r="CN105" i="8"/>
  <c r="CK106" i="8"/>
  <c r="CK105" i="8"/>
  <c r="Z96" i="8"/>
  <c r="AI107" i="8"/>
  <c r="CW88" i="8"/>
  <c r="P98" i="8"/>
  <c r="P134" i="8" s="1"/>
  <c r="DB84" i="8"/>
  <c r="DB88" i="8" s="1"/>
  <c r="DB107" i="8" s="1"/>
  <c r="DB106" i="8"/>
  <c r="CO81" i="8"/>
  <c r="CO82" i="8" s="1"/>
  <c r="L99" i="8"/>
  <c r="CU98" i="8"/>
  <c r="CU99" i="8" s="1"/>
  <c r="O134" i="8"/>
  <c r="CV98" i="8"/>
  <c r="CV99" i="8" s="1"/>
  <c r="CV110" i="8"/>
  <c r="M134" i="8"/>
  <c r="M99" i="8"/>
  <c r="AN96" i="8"/>
  <c r="AN107" i="8"/>
  <c r="AK96" i="8"/>
  <c r="AK107" i="8"/>
  <c r="V134" i="8"/>
  <c r="AG107" i="8"/>
  <c r="AG96" i="8"/>
  <c r="K99" i="8"/>
  <c r="K134" i="8"/>
  <c r="AP96" i="8"/>
  <c r="AP107" i="8"/>
  <c r="CY106" i="8"/>
  <c r="AC96" i="8"/>
  <c r="AC107" i="8"/>
  <c r="AF96" i="8"/>
  <c r="AF107" i="8"/>
  <c r="DD88" i="8"/>
  <c r="DD96" i="8" s="1"/>
  <c r="CT108" i="8"/>
  <c r="CT98" i="8"/>
  <c r="CT109" i="8" s="1"/>
  <c r="CT110" i="8"/>
  <c r="AL107" i="8"/>
  <c r="AL96" i="8"/>
  <c r="AQ110" i="8"/>
  <c r="AQ108" i="8"/>
  <c r="AQ98" i="8"/>
  <c r="AI110" i="8"/>
  <c r="AI108" i="8"/>
  <c r="AI98" i="8"/>
  <c r="AB96" i="8"/>
  <c r="AB107" i="8"/>
  <c r="AM88" i="8"/>
  <c r="DC84" i="8"/>
  <c r="N134" i="8"/>
  <c r="N99" i="8"/>
  <c r="DF82" i="8"/>
  <c r="DF150" i="8" s="1"/>
  <c r="DG13" i="8"/>
  <c r="S134" i="8"/>
  <c r="S99" i="8"/>
  <c r="CZ104" i="8"/>
  <c r="CZ88" i="8"/>
  <c r="AE96" i="8"/>
  <c r="AE107" i="8"/>
  <c r="U134" i="8"/>
  <c r="U99" i="8"/>
  <c r="CX88" i="8"/>
  <c r="CX104" i="8"/>
  <c r="CY105" i="8"/>
  <c r="AJ84" i="8"/>
  <c r="AJ105" i="8"/>
  <c r="AJ106" i="8"/>
  <c r="AO107" i="8"/>
  <c r="AO96" i="8"/>
  <c r="CW107" i="8"/>
  <c r="CW96" i="8"/>
  <c r="AL114" i="8"/>
  <c r="DA84" i="8"/>
  <c r="DA106" i="8"/>
  <c r="DA105" i="8"/>
  <c r="DH57" i="8"/>
  <c r="DG149" i="8"/>
  <c r="AA88" i="8"/>
  <c r="CY88" i="8"/>
  <c r="CY104" i="8"/>
  <c r="T134" i="8"/>
  <c r="T99" i="8"/>
  <c r="Z108" i="8"/>
  <c r="Z110" i="8"/>
  <c r="Z98" i="8"/>
  <c r="DE85" i="8"/>
  <c r="DE87" i="8" s="1"/>
  <c r="DE84" i="8"/>
  <c r="DE83" i="8" s="1"/>
  <c r="DD83" i="8"/>
  <c r="CP81" i="8" l="1"/>
  <c r="CP82" i="8" s="1"/>
  <c r="CP114" i="8" s="1"/>
  <c r="CN104" i="8"/>
  <c r="CN88" i="8"/>
  <c r="CN83" i="8"/>
  <c r="CM96" i="8"/>
  <c r="CM107" i="8"/>
  <c r="CL104" i="8"/>
  <c r="CL88" i="8"/>
  <c r="CL83" i="8"/>
  <c r="CO114" i="8"/>
  <c r="CO84" i="8"/>
  <c r="CO105" i="8"/>
  <c r="CO106" i="8"/>
  <c r="CK104" i="8"/>
  <c r="CK88" i="8"/>
  <c r="P99" i="8"/>
  <c r="DB83" i="8"/>
  <c r="DB96" i="8"/>
  <c r="DB97" i="8" s="1"/>
  <c r="DB110" i="8" s="1"/>
  <c r="DD107" i="8"/>
  <c r="AK97" i="8"/>
  <c r="AK110" i="8" s="1"/>
  <c r="AK108" i="8"/>
  <c r="AN108" i="8"/>
  <c r="AN110" i="8"/>
  <c r="AN98" i="8"/>
  <c r="AI99" i="8"/>
  <c r="AI109" i="8"/>
  <c r="AF108" i="8"/>
  <c r="AF98" i="8"/>
  <c r="AF110" i="8"/>
  <c r="AC108" i="8"/>
  <c r="AC110" i="8"/>
  <c r="AC98" i="8"/>
  <c r="AL110" i="8"/>
  <c r="AL98" i="8"/>
  <c r="AL108" i="8"/>
  <c r="AP108" i="8"/>
  <c r="AP98" i="8"/>
  <c r="AP110" i="8"/>
  <c r="AG110" i="8"/>
  <c r="AG108" i="8"/>
  <c r="AG98" i="8"/>
  <c r="AQ99" i="8"/>
  <c r="AQ109" i="8"/>
  <c r="DF85" i="8"/>
  <c r="DF87" i="8" s="1"/>
  <c r="DF84" i="8"/>
  <c r="DA104" i="8"/>
  <c r="DA88" i="8"/>
  <c r="DH13" i="8"/>
  <c r="DG82" i="8"/>
  <c r="CX107" i="8"/>
  <c r="CX96" i="8"/>
  <c r="DC88" i="8"/>
  <c r="DC104" i="8"/>
  <c r="DC83" i="8"/>
  <c r="AH84" i="8"/>
  <c r="AH105" i="8"/>
  <c r="AH106" i="8"/>
  <c r="Z99" i="8"/>
  <c r="Z109" i="8"/>
  <c r="AM107" i="8"/>
  <c r="AM96" i="8"/>
  <c r="CY107" i="8"/>
  <c r="CY96" i="8"/>
  <c r="DD97" i="8"/>
  <c r="DD110" i="8" s="1"/>
  <c r="DD108" i="8"/>
  <c r="CW110" i="8"/>
  <c r="CW108" i="8"/>
  <c r="CW98" i="8"/>
  <c r="CW136" i="8"/>
  <c r="AO108" i="8"/>
  <c r="AO98" i="8"/>
  <c r="AO110" i="8"/>
  <c r="AE97" i="8"/>
  <c r="AE110" i="8" s="1"/>
  <c r="AE108" i="8"/>
  <c r="AJ88" i="8"/>
  <c r="AA96" i="8"/>
  <c r="AA107" i="8"/>
  <c r="DE88" i="8"/>
  <c r="DE107" i="8" s="1"/>
  <c r="DH149" i="8"/>
  <c r="DI57" i="8"/>
  <c r="CZ107" i="8"/>
  <c r="CZ96" i="8"/>
  <c r="AB108" i="8"/>
  <c r="AB110" i="8"/>
  <c r="AB98" i="8"/>
  <c r="CP105" i="8" l="1"/>
  <c r="CP84" i="8"/>
  <c r="CP83" i="8" s="1"/>
  <c r="CP106" i="8"/>
  <c r="CL107" i="8"/>
  <c r="CL96" i="8"/>
  <c r="CN96" i="8"/>
  <c r="CN107" i="8"/>
  <c r="CM97" i="8"/>
  <c r="CM110" i="8" s="1"/>
  <c r="CP104" i="8"/>
  <c r="CP88" i="8"/>
  <c r="CO104" i="8"/>
  <c r="CO88" i="8"/>
  <c r="CO83" i="8"/>
  <c r="CK107" i="8"/>
  <c r="CK96" i="8"/>
  <c r="DB108" i="8"/>
  <c r="AN109" i="8"/>
  <c r="AN99" i="8"/>
  <c r="DD98" i="8"/>
  <c r="DD99" i="8" s="1"/>
  <c r="DF88" i="8"/>
  <c r="DF107" i="8" s="1"/>
  <c r="AK98" i="8"/>
  <c r="AL99" i="8"/>
  <c r="AL109" i="8"/>
  <c r="AC99" i="8"/>
  <c r="AC109" i="8"/>
  <c r="AF99" i="8"/>
  <c r="AF109" i="8"/>
  <c r="AE98" i="8"/>
  <c r="AE99" i="8" s="1"/>
  <c r="AG109" i="8"/>
  <c r="AG99" i="8"/>
  <c r="DB98" i="8"/>
  <c r="DB109" i="8" s="1"/>
  <c r="AP99" i="8"/>
  <c r="AP109" i="8"/>
  <c r="DG84" i="8"/>
  <c r="DG85" i="8"/>
  <c r="DG87" i="8" s="1"/>
  <c r="CX110" i="8"/>
  <c r="CX98" i="8"/>
  <c r="CX136" i="8"/>
  <c r="CX108" i="8"/>
  <c r="AO99" i="8"/>
  <c r="AO109" i="8"/>
  <c r="DH82" i="8"/>
  <c r="DH150" i="8" s="1"/>
  <c r="DI13" i="8"/>
  <c r="AM98" i="8"/>
  <c r="AM108" i="8"/>
  <c r="AM110" i="8"/>
  <c r="CW99" i="8"/>
  <c r="CW109" i="8"/>
  <c r="DD109" i="8"/>
  <c r="DD112" i="8"/>
  <c r="AH88" i="8"/>
  <c r="DG150" i="8"/>
  <c r="AB99" i="8"/>
  <c r="AB109" i="8"/>
  <c r="AJ96" i="8"/>
  <c r="AJ107" i="8"/>
  <c r="CZ98" i="8"/>
  <c r="CZ110" i="8"/>
  <c r="CZ108" i="8"/>
  <c r="AA98" i="8"/>
  <c r="AA108" i="8"/>
  <c r="AA110" i="8"/>
  <c r="DF83" i="8"/>
  <c r="DJ57" i="8"/>
  <c r="DI149" i="8"/>
  <c r="DA107" i="8"/>
  <c r="DA96" i="8"/>
  <c r="CY108" i="8"/>
  <c r="CY98" i="8"/>
  <c r="CY110" i="8"/>
  <c r="DC107" i="8"/>
  <c r="DC96" i="8"/>
  <c r="CM98" i="8" l="1"/>
  <c r="CP107" i="8"/>
  <c r="CP96" i="8"/>
  <c r="CM99" i="8"/>
  <c r="CM109" i="8"/>
  <c r="CN97" i="8"/>
  <c r="CN110" i="8" s="1"/>
  <c r="CL97" i="8"/>
  <c r="CL110" i="8" s="1"/>
  <c r="CK110" i="8"/>
  <c r="CO107" i="8"/>
  <c r="CO96" i="8"/>
  <c r="DB99" i="8"/>
  <c r="AK109" i="8"/>
  <c r="AK99" i="8"/>
  <c r="AE109" i="8"/>
  <c r="DJ13" i="8"/>
  <c r="DI82" i="8"/>
  <c r="CX109" i="8"/>
  <c r="CX99" i="8"/>
  <c r="DE89" i="8"/>
  <c r="DE95" i="8" s="1"/>
  <c r="DE96" i="8" s="1"/>
  <c r="CZ109" i="8"/>
  <c r="CZ99" i="8"/>
  <c r="AJ108" i="8"/>
  <c r="AJ110" i="8"/>
  <c r="AJ98" i="8"/>
  <c r="DJ149" i="8"/>
  <c r="DK57" i="8"/>
  <c r="AM109" i="8"/>
  <c r="AM99" i="8"/>
  <c r="DC98" i="8"/>
  <c r="DC110" i="8"/>
  <c r="DC108" i="8"/>
  <c r="DI150" i="8"/>
  <c r="AA99" i="8"/>
  <c r="AA109" i="8"/>
  <c r="DA108" i="8"/>
  <c r="DA97" i="8"/>
  <c r="DA110" i="8" s="1"/>
  <c r="DG88" i="8"/>
  <c r="DG107" i="8" s="1"/>
  <c r="DH84" i="8"/>
  <c r="DH83" i="8" s="1"/>
  <c r="DH85" i="8"/>
  <c r="DH87" i="8" s="1"/>
  <c r="CY109" i="8"/>
  <c r="CY99" i="8"/>
  <c r="AH107" i="8"/>
  <c r="AH96" i="8"/>
  <c r="DG83" i="8"/>
  <c r="CN98" i="8" l="1"/>
  <c r="CK98" i="8"/>
  <c r="CK109" i="8" s="1"/>
  <c r="CL98" i="8"/>
  <c r="CN99" i="8"/>
  <c r="CN109" i="8"/>
  <c r="CP97" i="8"/>
  <c r="CP110" i="8" s="1"/>
  <c r="CO97" i="8"/>
  <c r="CO110" i="8" s="1"/>
  <c r="CK99" i="8"/>
  <c r="DA98" i="8"/>
  <c r="DA109" i="8" s="1"/>
  <c r="DE108" i="8"/>
  <c r="DE97" i="8"/>
  <c r="DE110" i="8" s="1"/>
  <c r="DC99" i="8"/>
  <c r="DC109" i="8"/>
  <c r="DI85" i="8"/>
  <c r="DI87" i="8" s="1"/>
  <c r="DI84" i="8"/>
  <c r="DI83" i="8" s="1"/>
  <c r="AJ99" i="8"/>
  <c r="AJ109" i="8"/>
  <c r="AH98" i="8"/>
  <c r="AH108" i="8"/>
  <c r="DH88" i="8"/>
  <c r="DH107" i="8" s="1"/>
  <c r="DL57" i="8"/>
  <c r="DK149" i="8"/>
  <c r="DK13" i="8"/>
  <c r="DJ82" i="8"/>
  <c r="CP98" i="8" l="1"/>
  <c r="CO98" i="8"/>
  <c r="CO99" i="8" s="1"/>
  <c r="CP99" i="8"/>
  <c r="CP109" i="8"/>
  <c r="CL99" i="8"/>
  <c r="CL109" i="8"/>
  <c r="DA99" i="8"/>
  <c r="DI88" i="8"/>
  <c r="DI107" i="8" s="1"/>
  <c r="DE98" i="8"/>
  <c r="DJ85" i="8"/>
  <c r="DJ87" i="8" s="1"/>
  <c r="DJ84" i="8"/>
  <c r="DL13" i="8"/>
  <c r="DK82" i="8"/>
  <c r="DL149" i="8"/>
  <c r="DM57" i="8"/>
  <c r="DN57" i="8" s="1"/>
  <c r="DO57" i="8" s="1"/>
  <c r="DP57" i="8" s="1"/>
  <c r="DQ57" i="8" s="1"/>
  <c r="DR57" i="8" s="1"/>
  <c r="DS57" i="8" s="1"/>
  <c r="DJ150" i="8"/>
  <c r="AH99" i="8"/>
  <c r="AH109" i="8"/>
  <c r="CO109" i="8" l="1"/>
  <c r="DJ88" i="8"/>
  <c r="DJ107" i="8" s="1"/>
  <c r="DK85" i="8"/>
  <c r="DK87" i="8" s="1"/>
  <c r="DK84" i="8"/>
  <c r="DJ83" i="8"/>
  <c r="DM13" i="8"/>
  <c r="DL82" i="8"/>
  <c r="DE109" i="8"/>
  <c r="DE99" i="8"/>
  <c r="DE112" i="8"/>
  <c r="DK150" i="8"/>
  <c r="DK88" i="8" l="1"/>
  <c r="DK107" i="8" s="1"/>
  <c r="DK83" i="8"/>
  <c r="DF89" i="8"/>
  <c r="DF95" i="8" s="1"/>
  <c r="DF96" i="8" s="1"/>
  <c r="DL84" i="8"/>
  <c r="DL83" i="8" s="1"/>
  <c r="DL85" i="8"/>
  <c r="DM82" i="8"/>
  <c r="DN13" i="8"/>
  <c r="DL150" i="8"/>
  <c r="DL87" i="8" l="1"/>
  <c r="DM85" i="8"/>
  <c r="DO13" i="8"/>
  <c r="DN82" i="8"/>
  <c r="DL88" i="8"/>
  <c r="DL107" i="8" s="1"/>
  <c r="DM84" i="8"/>
  <c r="DM83" i="8" s="1"/>
  <c r="DF108" i="8"/>
  <c r="DF97" i="8"/>
  <c r="DF110" i="8" s="1"/>
  <c r="DP13" i="8" l="1"/>
  <c r="DO82" i="8"/>
  <c r="DF98" i="8"/>
  <c r="DN84" i="8"/>
  <c r="DN83" i="8" s="1"/>
  <c r="DN85" i="8"/>
  <c r="DM87" i="8"/>
  <c r="DM88" i="8" s="1"/>
  <c r="DO84" i="8" l="1"/>
  <c r="DO83" i="8" s="1"/>
  <c r="DO85" i="8"/>
  <c r="DN87" i="8"/>
  <c r="DN88" i="8" s="1"/>
  <c r="DF109" i="8"/>
  <c r="DF99" i="8"/>
  <c r="DF112" i="8"/>
  <c r="DP82" i="8"/>
  <c r="DQ13" i="8"/>
  <c r="DP84" i="8" l="1"/>
  <c r="DR13" i="8"/>
  <c r="DQ82" i="8"/>
  <c r="DG89" i="8"/>
  <c r="DG95" i="8" s="1"/>
  <c r="DG96" i="8" s="1"/>
  <c r="DP85" i="8"/>
  <c r="DO87" i="8"/>
  <c r="DO88" i="8" s="1"/>
  <c r="DG108" i="8" l="1"/>
  <c r="DG97" i="8"/>
  <c r="DG110" i="8" s="1"/>
  <c r="DQ85" i="8"/>
  <c r="DP87" i="8"/>
  <c r="DP88" i="8" s="1"/>
  <c r="DQ84" i="8"/>
  <c r="DQ83" i="8" s="1"/>
  <c r="DR82" i="8"/>
  <c r="DS13" i="8"/>
  <c r="DP83" i="8"/>
  <c r="DR85" i="8" l="1"/>
  <c r="DQ87" i="8"/>
  <c r="DR84" i="8"/>
  <c r="DR83" i="8" s="1"/>
  <c r="DS82" i="8"/>
  <c r="DQ88" i="8"/>
  <c r="DG98" i="8"/>
  <c r="DG109" i="8" l="1"/>
  <c r="DG99" i="8"/>
  <c r="DG112" i="8"/>
  <c r="DS84" i="8"/>
  <c r="DS83" i="8" s="1"/>
  <c r="DR87" i="8"/>
  <c r="DR88" i="8" s="1"/>
  <c r="DS85" i="8"/>
  <c r="DS87" i="8" s="1"/>
  <c r="DH89" i="8" l="1"/>
  <c r="DH95" i="8" s="1"/>
  <c r="DH96" i="8" s="1"/>
  <c r="DS88" i="8"/>
  <c r="DH108" i="8" l="1"/>
  <c r="DH97" i="8"/>
  <c r="DH110" i="8" s="1"/>
  <c r="DH98" i="8" l="1"/>
  <c r="DH99" i="8" l="1"/>
  <c r="DH109" i="8"/>
  <c r="DH112" i="8"/>
  <c r="DI89" i="8" l="1"/>
  <c r="DI95" i="8" s="1"/>
  <c r="DI96" i="8" s="1"/>
  <c r="DI108" i="8" l="1"/>
  <c r="DI97" i="8"/>
  <c r="DI110" i="8" s="1"/>
  <c r="DI98" i="8" l="1"/>
  <c r="DI109" i="8" s="1"/>
  <c r="DI99" i="8" l="1"/>
  <c r="DI112" i="8"/>
  <c r="DJ89" i="8"/>
  <c r="DJ95" i="8" s="1"/>
  <c r="DJ96" i="8" s="1"/>
  <c r="DJ97" i="8" l="1"/>
  <c r="DJ110" i="8" s="1"/>
  <c r="DJ108" i="8"/>
  <c r="DJ98" i="8" l="1"/>
  <c r="DJ99" i="8" l="1"/>
  <c r="DJ109" i="8"/>
  <c r="DJ112" i="8"/>
  <c r="DK89" i="8" l="1"/>
  <c r="DK95" i="8" s="1"/>
  <c r="DK96" i="8" s="1"/>
  <c r="DK108" i="8" l="1"/>
  <c r="DK97" i="8"/>
  <c r="DK110" i="8" s="1"/>
  <c r="DK98" i="8" l="1"/>
  <c r="DK99" i="8" l="1"/>
  <c r="DK109" i="8"/>
  <c r="DK112" i="8"/>
  <c r="DL89" i="8" l="1"/>
  <c r="DL95" i="8" s="1"/>
  <c r="DL96" i="8" s="1"/>
  <c r="DL108" i="8" l="1"/>
  <c r="DL97" i="8"/>
  <c r="DL110" i="8" s="1"/>
  <c r="DL98" i="8" l="1"/>
  <c r="DL109" i="8" s="1"/>
  <c r="DT98" i="8" l="1"/>
  <c r="DU98" i="8" s="1"/>
  <c r="DV98" i="8" s="1"/>
  <c r="DW98" i="8" s="1"/>
  <c r="DX98" i="8" s="1"/>
  <c r="DY98" i="8" s="1"/>
  <c r="DZ98" i="8" s="1"/>
  <c r="EA98" i="8" s="1"/>
  <c r="EB98" i="8" s="1"/>
  <c r="EC98" i="8" s="1"/>
  <c r="ED98" i="8" s="1"/>
  <c r="EE98" i="8" s="1"/>
  <c r="EF98" i="8" s="1"/>
  <c r="EG98" i="8" s="1"/>
  <c r="EH98" i="8" s="1"/>
  <c r="EI98" i="8" s="1"/>
  <c r="EJ98" i="8" s="1"/>
  <c r="EK98" i="8" s="1"/>
  <c r="EL98" i="8" s="1"/>
  <c r="EM98" i="8" s="1"/>
  <c r="EN98" i="8" s="1"/>
  <c r="EO98" i="8" s="1"/>
  <c r="EP98" i="8" s="1"/>
  <c r="EQ98" i="8" s="1"/>
  <c r="ER98" i="8" s="1"/>
  <c r="ES98" i="8" s="1"/>
  <c r="ET98" i="8" s="1"/>
  <c r="EU98" i="8" s="1"/>
  <c r="EV98" i="8" s="1"/>
  <c r="EW98" i="8" s="1"/>
  <c r="EX98" i="8" s="1"/>
  <c r="EY98" i="8" s="1"/>
  <c r="EZ98" i="8" s="1"/>
  <c r="FA98" i="8" s="1"/>
  <c r="FB98" i="8" s="1"/>
  <c r="FC98" i="8" s="1"/>
  <c r="FD98" i="8" s="1"/>
  <c r="FE98" i="8" s="1"/>
  <c r="FF98" i="8" s="1"/>
  <c r="FG98" i="8" s="1"/>
  <c r="FH98" i="8" s="1"/>
  <c r="FI98" i="8" s="1"/>
  <c r="FJ98" i="8" s="1"/>
  <c r="FK98" i="8" s="1"/>
  <c r="FL98" i="8" s="1"/>
  <c r="FM98" i="8" s="1"/>
  <c r="FN98" i="8" s="1"/>
  <c r="FO98" i="8" s="1"/>
  <c r="FP98" i="8" s="1"/>
  <c r="FQ98" i="8" s="1"/>
  <c r="FR98" i="8" s="1"/>
  <c r="FS98" i="8" s="1"/>
  <c r="FT98" i="8" s="1"/>
  <c r="FU98" i="8" s="1"/>
  <c r="FV98" i="8" s="1"/>
  <c r="FW98" i="8" s="1"/>
  <c r="FX98" i="8" s="1"/>
  <c r="FY98" i="8" s="1"/>
  <c r="FZ98" i="8" s="1"/>
  <c r="GA98" i="8" s="1"/>
  <c r="DL112" i="8"/>
  <c r="DM89" i="8" s="1"/>
  <c r="DM95" i="8" s="1"/>
  <c r="DM96" i="8" s="1"/>
  <c r="DL99" i="8"/>
  <c r="DM97" i="8" l="1"/>
  <c r="DM98" i="8" s="1"/>
  <c r="DM99" i="8" l="1"/>
  <c r="DM112" i="8"/>
  <c r="DN89" i="8" l="1"/>
  <c r="DN95" i="8" s="1"/>
  <c r="DN96" i="8" s="1"/>
  <c r="DN97" i="8" l="1"/>
  <c r="DN98" i="8" s="1"/>
  <c r="DN99" i="8" l="1"/>
  <c r="DN112" i="8"/>
  <c r="DO89" i="8" l="1"/>
  <c r="DO95" i="8" s="1"/>
  <c r="DO96" i="8" s="1"/>
  <c r="DO97" i="8" l="1"/>
  <c r="DO98" i="8" s="1"/>
  <c r="DO99" i="8" l="1"/>
  <c r="DO112" i="8"/>
  <c r="DP89" i="8" l="1"/>
  <c r="DP95" i="8" s="1"/>
  <c r="DP96" i="8" s="1"/>
  <c r="DP97" i="8" l="1"/>
  <c r="DP98" i="8" s="1"/>
  <c r="DP99" i="8" l="1"/>
  <c r="DP112" i="8"/>
  <c r="DQ89" i="8" l="1"/>
  <c r="DQ95" i="8" s="1"/>
  <c r="DQ96" i="8" s="1"/>
  <c r="DQ97" i="8" l="1"/>
  <c r="DQ98" i="8"/>
  <c r="DQ99" i="8" l="1"/>
  <c r="DQ112" i="8"/>
  <c r="DR89" i="8" l="1"/>
  <c r="DR95" i="8" s="1"/>
  <c r="DR96" i="8" s="1"/>
  <c r="DR97" i="8" l="1"/>
  <c r="DR98" i="8" s="1"/>
  <c r="DR99" i="8" l="1"/>
  <c r="DR112" i="8"/>
  <c r="DS89" i="8" l="1"/>
  <c r="DS95" i="8" s="1"/>
  <c r="DS96" i="8" s="1"/>
  <c r="DS97" i="8" l="1"/>
  <c r="DS98" i="8" s="1"/>
  <c r="DS99" i="8" l="1"/>
  <c r="DY106" i="8"/>
  <c r="DY107" i="8" s="1"/>
  <c r="DS1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Martin</author>
    <author>MSMB - Andre</author>
    <author>Lane Nussbaum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waterg</author>
  </authors>
  <commentList>
    <comment ref="DA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3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19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B19" authorId="2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D19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20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20" authorId="3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A20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21" authorId="3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B21" authorId="3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AL22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A28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33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35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CU46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CV46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4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4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B48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DF50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Last OB patent expires</t>
        </r>
      </text>
    </comment>
    <comment ref="AL51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2" authorId="5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2" authorId="5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3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55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A57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B57" authorId="6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C57" authorId="6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D57" authorId="6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DE57" authorId="6" shapeId="0" xr:uid="{00000000-0006-0000-0300-000022000000}">
      <text>
        <r>
          <rPr>
            <sz val="8"/>
            <color indexed="81"/>
            <rFont val="Tahoma"/>
            <family val="2"/>
          </rPr>
          <t>Citigroup 3.79bn
about 2.2bn in Ex-US at this point?</t>
        </r>
      </text>
    </comment>
    <comment ref="DF57" authorId="1" shapeId="0" xr:uid="{00000000-0006-0000-0300-00002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assumes 0 US
2.3bn ex-US without generics. 1.15bn without major EU markets.</t>
        </r>
      </text>
    </comment>
    <comment ref="AL58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0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1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2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3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4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69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CX70" authorId="7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2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3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1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1" authorId="8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2" authorId="3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2" authorId="3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B82" authorId="3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C82" authorId="3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F82" authorId="3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G82" authorId="3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86" authorId="9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86" authorId="5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C86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4" authorId="10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4" authorId="10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97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C97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99" authorId="5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99" authorId="3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A99" authorId="11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B99" authorId="3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C99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D99" authorId="2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F99" authorId="3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G99" authorId="3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AH102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02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DA104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B104" authorId="5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B130" authorId="12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1" authorId="12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33" authorId="12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<sst xmlns="http://schemas.openxmlformats.org/spreadsheetml/2006/main" count="1398" uniqueCount="937">
  <si>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</si>
  <si>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</si>
  <si>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</si>
  <si>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</si>
  <si>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</si>
  <si>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</si>
  <si>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</si>
  <si>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</si>
  <si>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</si>
  <si>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</si>
  <si>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</si>
  <si>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</si>
  <si>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</si>
  <si>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</si>
  <si>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</si>
  <si>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</si>
  <si>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</si>
  <si>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</si>
  <si>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</si>
  <si>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</si>
  <si>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</si>
  <si>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</si>
  <si>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</si>
  <si>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</si>
  <si>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</si>
  <si>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</si>
  <si>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</si>
  <si>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</si>
  <si>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</si>
  <si>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</si>
  <si>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</si>
  <si>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</si>
  <si>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</si>
  <si>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</si>
  <si>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</si>
  <si>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</si>
  <si>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</si>
  <si>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</si>
  <si>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</si>
  <si>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</si>
  <si>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</si>
  <si>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</si>
  <si>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</si>
  <si>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</si>
  <si>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</si>
  <si>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</si>
  <si>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</si>
  <si>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</si>
  <si>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</si>
  <si>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</si>
  <si>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</si>
  <si>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</si>
  <si>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</si>
  <si>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</si>
  <si>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</si>
  <si>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</si>
  <si>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</si>
  <si>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</si>
  <si>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</si>
  <si>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</si>
  <si>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</si>
  <si>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</si>
  <si>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</si>
  <si>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</si>
  <si>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</si>
  <si>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</si>
  <si>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</si>
  <si>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</si>
  <si>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</si>
  <si>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</si>
  <si>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</si>
  <si>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</si>
  <si>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</si>
  <si>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</si>
  <si>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</si>
  <si>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</si>
  <si>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</si>
  <si>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</si>
  <si>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</si>
  <si>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</si>
  <si>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</si>
  <si>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</si>
  <si>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</si>
  <si>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</si>
  <si>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</si>
  <si>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</si>
  <si>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</si>
  <si>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</si>
  <si>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</si>
  <si>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</si>
  <si>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</si>
  <si>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</si>
  <si>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</si>
  <si>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</si>
  <si>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</si>
  <si>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</si>
  <si>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</si>
  <si>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</si>
  <si>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</si>
  <si>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</si>
  <si>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</si>
  <si>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</si>
  <si>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</si>
  <si>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</si>
  <si>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</si>
  <si>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</si>
  <si>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</si>
  <si>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</si>
  <si>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</si>
  <si>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</si>
  <si>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</si>
  <si>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</si>
  <si>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</si>
  <si>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</si>
  <si>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</si>
  <si>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</si>
  <si>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</si>
  <si>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</si>
  <si>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</si>
  <si>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</si>
  <si>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</si>
  <si>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</si>
  <si>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</si>
  <si>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</si>
  <si>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</si>
  <si>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</si>
  <si>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</si>
  <si>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</si>
  <si>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</si>
  <si>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</si>
  <si>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</si>
  <si>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</si>
  <si>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</si>
  <si>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</si>
  <si>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</si>
  <si>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</si>
  <si>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</si>
  <si>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</si>
  <si>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</si>
  <si>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</si>
  <si>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</si>
  <si>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</si>
  <si>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</si>
  <si>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</si>
  <si>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</si>
  <si>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</si>
  <si>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</si>
  <si>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</si>
  <si>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</si>
  <si>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</si>
  <si>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</si>
  <si>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</si>
  <si>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</si>
  <si>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</si>
  <si>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</si>
  <si>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</si>
  <si>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</si>
  <si>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</si>
  <si>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</si>
  <si>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</si>
  <si>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</si>
  <si>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</si>
  <si>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</si>
  <si>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</si>
  <si>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</si>
  <si>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</si>
  <si>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</si>
  <si>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</si>
  <si>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</si>
  <si>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</si>
  <si>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</si>
  <si>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</si>
  <si>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</si>
  <si>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</si>
  <si>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</si>
  <si>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</si>
  <si>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</si>
  <si>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</si>
  <si>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</si>
  <si>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</si>
  <si>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</si>
  <si>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</si>
  <si>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</si>
  <si>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</si>
  <si>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</si>
  <si>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</si>
  <si>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Cozaar/Hyzaar (2010)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</si>
  <si>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</si>
  <si>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</si>
  <si>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</si>
  <si>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</si>
  <si>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</si>
  <si>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</si>
  <si>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</si>
  <si>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</si>
  <si>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</si>
  <si>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</si>
  <si>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</si>
  <si>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</si>
  <si>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</si>
  <si>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</si>
  <si>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</si>
  <si>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</si>
  <si>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</si>
  <si>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</si>
  <si>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</si>
  <si>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</si>
  <si>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</si>
  <si>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</si>
  <si>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</si>
  <si>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</si>
  <si>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</si>
  <si>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</si>
  <si>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</si>
  <si>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</si>
  <si>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</si>
  <si>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</si>
  <si>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</si>
  <si>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</si>
  <si>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</si>
  <si>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</si>
  <si>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</si>
  <si>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</si>
  <si>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</si>
  <si>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</si>
  <si>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</si>
  <si>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</si>
  <si>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</si>
  <si>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</si>
  <si>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</si>
  <si>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</si>
  <si>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</si>
  <si>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</si>
  <si>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</si>
  <si>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</si>
  <si>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</si>
  <si>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</si>
  <si>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</si>
  <si>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</si>
  <si>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</si>
  <si>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</si>
  <si>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</si>
  <si>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</si>
  <si>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</si>
  <si>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</si>
  <si>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</si>
  <si>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</si>
  <si>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</si>
  <si>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</si>
  <si>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</si>
  <si>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</si>
  <si>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</si>
  <si>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</si>
  <si>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</si>
  <si>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</si>
  <si>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</si>
  <si>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</si>
  <si>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</si>
  <si>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</si>
  <si>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</si>
  <si>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</si>
  <si>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</si>
  <si>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</si>
  <si>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</si>
  <si>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</si>
  <si>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</si>
  <si>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</si>
  <si>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</si>
  <si>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</si>
  <si>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</si>
  <si>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</si>
  <si>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</si>
  <si>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</si>
  <si>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</si>
  <si>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</si>
  <si>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</si>
  <si>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</si>
  <si>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</si>
  <si>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</si>
  <si>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</si>
  <si>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</si>
  <si>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</si>
  <si>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</si>
  <si>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</si>
  <si>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</si>
  <si>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</si>
  <si>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</si>
  <si>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</si>
  <si>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</si>
  <si>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</si>
  <si>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</si>
  <si>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</si>
  <si>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</si>
  <si>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</si>
  <si>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</si>
  <si>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</si>
  <si>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</si>
  <si>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</si>
  <si>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</si>
  <si>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</si>
  <si>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</si>
  <si>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</si>
  <si>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</si>
  <si>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</si>
  <si>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</si>
  <si>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</si>
  <si>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</si>
  <si>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</si>
  <si>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</si>
  <si>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</si>
  <si>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</si>
  <si>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</si>
  <si>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</si>
  <si>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</si>
  <si>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</si>
  <si>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</si>
  <si>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</si>
  <si>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</si>
  <si>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</si>
  <si>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</si>
  <si>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</si>
  <si>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</si>
  <si>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</si>
  <si>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</si>
  <si>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</si>
  <si>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</si>
  <si>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</si>
  <si>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</si>
  <si>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</si>
  <si>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</si>
  <si>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</si>
  <si>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</si>
  <si>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</si>
  <si>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</si>
  <si>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</si>
  <si>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</si>
  <si>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</si>
  <si>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</si>
  <si>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</si>
  <si>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</si>
  <si>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</si>
  <si>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</si>
  <si>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</si>
  <si>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</si>
  <si>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</si>
  <si>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</si>
  <si>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</si>
  <si>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</si>
  <si>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</si>
  <si>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</si>
  <si>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</si>
  <si>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</si>
  <si>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</si>
  <si>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</si>
  <si>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</si>
  <si>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</si>
  <si>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</si>
  <si>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</si>
  <si>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</si>
  <si>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</si>
  <si>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</si>
  <si>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</si>
  <si>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</si>
  <si>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</si>
  <si>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</si>
  <si>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</si>
  <si>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</si>
  <si>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</si>
  <si>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</si>
  <si>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</si>
  <si>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</si>
  <si>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</si>
  <si>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</si>
  <si>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</si>
  <si>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</si>
  <si>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</si>
  <si>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</si>
  <si>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</si>
  <si>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</si>
  <si>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</si>
  <si>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</si>
  <si>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</si>
  <si>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</si>
  <si>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</si>
  <si>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</si>
  <si>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</si>
  <si>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</si>
  <si>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</si>
  <si>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</si>
  <si>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</si>
  <si>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</si>
  <si>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</si>
  <si>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</si>
  <si>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</si>
  <si>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</si>
  <si>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</si>
  <si>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</si>
  <si>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</si>
  <si>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</si>
  <si>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</si>
  <si>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</si>
  <si>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</si>
  <si>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</si>
  <si>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</si>
  <si>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</si>
  <si>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</si>
  <si>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</si>
  <si>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</si>
  <si>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</si>
  <si>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</si>
  <si>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</si>
  <si>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</si>
  <si>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</si>
  <si>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</si>
  <si>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</si>
  <si>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</si>
  <si>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</si>
  <si>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</si>
  <si>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</si>
  <si>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</si>
  <si>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</si>
  <si>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</si>
  <si>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</si>
  <si>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</si>
  <si>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</si>
  <si>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</si>
  <si>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</si>
  <si>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</si>
  <si>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</si>
  <si>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</si>
  <si>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</si>
  <si>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</si>
  <si>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</si>
  <si>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</si>
  <si>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</si>
  <si>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</si>
  <si>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</si>
  <si>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</si>
  <si>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</si>
  <si>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</si>
  <si>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</si>
  <si>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</si>
  <si>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</si>
  <si>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</si>
  <si>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</si>
  <si>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</si>
  <si>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</si>
  <si>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</si>
  <si>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</si>
  <si>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</si>
  <si>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</si>
  <si>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</si>
  <si>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</si>
  <si>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</si>
  <si>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</si>
  <si>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</si>
  <si>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</si>
  <si>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</si>
  <si>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</si>
  <si>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</si>
  <si>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</si>
  <si>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</si>
  <si>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</si>
  <si>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</si>
  <si>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</si>
  <si>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</si>
  <si>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</si>
  <si>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</si>
  <si>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</si>
  <si>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</si>
  <si>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</si>
  <si>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</si>
  <si>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</si>
  <si>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</si>
  <si>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</si>
  <si>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</si>
  <si>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</si>
  <si>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</si>
  <si>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</si>
  <si>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</si>
  <si>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</si>
  <si>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</si>
  <si>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</si>
  <si>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</si>
  <si>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</si>
  <si>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</si>
  <si>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</si>
  <si>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</si>
  <si>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</si>
  <si>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</si>
  <si>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</si>
  <si>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</si>
  <si>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</si>
  <si>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</si>
  <si>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</si>
  <si>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</si>
  <si>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</si>
  <si>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</si>
  <si>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</si>
  <si>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</si>
  <si>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</si>
  <si>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</si>
  <si>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</si>
  <si>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</si>
  <si>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</si>
  <si>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</si>
  <si>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</si>
  <si>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</si>
  <si>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</si>
  <si>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</si>
  <si>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</si>
  <si>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</si>
  <si>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</si>
  <si>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</si>
  <si>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</si>
  <si>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</si>
  <si>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</si>
  <si>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</si>
  <si>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</si>
  <si>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</si>
  <si>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</si>
  <si>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</si>
  <si>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</si>
  <si>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</si>
  <si>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</si>
  <si>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</si>
  <si>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</si>
  <si>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</si>
  <si>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</si>
  <si>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</si>
  <si>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</si>
  <si>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</si>
  <si>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</si>
  <si>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</si>
  <si>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</si>
  <si>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</si>
  <si>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</si>
  <si>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</si>
  <si>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</si>
  <si>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</si>
  <si>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</si>
  <si>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</si>
  <si>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</si>
  <si>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</si>
  <si>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</si>
  <si>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</si>
  <si>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</si>
  <si>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</si>
  <si>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</si>
  <si>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</si>
  <si>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</si>
  <si>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</si>
  <si>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</si>
  <si>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</si>
  <si>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</si>
  <si>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</si>
  <si>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</si>
  <si>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</si>
  <si>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</si>
  <si>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</si>
  <si>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</si>
  <si>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</si>
  <si>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</si>
  <si>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</si>
  <si>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</si>
  <si>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</si>
  <si>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</si>
  <si>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</si>
  <si>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</si>
  <si>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</si>
  <si>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</si>
  <si>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</si>
  <si>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</si>
  <si>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</si>
  <si>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</si>
  <si>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</si>
  <si>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</si>
  <si>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</si>
  <si>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</si>
  <si>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</si>
  <si>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</si>
  <si>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</si>
  <si>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</si>
  <si>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</si>
  <si>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</si>
  <si>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</si>
  <si>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</si>
  <si>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</si>
  <si>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</si>
  <si>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</si>
  <si>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</si>
  <si>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</si>
  <si>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</si>
  <si>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</si>
  <si>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</si>
  <si>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</si>
  <si>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</si>
  <si>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</si>
  <si>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</si>
  <si>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</si>
  <si>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</si>
  <si>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</si>
  <si>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</si>
  <si>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</si>
  <si>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</si>
  <si>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</si>
  <si>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</si>
  <si>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</si>
  <si>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</si>
  <si>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</si>
  <si>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</si>
  <si>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</si>
  <si>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</si>
  <si>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</si>
  <si>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</si>
  <si>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</si>
  <si>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</si>
  <si>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</si>
  <si>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</si>
  <si>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Fosamax (expired)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</si>
  <si>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</si>
  <si>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</si>
  <si>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</si>
  <si>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</si>
  <si>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</si>
  <si>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</si>
  <si>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</si>
  <si>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</si>
  <si>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</si>
  <si>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</si>
  <si>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</si>
  <si>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</si>
  <si>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</si>
  <si>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</si>
  <si>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</si>
  <si>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</si>
  <si>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</si>
  <si>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</si>
  <si>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</si>
  <si>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</si>
  <si>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</si>
  <si>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</si>
  <si>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</si>
  <si>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</si>
  <si>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</si>
  <si>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</si>
  <si>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</si>
  <si>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</si>
  <si>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</si>
  <si>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</si>
  <si>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</si>
  <si>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669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</si>
  <si>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</si>
  <si>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</si>
  <si>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</si>
  <si>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</si>
  <si>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</si>
  <si>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</si>
  <si>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</si>
  <si>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</si>
  <si>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</si>
  <si>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</si>
  <si>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</si>
  <si>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</si>
  <si>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</si>
  <si>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</si>
  <si>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</si>
  <si>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</si>
  <si>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</si>
  <si>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</si>
  <si>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</si>
  <si>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</si>
  <si>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</si>
  <si>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</si>
  <si>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</si>
  <si>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</si>
  <si>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</si>
  <si>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</si>
  <si>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</si>
  <si>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</si>
  <si>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</si>
  <si>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</si>
  <si>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</si>
  <si>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</si>
  <si>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</si>
  <si>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Noxafil: 18m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</si>
  <si>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</si>
  <si>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</si>
  <si>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</si>
  <si>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</si>
  <si>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</si>
  <si>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</si>
  <si>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</si>
  <si>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</si>
  <si>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</si>
  <si>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</si>
  <si>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</si>
  <si>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</si>
  <si>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</si>
  <si>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</si>
  <si>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</si>
  <si>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</si>
  <si>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</si>
  <si>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</si>
  <si>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</si>
  <si>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</si>
  <si>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</si>
  <si>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</si>
  <si>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</si>
  <si>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</si>
  <si>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</si>
  <si>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</si>
  <si>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</si>
  <si>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</si>
  <si>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</si>
  <si>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</si>
  <si>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</si>
  <si>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</si>
  <si>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</si>
  <si>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</si>
  <si>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</si>
  <si>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</si>
  <si>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</si>
  <si>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</si>
  <si>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</si>
  <si>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</si>
  <si>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</si>
  <si>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</si>
  <si>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</si>
  <si>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</si>
  <si>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</si>
  <si>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</si>
  <si>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</si>
  <si>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</si>
  <si>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</si>
  <si>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</si>
  <si>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</si>
  <si>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</si>
  <si>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</si>
  <si>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</si>
  <si>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</si>
  <si>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</si>
  <si>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</si>
  <si>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</si>
  <si>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</si>
  <si>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</si>
  <si>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</si>
  <si>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</si>
  <si>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</si>
  <si>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</si>
  <si>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</si>
  <si>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</si>
  <si>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</si>
  <si>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</si>
  <si>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</si>
  <si>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</si>
  <si>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</si>
  <si>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</si>
  <si>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</si>
  <si>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</si>
  <si>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</si>
  <si>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</si>
  <si>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</si>
  <si>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</si>
  <si>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</si>
  <si>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</si>
  <si>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</si>
  <si>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</si>
  <si>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</si>
  <si>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</si>
  <si>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</si>
  <si>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</si>
  <si>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</si>
  <si>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</si>
  <si>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</si>
  <si>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</si>
  <si>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</si>
  <si>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</si>
  <si>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</si>
  <si>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</si>
  <si>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</si>
  <si>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</si>
  <si>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</si>
  <si>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</si>
  <si>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</si>
  <si>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</si>
  <si>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</si>
  <si>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</si>
  <si>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</si>
  <si>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</si>
  <si>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</si>
  <si>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</si>
  <si>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</si>
  <si>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</si>
  <si>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</si>
  <si>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</si>
  <si>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</si>
  <si>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</si>
  <si>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</si>
  <si>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</si>
  <si>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</si>
  <si>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</si>
  <si>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</si>
  <si>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</si>
  <si>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</si>
  <si>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</si>
  <si>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</si>
  <si>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</si>
  <si>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</si>
  <si>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</si>
  <si>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Lagevrio (molnuiravir)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</si>
  <si>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</si>
  <si>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</si>
  <si>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</si>
  <si>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</si>
  <si>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</si>
  <si>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</si>
  <si>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</si>
  <si>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</si>
  <si>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</si>
  <si>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</si>
  <si>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</si>
  <si>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</si>
  <si>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</si>
  <si>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</si>
  <si>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</si>
  <si>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</si>
  <si>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</si>
  <si>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</si>
  <si>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Belsomra (suvorexant, fka MK-4305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</si>
  <si>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</si>
  <si>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</si>
  <si>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</si>
  <si>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</si>
  <si>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</si>
  <si>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</si>
  <si>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</si>
  <si>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</si>
  <si>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</si>
  <si>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</si>
  <si>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</si>
  <si>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</si>
  <si>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</si>
  <si>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</si>
  <si>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</si>
  <si>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</si>
  <si>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</si>
  <si>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</si>
  <si>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</si>
  <si>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</si>
  <si>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</si>
  <si>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</si>
  <si>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</si>
  <si>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</si>
  <si>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</si>
  <si>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</si>
  <si>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</si>
  <si>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</si>
  <si>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</si>
  <si>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</si>
  <si>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</si>
  <si>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</si>
  <si>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</si>
  <si>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</si>
  <si>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</si>
  <si>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</si>
  <si>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</si>
  <si>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</si>
  <si>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</si>
  <si>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</si>
  <si>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</si>
  <si>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</si>
  <si>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</si>
  <si>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</si>
  <si>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</si>
  <si>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</si>
  <si>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</si>
  <si>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</si>
  <si>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</si>
  <si>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</si>
  <si>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</si>
  <si>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</si>
  <si>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</si>
  <si>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</si>
  <si>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</si>
  <si>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</si>
  <si>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</si>
  <si>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</si>
  <si>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</si>
  <si>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</si>
  <si>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</si>
  <si>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</si>
  <si>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bomedemstat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</si>
  <si>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</si>
  <si>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</si>
  <si>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</si>
  <si>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</si>
  <si>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</si>
  <si>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</si>
  <si>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</si>
  <si>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PARP1 inhibitor</t>
  </si>
  <si>
    <t>aOC, mCRPC, pancreatic, mBC</t>
  </si>
  <si>
    <t>MRK. Originally from KuDOS, acquired by AZN in 2006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</si>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</sst>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29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28575</xdr:colOff>
      <xdr:row>0</xdr:row>
      <xdr:rowOff>0</xdr:rowOff>
    </xdr:from>
    <xdr:to>
      <xdr:col>107</xdr:col>
      <xdr:colOff>28575</xdr:colOff>
      <xdr:row>122</xdr:row>
      <xdr:rowOff>19050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47253525" y="0"/>
          <a:ext cx="0" cy="18802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89</xdr:col>
      <xdr:colOff>22214</xdr:colOff>
      <xdr:row>0</xdr:row>
      <xdr:rowOff>25066</xdr:rowOff>
    </xdr:from>
    <xdr:to>
      <xdr:col>89</xdr:col>
      <xdr:colOff>22214</xdr:colOff>
      <xdr:row>178</xdr:row>
      <xdr:rowOff>70185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39195030" y="25066"/>
          <a:ext cx="0" cy="286000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22</xdr:row>
      <xdr:rowOff>0</xdr:rowOff>
    </xdr:from>
    <xdr:to>
      <xdr:col>19</xdr:col>
      <xdr:colOff>391626</xdr:colOff>
      <xdr:row>36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81\work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>
        <row r="1">
          <cell r="A1" t="str">
            <v>Roche Bearer Share Price SFr</v>
          </cell>
          <cell r="F1">
            <v>172</v>
          </cell>
        </row>
        <row r="2">
          <cell r="A2" t="str">
            <v>Roche Genussscheine Share Price SFr</v>
          </cell>
          <cell r="F2">
            <v>103.5</v>
          </cell>
        </row>
        <row r="3">
          <cell r="A3" t="str">
            <v>Market Capitalisation SFrm</v>
          </cell>
          <cell r="F3">
            <v>100235.23944999999</v>
          </cell>
        </row>
        <row r="4">
          <cell r="A4" t="str">
            <v>Market Capitalisation US$m</v>
          </cell>
          <cell r="F4">
            <v>66904.01527569149</v>
          </cell>
        </row>
        <row r="5">
          <cell r="A5" t="str">
            <v>US$/SFr Exchange Rate</v>
          </cell>
          <cell r="F5">
            <v>0.66747000000000001</v>
          </cell>
        </row>
        <row r="7">
          <cell r="A7" t="str">
            <v>Data  (SFr)</v>
          </cell>
          <cell r="B7">
            <v>1998</v>
          </cell>
          <cell r="C7">
            <v>1999</v>
          </cell>
          <cell r="D7">
            <v>2000</v>
          </cell>
          <cell r="E7" t="str">
            <v>2001R</v>
          </cell>
          <cell r="F7" t="str">
            <v>2002E</v>
          </cell>
          <cell r="G7" t="str">
            <v>2003E</v>
          </cell>
          <cell r="H7" t="str">
            <v>2004E</v>
          </cell>
          <cell r="I7" t="str">
            <v>2005E</v>
          </cell>
          <cell r="J7" t="str">
            <v>2006E</v>
          </cell>
        </row>
        <row r="9">
          <cell r="A9" t="str">
            <v>EV</v>
          </cell>
          <cell r="B9">
            <v>120442</v>
          </cell>
          <cell r="C9">
            <v>100755.0997903206</v>
          </cell>
          <cell r="D9">
            <v>101205.23944999999</v>
          </cell>
          <cell r="E9">
            <v>99417.239449999994</v>
          </cell>
          <cell r="F9">
            <v>99417.239449999994</v>
          </cell>
          <cell r="G9">
            <v>99417.239449999994</v>
          </cell>
          <cell r="H9">
            <v>99417.239449999994</v>
          </cell>
          <cell r="I9">
            <v>99417.239449999994</v>
          </cell>
          <cell r="J9">
            <v>99417.239449999994</v>
          </cell>
        </row>
        <row r="10">
          <cell r="A10" t="str">
            <v>Sales</v>
          </cell>
          <cell r="B10">
            <v>25336</v>
          </cell>
          <cell r="C10">
            <v>25496</v>
          </cell>
          <cell r="D10">
            <v>27543</v>
          </cell>
          <cell r="E10">
            <v>25761</v>
          </cell>
          <cell r="F10">
            <v>27169.038</v>
          </cell>
          <cell r="G10">
            <v>31677.681400000005</v>
          </cell>
          <cell r="H10">
            <v>34660.140568000003</v>
          </cell>
          <cell r="I10">
            <v>37623.862574240004</v>
          </cell>
          <cell r="J10">
            <v>40594.558433357204</v>
          </cell>
        </row>
        <row r="11">
          <cell r="A11" t="str">
            <v xml:space="preserve">EBIT </v>
          </cell>
          <cell r="B11">
            <v>4667</v>
          </cell>
          <cell r="C11">
            <v>4094</v>
          </cell>
          <cell r="D11">
            <v>4301</v>
          </cell>
          <cell r="E11">
            <v>4438</v>
          </cell>
          <cell r="F11">
            <v>4797.1849839999995</v>
          </cell>
          <cell r="G11">
            <v>5869.9318352000018</v>
          </cell>
          <cell r="H11">
            <v>6988.569165936</v>
          </cell>
          <cell r="I11">
            <v>8078.7383720329599</v>
          </cell>
          <cell r="J11">
            <v>9126.3166635119342</v>
          </cell>
        </row>
        <row r="12">
          <cell r="A12" t="str">
            <v>EBITDA</v>
          </cell>
          <cell r="B12">
            <v>6740</v>
          </cell>
          <cell r="C12">
            <v>6547</v>
          </cell>
          <cell r="D12">
            <v>7149</v>
          </cell>
          <cell r="E12">
            <v>7424</v>
          </cell>
          <cell r="F12">
            <v>7669.2849839999999</v>
          </cell>
          <cell r="G12">
            <v>9000.7793352000008</v>
          </cell>
          <cell r="H12">
            <v>10218.574540936001</v>
          </cell>
          <cell r="I12">
            <v>11415.259065782961</v>
          </cell>
          <cell r="J12">
            <v>12577.314826949434</v>
          </cell>
        </row>
        <row r="13">
          <cell r="A13" t="str">
            <v>Net Income</v>
          </cell>
          <cell r="B13">
            <v>4849</v>
          </cell>
          <cell r="C13">
            <v>4401</v>
          </cell>
          <cell r="D13">
            <v>5014</v>
          </cell>
          <cell r="E13">
            <v>4632</v>
          </cell>
          <cell r="F13">
            <v>3705.5213386400001</v>
          </cell>
          <cell r="G13">
            <v>4002.050239696001</v>
          </cell>
          <cell r="H13">
            <v>4861.6554911332796</v>
          </cell>
          <cell r="I13">
            <v>5690.4790115840606</v>
          </cell>
          <cell r="J13">
            <v>6478.6111643637123</v>
          </cell>
        </row>
        <row r="15">
          <cell r="A15" t="str">
            <v>Depreciation</v>
          </cell>
          <cell r="B15">
            <v>1143</v>
          </cell>
          <cell r="C15">
            <v>1246</v>
          </cell>
          <cell r="D15">
            <v>1374</v>
          </cell>
          <cell r="E15">
            <v>1433</v>
          </cell>
          <cell r="F15">
            <v>1314.1</v>
          </cell>
          <cell r="G15">
            <v>1497.8474999999999</v>
          </cell>
          <cell r="H15">
            <v>1597.0053750000002</v>
          </cell>
          <cell r="I15">
            <v>1703.5206937500002</v>
          </cell>
          <cell r="J15">
            <v>1817.9981634375004</v>
          </cell>
        </row>
        <row r="16">
          <cell r="A16" t="str">
            <v>Amortisation</v>
          </cell>
          <cell r="B16">
            <v>930</v>
          </cell>
          <cell r="C16">
            <v>1207</v>
          </cell>
          <cell r="D16">
            <v>1474</v>
          </cell>
          <cell r="E16">
            <v>1553</v>
          </cell>
          <cell r="F16">
            <v>1558</v>
          </cell>
          <cell r="G16">
            <v>1633</v>
          </cell>
          <cell r="H16">
            <v>1633</v>
          </cell>
          <cell r="I16">
            <v>1633</v>
          </cell>
          <cell r="J16">
            <v>1633</v>
          </cell>
        </row>
        <row r="17">
          <cell r="A17" t="str">
            <v>Net Debt (Cash)</v>
          </cell>
          <cell r="B17">
            <v>2798</v>
          </cell>
          <cell r="C17">
            <v>519.86034032060707</v>
          </cell>
          <cell r="D17">
            <v>970</v>
          </cell>
          <cell r="E17">
            <v>-818</v>
          </cell>
          <cell r="F17">
            <v>-3034.6230459938852</v>
          </cell>
          <cell r="G17">
            <v>-5548.4576422291502</v>
          </cell>
          <cell r="H17">
            <v>-9143.4205779970798</v>
          </cell>
          <cell r="I17">
            <v>-13388.778086975166</v>
          </cell>
          <cell r="J17">
            <v>-18260.348563545031</v>
          </cell>
        </row>
        <row r="18">
          <cell r="A18" t="str">
            <v>Total Assets</v>
          </cell>
          <cell r="B18">
            <v>55879</v>
          </cell>
          <cell r="C18">
            <v>70431</v>
          </cell>
          <cell r="D18">
            <v>69535</v>
          </cell>
          <cell r="E18">
            <v>75286</v>
          </cell>
          <cell r="F18">
            <v>77612.805674187664</v>
          </cell>
          <cell r="G18">
            <v>81169.40697541149</v>
          </cell>
          <cell r="H18">
            <v>85596.294124583277</v>
          </cell>
          <cell r="I18">
            <v>90796.096517629005</v>
          </cell>
          <cell r="J18">
            <v>96747.781871624204</v>
          </cell>
        </row>
        <row r="19">
          <cell r="A19" t="str">
            <v>Average Shareholder's Equity</v>
          </cell>
          <cell r="B19">
            <v>21033</v>
          </cell>
          <cell r="C19">
            <v>24884.5</v>
          </cell>
          <cell r="D19">
            <v>23543.5</v>
          </cell>
          <cell r="E19">
            <v>23629.5</v>
          </cell>
          <cell r="F19">
            <v>26022.842837093835</v>
          </cell>
          <cell r="G19">
            <v>30510.983124799575</v>
          </cell>
          <cell r="H19">
            <v>36019.285245997373</v>
          </cell>
          <cell r="I19">
            <v>42317.254896226135</v>
          </cell>
          <cell r="J19">
            <v>49343.493479413002</v>
          </cell>
        </row>
        <row r="21">
          <cell r="A21" t="str">
            <v>Number of Shares</v>
          </cell>
          <cell r="B21">
            <v>8.6256269999999997</v>
          </cell>
          <cell r="C21">
            <v>862.56269999999995</v>
          </cell>
          <cell r="D21">
            <v>862.56269999999995</v>
          </cell>
          <cell r="E21">
            <v>862.56269999999995</v>
          </cell>
          <cell r="F21">
            <v>862.56269999999995</v>
          </cell>
          <cell r="G21">
            <v>862.56269999999995</v>
          </cell>
          <cell r="H21">
            <v>862.56269999999995</v>
          </cell>
          <cell r="I21">
            <v>862.56269999999995</v>
          </cell>
          <cell r="J21">
            <v>862.56269999999995</v>
          </cell>
        </row>
        <row r="22">
          <cell r="A22" t="str">
            <v>EPS</v>
          </cell>
          <cell r="B22">
            <v>5.62</v>
          </cell>
          <cell r="C22">
            <v>5.1022377851488363</v>
          </cell>
          <cell r="D22">
            <v>5.9640194105811339</v>
          </cell>
          <cell r="E22">
            <v>5.4823055982956559</v>
          </cell>
          <cell r="F22">
            <v>4.3857513772517454</v>
          </cell>
          <cell r="G22">
            <v>4.7367146877689681</v>
          </cell>
          <cell r="H22">
            <v>5.7541194119224519</v>
          </cell>
          <cell r="I22">
            <v>6.7350917405421482</v>
          </cell>
          <cell r="J22">
            <v>7.6679029049162173</v>
          </cell>
        </row>
        <row r="23">
          <cell r="A23" t="str">
            <v>EPS in ADR</v>
          </cell>
          <cell r="B23">
            <v>0.03</v>
          </cell>
          <cell r="C23">
            <v>3.4055906544532936E-2</v>
          </cell>
          <cell r="D23">
            <v>3.9808040359805896E-2</v>
          </cell>
          <cell r="E23">
            <v>3.6592745176944018E-2</v>
          </cell>
          <cell r="F23">
            <v>2.9273574717742223E-2</v>
          </cell>
          <cell r="G23">
            <v>3.1616149526451531E-2</v>
          </cell>
          <cell r="H23">
            <v>3.8407020838758792E-2</v>
          </cell>
          <cell r="I23">
            <v>4.4954716840596681E-2</v>
          </cell>
          <cell r="J23">
            <v>5.1180951519444275E-2</v>
          </cell>
        </row>
        <row r="24">
          <cell r="A24" t="str">
            <v>Dividend Per Share</v>
          </cell>
          <cell r="B24">
            <v>97</v>
          </cell>
          <cell r="C24">
            <v>1</v>
          </cell>
          <cell r="D24">
            <v>1.1499999999999999</v>
          </cell>
          <cell r="E24">
            <v>1.3</v>
          </cell>
          <cell r="F24">
            <v>1.4</v>
          </cell>
          <cell r="G24">
            <v>1.5</v>
          </cell>
          <cell r="H24">
            <v>1.7</v>
          </cell>
          <cell r="I24">
            <v>1.9</v>
          </cell>
          <cell r="J24">
            <v>2.1</v>
          </cell>
        </row>
        <row r="25">
          <cell r="A25" t="str">
            <v>Free Cash Flow per Share</v>
          </cell>
          <cell r="B25">
            <v>-596.70178654838662</v>
          </cell>
          <cell r="C25">
            <v>-5.4488792524879641E-2</v>
          </cell>
          <cell r="D25">
            <v>12.613575801504053</v>
          </cell>
          <cell r="E25">
            <v>9.9946357522763272</v>
          </cell>
          <cell r="F25">
            <v>14.12515963164906</v>
          </cell>
          <cell r="G25">
            <v>15.770694333770118</v>
          </cell>
          <cell r="H25">
            <v>18.911111064121066</v>
          </cell>
          <cell r="I25">
            <v>21.517429315119106</v>
          </cell>
          <cell r="J25">
            <v>24.033010958304619</v>
          </cell>
        </row>
        <row r="26">
          <cell r="A26" t="str">
            <v>Operating Cash Flow per Share</v>
          </cell>
          <cell r="B26">
            <v>513.46991934615301</v>
          </cell>
          <cell r="C26">
            <v>5.6506037184311362</v>
          </cell>
          <cell r="D26">
            <v>8.399389400909639</v>
          </cell>
          <cell r="E26">
            <v>9.2028092566488215</v>
          </cell>
          <cell r="F26">
            <v>9.4616715793530144</v>
          </cell>
          <cell r="G26">
            <v>10.740992318819259</v>
          </cell>
          <cell r="H26">
            <v>12.152826155056324</v>
          </cell>
          <cell r="I26">
            <v>13.540185618718455</v>
          </cell>
          <cell r="J26">
            <v>14.887398709623584</v>
          </cell>
        </row>
        <row r="28">
          <cell r="A28" t="str">
            <v>Price Sensitive Calculations</v>
          </cell>
          <cell r="B28">
            <v>1998</v>
          </cell>
          <cell r="C28">
            <v>1999</v>
          </cell>
          <cell r="D28">
            <v>2000</v>
          </cell>
          <cell r="E28" t="str">
            <v>2001</v>
          </cell>
          <cell r="F28" t="str">
            <v>2002E</v>
          </cell>
          <cell r="G28" t="str">
            <v>2003E</v>
          </cell>
          <cell r="H28" t="str">
            <v>2004E</v>
          </cell>
          <cell r="I28" t="str">
            <v>2005E</v>
          </cell>
          <cell r="J28" t="str">
            <v>2006E</v>
          </cell>
        </row>
        <row r="30">
          <cell r="A30" t="str">
            <v>P/E</v>
          </cell>
          <cell r="B30">
            <v>18.416370106761565</v>
          </cell>
          <cell r="C30">
            <v>20.285216871165645</v>
          </cell>
          <cell r="D30">
            <v>17.354068267513394</v>
          </cell>
          <cell r="E30">
            <v>18.878918393782385</v>
          </cell>
          <cell r="F30">
            <v>23.599148947849496</v>
          </cell>
          <cell r="G30">
            <v>21.850587764396121</v>
          </cell>
          <cell r="H30">
            <v>17.987113681643365</v>
          </cell>
          <cell r="I30">
            <v>15.367273971485451</v>
          </cell>
          <cell r="J30">
            <v>13.497823496648838</v>
          </cell>
        </row>
        <row r="32">
          <cell r="A32" t="str">
            <v xml:space="preserve">2001-2004E EPS Compound </v>
          </cell>
          <cell r="F32">
            <v>1.6260884107447415E-2</v>
          </cell>
        </row>
        <row r="33">
          <cell r="A33" t="str">
            <v xml:space="preserve">2002-2005E EPS Compound </v>
          </cell>
          <cell r="F33">
            <v>0.15371844454996064</v>
          </cell>
        </row>
        <row r="34">
          <cell r="A34" t="str">
            <v xml:space="preserve">2002-2006E EPS Compound </v>
          </cell>
          <cell r="F34">
            <v>0.14989490353473611</v>
          </cell>
        </row>
        <row r="36">
          <cell r="A36" t="str">
            <v>Price / Free Cash Flow</v>
          </cell>
          <cell r="B36">
            <v>-0.17345347765538685</v>
          </cell>
          <cell r="C36">
            <v>-1899.4731797872341</v>
          </cell>
          <cell r="D36">
            <v>8.2054448023897049</v>
          </cell>
          <cell r="E36">
            <v>10.355554976220857</v>
          </cell>
          <cell r="F36">
            <v>7.3273508193207411</v>
          </cell>
          <cell r="G36">
            <v>6.5628055309126934</v>
          </cell>
          <cell r="H36">
            <v>5.4729729865721346</v>
          </cell>
          <cell r="I36">
            <v>4.810054141889351</v>
          </cell>
          <cell r="J36">
            <v>4.3065764909592206</v>
          </cell>
        </row>
        <row r="37">
          <cell r="A37" t="str">
            <v>Price / Operating Cash Flow</v>
          </cell>
          <cell r="B37">
            <v>0.20156974362158503</v>
          </cell>
          <cell r="C37">
            <v>18.316626887566677</v>
          </cell>
          <cell r="D37">
            <v>12.322324285714284</v>
          </cell>
          <cell r="E37">
            <v>11.24656581632653</v>
          </cell>
          <cell r="F37">
            <v>10.938870487309526</v>
          </cell>
          <cell r="G37">
            <v>9.635981195020312</v>
          </cell>
          <cell r="H37">
            <v>8.5165375262886993</v>
          </cell>
          <cell r="I37">
            <v>7.643912935500512</v>
          </cell>
          <cell r="J37">
            <v>6.9521883586751141</v>
          </cell>
        </row>
        <row r="39">
          <cell r="A39" t="str">
            <v>EBITDA/Sales</v>
          </cell>
          <cell r="B39">
            <v>0.26602462898642248</v>
          </cell>
          <cell r="C39">
            <v>0.25678537809852525</v>
          </cell>
          <cell r="D39">
            <v>0.25955778237664745</v>
          </cell>
          <cell r="E39">
            <v>0.28818757035829357</v>
          </cell>
          <cell r="F39">
            <v>0.28228032895386285</v>
          </cell>
          <cell r="G39">
            <v>0.28413630472336271</v>
          </cell>
          <cell r="H39">
            <v>0.29482207439084385</v>
          </cell>
          <cell r="I39">
            <v>0.30340476189169013</v>
          </cell>
          <cell r="J39">
            <v>0.30982760528353109</v>
          </cell>
        </row>
        <row r="40">
          <cell r="A40" t="str">
            <v>EV/EBITDA</v>
          </cell>
          <cell r="B40">
            <v>17.869732937685459</v>
          </cell>
          <cell r="C40">
            <v>15.389506612237758</v>
          </cell>
          <cell r="D40">
            <v>14.156558882361168</v>
          </cell>
          <cell r="E40">
            <v>13.391330744881465</v>
          </cell>
          <cell r="F40">
            <v>12.963038882687059</v>
          </cell>
          <cell r="G40">
            <v>11.045403486473864</v>
          </cell>
          <cell r="H40">
            <v>9.729071217490338</v>
          </cell>
          <cell r="I40">
            <v>8.7091531499273138</v>
          </cell>
          <cell r="J40">
            <v>7.9044884236322446</v>
          </cell>
        </row>
        <row r="41">
          <cell r="A41" t="str">
            <v>EV/Sales</v>
          </cell>
          <cell r="B41">
            <v>4.753789074834228</v>
          </cell>
          <cell r="C41">
            <v>3.9518002741732272</v>
          </cell>
          <cell r="D41">
            <v>3.6744450295900952</v>
          </cell>
          <cell r="E41">
            <v>3.8592150712317066</v>
          </cell>
          <cell r="F41">
            <v>3.6592108800466177</v>
          </cell>
          <cell r="G41">
            <v>3.1384001308252309</v>
          </cell>
          <cell r="H41">
            <v>2.8683449582367539</v>
          </cell>
          <cell r="I41">
            <v>2.6423985377319599</v>
          </cell>
          <cell r="J41">
            <v>2.4490287192853719</v>
          </cell>
        </row>
        <row r="43">
          <cell r="A43" t="str">
            <v>Return on Average Shareholder's Equity</v>
          </cell>
          <cell r="B43">
            <v>0.23054248086340512</v>
          </cell>
          <cell r="C43">
            <v>0.17685707970825212</v>
          </cell>
          <cell r="D43">
            <v>0.2129674857179264</v>
          </cell>
          <cell r="E43">
            <v>0.19602615374849236</v>
          </cell>
          <cell r="F43">
            <v>0.1423949474635425</v>
          </cell>
          <cell r="G43">
            <v>0.13116752820865685</v>
          </cell>
          <cell r="H43">
            <v>0.13497368029182447</v>
          </cell>
          <cell r="I43">
            <v>0.13447183721011022</v>
          </cell>
          <cell r="J43">
            <v>0.13129615897720551</v>
          </cell>
        </row>
        <row r="45">
          <cell r="A45" t="str">
            <v>Key Ratios</v>
          </cell>
          <cell r="B45">
            <v>1998</v>
          </cell>
          <cell r="C45">
            <v>1999</v>
          </cell>
          <cell r="D45">
            <v>2000</v>
          </cell>
          <cell r="E45" t="str">
            <v>2001</v>
          </cell>
          <cell r="F45" t="str">
            <v>2002E</v>
          </cell>
          <cell r="G45" t="str">
            <v>2003E</v>
          </cell>
          <cell r="H45" t="str">
            <v>2004E</v>
          </cell>
          <cell r="I45" t="str">
            <v>2005E</v>
          </cell>
          <cell r="J45" t="str">
            <v>2006E</v>
          </cell>
        </row>
        <row r="47">
          <cell r="A47" t="str">
            <v>Margins</v>
          </cell>
        </row>
        <row r="48">
          <cell r="A48" t="str">
            <v xml:space="preserve">   Gross</v>
          </cell>
          <cell r="B48">
            <v>0.70129460056836124</v>
          </cell>
          <cell r="C48">
            <v>0.69355977408220892</v>
          </cell>
          <cell r="D48">
            <v>0.69338851976908833</v>
          </cell>
          <cell r="E48">
            <v>0.76666278482978145</v>
          </cell>
          <cell r="F48">
            <v>0.76</v>
          </cell>
          <cell r="G48">
            <v>0.76400000000000001</v>
          </cell>
          <cell r="H48">
            <v>0.76600000000000001</v>
          </cell>
          <cell r="I48">
            <v>0.76800000000000013</v>
          </cell>
          <cell r="J48">
            <v>0.77</v>
          </cell>
        </row>
        <row r="49">
          <cell r="A49" t="str">
            <v xml:space="preserve">   Operating</v>
          </cell>
          <cell r="B49">
            <v>0.18420429428481214</v>
          </cell>
          <cell r="C49">
            <v>0.16057420771885786</v>
          </cell>
          <cell r="D49">
            <v>0.15615582906727662</v>
          </cell>
          <cell r="E49">
            <v>0.17227592096580102</v>
          </cell>
          <cell r="F49">
            <v>0.17656808400797994</v>
          </cell>
          <cell r="G49">
            <v>0.18530181426725256</v>
          </cell>
          <cell r="H49">
            <v>0.20163129899098567</v>
          </cell>
          <cell r="I49">
            <v>0.21472379015025012</v>
          </cell>
          <cell r="J49">
            <v>0.22481625655552623</v>
          </cell>
        </row>
        <row r="50">
          <cell r="A50" t="str">
            <v xml:space="preserve">   Net Income</v>
          </cell>
          <cell r="B50">
            <v>0.19138774865803598</v>
          </cell>
          <cell r="C50">
            <v>0.1726153122058362</v>
          </cell>
          <cell r="D50">
            <v>0.18204262426024762</v>
          </cell>
          <cell r="E50">
            <v>0.17980668452311635</v>
          </cell>
          <cell r="F50">
            <v>0.13638765342519674</v>
          </cell>
          <cell r="G50">
            <v>0.12633658976366877</v>
          </cell>
          <cell r="H50">
            <v>0.14026646780601365</v>
          </cell>
          <cell r="I50">
            <v>0.15124653935665211</v>
          </cell>
          <cell r="J50">
            <v>0.15959309361621563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C81" dT="2022-09-13T11:07:18.69" personId="{8A593782-0C54-4957-8AFA-F9666DD85167}" id="{A29B3FF7-0F38-41FD-8B90-13892A472691}">
    <text>Was 1,197</text>
  </threadedComment>
</ThreadedComment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7" sqref="B47:C47"/>
    </sheetView>
  </sheetViews>
  <sheetFormatPr defaultRowHeight="12.75"/>
  <cols>
    <col min="1" max="1" width="5" bestFit="1" customWidth="1"/>
    <col min="2" max="2" width="13.85546875" customWidth="1"/>
    <col min="3" max="3" width="13.5703125" customWidth="1"/>
    <col min="4" max="4" width="10.140625" style="78" customWidth="1"/>
    <col min="5" max="5" width="17.140625" customWidth="1"/>
  </cols>
  <sheetData>
    <row r="1" spans="1:11">
      <c r="A1" s="79" t="s">
        <v>8</v>
      </c>
    </row>
    <row r="2" spans="1:11">
      <c r="B2" s="75" t="s">
        <v>761</v>
      </c>
      <c r="C2" s="75" t="s">
        <v>762</v>
      </c>
      <c r="D2" s="80" t="s">
        <v>3</v>
      </c>
      <c r="E2" s="75" t="s">
        <v>766</v>
      </c>
      <c r="K2" t="s">
        <v>199</v>
      </c>
    </row>
    <row r="3" spans="1:11">
      <c r="C3" s="75" t="s">
        <v>583</v>
      </c>
      <c r="D3" s="80" t="s">
        <v>362</v>
      </c>
      <c r="E3" s="75" t="s">
        <v>361</v>
      </c>
    </row>
    <row r="4" spans="1:11">
      <c r="B4" s="75" t="s">
        <v>780</v>
      </c>
      <c r="C4" s="75" t="s">
        <v>779</v>
      </c>
      <c r="D4" s="50" t="s">
        <v>338</v>
      </c>
      <c r="E4" s="50" t="s">
        <v>337</v>
      </c>
      <c r="F4" s="57">
        <v>1</v>
      </c>
      <c r="G4" s="50">
        <v>1995</v>
      </c>
      <c r="H4" s="81" t="s">
        <v>187</v>
      </c>
    </row>
    <row r="5" spans="1:11">
      <c r="B5" s="75" t="s">
        <v>490</v>
      </c>
      <c r="C5" s="75" t="s">
        <v>781</v>
      </c>
      <c r="D5" s="59" t="s">
        <v>584</v>
      </c>
      <c r="E5" s="50"/>
      <c r="F5" s="59" t="s">
        <v>585</v>
      </c>
      <c r="G5" s="59" t="s">
        <v>586</v>
      </c>
      <c r="H5" s="59" t="s">
        <v>449</v>
      </c>
    </row>
    <row r="6" spans="1:11">
      <c r="B6" s="79" t="s">
        <v>11</v>
      </c>
      <c r="D6" s="50" t="s">
        <v>15</v>
      </c>
      <c r="E6" s="50" t="s">
        <v>220</v>
      </c>
      <c r="F6" s="57">
        <v>1</v>
      </c>
      <c r="G6" s="50">
        <v>2008</v>
      </c>
    </row>
    <row r="7" spans="1:11">
      <c r="B7" s="75" t="s">
        <v>763</v>
      </c>
    </row>
    <row r="8" spans="1:11">
      <c r="B8" s="66" t="s">
        <v>420</v>
      </c>
      <c r="C8" s="50" t="s">
        <v>229</v>
      </c>
      <c r="D8" s="50"/>
      <c r="E8" s="57"/>
      <c r="F8" s="59" t="s">
        <v>421</v>
      </c>
      <c r="G8" s="60" t="s">
        <v>207</v>
      </c>
      <c r="J8" s="51"/>
    </row>
    <row r="9" spans="1:11">
      <c r="B9" s="79" t="s">
        <v>473</v>
      </c>
      <c r="D9" s="50" t="s">
        <v>229</v>
      </c>
      <c r="E9" s="50" t="s">
        <v>236</v>
      </c>
      <c r="F9" s="57">
        <v>1</v>
      </c>
      <c r="G9" s="58">
        <v>38191</v>
      </c>
      <c r="H9" s="59" t="s">
        <v>657</v>
      </c>
    </row>
    <row r="10" spans="1:11">
      <c r="B10" s="4" t="s">
        <v>472</v>
      </c>
      <c r="D10" s="59" t="s">
        <v>229</v>
      </c>
      <c r="E10" s="50"/>
      <c r="F10" s="65">
        <v>1</v>
      </c>
      <c r="G10" s="58">
        <v>37554</v>
      </c>
      <c r="H10" s="59" t="s">
        <v>475</v>
      </c>
    </row>
    <row r="11" spans="1:11">
      <c r="B11" s="79" t="s">
        <v>777</v>
      </c>
      <c r="C11" s="75" t="s">
        <v>778</v>
      </c>
      <c r="D11" s="50" t="s">
        <v>188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444</v>
      </c>
      <c r="D12" s="50" t="s">
        <v>205</v>
      </c>
      <c r="E12" s="50" t="s">
        <v>219</v>
      </c>
      <c r="F12" s="57">
        <v>1</v>
      </c>
      <c r="G12" s="50">
        <v>2002</v>
      </c>
      <c r="H12" s="50" t="s">
        <v>441</v>
      </c>
    </row>
    <row r="13" spans="1:11">
      <c r="B13" s="79" t="s">
        <v>128</v>
      </c>
      <c r="D13" s="50" t="s">
        <v>155</v>
      </c>
      <c r="E13" s="50" t="s">
        <v>221</v>
      </c>
      <c r="F13" s="57">
        <v>1</v>
      </c>
      <c r="G13" s="50"/>
      <c r="H13" s="50" t="s">
        <v>449</v>
      </c>
      <c r="J13" s="51"/>
    </row>
    <row r="14" spans="1:11">
      <c r="B14" s="66" t="s">
        <v>96</v>
      </c>
      <c r="C14" s="50" t="s">
        <v>398</v>
      </c>
      <c r="D14" s="50" t="s">
        <v>399</v>
      </c>
      <c r="E14" s="57" t="s">
        <v>401</v>
      </c>
      <c r="F14" s="50"/>
      <c r="G14" s="60" t="s">
        <v>400</v>
      </c>
      <c r="J14" s="51"/>
    </row>
    <row r="15" spans="1:11">
      <c r="B15" s="64" t="s">
        <v>606</v>
      </c>
      <c r="C15" s="59" t="s">
        <v>607</v>
      </c>
      <c r="D15" s="59" t="s">
        <v>608</v>
      </c>
      <c r="E15" s="65" t="s">
        <v>168</v>
      </c>
      <c r="F15" s="59" t="s">
        <v>609</v>
      </c>
      <c r="G15" s="60"/>
      <c r="J15" s="51"/>
    </row>
    <row r="16" spans="1:11">
      <c r="B16" s="64" t="s">
        <v>637</v>
      </c>
      <c r="C16" s="59" t="s">
        <v>638</v>
      </c>
      <c r="D16" s="59" t="s">
        <v>639</v>
      </c>
      <c r="E16" s="65">
        <v>1</v>
      </c>
      <c r="F16" s="59">
        <v>2005</v>
      </c>
      <c r="G16" s="63" t="s">
        <v>640</v>
      </c>
      <c r="J16" s="51"/>
    </row>
    <row r="17" spans="2:11">
      <c r="B17" s="76" t="s">
        <v>162</v>
      </c>
      <c r="C17" s="50"/>
      <c r="D17" s="50"/>
      <c r="E17" s="57"/>
      <c r="F17" s="50"/>
      <c r="G17" s="50"/>
      <c r="J17" s="51"/>
    </row>
    <row r="18" spans="2:11">
      <c r="B18" s="79"/>
      <c r="C18" s="50"/>
      <c r="D18" s="50"/>
      <c r="E18" s="57"/>
      <c r="F18" s="50"/>
      <c r="G18" s="50"/>
      <c r="J18" s="51"/>
    </row>
    <row r="19" spans="2:11">
      <c r="B19" s="18" t="s">
        <v>677</v>
      </c>
    </row>
    <row r="20" spans="2:11">
      <c r="B20" s="75" t="s">
        <v>360</v>
      </c>
      <c r="D20" s="80" t="s">
        <v>362</v>
      </c>
      <c r="E20" s="75" t="s">
        <v>361</v>
      </c>
    </row>
    <row r="21" spans="2:11">
      <c r="B21" s="75" t="s">
        <v>768</v>
      </c>
      <c r="C21" s="75" t="s">
        <v>767</v>
      </c>
      <c r="D21" s="80" t="s">
        <v>229</v>
      </c>
      <c r="E21" s="75" t="s">
        <v>224</v>
      </c>
    </row>
    <row r="22" spans="2:11">
      <c r="B22" s="4" t="s">
        <v>467</v>
      </c>
    </row>
    <row r="23" spans="2:11">
      <c r="B23" s="4" t="s">
        <v>468</v>
      </c>
    </row>
    <row r="24" spans="2:11">
      <c r="B24" s="4" t="s">
        <v>681</v>
      </c>
    </row>
    <row r="25" spans="2:11">
      <c r="B25" s="4" t="s">
        <v>682</v>
      </c>
    </row>
    <row r="26" spans="2:11">
      <c r="B26" s="4" t="s">
        <v>688</v>
      </c>
    </row>
    <row r="27" spans="2:11">
      <c r="B27" s="79" t="s">
        <v>341</v>
      </c>
      <c r="C27" t="s">
        <v>340</v>
      </c>
      <c r="D27" s="78" t="s">
        <v>217</v>
      </c>
      <c r="E27" s="57"/>
      <c r="G27" s="50" t="s">
        <v>335</v>
      </c>
      <c r="H27" s="50" t="s">
        <v>390</v>
      </c>
      <c r="I27" s="50" t="s">
        <v>207</v>
      </c>
      <c r="J27" s="4"/>
      <c r="K27" s="51"/>
    </row>
    <row r="28" spans="2:11">
      <c r="B28" s="79" t="s">
        <v>124</v>
      </c>
      <c r="C28" s="77" t="s">
        <v>342</v>
      </c>
      <c r="D28" s="78" t="s">
        <v>217</v>
      </c>
      <c r="E28" s="57"/>
      <c r="G28" s="50" t="s">
        <v>335</v>
      </c>
      <c r="H28" s="50"/>
      <c r="I28" s="50"/>
      <c r="K28" s="51"/>
    </row>
    <row r="29" spans="2:11">
      <c r="B29" s="75" t="s">
        <v>770</v>
      </c>
      <c r="C29" s="75" t="s">
        <v>769</v>
      </c>
      <c r="D29" s="78" t="s">
        <v>261</v>
      </c>
      <c r="E29" s="50" t="s">
        <v>434</v>
      </c>
      <c r="F29" s="57">
        <v>1</v>
      </c>
      <c r="G29" s="50" t="s">
        <v>335</v>
      </c>
    </row>
    <row r="30" spans="2:11">
      <c r="B30" s="79" t="s">
        <v>775</v>
      </c>
      <c r="C30" s="75" t="s">
        <v>417</v>
      </c>
      <c r="D30" s="78" t="s">
        <v>453</v>
      </c>
      <c r="E30" s="50" t="s">
        <v>392</v>
      </c>
      <c r="F30" s="57">
        <v>1</v>
      </c>
      <c r="G30" s="50" t="s">
        <v>335</v>
      </c>
      <c r="H30" s="50" t="s">
        <v>207</v>
      </c>
    </row>
    <row r="31" spans="2:11">
      <c r="B31" s="56" t="s">
        <v>344</v>
      </c>
      <c r="C31" s="50" t="s">
        <v>262</v>
      </c>
      <c r="D31" s="59" t="s">
        <v>345</v>
      </c>
      <c r="E31" s="59" t="s">
        <v>674</v>
      </c>
      <c r="F31" s="50" t="s">
        <v>335</v>
      </c>
      <c r="G31" s="60"/>
      <c r="J31" s="51"/>
    </row>
    <row r="32" spans="2:11">
      <c r="B32" s="64" t="s">
        <v>595</v>
      </c>
      <c r="C32" s="59" t="s">
        <v>229</v>
      </c>
      <c r="D32" s="59" t="s">
        <v>236</v>
      </c>
      <c r="E32" s="65">
        <v>1</v>
      </c>
      <c r="F32" s="59" t="s">
        <v>586</v>
      </c>
      <c r="G32" s="63"/>
      <c r="I32" s="4"/>
      <c r="J32" s="51"/>
    </row>
    <row r="33" spans="2:10">
      <c r="B33" s="64" t="s">
        <v>579</v>
      </c>
      <c r="C33" s="59" t="s">
        <v>581</v>
      </c>
      <c r="D33" s="59" t="s">
        <v>582</v>
      </c>
      <c r="E33" s="65" t="s">
        <v>580</v>
      </c>
      <c r="F33" s="50" t="s">
        <v>335</v>
      </c>
    </row>
    <row r="34" spans="2:10">
      <c r="B34" s="76" t="s">
        <v>828</v>
      </c>
      <c r="C34" s="50" t="s">
        <v>260</v>
      </c>
      <c r="D34" s="50"/>
      <c r="E34" s="50"/>
      <c r="F34" s="50" t="s">
        <v>343</v>
      </c>
      <c r="G34" s="60"/>
      <c r="I34" s="4"/>
      <c r="J34" s="51"/>
    </row>
    <row r="35" spans="2:10">
      <c r="B35" s="66" t="s">
        <v>386</v>
      </c>
      <c r="C35" s="50" t="s">
        <v>387</v>
      </c>
      <c r="D35" s="50" t="s">
        <v>388</v>
      </c>
      <c r="E35" s="57">
        <v>1</v>
      </c>
      <c r="F35" s="50" t="s">
        <v>389</v>
      </c>
    </row>
    <row r="36" spans="2:10">
      <c r="B36" s="64" t="s">
        <v>415</v>
      </c>
      <c r="C36" s="59" t="s">
        <v>229</v>
      </c>
    </row>
    <row r="37" spans="2:10">
      <c r="B37" t="s">
        <v>596</v>
      </c>
    </row>
    <row r="38" spans="2:10">
      <c r="B38" s="66" t="s">
        <v>263</v>
      </c>
      <c r="C38" s="50" t="s">
        <v>12</v>
      </c>
      <c r="D38" s="77" t="s">
        <v>837</v>
      </c>
      <c r="E38" s="50"/>
      <c r="F38" s="50" t="s">
        <v>343</v>
      </c>
    </row>
    <row r="39" spans="2:10">
      <c r="B39" s="76" t="s">
        <v>426</v>
      </c>
      <c r="C39" s="50" t="s">
        <v>427</v>
      </c>
      <c r="D39" s="50"/>
      <c r="E39" s="50"/>
      <c r="F39" s="50" t="s">
        <v>343</v>
      </c>
    </row>
    <row r="40" spans="2:10">
      <c r="B40" s="66" t="s">
        <v>333</v>
      </c>
      <c r="C40" s="50" t="s">
        <v>1</v>
      </c>
      <c r="D40" s="50" t="s">
        <v>334</v>
      </c>
      <c r="E40" s="57">
        <v>1</v>
      </c>
      <c r="F40" s="50" t="s">
        <v>391</v>
      </c>
    </row>
    <row r="41" spans="2:10">
      <c r="B41" s="66" t="s">
        <v>430</v>
      </c>
      <c r="C41" s="77" t="s">
        <v>831</v>
      </c>
      <c r="D41" s="77" t="s">
        <v>864</v>
      </c>
      <c r="E41" s="57"/>
      <c r="F41" s="50" t="s">
        <v>391</v>
      </c>
    </row>
    <row r="42" spans="2:10">
      <c r="B42" s="66" t="s">
        <v>429</v>
      </c>
      <c r="C42" s="50"/>
      <c r="D42" s="77" t="s">
        <v>865</v>
      </c>
      <c r="E42" s="57"/>
      <c r="F42" s="50" t="s">
        <v>391</v>
      </c>
    </row>
    <row r="43" spans="2:10">
      <c r="B43" s="66" t="s">
        <v>432</v>
      </c>
      <c r="C43" s="50" t="s">
        <v>433</v>
      </c>
      <c r="D43" s="77" t="s">
        <v>866</v>
      </c>
      <c r="E43" s="57"/>
      <c r="F43" s="50" t="s">
        <v>391</v>
      </c>
    </row>
    <row r="44" spans="2:10">
      <c r="B44" s="66" t="s">
        <v>431</v>
      </c>
      <c r="C44" s="50"/>
      <c r="D44" s="77" t="s">
        <v>868</v>
      </c>
      <c r="E44" s="121" t="s">
        <v>867</v>
      </c>
      <c r="F44" s="50" t="s">
        <v>391</v>
      </c>
    </row>
    <row r="45" spans="2:10">
      <c r="B45" s="66" t="s">
        <v>159</v>
      </c>
      <c r="C45" s="50" t="s">
        <v>160</v>
      </c>
    </row>
    <row r="46" spans="2:10">
      <c r="B46" s="66" t="s">
        <v>363</v>
      </c>
      <c r="C46" s="50" t="s">
        <v>362</v>
      </c>
      <c r="D46" s="50" t="s">
        <v>364</v>
      </c>
      <c r="E46" s="57">
        <v>1</v>
      </c>
    </row>
    <row r="47" spans="2:10">
      <c r="B47" s="68" t="s">
        <v>161</v>
      </c>
      <c r="C47" s="69" t="s">
        <v>160</v>
      </c>
    </row>
  </sheetData>
  <hyperlinks>
    <hyperlink ref="B27" location="'524'!A1" display="MK-524A" xr:uid="{00000000-0004-0000-0000-000000000000}"/>
    <hyperlink ref="B28" location="'524'!A1" display="MK-524B" xr:uid="{00000000-0004-0000-0000-000001000000}"/>
    <hyperlink ref="A1" location="Main!A1" display="Main" xr:uid="{906BAA23-997E-4339-827F-58C0E4D40446}"/>
    <hyperlink ref="B3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31" location="odanacatib!A1" display="odanacatib (MK-0882)" xr:uid="{00000000-0004-0000-0200-00000C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761</v>
      </c>
      <c r="C2" t="s">
        <v>930</v>
      </c>
    </row>
    <row r="3" spans="1:3">
      <c r="B3" t="s">
        <v>269</v>
      </c>
      <c r="C3" t="s">
        <v>933</v>
      </c>
    </row>
    <row r="4" spans="1:3">
      <c r="B4" t="s">
        <v>766</v>
      </c>
      <c r="C4" t="s">
        <v>934</v>
      </c>
    </row>
    <row r="5" spans="1:3">
      <c r="B5" t="s">
        <v>211</v>
      </c>
    </row>
    <row r="6" spans="1:3">
      <c r="C6" s="128" t="s">
        <v>935</v>
      </c>
    </row>
    <row r="7" spans="1:3">
      <c r="C7" t="s">
        <v>936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5" t="s">
        <v>761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885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444</v>
      </c>
    </row>
    <row r="4" spans="1:12">
      <c r="B4" s="1" t="s">
        <v>269</v>
      </c>
      <c r="C4" s="1" t="s">
        <v>445</v>
      </c>
    </row>
    <row r="5" spans="1:12">
      <c r="B5" s="1" t="s">
        <v>6</v>
      </c>
      <c r="C5" s="1" t="s">
        <v>446</v>
      </c>
    </row>
    <row r="6" spans="1:12">
      <c r="B6" s="1" t="s">
        <v>208</v>
      </c>
      <c r="C6" s="1" t="s">
        <v>448</v>
      </c>
    </row>
    <row r="8" spans="1:12">
      <c r="B8" s="1" t="s">
        <v>447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258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259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450</v>
      </c>
      <c r="D14" s="17" t="s">
        <v>451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286</v>
      </c>
    </row>
    <row r="3" spans="1:3">
      <c r="A3" s="3"/>
      <c r="B3" s="1" t="s">
        <v>178</v>
      </c>
      <c r="C3" s="1" t="s">
        <v>314</v>
      </c>
    </row>
    <row r="4" spans="1:3">
      <c r="A4" s="3"/>
      <c r="B4" s="1" t="s">
        <v>3</v>
      </c>
      <c r="C4" s="1" t="s">
        <v>320</v>
      </c>
    </row>
    <row r="5" spans="1:3">
      <c r="A5" s="3"/>
      <c r="B5" s="1" t="s">
        <v>208</v>
      </c>
      <c r="C5" s="1" t="s">
        <v>321</v>
      </c>
    </row>
    <row r="6" spans="1:3">
      <c r="A6" s="3"/>
      <c r="C6" s="1" t="s">
        <v>322</v>
      </c>
    </row>
    <row r="7" spans="1:3">
      <c r="A7" s="3"/>
      <c r="C7" s="1" t="s">
        <v>323</v>
      </c>
    </row>
    <row r="8" spans="1:3">
      <c r="A8" s="3"/>
      <c r="B8" s="1" t="s">
        <v>193</v>
      </c>
      <c r="C8" s="1" t="s">
        <v>228</v>
      </c>
    </row>
    <row r="9" spans="1:3">
      <c r="B9" s="1" t="s">
        <v>315</v>
      </c>
      <c r="C9" s="1" t="s">
        <v>316</v>
      </c>
    </row>
    <row r="10" spans="1:3">
      <c r="C10" s="1" t="s">
        <v>122</v>
      </c>
    </row>
    <row r="11" spans="1:3">
      <c r="B11" s="1" t="s">
        <v>309</v>
      </c>
      <c r="C11" s="1" t="s">
        <v>317</v>
      </c>
    </row>
    <row r="12" spans="1:3">
      <c r="C12" s="1" t="s">
        <v>325</v>
      </c>
    </row>
    <row r="13" spans="1:3">
      <c r="C13" s="1" t="s">
        <v>326</v>
      </c>
    </row>
    <row r="14" spans="1:3">
      <c r="C14" s="1" t="s">
        <v>327</v>
      </c>
    </row>
    <row r="15" spans="1:3">
      <c r="B15" s="1" t="s">
        <v>318</v>
      </c>
      <c r="C15" s="1" t="s">
        <v>319</v>
      </c>
    </row>
    <row r="16" spans="1:3">
      <c r="B16" s="16" t="s">
        <v>6</v>
      </c>
      <c r="C16" s="16" t="s">
        <v>642</v>
      </c>
    </row>
    <row r="17" spans="2:5">
      <c r="B17" s="16"/>
      <c r="C17" s="16" t="s">
        <v>643</v>
      </c>
    </row>
    <row r="18" spans="2:5">
      <c r="B18" s="16"/>
      <c r="C18" s="16" t="s">
        <v>644</v>
      </c>
    </row>
    <row r="19" spans="2:5">
      <c r="B19" s="16"/>
      <c r="C19" s="16" t="s">
        <v>645</v>
      </c>
    </row>
    <row r="20" spans="2:5">
      <c r="B20" s="1" t="s">
        <v>211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402</v>
      </c>
    </row>
    <row r="27" spans="2:5">
      <c r="C27" s="1" t="s">
        <v>403</v>
      </c>
    </row>
    <row r="29" spans="2:5">
      <c r="B29" s="1" t="s">
        <v>324</v>
      </c>
    </row>
    <row r="30" spans="2:5">
      <c r="D30" s="2" t="s">
        <v>284</v>
      </c>
      <c r="E30" s="2" t="s">
        <v>285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384</v>
      </c>
    </row>
    <row r="3" spans="1:3">
      <c r="B3" s="1" t="s">
        <v>178</v>
      </c>
      <c r="C3" s="1" t="s">
        <v>435</v>
      </c>
    </row>
    <row r="4" spans="1:3">
      <c r="B4" s="16" t="s">
        <v>208</v>
      </c>
      <c r="C4" s="16" t="s">
        <v>345</v>
      </c>
    </row>
    <row r="5" spans="1:3">
      <c r="B5" s="16" t="s">
        <v>368</v>
      </c>
      <c r="C5" s="16" t="s">
        <v>656</v>
      </c>
    </row>
    <row r="6" spans="1:3">
      <c r="B6" s="1" t="s">
        <v>211</v>
      </c>
    </row>
    <row r="7" spans="1:3">
      <c r="C7" s="12" t="s">
        <v>436</v>
      </c>
    </row>
    <row r="8" spans="1:3">
      <c r="C8" s="1" t="s">
        <v>437</v>
      </c>
    </row>
    <row r="10" spans="1:3">
      <c r="C10" s="12" t="s">
        <v>676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671</v>
      </c>
    </row>
    <row r="4" spans="1:11">
      <c r="B4" s="1" t="s">
        <v>208</v>
      </c>
      <c r="C4" s="1" t="s">
        <v>223</v>
      </c>
    </row>
    <row r="5" spans="1:11">
      <c r="B5" s="1" t="s">
        <v>269</v>
      </c>
      <c r="C5" s="37" t="s">
        <v>672</v>
      </c>
    </row>
    <row r="6" spans="1:11">
      <c r="B6" s="1" t="s">
        <v>211</v>
      </c>
    </row>
    <row r="7" spans="1:11">
      <c r="C7" s="12" t="s">
        <v>670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673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231</v>
      </c>
    </row>
    <row r="15" spans="1:11">
      <c r="C15" s="1" t="s">
        <v>121</v>
      </c>
    </row>
    <row r="16" spans="1:11">
      <c r="C16" s="1" t="s">
        <v>385</v>
      </c>
    </row>
    <row r="18" spans="3:3">
      <c r="C18" s="12" t="s">
        <v>232</v>
      </c>
    </row>
    <row r="19" spans="3:3">
      <c r="C19" s="1" t="s">
        <v>233</v>
      </c>
    </row>
    <row r="20" spans="3:3">
      <c r="C20" s="1" t="s">
        <v>234</v>
      </c>
    </row>
    <row r="21" spans="3:3">
      <c r="C21" s="1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336</v>
      </c>
    </row>
    <row r="3" spans="1:3">
      <c r="B3" s="1" t="s">
        <v>178</v>
      </c>
    </row>
    <row r="4" spans="1:3">
      <c r="B4" s="1" t="s">
        <v>208</v>
      </c>
      <c r="C4" s="1" t="s">
        <v>210</v>
      </c>
    </row>
    <row r="5" spans="1:3">
      <c r="B5" s="1" t="s">
        <v>3</v>
      </c>
      <c r="C5" s="1" t="s">
        <v>209</v>
      </c>
    </row>
    <row r="6" spans="1:3">
      <c r="B6" s="1" t="s">
        <v>193</v>
      </c>
      <c r="C6" s="1" t="s">
        <v>352</v>
      </c>
    </row>
    <row r="7" spans="1:3">
      <c r="B7" s="1" t="s">
        <v>372</v>
      </c>
      <c r="C7" s="1" t="s">
        <v>373</v>
      </c>
    </row>
    <row r="8" spans="1:3">
      <c r="B8" s="1" t="s">
        <v>211</v>
      </c>
    </row>
    <row r="9" spans="1:3">
      <c r="C9" s="1" t="s">
        <v>212</v>
      </c>
    </row>
    <row r="11" spans="1:3">
      <c r="C11" s="12" t="s">
        <v>214</v>
      </c>
    </row>
    <row r="12" spans="1:3">
      <c r="C12" s="1" t="s">
        <v>216</v>
      </c>
    </row>
    <row r="13" spans="1:3">
      <c r="C13" s="1" t="s">
        <v>215</v>
      </c>
    </row>
    <row r="17" spans="3:3">
      <c r="C17" s="1" t="s">
        <v>213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405</v>
      </c>
    </row>
    <row r="3" spans="1:3">
      <c r="B3" t="s">
        <v>178</v>
      </c>
      <c r="C3" t="s">
        <v>404</v>
      </c>
    </row>
    <row r="4" spans="1:3">
      <c r="B4" t="s">
        <v>271</v>
      </c>
      <c r="C4" t="s">
        <v>272</v>
      </c>
    </row>
    <row r="5" spans="1:3">
      <c r="B5" t="s">
        <v>3</v>
      </c>
      <c r="C5" t="s">
        <v>406</v>
      </c>
    </row>
    <row r="6" spans="1:3">
      <c r="B6" t="s">
        <v>208</v>
      </c>
      <c r="C6" t="s">
        <v>407</v>
      </c>
    </row>
    <row r="7" spans="1:3">
      <c r="B7" t="s">
        <v>211</v>
      </c>
    </row>
    <row r="8" spans="1:3">
      <c r="C8" s="18" t="s">
        <v>410</v>
      </c>
    </row>
    <row r="12" spans="1:3">
      <c r="C12" s="18" t="s">
        <v>408</v>
      </c>
    </row>
    <row r="13" spans="1:3">
      <c r="C13" t="s">
        <v>409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370</v>
      </c>
    </row>
    <row r="3" spans="1:3">
      <c r="B3" s="1" t="s">
        <v>178</v>
      </c>
      <c r="C3" s="1" t="s">
        <v>365</v>
      </c>
    </row>
    <row r="4" spans="1:3">
      <c r="B4" s="1" t="s">
        <v>208</v>
      </c>
      <c r="C4" s="1" t="s">
        <v>367</v>
      </c>
    </row>
    <row r="5" spans="1:3">
      <c r="B5" s="1" t="s">
        <v>3</v>
      </c>
      <c r="C5" s="1" t="s">
        <v>230</v>
      </c>
    </row>
    <row r="6" spans="1:3">
      <c r="B6" s="1" t="s">
        <v>269</v>
      </c>
      <c r="C6" s="1" t="s">
        <v>366</v>
      </c>
    </row>
    <row r="7" spans="1:3">
      <c r="B7" s="1" t="s">
        <v>271</v>
      </c>
      <c r="C7" s="1" t="s">
        <v>207</v>
      </c>
    </row>
    <row r="8" spans="1:3">
      <c r="B8" s="1" t="s">
        <v>368</v>
      </c>
      <c r="C8" s="1" t="s">
        <v>369</v>
      </c>
    </row>
    <row r="9" spans="1:3">
      <c r="B9" s="1" t="s">
        <v>211</v>
      </c>
    </row>
    <row r="10" spans="1:3">
      <c r="C10" s="12" t="s">
        <v>411</v>
      </c>
    </row>
    <row r="11" spans="1:3">
      <c r="C11" s="1" t="s">
        <v>412</v>
      </c>
    </row>
    <row r="12" spans="1:3">
      <c r="C12" s="1" t="s">
        <v>413</v>
      </c>
    </row>
    <row r="13" spans="1:3">
      <c r="C13" s="1" t="s">
        <v>414</v>
      </c>
    </row>
    <row r="15" spans="1:3">
      <c r="C15" s="12" t="s">
        <v>371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2"/>
  <sheetViews>
    <sheetView tabSelected="1" zoomScale="175" zoomScaleNormal="175" workbookViewId="0">
      <selection activeCell="F29" sqref="F29"/>
    </sheetView>
  </sheetViews>
  <sheetFormatPr defaultRowHeight="12.75"/>
  <cols>
    <col min="1" max="1" width="2" customWidth="1"/>
    <col min="2" max="2" width="26.7109375" customWidth="1"/>
    <col min="3" max="3" width="30.42578125" customWidth="1"/>
    <col min="4" max="4" width="16.5703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5703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237</v>
      </c>
      <c r="G2" s="54" t="s">
        <v>6</v>
      </c>
      <c r="I2" t="s">
        <v>193</v>
      </c>
      <c r="J2" s="55">
        <v>110.37</v>
      </c>
      <c r="M2" s="4"/>
    </row>
    <row r="3" spans="1:13">
      <c r="B3" s="56" t="s">
        <v>313</v>
      </c>
      <c r="C3" s="50" t="s">
        <v>12</v>
      </c>
      <c r="D3" s="77" t="s">
        <v>771</v>
      </c>
      <c r="E3" s="57">
        <v>1</v>
      </c>
      <c r="F3" s="58">
        <v>39006</v>
      </c>
      <c r="G3" s="60">
        <v>2022</v>
      </c>
      <c r="I3" t="s">
        <v>328</v>
      </c>
      <c r="J3" s="61">
        <v>2542</v>
      </c>
      <c r="K3" s="62" t="s">
        <v>739</v>
      </c>
    </row>
    <row r="4" spans="1:13">
      <c r="B4" s="56" t="s">
        <v>287</v>
      </c>
      <c r="C4" s="50" t="s">
        <v>12</v>
      </c>
      <c r="D4" s="77" t="s">
        <v>771</v>
      </c>
      <c r="E4" s="57" t="s">
        <v>301</v>
      </c>
      <c r="F4" s="120">
        <v>39171</v>
      </c>
      <c r="G4" s="60" t="s">
        <v>207</v>
      </c>
      <c r="I4" t="s">
        <v>329</v>
      </c>
      <c r="J4" s="39">
        <f>J2*J3</f>
        <v>280560.54000000004</v>
      </c>
    </row>
    <row r="5" spans="1:13">
      <c r="B5" s="56" t="s">
        <v>764</v>
      </c>
      <c r="C5" s="77" t="s">
        <v>765</v>
      </c>
      <c r="D5" s="59" t="s">
        <v>701</v>
      </c>
      <c r="E5" s="57">
        <v>1</v>
      </c>
      <c r="F5" s="120">
        <v>41886</v>
      </c>
      <c r="G5" s="63" t="s">
        <v>272</v>
      </c>
      <c r="I5" t="s">
        <v>330</v>
      </c>
      <c r="J5" s="39">
        <v>10366</v>
      </c>
      <c r="K5" s="62" t="s">
        <v>738</v>
      </c>
    </row>
    <row r="6" spans="1:13">
      <c r="B6" s="76" t="s">
        <v>776</v>
      </c>
      <c r="C6" s="59" t="s">
        <v>573</v>
      </c>
      <c r="D6" s="59" t="s">
        <v>574</v>
      </c>
      <c r="E6" s="65" t="s">
        <v>575</v>
      </c>
      <c r="F6" s="58">
        <v>36031</v>
      </c>
      <c r="G6" s="63" t="s">
        <v>576</v>
      </c>
      <c r="I6" t="s">
        <v>331</v>
      </c>
      <c r="J6" s="39">
        <v>31663</v>
      </c>
      <c r="K6" s="62" t="s">
        <v>738</v>
      </c>
    </row>
    <row r="7" spans="1:13">
      <c r="B7" s="64" t="s">
        <v>605</v>
      </c>
      <c r="C7" s="59" t="s">
        <v>573</v>
      </c>
      <c r="D7" s="59" t="s">
        <v>574</v>
      </c>
      <c r="E7" s="65" t="s">
        <v>575</v>
      </c>
      <c r="F7" s="120">
        <v>39927</v>
      </c>
      <c r="G7" s="60"/>
      <c r="I7" t="s">
        <v>332</v>
      </c>
      <c r="J7" s="39">
        <f>J4-J5+J6</f>
        <v>301857.54000000004</v>
      </c>
    </row>
    <row r="8" spans="1:13">
      <c r="B8" s="56" t="s">
        <v>18</v>
      </c>
      <c r="C8" s="50" t="s">
        <v>222</v>
      </c>
      <c r="D8" s="50" t="s">
        <v>221</v>
      </c>
      <c r="E8" s="57" t="s">
        <v>168</v>
      </c>
      <c r="F8" s="50">
        <v>2006</v>
      </c>
      <c r="G8" s="63"/>
    </row>
    <row r="9" spans="1:13">
      <c r="B9" s="56" t="s">
        <v>13</v>
      </c>
      <c r="C9" s="50" t="s">
        <v>14</v>
      </c>
      <c r="D9" s="50" t="s">
        <v>221</v>
      </c>
      <c r="E9" s="57" t="s">
        <v>123</v>
      </c>
      <c r="F9" s="67">
        <v>38869</v>
      </c>
      <c r="G9" s="60" t="s">
        <v>449</v>
      </c>
    </row>
    <row r="10" spans="1:13">
      <c r="B10" s="76" t="s">
        <v>826</v>
      </c>
      <c r="C10" s="77" t="s">
        <v>827</v>
      </c>
      <c r="D10" s="77" t="s">
        <v>827</v>
      </c>
      <c r="E10" s="121" t="s">
        <v>168</v>
      </c>
      <c r="F10" s="58">
        <v>31377</v>
      </c>
      <c r="G10" s="60"/>
    </row>
    <row r="11" spans="1:13">
      <c r="B11" s="66" t="s">
        <v>346</v>
      </c>
      <c r="C11" s="50" t="s">
        <v>347</v>
      </c>
      <c r="D11" s="50" t="s">
        <v>348</v>
      </c>
      <c r="E11" s="57">
        <v>1</v>
      </c>
      <c r="F11" s="50">
        <v>2001</v>
      </c>
      <c r="G11" s="60"/>
      <c r="I11" s="75" t="s">
        <v>798</v>
      </c>
    </row>
    <row r="12" spans="1:13">
      <c r="B12" s="127" t="s">
        <v>847</v>
      </c>
      <c r="C12" s="77" t="s">
        <v>831</v>
      </c>
      <c r="D12" s="77" t="s">
        <v>848</v>
      </c>
      <c r="E12" s="121" t="s">
        <v>849</v>
      </c>
      <c r="F12" s="58">
        <v>41992</v>
      </c>
      <c r="G12" s="60"/>
    </row>
    <row r="13" spans="1:13">
      <c r="B13" s="76" t="s">
        <v>850</v>
      </c>
      <c r="C13" s="77" t="s">
        <v>831</v>
      </c>
      <c r="D13" s="77" t="s">
        <v>851</v>
      </c>
      <c r="E13" s="121" t="s">
        <v>852</v>
      </c>
      <c r="F13" s="58">
        <v>42048</v>
      </c>
      <c r="G13" s="60"/>
    </row>
    <row r="14" spans="1:13">
      <c r="B14" s="76" t="s">
        <v>810</v>
      </c>
      <c r="C14" s="77" t="s">
        <v>811</v>
      </c>
      <c r="D14" s="77" t="s">
        <v>812</v>
      </c>
      <c r="E14" s="57">
        <v>1</v>
      </c>
      <c r="F14" s="50"/>
      <c r="G14" s="60"/>
    </row>
    <row r="15" spans="1:13">
      <c r="B15" s="76" t="s">
        <v>853</v>
      </c>
      <c r="C15" s="77" t="s">
        <v>854</v>
      </c>
      <c r="D15" s="50"/>
      <c r="E15" s="57">
        <v>1</v>
      </c>
      <c r="F15" s="58">
        <v>42353</v>
      </c>
      <c r="G15" s="60"/>
    </row>
    <row r="16" spans="1:13">
      <c r="B16" s="76" t="s">
        <v>855</v>
      </c>
      <c r="C16" s="77" t="s">
        <v>856</v>
      </c>
      <c r="D16" s="50"/>
      <c r="E16" s="121" t="s">
        <v>857</v>
      </c>
      <c r="F16" s="58">
        <v>43924</v>
      </c>
      <c r="G16" s="60"/>
    </row>
    <row r="17" spans="2:9">
      <c r="B17" s="127" t="s">
        <v>917</v>
      </c>
      <c r="C17" s="77" t="s">
        <v>918</v>
      </c>
      <c r="D17" s="77" t="s">
        <v>922</v>
      </c>
      <c r="E17" s="121" t="s">
        <v>919</v>
      </c>
      <c r="F17" s="58"/>
      <c r="G17" s="60"/>
    </row>
    <row r="18" spans="2:9">
      <c r="B18" s="76" t="s">
        <v>829</v>
      </c>
      <c r="C18" s="77" t="s">
        <v>597</v>
      </c>
      <c r="D18" s="77" t="s">
        <v>678</v>
      </c>
      <c r="E18" s="57">
        <v>1</v>
      </c>
      <c r="F18" s="50"/>
      <c r="G18" s="60"/>
    </row>
    <row r="19" spans="2:9">
      <c r="B19" s="66" t="s">
        <v>16</v>
      </c>
      <c r="C19" s="50" t="s">
        <v>17</v>
      </c>
      <c r="D19" s="50" t="s">
        <v>221</v>
      </c>
      <c r="E19" s="57">
        <v>1</v>
      </c>
      <c r="F19" s="50"/>
      <c r="G19" s="60"/>
    </row>
    <row r="20" spans="2:9">
      <c r="B20" s="56" t="s">
        <v>339</v>
      </c>
      <c r="C20" s="50" t="s">
        <v>209</v>
      </c>
      <c r="D20" s="50" t="s">
        <v>218</v>
      </c>
      <c r="E20" s="57">
        <v>1</v>
      </c>
      <c r="F20" s="67">
        <v>39356</v>
      </c>
      <c r="G20" s="60" t="s">
        <v>207</v>
      </c>
    </row>
    <row r="21" spans="2:9">
      <c r="B21" s="56" t="s">
        <v>782</v>
      </c>
      <c r="C21" s="59" t="s">
        <v>578</v>
      </c>
      <c r="D21" s="59" t="s">
        <v>577</v>
      </c>
      <c r="E21" s="57">
        <v>1</v>
      </c>
      <c r="F21" s="59" t="s">
        <v>335</v>
      </c>
      <c r="G21" s="63" t="s">
        <v>207</v>
      </c>
    </row>
    <row r="22" spans="2:9">
      <c r="B22" s="52"/>
      <c r="C22" s="53"/>
      <c r="D22" s="53"/>
      <c r="E22" s="53"/>
      <c r="F22" s="53" t="s">
        <v>7</v>
      </c>
      <c r="G22" s="54" t="s">
        <v>206</v>
      </c>
      <c r="I22" s="4"/>
    </row>
    <row r="23" spans="2:9">
      <c r="B23" s="76" t="s">
        <v>830</v>
      </c>
      <c r="C23" s="77" t="s">
        <v>831</v>
      </c>
      <c r="D23" s="77" t="s">
        <v>832</v>
      </c>
      <c r="E23" s="57">
        <v>1</v>
      </c>
      <c r="F23" s="77" t="s">
        <v>343</v>
      </c>
      <c r="G23" s="60"/>
    </row>
    <row r="24" spans="2:9">
      <c r="B24" s="76" t="s">
        <v>833</v>
      </c>
      <c r="C24" s="77" t="s">
        <v>834</v>
      </c>
      <c r="D24" s="77" t="s">
        <v>416</v>
      </c>
      <c r="E24" s="57"/>
      <c r="F24" s="50"/>
      <c r="G24" s="60"/>
    </row>
    <row r="25" spans="2:9">
      <c r="B25" s="76" t="s">
        <v>835</v>
      </c>
      <c r="C25" s="77" t="s">
        <v>831</v>
      </c>
      <c r="D25" s="77" t="s">
        <v>836</v>
      </c>
      <c r="E25" s="65">
        <v>1</v>
      </c>
      <c r="F25" s="77" t="s">
        <v>343</v>
      </c>
      <c r="G25" s="63"/>
    </row>
    <row r="26" spans="2:9">
      <c r="B26" s="76" t="s">
        <v>839</v>
      </c>
      <c r="C26" s="77" t="s">
        <v>831</v>
      </c>
      <c r="D26" s="77" t="s">
        <v>840</v>
      </c>
      <c r="E26" s="77" t="s">
        <v>841</v>
      </c>
      <c r="F26" s="77" t="s">
        <v>343</v>
      </c>
      <c r="G26" s="60"/>
    </row>
    <row r="27" spans="2:9">
      <c r="B27" s="76" t="s">
        <v>842</v>
      </c>
      <c r="C27" s="77" t="s">
        <v>843</v>
      </c>
      <c r="D27" s="77" t="s">
        <v>844</v>
      </c>
      <c r="E27" s="121">
        <v>1</v>
      </c>
      <c r="F27" s="77" t="s">
        <v>343</v>
      </c>
      <c r="G27" s="60"/>
    </row>
    <row r="28" spans="2:9">
      <c r="B28" s="76" t="s">
        <v>845</v>
      </c>
      <c r="C28" s="77"/>
      <c r="D28" s="77" t="s">
        <v>846</v>
      </c>
      <c r="E28" s="121">
        <v>1</v>
      </c>
      <c r="F28" s="77" t="s">
        <v>343</v>
      </c>
      <c r="G28" s="60"/>
    </row>
    <row r="29" spans="2:9">
      <c r="B29" s="127" t="s">
        <v>930</v>
      </c>
      <c r="C29" s="77" t="s">
        <v>931</v>
      </c>
      <c r="D29" s="77" t="s">
        <v>221</v>
      </c>
      <c r="E29" s="121" t="s">
        <v>932</v>
      </c>
      <c r="F29" s="77" t="s">
        <v>343</v>
      </c>
      <c r="G29" s="60"/>
    </row>
    <row r="30" spans="2:9">
      <c r="B30" s="76" t="s">
        <v>858</v>
      </c>
      <c r="C30" s="77"/>
      <c r="D30" s="77" t="s">
        <v>859</v>
      </c>
      <c r="E30" s="121" t="s">
        <v>860</v>
      </c>
      <c r="F30" s="77" t="s">
        <v>343</v>
      </c>
      <c r="G30" s="60"/>
    </row>
    <row r="31" spans="2:9">
      <c r="B31" s="76" t="s">
        <v>861</v>
      </c>
      <c r="C31" s="77" t="s">
        <v>863</v>
      </c>
      <c r="D31" s="77" t="s">
        <v>862</v>
      </c>
      <c r="E31" s="121">
        <v>1</v>
      </c>
      <c r="F31" s="77" t="s">
        <v>343</v>
      </c>
      <c r="G31" s="60"/>
    </row>
    <row r="32" spans="2:9">
      <c r="B32" s="76" t="s">
        <v>869</v>
      </c>
      <c r="C32" s="77"/>
      <c r="D32" s="77" t="s">
        <v>870</v>
      </c>
      <c r="E32" s="121" t="s">
        <v>871</v>
      </c>
      <c r="F32" s="77" t="s">
        <v>343</v>
      </c>
      <c r="G32" s="60"/>
    </row>
    <row r="33" spans="2:7">
      <c r="B33" s="76" t="s">
        <v>872</v>
      </c>
      <c r="C33" s="77" t="s">
        <v>831</v>
      </c>
      <c r="D33" s="77" t="s">
        <v>873</v>
      </c>
      <c r="E33" s="121">
        <v>1</v>
      </c>
      <c r="F33" s="77" t="s">
        <v>343</v>
      </c>
      <c r="G33" s="60"/>
    </row>
    <row r="34" spans="2:7">
      <c r="B34" s="76" t="s">
        <v>874</v>
      </c>
      <c r="C34" s="77" t="s">
        <v>831</v>
      </c>
      <c r="D34" s="77" t="s">
        <v>875</v>
      </c>
      <c r="E34" s="121">
        <v>1</v>
      </c>
      <c r="F34" s="77" t="s">
        <v>343</v>
      </c>
      <c r="G34" s="60"/>
    </row>
    <row r="35" spans="2:7">
      <c r="B35" s="76" t="s">
        <v>876</v>
      </c>
      <c r="C35" s="77" t="s">
        <v>878</v>
      </c>
      <c r="D35" s="77" t="s">
        <v>877</v>
      </c>
      <c r="E35" s="121">
        <v>1</v>
      </c>
      <c r="F35" s="77" t="s">
        <v>343</v>
      </c>
      <c r="G35" s="60"/>
    </row>
    <row r="36" spans="2:7">
      <c r="B36" s="76" t="s">
        <v>879</v>
      </c>
      <c r="C36" s="77" t="s">
        <v>880</v>
      </c>
      <c r="D36" s="77" t="s">
        <v>882</v>
      </c>
      <c r="E36" s="121" t="s">
        <v>881</v>
      </c>
      <c r="F36" s="77" t="s">
        <v>343</v>
      </c>
      <c r="G36" s="60"/>
    </row>
    <row r="37" spans="2:7">
      <c r="B37" s="76" t="s">
        <v>883</v>
      </c>
      <c r="C37" s="77" t="s">
        <v>831</v>
      </c>
      <c r="D37" s="77" t="s">
        <v>884</v>
      </c>
      <c r="E37" s="121">
        <v>1</v>
      </c>
      <c r="F37" s="77" t="s">
        <v>343</v>
      </c>
      <c r="G37" s="60"/>
    </row>
    <row r="38" spans="2:7">
      <c r="B38" s="76" t="s">
        <v>886</v>
      </c>
      <c r="C38" s="77" t="s">
        <v>880</v>
      </c>
      <c r="D38" s="77" t="s">
        <v>888</v>
      </c>
      <c r="E38" s="121" t="s">
        <v>887</v>
      </c>
      <c r="F38" s="77" t="s">
        <v>343</v>
      </c>
      <c r="G38" s="60"/>
    </row>
    <row r="39" spans="2:7">
      <c r="B39" s="124" t="s">
        <v>892</v>
      </c>
      <c r="C39" s="125" t="s">
        <v>893</v>
      </c>
      <c r="D39" s="125" t="s">
        <v>894</v>
      </c>
      <c r="E39" s="126">
        <v>1</v>
      </c>
      <c r="F39" s="125" t="s">
        <v>343</v>
      </c>
      <c r="G39" s="70"/>
    </row>
    <row r="41" spans="2:7">
      <c r="E41" s="71"/>
    </row>
    <row r="42" spans="2:7">
      <c r="B42" s="49"/>
      <c r="E42" s="71" t="s">
        <v>809</v>
      </c>
    </row>
    <row r="43" spans="2:7">
      <c r="B43" s="49"/>
      <c r="E43" s="71" t="s">
        <v>929</v>
      </c>
    </row>
    <row r="44" spans="2:7">
      <c r="B44" s="49"/>
      <c r="E44" s="123" t="s">
        <v>928</v>
      </c>
    </row>
    <row r="45" spans="2:7">
      <c r="B45" s="49"/>
      <c r="E45" s="123" t="s">
        <v>926</v>
      </c>
    </row>
    <row r="46" spans="2:7">
      <c r="B46" s="49"/>
      <c r="E46" s="71" t="s">
        <v>925</v>
      </c>
    </row>
    <row r="47" spans="2:7">
      <c r="E47" s="71" t="s">
        <v>897</v>
      </c>
    </row>
    <row r="48" spans="2:7">
      <c r="B48" s="4"/>
      <c r="E48" s="71" t="s">
        <v>896</v>
      </c>
    </row>
    <row r="49" spans="5:5">
      <c r="E49" s="123" t="s">
        <v>895</v>
      </c>
    </row>
    <row r="50" spans="5:5">
      <c r="E50" s="123" t="s">
        <v>891</v>
      </c>
    </row>
    <row r="51" spans="5:5">
      <c r="E51" s="71" t="s">
        <v>890</v>
      </c>
    </row>
    <row r="52" spans="5:5">
      <c r="E52" s="71" t="s">
        <v>889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0" location="Isentress!A1" display="Isentress" xr:uid="{00000000-0004-0000-0200-000005000000}"/>
    <hyperlink ref="B4" location="Januvia!A1" display="MK-0431A (Januvia+metformin)" xr:uid="{00000000-0004-0000-0200-000006000000}"/>
    <hyperlink ref="B21" location="vorapaxar!A1" display="vorapaxar" xr:uid="{00000000-0004-0000-0200-00000D000000}"/>
    <hyperlink ref="B5" location="Keytruda!A1" display="Keytruda (pembrolizumab)" xr:uid="{433D8747-409A-417C-AD07-4E613C39AC97}"/>
    <hyperlink ref="B12" location="Lynparza!A1" display="Lynparza (olaparib)" xr:uid="{D84D036E-8C88-4B96-B572-5129CBFE5229}"/>
    <hyperlink ref="B17" location="Padcev!A1" display="Padcev (enfortumab vedotin)" xr:uid="{33EE860D-63D3-418E-B01B-057450F711AA}"/>
    <hyperlink ref="B29" location="'V940'!A1" display="mRNA-4157/V940" xr:uid="{65BBEC83-B707-4BA2-A718-31CE8CC7240A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393</v>
      </c>
    </row>
    <row r="3" spans="1:3">
      <c r="B3" s="1" t="s">
        <v>178</v>
      </c>
      <c r="C3" s="1" t="s">
        <v>417</v>
      </c>
    </row>
    <row r="4" spans="1:3">
      <c r="B4" s="1" t="s">
        <v>394</v>
      </c>
      <c r="C4" s="1" t="s">
        <v>395</v>
      </c>
    </row>
    <row r="5" spans="1:3">
      <c r="B5" s="1" t="s">
        <v>3</v>
      </c>
      <c r="C5" s="1" t="s">
        <v>396</v>
      </c>
    </row>
    <row r="6" spans="1:3">
      <c r="B6" s="1" t="s">
        <v>208</v>
      </c>
      <c r="C6" s="1" t="s">
        <v>456</v>
      </c>
    </row>
    <row r="7" spans="1:3">
      <c r="B7" s="1" t="s">
        <v>184</v>
      </c>
      <c r="C7" s="16" t="s">
        <v>675</v>
      </c>
    </row>
    <row r="8" spans="1:3">
      <c r="B8" s="1" t="s">
        <v>5</v>
      </c>
      <c r="C8" s="1" t="s">
        <v>459</v>
      </c>
    </row>
    <row r="9" spans="1:3">
      <c r="B9" s="1" t="s">
        <v>418</v>
      </c>
      <c r="C9" s="1" t="s">
        <v>419</v>
      </c>
    </row>
    <row r="10" spans="1:3">
      <c r="B10" s="16" t="s">
        <v>368</v>
      </c>
      <c r="C10" s="19" t="s">
        <v>481</v>
      </c>
    </row>
    <row r="11" spans="1:3">
      <c r="B11" s="1" t="s">
        <v>211</v>
      </c>
    </row>
    <row r="12" spans="1:3">
      <c r="C12" s="12" t="s">
        <v>478</v>
      </c>
    </row>
    <row r="13" spans="1:3">
      <c r="C13" s="16" t="s">
        <v>479</v>
      </c>
    </row>
    <row r="14" spans="1:3">
      <c r="C14" s="16" t="s">
        <v>480</v>
      </c>
    </row>
    <row r="16" spans="1:3">
      <c r="C16" s="12" t="s">
        <v>454</v>
      </c>
    </row>
    <row r="17" spans="3:3">
      <c r="C17" s="1" t="s">
        <v>457</v>
      </c>
    </row>
    <row r="18" spans="3:3">
      <c r="C18" s="1" t="s">
        <v>461</v>
      </c>
    </row>
    <row r="19" spans="3:3">
      <c r="C19" s="1" t="s">
        <v>462</v>
      </c>
    </row>
    <row r="20" spans="3:3">
      <c r="C20" s="1" t="s">
        <v>463</v>
      </c>
    </row>
    <row r="21" spans="3:3">
      <c r="C21" s="1" t="s">
        <v>464</v>
      </c>
    </row>
    <row r="22" spans="3:3">
      <c r="C22" s="1" t="s">
        <v>458</v>
      </c>
    </row>
    <row r="23" spans="3:3">
      <c r="C23" s="3" t="s">
        <v>455</v>
      </c>
    </row>
    <row r="24" spans="3:3">
      <c r="C24" s="3" t="s">
        <v>465</v>
      </c>
    </row>
    <row r="26" spans="3:3">
      <c r="C26" s="12" t="s">
        <v>460</v>
      </c>
    </row>
    <row r="27" spans="3:3">
      <c r="C27" s="1" t="s">
        <v>397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428</v>
      </c>
    </row>
    <row r="3" spans="1:3">
      <c r="B3" s="1" t="s">
        <v>179</v>
      </c>
      <c r="C3" s="1" t="s">
        <v>266</v>
      </c>
    </row>
    <row r="4" spans="1:3">
      <c r="B4" s="1" t="s">
        <v>208</v>
      </c>
      <c r="C4" s="1" t="s">
        <v>267</v>
      </c>
    </row>
    <row r="5" spans="1:3">
      <c r="B5" s="1" t="s">
        <v>3</v>
      </c>
      <c r="C5" s="1" t="s">
        <v>268</v>
      </c>
    </row>
    <row r="6" spans="1:3">
      <c r="B6" s="1" t="s">
        <v>269</v>
      </c>
      <c r="C6" s="1" t="s">
        <v>270</v>
      </c>
    </row>
    <row r="7" spans="1:3">
      <c r="B7" s="1" t="s">
        <v>271</v>
      </c>
      <c r="C7" s="1" t="s">
        <v>272</v>
      </c>
    </row>
    <row r="8" spans="1:3">
      <c r="B8" s="1" t="s">
        <v>211</v>
      </c>
    </row>
    <row r="10" spans="1:3">
      <c r="C10" s="12" t="s">
        <v>273</v>
      </c>
    </row>
    <row r="11" spans="1:3">
      <c r="C11" s="1" t="s">
        <v>274</v>
      </c>
    </row>
    <row r="13" spans="1:3">
      <c r="C13" s="12" t="s">
        <v>275</v>
      </c>
    </row>
    <row r="14" spans="1:3">
      <c r="C14" s="1" t="s">
        <v>276</v>
      </c>
    </row>
    <row r="15" spans="1:3">
      <c r="C15" s="1" t="s">
        <v>277</v>
      </c>
    </row>
    <row r="16" spans="1:3">
      <c r="C16" s="1" t="s">
        <v>278</v>
      </c>
    </row>
    <row r="17" spans="3:3">
      <c r="C17" s="1" t="s">
        <v>279</v>
      </c>
    </row>
    <row r="18" spans="3:3">
      <c r="C18" s="1" t="s">
        <v>280</v>
      </c>
    </row>
    <row r="20" spans="3:3">
      <c r="C20" s="1" t="s">
        <v>281</v>
      </c>
    </row>
    <row r="21" spans="3:3">
      <c r="C21" s="1" t="s">
        <v>282</v>
      </c>
    </row>
    <row r="23" spans="3:3">
      <c r="C23" s="1" t="s">
        <v>283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659</v>
      </c>
    </row>
    <row r="3" spans="1:3">
      <c r="B3" t="s">
        <v>178</v>
      </c>
      <c r="C3" t="s">
        <v>658</v>
      </c>
    </row>
    <row r="4" spans="1:3">
      <c r="B4" t="s">
        <v>211</v>
      </c>
    </row>
    <row r="5" spans="1:3">
      <c r="C5" s="18" t="s">
        <v>660</v>
      </c>
    </row>
    <row r="7" spans="1:3">
      <c r="C7" s="18" t="s">
        <v>661</v>
      </c>
    </row>
    <row r="8" spans="1:3">
      <c r="C8" t="s">
        <v>662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702</v>
      </c>
    </row>
    <row r="3" spans="1:47">
      <c r="B3" s="4" t="s">
        <v>178</v>
      </c>
      <c r="C3" s="4" t="s">
        <v>703</v>
      </c>
    </row>
    <row r="4" spans="1:47">
      <c r="B4" s="4" t="s">
        <v>3</v>
      </c>
      <c r="C4" s="4" t="s">
        <v>209</v>
      </c>
    </row>
    <row r="5" spans="1:47">
      <c r="B5" s="4" t="s">
        <v>208</v>
      </c>
      <c r="C5" s="4" t="s">
        <v>704</v>
      </c>
    </row>
    <row r="6" spans="1:47">
      <c r="B6" s="4" t="s">
        <v>5</v>
      </c>
      <c r="C6" s="4" t="s">
        <v>708</v>
      </c>
    </row>
    <row r="7" spans="1:47">
      <c r="B7" s="4" t="s">
        <v>315</v>
      </c>
      <c r="C7" s="4" t="s">
        <v>706</v>
      </c>
    </row>
    <row r="8" spans="1:47">
      <c r="B8" s="4" t="s">
        <v>197</v>
      </c>
      <c r="C8" s="4" t="s">
        <v>707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705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288</v>
      </c>
    </row>
    <row r="4" spans="1:3">
      <c r="B4" s="1" t="s">
        <v>208</v>
      </c>
      <c r="C4" s="1" t="s">
        <v>289</v>
      </c>
    </row>
    <row r="5" spans="1:3">
      <c r="B5" s="1" t="s">
        <v>5</v>
      </c>
      <c r="C5" s="16" t="s">
        <v>302</v>
      </c>
    </row>
    <row r="6" spans="1:3">
      <c r="C6" s="16" t="s">
        <v>303</v>
      </c>
    </row>
    <row r="7" spans="1:3">
      <c r="B7" s="1" t="s">
        <v>211</v>
      </c>
    </row>
    <row r="8" spans="1:3">
      <c r="C8" s="12" t="s">
        <v>305</v>
      </c>
    </row>
    <row r="9" spans="1:3">
      <c r="C9" s="1" t="s">
        <v>292</v>
      </c>
    </row>
    <row r="10" spans="1:3">
      <c r="C10" s="1" t="s">
        <v>290</v>
      </c>
    </row>
    <row r="12" spans="1:3">
      <c r="C12" s="1" t="s">
        <v>291</v>
      </c>
    </row>
    <row r="13" spans="1:3">
      <c r="C13" s="1" t="s">
        <v>295</v>
      </c>
    </row>
    <row r="14" spans="1:3">
      <c r="C14" s="1" t="s">
        <v>294</v>
      </c>
    </row>
    <row r="15" spans="1:3">
      <c r="C15" s="1" t="s">
        <v>293</v>
      </c>
    </row>
    <row r="17" spans="3:3">
      <c r="C17" s="1" t="s">
        <v>296</v>
      </c>
    </row>
    <row r="18" spans="3:3">
      <c r="C18" s="1" t="s">
        <v>297</v>
      </c>
    </row>
    <row r="19" spans="3:3">
      <c r="C19" s="1" t="s">
        <v>298</v>
      </c>
    </row>
    <row r="21" spans="3:3">
      <c r="C21" s="1" t="s">
        <v>299</v>
      </c>
    </row>
    <row r="22" spans="3:3">
      <c r="C22" s="1" t="s">
        <v>300</v>
      </c>
    </row>
    <row r="24" spans="3:3">
      <c r="C24" s="1" t="s">
        <v>304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193</v>
      </c>
      <c r="C4" s="1" t="s">
        <v>225</v>
      </c>
    </row>
    <row r="5" spans="1:10">
      <c r="B5" s="1" t="s">
        <v>226</v>
      </c>
      <c r="C5" s="1" t="s">
        <v>227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189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190</v>
      </c>
    </row>
    <row r="40" spans="3:7">
      <c r="C40" s="1" t="s">
        <v>191</v>
      </c>
    </row>
    <row r="42" spans="3:7">
      <c r="C42" s="1" t="s">
        <v>192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D236"/>
  <sheetViews>
    <sheetView showGridLines="0" zoomScale="160" zoomScaleNormal="160" workbookViewId="0">
      <pane xSplit="2" ySplit="2" topLeftCell="BZ3" activePane="bottomRight" state="frozen"/>
      <selection pane="topRight"/>
      <selection pane="bottomLeft"/>
      <selection pane="bottomRight" activeCell="CG8" sqref="CG8"/>
    </sheetView>
  </sheetViews>
  <sheetFormatPr defaultRowHeight="12.75" customHeight="1"/>
  <cols>
    <col min="1" max="1" width="5" style="75" bestFit="1" customWidth="1"/>
    <col min="2" max="2" width="28.28515625" style="75" bestFit="1" customWidth="1"/>
    <col min="3" max="37" width="6.140625" style="62" customWidth="1"/>
    <col min="38" max="38" width="7.42578125" style="62" bestFit="1" customWidth="1"/>
    <col min="39" max="73" width="6.42578125" style="62" customWidth="1"/>
    <col min="74" max="86" width="6.5703125" style="62" customWidth="1"/>
    <col min="87" max="94" width="7.7109375" style="62" customWidth="1"/>
    <col min="95" max="96" width="6.42578125" style="62" customWidth="1"/>
    <col min="97" max="97" width="4.28515625" style="75" customWidth="1"/>
    <col min="98" max="98" width="7.140625" style="62" bestFit="1" customWidth="1" collapsed="1"/>
    <col min="99" max="99" width="7.42578125" style="62" bestFit="1" customWidth="1" collapsed="1"/>
    <col min="100" max="100" width="9.5703125" style="62" bestFit="1" customWidth="1"/>
    <col min="101" max="101" width="7.7109375" style="62" customWidth="1"/>
    <col min="102" max="102" width="7.5703125" style="62" bestFit="1" customWidth="1"/>
    <col min="103" max="105" width="7.5703125" style="62" customWidth="1"/>
    <col min="106" max="117" width="7.28515625" style="62" customWidth="1"/>
    <col min="118" max="123" width="7.7109375" style="62" customWidth="1"/>
    <col min="124" max="124" width="9.28515625" style="75" bestFit="1" customWidth="1"/>
    <col min="125" max="125" width="9.28515625" style="114" bestFit="1" customWidth="1"/>
    <col min="126" max="127" width="9.28515625" style="75" bestFit="1" customWidth="1"/>
    <col min="128" max="128" width="6.85546875" style="75" customWidth="1"/>
    <col min="129" max="129" width="7.7109375" style="75" bestFit="1" customWidth="1"/>
    <col min="130" max="183" width="9.28515625" style="75" bestFit="1" customWidth="1"/>
    <col min="184" max="16384" width="9.140625" style="75"/>
  </cols>
  <sheetData>
    <row r="1" spans="1:128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75"/>
      <c r="CT1" s="84"/>
      <c r="CU1" s="86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4"/>
      <c r="DI1" s="84"/>
      <c r="DJ1" s="84"/>
      <c r="DK1" s="84"/>
      <c r="DL1" s="84"/>
      <c r="DM1" s="84"/>
      <c r="DN1" s="84"/>
      <c r="DO1" s="84"/>
      <c r="DP1" s="84"/>
      <c r="DQ1" s="84"/>
      <c r="DR1" s="84"/>
      <c r="DS1" s="84"/>
      <c r="DU1" s="87"/>
    </row>
    <row r="2" spans="1:128" s="83" customFormat="1" ht="12.75" customHeight="1">
      <c r="B2" s="89"/>
      <c r="C2" s="90" t="s">
        <v>247</v>
      </c>
      <c r="D2" s="90" t="s">
        <v>248</v>
      </c>
      <c r="E2" s="90" t="s">
        <v>249</v>
      </c>
      <c r="F2" s="90" t="s">
        <v>250</v>
      </c>
      <c r="G2" s="90" t="s">
        <v>251</v>
      </c>
      <c r="H2" s="90" t="s">
        <v>252</v>
      </c>
      <c r="I2" s="90" t="s">
        <v>253</v>
      </c>
      <c r="J2" s="90" t="s">
        <v>254</v>
      </c>
      <c r="K2" s="90" t="s">
        <v>255</v>
      </c>
      <c r="L2" s="90" t="s">
        <v>256</v>
      </c>
      <c r="M2" s="90" t="s">
        <v>257</v>
      </c>
      <c r="N2" s="90" t="s">
        <v>246</v>
      </c>
      <c r="O2" s="90" t="s">
        <v>245</v>
      </c>
      <c r="P2" s="90" t="s">
        <v>244</v>
      </c>
      <c r="Q2" s="90" t="s">
        <v>243</v>
      </c>
      <c r="R2" s="90" t="s">
        <v>242</v>
      </c>
      <c r="S2" s="90" t="s">
        <v>241</v>
      </c>
      <c r="T2" s="90" t="s">
        <v>240</v>
      </c>
      <c r="U2" s="90" t="s">
        <v>239</v>
      </c>
      <c r="V2" s="90" t="s">
        <v>238</v>
      </c>
      <c r="W2" s="90" t="s">
        <v>200</v>
      </c>
      <c r="X2" s="90" t="s">
        <v>203</v>
      </c>
      <c r="Y2" s="90" t="s">
        <v>264</v>
      </c>
      <c r="Z2" s="90" t="s">
        <v>265</v>
      </c>
      <c r="AA2" s="90" t="s">
        <v>349</v>
      </c>
      <c r="AB2" s="90" t="s">
        <v>350</v>
      </c>
      <c r="AC2" s="90" t="s">
        <v>351</v>
      </c>
      <c r="AD2" s="90" t="s">
        <v>374</v>
      </c>
      <c r="AE2" s="90" t="s">
        <v>375</v>
      </c>
      <c r="AF2" s="90" t="s">
        <v>376</v>
      </c>
      <c r="AG2" s="90" t="s">
        <v>377</v>
      </c>
      <c r="AH2" s="90" t="s">
        <v>378</v>
      </c>
      <c r="AI2" s="90" t="s">
        <v>466</v>
      </c>
      <c r="AJ2" s="90" t="s">
        <v>469</v>
      </c>
      <c r="AK2" s="90" t="s">
        <v>470</v>
      </c>
      <c r="AL2" s="90" t="s">
        <v>471</v>
      </c>
      <c r="AM2" s="90" t="s">
        <v>484</v>
      </c>
      <c r="AN2" s="90" t="s">
        <v>485</v>
      </c>
      <c r="AO2" s="90" t="s">
        <v>486</v>
      </c>
      <c r="AP2" s="90" t="s">
        <v>487</v>
      </c>
      <c r="AQ2" s="90" t="s">
        <v>652</v>
      </c>
      <c r="AR2" s="90" t="s">
        <v>653</v>
      </c>
      <c r="AS2" s="90" t="s">
        <v>654</v>
      </c>
      <c r="AT2" s="90" t="s">
        <v>655</v>
      </c>
      <c r="AU2" s="90" t="s">
        <v>689</v>
      </c>
      <c r="AV2" s="90" t="s">
        <v>690</v>
      </c>
      <c r="AW2" s="90" t="s">
        <v>691</v>
      </c>
      <c r="AX2" s="90" t="s">
        <v>692</v>
      </c>
      <c r="AY2" s="90" t="s">
        <v>693</v>
      </c>
      <c r="AZ2" s="90" t="s">
        <v>694</v>
      </c>
      <c r="BA2" s="90" t="s">
        <v>686</v>
      </c>
      <c r="BB2" s="90" t="s">
        <v>695</v>
      </c>
      <c r="BC2" s="90" t="s">
        <v>687</v>
      </c>
      <c r="BD2" s="90" t="s">
        <v>696</v>
      </c>
      <c r="BE2" s="90" t="s">
        <v>697</v>
      </c>
      <c r="BF2" s="90" t="s">
        <v>698</v>
      </c>
      <c r="BG2" s="90" t="s">
        <v>709</v>
      </c>
      <c r="BH2" s="90" t="s">
        <v>710</v>
      </c>
      <c r="BI2" s="90" t="s">
        <v>711</v>
      </c>
      <c r="BJ2" s="90" t="s">
        <v>712</v>
      </c>
      <c r="BK2" s="90" t="s">
        <v>713</v>
      </c>
      <c r="BL2" s="90" t="s">
        <v>714</v>
      </c>
      <c r="BM2" s="90" t="s">
        <v>715</v>
      </c>
      <c r="BN2" s="90" t="s">
        <v>716</v>
      </c>
      <c r="BO2" s="90" t="s">
        <v>717</v>
      </c>
      <c r="BP2" s="90" t="s">
        <v>718</v>
      </c>
      <c r="BQ2" s="90" t="s">
        <v>719</v>
      </c>
      <c r="BR2" s="90" t="s">
        <v>720</v>
      </c>
      <c r="BS2" s="90" t="s">
        <v>721</v>
      </c>
      <c r="BT2" s="90" t="s">
        <v>722</v>
      </c>
      <c r="BU2" s="90" t="s">
        <v>723</v>
      </c>
      <c r="BV2" s="90" t="s">
        <v>724</v>
      </c>
      <c r="BW2" s="90" t="s">
        <v>725</v>
      </c>
      <c r="BX2" s="90" t="s">
        <v>726</v>
      </c>
      <c r="BY2" s="90" t="s">
        <v>727</v>
      </c>
      <c r="BZ2" s="90" t="s">
        <v>728</v>
      </c>
      <c r="CA2" s="90" t="s">
        <v>729</v>
      </c>
      <c r="CB2" s="90" t="s">
        <v>730</v>
      </c>
      <c r="CC2" s="90" t="s">
        <v>731</v>
      </c>
      <c r="CD2" s="90" t="s">
        <v>732</v>
      </c>
      <c r="CE2" s="90" t="s">
        <v>733</v>
      </c>
      <c r="CF2" s="90" t="s">
        <v>734</v>
      </c>
      <c r="CG2" s="90" t="s">
        <v>735</v>
      </c>
      <c r="CH2" s="90" t="s">
        <v>736</v>
      </c>
      <c r="CI2" s="90" t="s">
        <v>737</v>
      </c>
      <c r="CJ2" s="90" t="s">
        <v>738</v>
      </c>
      <c r="CK2" s="90" t="s">
        <v>739</v>
      </c>
      <c r="CL2" s="90" t="s">
        <v>740</v>
      </c>
      <c r="CM2" s="90" t="s">
        <v>741</v>
      </c>
      <c r="CN2" s="90" t="s">
        <v>742</v>
      </c>
      <c r="CO2" s="90" t="s">
        <v>743</v>
      </c>
      <c r="CP2" s="90" t="s">
        <v>744</v>
      </c>
      <c r="CQ2" s="90"/>
      <c r="CR2" s="90"/>
      <c r="CS2" s="90"/>
      <c r="CT2" s="91">
        <f t="shared" ref="CT2:CY2" si="0">CU2-1</f>
        <v>2001</v>
      </c>
      <c r="CU2" s="91">
        <f t="shared" si="0"/>
        <v>2002</v>
      </c>
      <c r="CV2" s="91">
        <f t="shared" si="0"/>
        <v>2003</v>
      </c>
      <c r="CW2" s="91">
        <f t="shared" si="0"/>
        <v>2004</v>
      </c>
      <c r="CX2" s="91">
        <f t="shared" si="0"/>
        <v>2005</v>
      </c>
      <c r="CY2" s="91">
        <f t="shared" si="0"/>
        <v>2006</v>
      </c>
      <c r="CZ2" s="91">
        <f>DA2-1</f>
        <v>2007</v>
      </c>
      <c r="DA2" s="91">
        <v>2008</v>
      </c>
      <c r="DB2" s="91">
        <f t="shared" ref="DB2:DG2" si="1">DA2+1</f>
        <v>2009</v>
      </c>
      <c r="DC2" s="91">
        <f t="shared" si="1"/>
        <v>2010</v>
      </c>
      <c r="DD2" s="91">
        <f t="shared" si="1"/>
        <v>2011</v>
      </c>
      <c r="DE2" s="91">
        <f t="shared" si="1"/>
        <v>2012</v>
      </c>
      <c r="DF2" s="91">
        <f t="shared" si="1"/>
        <v>2013</v>
      </c>
      <c r="DG2" s="91">
        <f t="shared" si="1"/>
        <v>2014</v>
      </c>
      <c r="DH2" s="91">
        <f>DG2+1</f>
        <v>2015</v>
      </c>
      <c r="DI2" s="91">
        <f>DH2+1</f>
        <v>2016</v>
      </c>
      <c r="DJ2" s="91">
        <f>DI2+1</f>
        <v>2017</v>
      </c>
      <c r="DK2" s="91">
        <f>DJ2+1</f>
        <v>2018</v>
      </c>
      <c r="DL2" s="91">
        <f t="shared" ref="DL2:DS2" si="2">DK2+1</f>
        <v>2019</v>
      </c>
      <c r="DM2" s="91">
        <f t="shared" si="2"/>
        <v>2020</v>
      </c>
      <c r="DN2" s="91">
        <f t="shared" si="2"/>
        <v>2021</v>
      </c>
      <c r="DO2" s="91">
        <f t="shared" si="2"/>
        <v>2022</v>
      </c>
      <c r="DP2" s="91">
        <f t="shared" si="2"/>
        <v>2023</v>
      </c>
      <c r="DQ2" s="91">
        <f t="shared" si="2"/>
        <v>2024</v>
      </c>
      <c r="DR2" s="91">
        <f t="shared" si="2"/>
        <v>2025</v>
      </c>
      <c r="DS2" s="91">
        <f t="shared" si="2"/>
        <v>2026</v>
      </c>
      <c r="DU2" s="87"/>
    </row>
    <row r="3" spans="1:128" s="92" customFormat="1" ht="12.75" customHeight="1">
      <c r="B3" s="46" t="s">
        <v>746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f t="shared" ref="CL3:CP3" si="3">+CH3*1.2</f>
        <v>5492.4</v>
      </c>
      <c r="CM3" s="93">
        <f t="shared" si="3"/>
        <v>5770.8</v>
      </c>
      <c r="CN3" s="93">
        <f t="shared" si="3"/>
        <v>6302.4</v>
      </c>
      <c r="CO3" s="93">
        <f t="shared" si="3"/>
        <v>6511.2</v>
      </c>
      <c r="CP3" s="93">
        <f t="shared" si="3"/>
        <v>6590.8799999999992</v>
      </c>
      <c r="CQ3" s="93"/>
      <c r="CR3" s="93"/>
      <c r="CS3" s="93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U3" s="87"/>
    </row>
    <row r="4" spans="1:128" s="92" customFormat="1" ht="12.75" customHeight="1">
      <c r="B4" s="46" t="s">
        <v>747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f t="shared" ref="CL4:CP4" si="4">+CH4*1.1</f>
        <v>294.8</v>
      </c>
      <c r="CM4" s="93">
        <f t="shared" si="4"/>
        <v>292.60000000000002</v>
      </c>
      <c r="CN4" s="93">
        <f t="shared" si="4"/>
        <v>302.5</v>
      </c>
      <c r="CO4" s="93">
        <f t="shared" si="4"/>
        <v>312.40000000000003</v>
      </c>
      <c r="CP4" s="93">
        <f t="shared" si="4"/>
        <v>324.28000000000003</v>
      </c>
      <c r="CQ4" s="93"/>
      <c r="CR4" s="93"/>
      <c r="CS4" s="93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U4" s="87"/>
    </row>
    <row r="5" spans="1:128" s="92" customFormat="1" ht="12.75" customHeight="1">
      <c r="B5" s="46" t="s">
        <v>748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f t="shared" ref="CL5" si="5">+CH5*1.1</f>
        <v>226.60000000000002</v>
      </c>
      <c r="CM5" s="93">
        <f t="shared" ref="CM5" si="6">+CI5*1.1</f>
        <v>249.70000000000002</v>
      </c>
      <c r="CN5" s="93">
        <f t="shared" ref="CN5" si="7">+CJ5*1.1</f>
        <v>254.10000000000002</v>
      </c>
      <c r="CO5" s="93">
        <f t="shared" ref="CO5" si="8">+CK5*1.1</f>
        <v>222.20000000000002</v>
      </c>
      <c r="CP5" s="93">
        <f t="shared" ref="CP5" si="9">+CL5*1.1</f>
        <v>249.26000000000005</v>
      </c>
      <c r="CQ5" s="93"/>
      <c r="CR5" s="93"/>
      <c r="CS5" s="93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U5" s="87"/>
    </row>
    <row r="6" spans="1:128" s="92" customFormat="1" ht="12.75" customHeight="1">
      <c r="B6" s="46" t="s">
        <v>749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>
        <v>0</v>
      </c>
      <c r="BX6" s="93">
        <v>0</v>
      </c>
      <c r="BY6" s="93">
        <v>0</v>
      </c>
      <c r="BZ6" s="93">
        <v>0</v>
      </c>
      <c r="CA6" s="93">
        <v>0</v>
      </c>
      <c r="CB6" s="93">
        <v>0</v>
      </c>
      <c r="CC6" s="93">
        <v>0</v>
      </c>
      <c r="CD6" s="93">
        <v>0</v>
      </c>
      <c r="CE6" s="93">
        <v>0</v>
      </c>
      <c r="CF6" s="93">
        <v>0</v>
      </c>
      <c r="CG6" s="93">
        <v>0</v>
      </c>
      <c r="CH6" s="93">
        <v>17</v>
      </c>
      <c r="CI6" s="93">
        <v>52</v>
      </c>
      <c r="CJ6" s="93">
        <v>33</v>
      </c>
      <c r="CK6" s="93">
        <v>39</v>
      </c>
      <c r="CL6" s="93">
        <f t="shared" ref="CL6:CP6" si="10">+CK6+20</f>
        <v>59</v>
      </c>
      <c r="CM6" s="93">
        <f t="shared" si="10"/>
        <v>79</v>
      </c>
      <c r="CN6" s="93">
        <f t="shared" si="10"/>
        <v>99</v>
      </c>
      <c r="CO6" s="93">
        <f t="shared" si="10"/>
        <v>119</v>
      </c>
      <c r="CP6" s="93">
        <f t="shared" si="10"/>
        <v>139</v>
      </c>
      <c r="CQ6" s="93"/>
      <c r="CR6" s="93"/>
      <c r="CS6" s="93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U6" s="87"/>
    </row>
    <row r="7" spans="1:128" s="41" customFormat="1" ht="12.75" customHeight="1">
      <c r="B7" s="46" t="s">
        <v>745</v>
      </c>
      <c r="C7" s="42"/>
      <c r="D7" s="42"/>
      <c r="E7" s="42"/>
      <c r="F7" s="42"/>
      <c r="G7" s="42"/>
      <c r="H7" s="42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3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>
        <v>0</v>
      </c>
      <c r="BX7" s="94">
        <v>0</v>
      </c>
      <c r="BY7" s="94">
        <v>0</v>
      </c>
      <c r="BZ7" s="94">
        <v>0</v>
      </c>
      <c r="CA7" s="94">
        <v>0</v>
      </c>
      <c r="CB7" s="94">
        <v>0</v>
      </c>
      <c r="CC7" s="94">
        <v>0</v>
      </c>
      <c r="CD7" s="94">
        <v>0</v>
      </c>
      <c r="CE7" s="94">
        <v>0</v>
      </c>
      <c r="CF7" s="94">
        <v>0</v>
      </c>
      <c r="CG7" s="94">
        <v>0</v>
      </c>
      <c r="CH7" s="94">
        <v>952</v>
      </c>
      <c r="CI7" s="94">
        <v>3247</v>
      </c>
      <c r="CJ7" s="94">
        <v>1177</v>
      </c>
      <c r="CK7" s="94">
        <v>436</v>
      </c>
      <c r="CL7" s="94">
        <f t="shared" ref="CL7:CP7" si="11">+CK7*0.7</f>
        <v>305.2</v>
      </c>
      <c r="CM7" s="94">
        <f t="shared" si="11"/>
        <v>213.64</v>
      </c>
      <c r="CN7" s="94">
        <f t="shared" si="11"/>
        <v>149.54799999999997</v>
      </c>
      <c r="CO7" s="94">
        <f t="shared" si="11"/>
        <v>104.68359999999997</v>
      </c>
      <c r="CP7" s="94">
        <f t="shared" si="11"/>
        <v>73.278519999999972</v>
      </c>
      <c r="CQ7" s="94"/>
      <c r="CR7" s="94"/>
      <c r="CS7" s="95"/>
      <c r="CT7" s="42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U7" s="87"/>
    </row>
    <row r="8" spans="1:128" s="41" customFormat="1" ht="12.75" customHeight="1">
      <c r="B8" s="46" t="s">
        <v>618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>
        <v>10</v>
      </c>
      <c r="Y8" s="94">
        <v>70</v>
      </c>
      <c r="Z8" s="94">
        <v>155</v>
      </c>
      <c r="AA8" s="94">
        <v>365</v>
      </c>
      <c r="AB8" s="94">
        <v>358</v>
      </c>
      <c r="AC8" s="93">
        <v>418</v>
      </c>
      <c r="AD8" s="94">
        <v>450</v>
      </c>
      <c r="AE8" s="94">
        <v>390</v>
      </c>
      <c r="AF8" s="94">
        <v>326</v>
      </c>
      <c r="AG8" s="94">
        <v>401</v>
      </c>
      <c r="AH8" s="94">
        <f>AG8+10</f>
        <v>411</v>
      </c>
      <c r="AI8" s="94">
        <v>262</v>
      </c>
      <c r="AJ8" s="94">
        <v>268</v>
      </c>
      <c r="AK8" s="94">
        <v>311</v>
      </c>
      <c r="AL8" s="94">
        <v>277</v>
      </c>
      <c r="AM8" s="94">
        <v>233</v>
      </c>
      <c r="AN8" s="94">
        <v>219</v>
      </c>
      <c r="AO8" s="94">
        <v>316</v>
      </c>
      <c r="AP8" s="94">
        <v>221</v>
      </c>
      <c r="AQ8" s="94">
        <v>214</v>
      </c>
      <c r="AR8" s="94">
        <v>277</v>
      </c>
      <c r="AS8" s="94">
        <v>445</v>
      </c>
      <c r="AT8" s="94">
        <v>274</v>
      </c>
      <c r="AU8" s="94">
        <v>284</v>
      </c>
      <c r="AV8" s="94">
        <v>324</v>
      </c>
      <c r="AW8" s="94">
        <v>581</v>
      </c>
      <c r="AX8" s="94">
        <v>442</v>
      </c>
      <c r="AY8" s="94">
        <v>390</v>
      </c>
      <c r="AZ8" s="94">
        <v>383</v>
      </c>
      <c r="BA8" s="94">
        <v>665</v>
      </c>
      <c r="BB8" s="94">
        <v>394</v>
      </c>
      <c r="BC8" s="94">
        <v>383</v>
      </c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>
        <v>838</v>
      </c>
      <c r="BX8" s="94">
        <v>886</v>
      </c>
      <c r="BY8" s="94">
        <v>1320</v>
      </c>
      <c r="BZ8" s="94">
        <v>693</v>
      </c>
      <c r="CA8" s="94">
        <v>1097</v>
      </c>
      <c r="CB8" s="94">
        <v>656</v>
      </c>
      <c r="CC8" s="94">
        <v>1187</v>
      </c>
      <c r="CD8" s="94">
        <v>998</v>
      </c>
      <c r="CE8" s="94">
        <v>917</v>
      </c>
      <c r="CF8" s="94">
        <v>1234</v>
      </c>
      <c r="CG8" s="94">
        <v>1993</v>
      </c>
      <c r="CH8" s="94">
        <v>1528</v>
      </c>
      <c r="CI8" s="94">
        <v>1460</v>
      </c>
      <c r="CJ8" s="94">
        <v>1674</v>
      </c>
      <c r="CK8" s="94">
        <v>2294</v>
      </c>
      <c r="CL8" s="94">
        <f t="shared" ref="CL8:CP8" si="12">+CH8*1.1</f>
        <v>1680.8000000000002</v>
      </c>
      <c r="CM8" s="94">
        <f t="shared" si="12"/>
        <v>1606.0000000000002</v>
      </c>
      <c r="CN8" s="94">
        <f t="shared" si="12"/>
        <v>1841.4</v>
      </c>
      <c r="CO8" s="94">
        <f t="shared" si="12"/>
        <v>2523.4</v>
      </c>
      <c r="CP8" s="94">
        <f t="shared" si="12"/>
        <v>1848.8800000000003</v>
      </c>
      <c r="CQ8" s="94"/>
      <c r="CR8" s="94"/>
      <c r="CS8" s="95"/>
      <c r="CT8" s="42" t="s">
        <v>443</v>
      </c>
      <c r="CU8" s="94" t="s">
        <v>443</v>
      </c>
      <c r="CV8" s="94" t="s">
        <v>443</v>
      </c>
      <c r="CW8" s="94">
        <f>SUM(O8:R8)</f>
        <v>0</v>
      </c>
      <c r="CX8" s="94">
        <f>SUM(S8:V8)</f>
        <v>0</v>
      </c>
      <c r="CY8" s="94">
        <f>SUM(W8:Z8)</f>
        <v>235</v>
      </c>
      <c r="CZ8" s="94">
        <f>SUM(AA8:AD8)</f>
        <v>1591</v>
      </c>
      <c r="DA8" s="94">
        <f>SUM(AE8:AH8)</f>
        <v>1528</v>
      </c>
      <c r="DB8" s="94">
        <f>SUM(AI8:AL8)</f>
        <v>1118</v>
      </c>
      <c r="DC8" s="94">
        <f>SUM(AM8:AP8)</f>
        <v>989</v>
      </c>
      <c r="DD8" s="94">
        <f t="shared" ref="DD8:DD15" si="13">SUM(AQ8:AT8)</f>
        <v>1210</v>
      </c>
      <c r="DE8" s="94">
        <f t="shared" ref="DE8:DL8" si="14">DD8*1</f>
        <v>1210</v>
      </c>
      <c r="DF8" s="94">
        <f t="shared" si="14"/>
        <v>1210</v>
      </c>
      <c r="DG8" s="94">
        <f t="shared" si="14"/>
        <v>1210</v>
      </c>
      <c r="DH8" s="94">
        <f t="shared" si="14"/>
        <v>1210</v>
      </c>
      <c r="DI8" s="94">
        <f t="shared" si="14"/>
        <v>1210</v>
      </c>
      <c r="DJ8" s="94">
        <f t="shared" si="14"/>
        <v>1210</v>
      </c>
      <c r="DK8" s="94">
        <f t="shared" si="14"/>
        <v>1210</v>
      </c>
      <c r="DL8" s="94">
        <f t="shared" si="14"/>
        <v>1210</v>
      </c>
      <c r="DM8" s="94">
        <f t="shared" ref="DM8:DS8" si="15">DL8*1</f>
        <v>1210</v>
      </c>
      <c r="DN8" s="94">
        <f t="shared" si="15"/>
        <v>1210</v>
      </c>
      <c r="DO8" s="94">
        <f t="shared" si="15"/>
        <v>1210</v>
      </c>
      <c r="DP8" s="94">
        <f t="shared" si="15"/>
        <v>1210</v>
      </c>
      <c r="DQ8" s="94">
        <f t="shared" si="15"/>
        <v>1210</v>
      </c>
      <c r="DR8" s="94">
        <f t="shared" si="15"/>
        <v>1210</v>
      </c>
      <c r="DS8" s="94">
        <f t="shared" si="15"/>
        <v>1210</v>
      </c>
      <c r="DU8" s="87"/>
    </row>
    <row r="9" spans="1:128" s="41" customFormat="1" ht="12.75" customHeight="1">
      <c r="B9" s="46" t="s">
        <v>646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>
        <v>42</v>
      </c>
      <c r="AA9" s="94">
        <v>87</v>
      </c>
      <c r="AB9" s="94">
        <v>144</v>
      </c>
      <c r="AC9" s="93">
        <v>185</v>
      </c>
      <c r="AD9" s="94">
        <v>200</v>
      </c>
      <c r="AE9" s="94">
        <v>272</v>
      </c>
      <c r="AF9" s="94">
        <v>334</v>
      </c>
      <c r="AG9" s="94">
        <v>379</v>
      </c>
      <c r="AH9" s="94"/>
      <c r="AI9" s="94">
        <v>411</v>
      </c>
      <c r="AJ9" s="94">
        <v>462</v>
      </c>
      <c r="AK9" s="94">
        <v>491</v>
      </c>
      <c r="AL9" s="94">
        <v>558</v>
      </c>
      <c r="AM9" s="94">
        <v>511</v>
      </c>
      <c r="AN9" s="94">
        <v>600</v>
      </c>
      <c r="AO9" s="94">
        <v>600</v>
      </c>
      <c r="AP9" s="94">
        <v>675</v>
      </c>
      <c r="AQ9" s="94">
        <v>739</v>
      </c>
      <c r="AR9" s="94">
        <v>779</v>
      </c>
      <c r="AS9" s="94">
        <v>846</v>
      </c>
      <c r="AT9" s="94">
        <v>960</v>
      </c>
      <c r="AU9" s="94">
        <v>919</v>
      </c>
      <c r="AV9" s="94">
        <v>1058</v>
      </c>
      <c r="AW9" s="94">
        <v>975</v>
      </c>
      <c r="AX9" s="94">
        <v>1134</v>
      </c>
      <c r="AY9" s="94">
        <v>884</v>
      </c>
      <c r="AZ9" s="94">
        <v>1072</v>
      </c>
      <c r="BA9" s="94">
        <v>927</v>
      </c>
      <c r="BB9" s="94">
        <v>1121</v>
      </c>
      <c r="BC9" s="94">
        <v>858</v>
      </c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>
        <v>824</v>
      </c>
      <c r="BX9" s="94">
        <v>908</v>
      </c>
      <c r="BY9" s="94">
        <v>807</v>
      </c>
      <c r="BZ9" s="94">
        <v>943</v>
      </c>
      <c r="CA9" s="94">
        <v>774</v>
      </c>
      <c r="CB9" s="94">
        <v>854</v>
      </c>
      <c r="CC9" s="94">
        <v>821</v>
      </c>
      <c r="CD9" s="94">
        <v>857</v>
      </c>
      <c r="CE9" s="94">
        <v>809</v>
      </c>
      <c r="CF9" s="94">
        <v>784</v>
      </c>
      <c r="CG9" s="94">
        <v>852</v>
      </c>
      <c r="CH9" s="94">
        <v>878</v>
      </c>
      <c r="CI9" s="94">
        <v>779</v>
      </c>
      <c r="CJ9" s="94">
        <v>756</v>
      </c>
      <c r="CK9" s="94">
        <v>717</v>
      </c>
      <c r="CL9" s="94">
        <f t="shared" ref="CL9:CP9" si="16">+CK9*0.95</f>
        <v>681.15</v>
      </c>
      <c r="CM9" s="94">
        <f t="shared" si="16"/>
        <v>647.09249999999997</v>
      </c>
      <c r="CN9" s="94">
        <f t="shared" si="16"/>
        <v>614.73787499999992</v>
      </c>
      <c r="CO9" s="94">
        <f t="shared" si="16"/>
        <v>584.00098124999988</v>
      </c>
      <c r="CP9" s="94">
        <f t="shared" si="16"/>
        <v>554.80093218749982</v>
      </c>
      <c r="CQ9" s="94"/>
      <c r="CR9" s="94"/>
      <c r="CS9" s="95"/>
      <c r="CT9" s="42" t="s">
        <v>443</v>
      </c>
      <c r="CU9" s="94" t="s">
        <v>443</v>
      </c>
      <c r="CV9" s="94" t="s">
        <v>443</v>
      </c>
      <c r="CW9" s="94">
        <f>SUM(O9:R9)</f>
        <v>0</v>
      </c>
      <c r="CX9" s="94">
        <f>SUM(S9:V9)</f>
        <v>0</v>
      </c>
      <c r="CY9" s="94">
        <f>SUM(W9:Z9)</f>
        <v>42</v>
      </c>
      <c r="CZ9" s="94">
        <f>SUM(AA9:AD9)</f>
        <v>616</v>
      </c>
      <c r="DA9" s="94">
        <f>SUM(AE9:AH9)</f>
        <v>985</v>
      </c>
      <c r="DB9" s="94">
        <f>SUM(AI9:AL9)</f>
        <v>1922</v>
      </c>
      <c r="DC9" s="94">
        <f t="shared" ref="DC9:DC23" si="17">SUM(AM9:AP9)</f>
        <v>2386</v>
      </c>
      <c r="DD9" s="94">
        <f t="shared" si="13"/>
        <v>3324</v>
      </c>
      <c r="DE9" s="94">
        <f>DD9*1.1</f>
        <v>3656.4</v>
      </c>
      <c r="DF9" s="94">
        <f>DE9*1.05</f>
        <v>3839.2200000000003</v>
      </c>
      <c r="DG9" s="94">
        <f>DF9*1.05</f>
        <v>4031.1810000000005</v>
      </c>
      <c r="DH9" s="94">
        <f>DG9*1.05</f>
        <v>4232.7400500000003</v>
      </c>
      <c r="DI9" s="94">
        <f>DH9*1.01</f>
        <v>4275.0674505000006</v>
      </c>
      <c r="DJ9" s="94">
        <f t="shared" ref="DJ9:DO9" si="18">DI9*1.01</f>
        <v>4317.8181250050011</v>
      </c>
      <c r="DK9" s="94">
        <f t="shared" si="18"/>
        <v>4360.9963062550514</v>
      </c>
      <c r="DL9" s="94">
        <f t="shared" si="18"/>
        <v>4404.6062693176018</v>
      </c>
      <c r="DM9" s="94">
        <f t="shared" si="18"/>
        <v>4448.6523320107781</v>
      </c>
      <c r="DN9" s="94">
        <f t="shared" si="18"/>
        <v>4493.1388553308861</v>
      </c>
      <c r="DO9" s="94">
        <f t="shared" si="18"/>
        <v>4538.0702438841954</v>
      </c>
      <c r="DP9" s="94">
        <f>+DO9*0.5</f>
        <v>2269.0351219420977</v>
      </c>
      <c r="DQ9" s="94">
        <f>+DP9*0.7</f>
        <v>1588.3245853594683</v>
      </c>
      <c r="DR9" s="94">
        <f>+DQ9*0.8</f>
        <v>1270.6596682875747</v>
      </c>
      <c r="DS9" s="94">
        <f>+DR9*0.8</f>
        <v>1016.5277346300599</v>
      </c>
      <c r="DU9" s="87"/>
    </row>
    <row r="10" spans="1:128" s="41" customFormat="1" ht="12.75" customHeight="1">
      <c r="B10" s="46" t="s">
        <v>663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>
        <v>24</v>
      </c>
      <c r="AC10" s="93">
        <v>19</v>
      </c>
      <c r="AD10" s="94">
        <v>30</v>
      </c>
      <c r="AE10" s="94">
        <v>58</v>
      </c>
      <c r="AF10" s="94">
        <v>72</v>
      </c>
      <c r="AG10" s="94">
        <v>101</v>
      </c>
      <c r="AH10" s="94"/>
      <c r="AI10" s="94">
        <v>128</v>
      </c>
      <c r="AJ10" s="94">
        <v>155</v>
      </c>
      <c r="AK10" s="94">
        <v>173</v>
      </c>
      <c r="AL10" s="94">
        <v>202</v>
      </c>
      <c r="AM10" s="94">
        <v>201</v>
      </c>
      <c r="AN10" s="94">
        <v>218</v>
      </c>
      <c r="AO10" s="94">
        <v>247</v>
      </c>
      <c r="AP10" s="94">
        <v>288</v>
      </c>
      <c r="AQ10" s="94">
        <v>305</v>
      </c>
      <c r="AR10" s="94">
        <v>321</v>
      </c>
      <c r="AS10" s="94">
        <v>350</v>
      </c>
      <c r="AT10" s="94">
        <v>386</v>
      </c>
      <c r="AU10" s="94">
        <v>392</v>
      </c>
      <c r="AV10" s="94">
        <v>411</v>
      </c>
      <c r="AW10" s="94">
        <v>405</v>
      </c>
      <c r="AX10" s="94">
        <v>452</v>
      </c>
      <c r="AY10" s="94">
        <v>409</v>
      </c>
      <c r="AZ10" s="94">
        <v>474</v>
      </c>
      <c r="BA10" s="94">
        <v>442</v>
      </c>
      <c r="BB10" s="94">
        <v>503</v>
      </c>
      <c r="BC10" s="94">
        <v>476</v>
      </c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>
        <v>530</v>
      </c>
      <c r="BX10" s="94">
        <v>533</v>
      </c>
      <c r="BY10" s="94">
        <v>503</v>
      </c>
      <c r="BZ10" s="94">
        <v>475</v>
      </c>
      <c r="CA10" s="94">
        <v>503</v>
      </c>
      <c r="CB10" s="94">
        <v>490</v>
      </c>
      <c r="CC10" s="94">
        <v>506</v>
      </c>
      <c r="CD10" s="94">
        <v>472</v>
      </c>
      <c r="CE10" s="94">
        <v>486</v>
      </c>
      <c r="CF10" s="94">
        <v>477</v>
      </c>
      <c r="CG10" s="94">
        <v>487</v>
      </c>
      <c r="CH10" s="94">
        <v>514</v>
      </c>
      <c r="CI10" s="94">
        <v>454</v>
      </c>
      <c r="CJ10" s="94">
        <v>476</v>
      </c>
      <c r="CK10" s="94">
        <v>417</v>
      </c>
      <c r="CL10" s="94">
        <f t="shared" ref="CL10:CP10" si="19">+CK10*0.95</f>
        <v>396.15</v>
      </c>
      <c r="CM10" s="94">
        <f t="shared" si="19"/>
        <v>376.34249999999997</v>
      </c>
      <c r="CN10" s="94">
        <f t="shared" si="19"/>
        <v>357.52537499999994</v>
      </c>
      <c r="CO10" s="94">
        <f t="shared" si="19"/>
        <v>339.64910624999993</v>
      </c>
      <c r="CP10" s="94">
        <f t="shared" si="19"/>
        <v>322.66665093749992</v>
      </c>
      <c r="CQ10" s="94"/>
      <c r="CR10" s="94"/>
      <c r="CS10" s="95"/>
      <c r="CT10" s="42" t="s">
        <v>443</v>
      </c>
      <c r="CU10" s="94" t="s">
        <v>443</v>
      </c>
      <c r="CV10" s="94" t="s">
        <v>443</v>
      </c>
      <c r="CW10" s="94" t="s">
        <v>443</v>
      </c>
      <c r="CX10" s="94" t="s">
        <v>443</v>
      </c>
      <c r="CY10" s="94">
        <v>0</v>
      </c>
      <c r="CZ10" s="94">
        <f>SUM(AA10:AD10)</f>
        <v>73</v>
      </c>
      <c r="DA10" s="94">
        <f>SUM(AE10:AH10)</f>
        <v>231</v>
      </c>
      <c r="DB10" s="94">
        <f>SUM(AI10:AL10)</f>
        <v>658</v>
      </c>
      <c r="DC10" s="94">
        <f t="shared" si="17"/>
        <v>954</v>
      </c>
      <c r="DD10" s="94">
        <f t="shared" si="13"/>
        <v>1362</v>
      </c>
      <c r="DE10" s="94">
        <f t="shared" ref="DE10:DK10" si="20">DD10*1.05</f>
        <v>1430.1000000000001</v>
      </c>
      <c r="DF10" s="94">
        <f t="shared" si="20"/>
        <v>1501.6050000000002</v>
      </c>
      <c r="DG10" s="94">
        <f t="shared" si="20"/>
        <v>1576.6852500000002</v>
      </c>
      <c r="DH10" s="94">
        <f t="shared" si="20"/>
        <v>1655.5195125000002</v>
      </c>
      <c r="DI10" s="94">
        <f t="shared" si="20"/>
        <v>1738.2954881250002</v>
      </c>
      <c r="DJ10" s="94">
        <f t="shared" si="20"/>
        <v>1825.2102625312502</v>
      </c>
      <c r="DK10" s="94">
        <f t="shared" si="20"/>
        <v>1916.4707756578127</v>
      </c>
      <c r="DL10" s="94">
        <f>DK10*1.05</f>
        <v>2012.2943144407034</v>
      </c>
      <c r="DM10" s="94">
        <f>DL10*1.05</f>
        <v>2112.9090301627384</v>
      </c>
      <c r="DN10" s="94">
        <f>DM10*1.05</f>
        <v>2218.5544816708752</v>
      </c>
      <c r="DO10" s="94">
        <f>DN10*1.05</f>
        <v>2329.4822057544193</v>
      </c>
      <c r="DP10" s="94">
        <f>+DO10*0.5</f>
        <v>1164.7411028772096</v>
      </c>
      <c r="DQ10" s="94">
        <f>+DP10*0.5</f>
        <v>582.37055143860482</v>
      </c>
      <c r="DR10" s="94">
        <f>+DQ10*0.5</f>
        <v>291.18527571930241</v>
      </c>
      <c r="DS10" s="94">
        <f>+DR10*0.5</f>
        <v>145.59263785965121</v>
      </c>
      <c r="DU10" s="30"/>
    </row>
    <row r="11" spans="1:128" s="41" customFormat="1" ht="12.75" customHeight="1">
      <c r="B11" s="46" t="s">
        <v>620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>
        <v>117</v>
      </c>
      <c r="P11" s="94">
        <v>135</v>
      </c>
      <c r="Q11" s="94">
        <v>167</v>
      </c>
      <c r="R11" s="94">
        <v>135</v>
      </c>
      <c r="S11" s="94">
        <v>133</v>
      </c>
      <c r="T11" s="94">
        <v>144</v>
      </c>
      <c r="U11" s="94">
        <v>186</v>
      </c>
      <c r="V11" s="94">
        <v>134</v>
      </c>
      <c r="W11" s="94">
        <v>161</v>
      </c>
      <c r="X11" s="94">
        <f>223-X8-X21-X26</f>
        <v>181</v>
      </c>
      <c r="Y11" s="94">
        <f>390-Y8-Y21-Y26</f>
        <v>248</v>
      </c>
      <c r="Z11" s="94">
        <f>482-Z8-Z21-Z26</f>
        <v>231</v>
      </c>
      <c r="AA11" s="94">
        <v>246</v>
      </c>
      <c r="AB11" s="94">
        <v>344</v>
      </c>
      <c r="AC11" s="93">
        <v>428</v>
      </c>
      <c r="AD11" s="94">
        <f>AC11</f>
        <v>428</v>
      </c>
      <c r="AE11" s="94">
        <v>226</v>
      </c>
      <c r="AF11" s="94">
        <v>318</v>
      </c>
      <c r="AG11" s="94">
        <v>430</v>
      </c>
      <c r="AH11" s="94">
        <f>AG11</f>
        <v>430</v>
      </c>
      <c r="AI11" s="94">
        <v>252</v>
      </c>
      <c r="AJ11" s="94">
        <v>322</v>
      </c>
      <c r="AK11" s="94">
        <v>462</v>
      </c>
      <c r="AL11" s="94">
        <v>333</v>
      </c>
      <c r="AM11" s="94">
        <v>319</v>
      </c>
      <c r="AN11" s="94">
        <v>340</v>
      </c>
      <c r="AO11" s="94">
        <v>434</v>
      </c>
      <c r="AP11" s="94">
        <v>285</v>
      </c>
      <c r="AQ11" s="94">
        <v>244</v>
      </c>
      <c r="AR11" s="94">
        <v>291</v>
      </c>
      <c r="AS11" s="94">
        <v>391</v>
      </c>
      <c r="AT11" s="94">
        <v>276</v>
      </c>
      <c r="AU11" s="94">
        <v>255</v>
      </c>
      <c r="AV11" s="94">
        <v>316</v>
      </c>
      <c r="AW11" s="94">
        <v>396</v>
      </c>
      <c r="AX11" s="94">
        <v>306</v>
      </c>
      <c r="AY11" s="94">
        <v>272</v>
      </c>
      <c r="AZ11" s="94">
        <v>339</v>
      </c>
      <c r="BA11" s="94">
        <v>421</v>
      </c>
      <c r="BB11" s="94">
        <v>273</v>
      </c>
      <c r="BC11" s="94">
        <v>280</v>
      </c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>
        <v>496</v>
      </c>
      <c r="BX11" s="94">
        <v>675</v>
      </c>
      <c r="BY11" s="94">
        <v>623</v>
      </c>
      <c r="BZ11" s="94">
        <v>481</v>
      </c>
      <c r="CA11" s="94">
        <v>435</v>
      </c>
      <c r="CB11" s="94">
        <v>378</v>
      </c>
      <c r="CC11" s="94">
        <v>576</v>
      </c>
      <c r="CD11" s="94">
        <v>488</v>
      </c>
      <c r="CE11" s="94">
        <v>449</v>
      </c>
      <c r="CF11" s="94">
        <v>516</v>
      </c>
      <c r="CG11" s="94">
        <v>661</v>
      </c>
      <c r="CH11" s="94">
        <v>509</v>
      </c>
      <c r="CI11" s="94">
        <v>470</v>
      </c>
      <c r="CJ11" s="94">
        <v>578</v>
      </c>
      <c r="CK11" s="94">
        <v>668</v>
      </c>
      <c r="CL11" s="94">
        <f t="shared" ref="CL11:CP11" si="21">+CH11</f>
        <v>509</v>
      </c>
      <c r="CM11" s="94">
        <f t="shared" si="21"/>
        <v>470</v>
      </c>
      <c r="CN11" s="94">
        <f t="shared" si="21"/>
        <v>578</v>
      </c>
      <c r="CO11" s="94">
        <f t="shared" si="21"/>
        <v>668</v>
      </c>
      <c r="CP11" s="94">
        <f t="shared" si="21"/>
        <v>509</v>
      </c>
      <c r="CQ11" s="94"/>
      <c r="CR11" s="94"/>
      <c r="CS11" s="48"/>
      <c r="CT11" s="42" t="s">
        <v>443</v>
      </c>
      <c r="CU11" s="94" t="s">
        <v>443</v>
      </c>
      <c r="CV11" s="94">
        <v>534</v>
      </c>
      <c r="CW11" s="94">
        <f>SUM(O11:R11)</f>
        <v>554</v>
      </c>
      <c r="CX11" s="94">
        <f>SUM(S11:V11)</f>
        <v>597</v>
      </c>
      <c r="CY11" s="94">
        <f>SUM(W11:Z11)</f>
        <v>821</v>
      </c>
      <c r="CZ11" s="94">
        <f>SUM(AA11:AD11)</f>
        <v>1446</v>
      </c>
      <c r="DA11" s="94">
        <f>SUM(AE11:AH11)</f>
        <v>1404</v>
      </c>
      <c r="DB11" s="94">
        <f>SUM(AI11:AL11)</f>
        <v>1369</v>
      </c>
      <c r="DC11" s="94">
        <f>SUM(AM11:AP11)</f>
        <v>1378</v>
      </c>
      <c r="DD11" s="94">
        <f t="shared" si="13"/>
        <v>1202</v>
      </c>
      <c r="DE11" s="94">
        <f>DD11*0.99</f>
        <v>1189.98</v>
      </c>
      <c r="DF11" s="94">
        <f t="shared" ref="DF11:DS11" si="22">DE11*0.99</f>
        <v>1178.0802000000001</v>
      </c>
      <c r="DG11" s="94">
        <f t="shared" si="22"/>
        <v>1166.2993980000001</v>
      </c>
      <c r="DH11" s="94">
        <f t="shared" si="22"/>
        <v>1154.6364040200001</v>
      </c>
      <c r="DI11" s="94">
        <f t="shared" si="22"/>
        <v>1143.0900399798002</v>
      </c>
      <c r="DJ11" s="94">
        <f t="shared" si="22"/>
        <v>1131.6591395800021</v>
      </c>
      <c r="DK11" s="94">
        <f t="shared" si="22"/>
        <v>1120.3425481842021</v>
      </c>
      <c r="DL11" s="94">
        <f t="shared" si="22"/>
        <v>1109.1391227023601</v>
      </c>
      <c r="DM11" s="94">
        <f t="shared" si="22"/>
        <v>1098.0477314753364</v>
      </c>
      <c r="DN11" s="94">
        <f t="shared" si="22"/>
        <v>1087.0672541605829</v>
      </c>
      <c r="DO11" s="94">
        <f t="shared" si="22"/>
        <v>1076.196581618977</v>
      </c>
      <c r="DP11" s="94">
        <f t="shared" si="22"/>
        <v>1065.4346158027872</v>
      </c>
      <c r="DQ11" s="94">
        <f t="shared" si="22"/>
        <v>1054.7802696447593</v>
      </c>
      <c r="DR11" s="94">
        <f t="shared" si="22"/>
        <v>1044.2324669483116</v>
      </c>
      <c r="DS11" s="94">
        <f t="shared" si="22"/>
        <v>1033.7901422788286</v>
      </c>
      <c r="DU11" s="87"/>
    </row>
    <row r="12" spans="1:128" s="8" customFormat="1" ht="12.75" customHeight="1">
      <c r="B12" s="47" t="s">
        <v>680</v>
      </c>
      <c r="C12" s="9"/>
      <c r="D12" s="9"/>
      <c r="E12" s="9"/>
      <c r="F12" s="9"/>
      <c r="G12" s="7"/>
      <c r="H12" s="7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6"/>
      <c r="AJ12" s="94"/>
      <c r="AK12" s="94"/>
      <c r="AL12" s="94"/>
      <c r="AM12" s="94"/>
      <c r="AN12" s="94"/>
      <c r="AO12" s="94"/>
      <c r="AP12" s="94"/>
      <c r="AQ12" s="94">
        <v>41</v>
      </c>
      <c r="AR12" s="94">
        <v>47</v>
      </c>
      <c r="AS12" s="94">
        <v>52</v>
      </c>
      <c r="AT12" s="94">
        <v>60</v>
      </c>
      <c r="AU12" s="94">
        <v>58</v>
      </c>
      <c r="AV12" s="94">
        <v>60</v>
      </c>
      <c r="AW12" s="94">
        <v>68</v>
      </c>
      <c r="AX12" s="94">
        <v>75</v>
      </c>
      <c r="AY12" s="94">
        <v>63</v>
      </c>
      <c r="AZ12" s="94">
        <v>69</v>
      </c>
      <c r="BA12" s="94">
        <v>75</v>
      </c>
      <c r="BB12" s="94">
        <v>82</v>
      </c>
      <c r="BC12" s="94">
        <v>73</v>
      </c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>
        <v>255</v>
      </c>
      <c r="BX12" s="94">
        <v>278</v>
      </c>
      <c r="BY12" s="94">
        <v>284</v>
      </c>
      <c r="BZ12" s="94">
        <v>313</v>
      </c>
      <c r="CA12" s="94">
        <v>299</v>
      </c>
      <c r="CB12" s="94">
        <v>224</v>
      </c>
      <c r="CC12" s="94">
        <v>320</v>
      </c>
      <c r="CD12" s="94">
        <v>355</v>
      </c>
      <c r="CE12" s="94">
        <v>340</v>
      </c>
      <c r="CF12" s="94">
        <v>387</v>
      </c>
      <c r="CG12" s="94">
        <v>369</v>
      </c>
      <c r="CH12" s="94">
        <v>436</v>
      </c>
      <c r="CI12" s="94">
        <v>395</v>
      </c>
      <c r="CJ12" s="94">
        <v>426</v>
      </c>
      <c r="CK12" s="94">
        <v>423</v>
      </c>
      <c r="CL12" s="94">
        <f t="shared" ref="CL12:CP12" si="23">+CH12*1.1</f>
        <v>479.6</v>
      </c>
      <c r="CM12" s="94">
        <f t="shared" si="23"/>
        <v>434.50000000000006</v>
      </c>
      <c r="CN12" s="94">
        <f t="shared" si="23"/>
        <v>468.6</v>
      </c>
      <c r="CO12" s="94">
        <f t="shared" si="23"/>
        <v>465.3</v>
      </c>
      <c r="CP12" s="94">
        <f t="shared" si="23"/>
        <v>527.56000000000006</v>
      </c>
      <c r="CQ12" s="94"/>
      <c r="CR12" s="94"/>
      <c r="CS12" s="49"/>
      <c r="CT12" s="9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U12" s="30"/>
    </row>
    <row r="13" spans="1:128" s="41" customFormat="1" ht="12.75" customHeight="1">
      <c r="B13" s="46" t="s">
        <v>617</v>
      </c>
      <c r="C13" s="42"/>
      <c r="D13" s="42"/>
      <c r="E13" s="42"/>
      <c r="F13" s="42"/>
      <c r="G13" s="42"/>
      <c r="H13" s="42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3"/>
      <c r="AD13" s="96" t="s">
        <v>529</v>
      </c>
      <c r="AE13" s="96" t="s">
        <v>521</v>
      </c>
      <c r="AF13" s="96" t="s">
        <v>512</v>
      </c>
      <c r="AG13" s="96" t="s">
        <v>503</v>
      </c>
      <c r="AH13" s="96" t="s">
        <v>528</v>
      </c>
      <c r="AI13" s="96" t="s">
        <v>520</v>
      </c>
      <c r="AJ13" s="96" t="s">
        <v>501</v>
      </c>
      <c r="AK13" s="96" t="s">
        <v>502</v>
      </c>
      <c r="AL13" s="94">
        <v>431</v>
      </c>
      <c r="AM13" s="94">
        <v>674</v>
      </c>
      <c r="AN13" s="94">
        <v>669</v>
      </c>
      <c r="AO13" s="94">
        <v>661</v>
      </c>
      <c r="AP13" s="94">
        <v>710</v>
      </c>
      <c r="AQ13" s="94">
        <v>753</v>
      </c>
      <c r="AR13" s="94">
        <v>842</v>
      </c>
      <c r="AS13" s="94">
        <v>561</v>
      </c>
      <c r="AT13" s="94">
        <v>511</v>
      </c>
      <c r="AU13" s="94">
        <v>519</v>
      </c>
      <c r="AV13" s="94">
        <v>518</v>
      </c>
      <c r="AW13" s="94">
        <v>490</v>
      </c>
      <c r="AX13" s="94">
        <v>549</v>
      </c>
      <c r="AY13" s="94">
        <v>549</v>
      </c>
      <c r="AZ13" s="94">
        <v>527</v>
      </c>
      <c r="BA13" s="94">
        <v>574</v>
      </c>
      <c r="BB13" s="94">
        <v>620</v>
      </c>
      <c r="BC13" s="94">
        <v>604</v>
      </c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>
        <v>123</v>
      </c>
      <c r="BX13" s="94">
        <v>98</v>
      </c>
      <c r="BY13" s="94">
        <v>101</v>
      </c>
      <c r="BZ13" s="94">
        <v>89</v>
      </c>
      <c r="CA13" s="94">
        <v>88</v>
      </c>
      <c r="CB13" s="94">
        <v>73</v>
      </c>
      <c r="CC13" s="94">
        <v>82</v>
      </c>
      <c r="CD13" s="94">
        <v>88</v>
      </c>
      <c r="CE13" s="94">
        <v>85</v>
      </c>
      <c r="CF13" s="94">
        <v>75</v>
      </c>
      <c r="CG13" s="94">
        <v>73</v>
      </c>
      <c r="CH13" s="94">
        <v>67</v>
      </c>
      <c r="CI13" s="94">
        <v>61</v>
      </c>
      <c r="CJ13" s="94">
        <v>53</v>
      </c>
      <c r="CK13" s="94">
        <v>49</v>
      </c>
      <c r="CL13" s="94">
        <f t="shared" ref="CL13:CP13" si="24">+CH13*0.9</f>
        <v>60.300000000000004</v>
      </c>
      <c r="CM13" s="94">
        <f t="shared" si="24"/>
        <v>54.9</v>
      </c>
      <c r="CN13" s="94">
        <f t="shared" si="24"/>
        <v>47.7</v>
      </c>
      <c r="CO13" s="94">
        <f t="shared" si="24"/>
        <v>44.1</v>
      </c>
      <c r="CP13" s="94">
        <f t="shared" si="24"/>
        <v>54.27</v>
      </c>
      <c r="CQ13" s="94"/>
      <c r="CR13" s="94"/>
      <c r="CS13" s="95"/>
      <c r="CT13" s="42"/>
      <c r="CU13" s="94"/>
      <c r="CV13" s="94"/>
      <c r="CW13" s="94"/>
      <c r="CX13" s="94"/>
      <c r="CY13" s="94"/>
      <c r="CZ13" s="94"/>
      <c r="DA13" s="96" t="s">
        <v>530</v>
      </c>
      <c r="DB13" s="96" t="s">
        <v>531</v>
      </c>
      <c r="DC13" s="94">
        <f t="shared" si="17"/>
        <v>2714</v>
      </c>
      <c r="DD13" s="94">
        <f t="shared" si="13"/>
        <v>2667</v>
      </c>
      <c r="DE13" s="94">
        <f t="shared" ref="DE13:DK13" si="25">DD13*1.02</f>
        <v>2720.34</v>
      </c>
      <c r="DF13" s="94">
        <f t="shared" si="25"/>
        <v>2774.7468000000003</v>
      </c>
      <c r="DG13" s="94">
        <f t="shared" si="25"/>
        <v>2830.2417360000004</v>
      </c>
      <c r="DH13" s="94">
        <f t="shared" si="25"/>
        <v>2886.8465707200003</v>
      </c>
      <c r="DI13" s="94">
        <f t="shared" si="25"/>
        <v>2944.5835021344005</v>
      </c>
      <c r="DJ13" s="94">
        <f t="shared" si="25"/>
        <v>3003.4751721770886</v>
      </c>
      <c r="DK13" s="94">
        <f t="shared" si="25"/>
        <v>3063.5446756206302</v>
      </c>
      <c r="DL13" s="94">
        <f t="shared" ref="DL13:DS13" si="26">DK13*1.02</f>
        <v>3124.815569133043</v>
      </c>
      <c r="DM13" s="94">
        <f t="shared" si="26"/>
        <v>3187.3118805157042</v>
      </c>
      <c r="DN13" s="94">
        <f t="shared" si="26"/>
        <v>3251.0581181260181</v>
      </c>
      <c r="DO13" s="94">
        <f t="shared" si="26"/>
        <v>3316.0792804885386</v>
      </c>
      <c r="DP13" s="94">
        <f t="shared" si="26"/>
        <v>3382.4008660983095</v>
      </c>
      <c r="DQ13" s="94">
        <f t="shared" si="26"/>
        <v>3450.0488834202756</v>
      </c>
      <c r="DR13" s="94">
        <f t="shared" si="26"/>
        <v>3519.0498610886812</v>
      </c>
      <c r="DS13" s="94">
        <f t="shared" si="26"/>
        <v>3589.4308583104548</v>
      </c>
      <c r="DU13" s="87"/>
      <c r="DX13" s="92"/>
    </row>
    <row r="14" spans="1:128" s="41" customFormat="1" ht="12.75" customHeight="1">
      <c r="B14" s="46" t="s">
        <v>476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>
        <v>190</v>
      </c>
      <c r="P14" s="94">
        <v>242</v>
      </c>
      <c r="Q14" s="94">
        <v>293</v>
      </c>
      <c r="R14" s="94">
        <v>328</v>
      </c>
      <c r="S14" s="94">
        <v>332</v>
      </c>
      <c r="T14" s="94">
        <v>314</v>
      </c>
      <c r="U14" s="94">
        <v>356</v>
      </c>
      <c r="V14" s="94">
        <v>391</v>
      </c>
      <c r="W14" s="94">
        <v>414.8</v>
      </c>
      <c r="X14" s="94">
        <v>476</v>
      </c>
      <c r="Y14" s="94">
        <v>501.9</v>
      </c>
      <c r="Z14" s="94">
        <v>536.1</v>
      </c>
      <c r="AA14" s="94">
        <v>544</v>
      </c>
      <c r="AB14" s="94">
        <v>577.5</v>
      </c>
      <c r="AC14" s="94">
        <v>607</v>
      </c>
      <c r="AD14" s="94">
        <v>610</v>
      </c>
      <c r="AE14" s="94">
        <v>581.70000000000005</v>
      </c>
      <c r="AF14" s="94">
        <v>560.4</v>
      </c>
      <c r="AG14" s="94">
        <v>534.29999999999995</v>
      </c>
      <c r="AH14" s="94"/>
      <c r="AI14" s="94">
        <v>479</v>
      </c>
      <c r="AJ14" s="94">
        <v>513.5</v>
      </c>
      <c r="AK14" s="94">
        <v>514.5</v>
      </c>
      <c r="AL14" s="94">
        <v>399</v>
      </c>
      <c r="AM14" s="94">
        <f>281+253</f>
        <v>534</v>
      </c>
      <c r="AN14" s="94">
        <v>564</v>
      </c>
      <c r="AO14" s="94">
        <v>571</v>
      </c>
      <c r="AP14" s="94">
        <v>629</v>
      </c>
      <c r="AQ14" s="94">
        <v>582</v>
      </c>
      <c r="AR14" s="94">
        <v>592</v>
      </c>
      <c r="AS14" s="94">
        <v>614</v>
      </c>
      <c r="AT14" s="94">
        <v>640</v>
      </c>
      <c r="AU14" s="94">
        <v>614</v>
      </c>
      <c r="AV14" s="94">
        <v>632</v>
      </c>
      <c r="AW14" s="94">
        <v>645</v>
      </c>
      <c r="AX14" s="94">
        <v>676</v>
      </c>
      <c r="AY14" s="94">
        <v>629</v>
      </c>
      <c r="AZ14" s="94">
        <v>650</v>
      </c>
      <c r="BA14" s="94">
        <v>662</v>
      </c>
      <c r="BB14" s="94">
        <v>716</v>
      </c>
      <c r="BC14" s="94">
        <v>611</v>
      </c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>
        <v>140</v>
      </c>
      <c r="BX14" s="94">
        <v>156</v>
      </c>
      <c r="BY14" s="94">
        <v>147</v>
      </c>
      <c r="BZ14" s="94">
        <v>146</v>
      </c>
      <c r="CA14" s="94">
        <v>145</v>
      </c>
      <c r="CB14" s="94">
        <v>137</v>
      </c>
      <c r="CC14" s="96" t="s">
        <v>787</v>
      </c>
      <c r="CD14" s="94">
        <v>98</v>
      </c>
      <c r="CE14" s="94">
        <v>0</v>
      </c>
      <c r="CF14" s="94">
        <v>0</v>
      </c>
      <c r="CG14" s="94">
        <v>0</v>
      </c>
      <c r="CH14" s="94">
        <v>0</v>
      </c>
      <c r="CI14" s="94">
        <v>0</v>
      </c>
      <c r="CJ14" s="94">
        <v>0</v>
      </c>
      <c r="CK14" s="94">
        <v>0</v>
      </c>
      <c r="CL14" s="94">
        <v>0</v>
      </c>
      <c r="CM14" s="94">
        <v>0</v>
      </c>
      <c r="CN14" s="94">
        <v>0</v>
      </c>
      <c r="CO14" s="94">
        <v>0</v>
      </c>
      <c r="CP14" s="94">
        <v>0</v>
      </c>
      <c r="CQ14" s="94"/>
      <c r="CR14" s="94"/>
      <c r="CS14" s="48"/>
      <c r="CT14" s="94" t="s">
        <v>443</v>
      </c>
      <c r="CU14" s="94">
        <v>25</v>
      </c>
      <c r="CV14" s="94">
        <v>469</v>
      </c>
      <c r="CW14" s="94">
        <f>SUM(O14:R14)</f>
        <v>1053</v>
      </c>
      <c r="CX14" s="94">
        <f>SUM(S14:V14)</f>
        <v>1393</v>
      </c>
      <c r="CY14" s="94">
        <f>SUM(W14:Z14)</f>
        <v>1928.7999999999997</v>
      </c>
      <c r="CZ14" s="94">
        <f>SUM(AA14:AD14)</f>
        <v>2338.5</v>
      </c>
      <c r="DA14" s="94">
        <f>SUM(AE14:AH14)</f>
        <v>1676.3999999999999</v>
      </c>
      <c r="DB14" s="94">
        <f>SUM(AI14:AL14)</f>
        <v>1906</v>
      </c>
      <c r="DC14" s="94">
        <f t="shared" si="17"/>
        <v>2298</v>
      </c>
      <c r="DD14" s="94">
        <f t="shared" si="13"/>
        <v>2428</v>
      </c>
      <c r="DE14" s="94">
        <f t="shared" ref="DE14:DJ14" si="27">DD14*1.02</f>
        <v>2476.56</v>
      </c>
      <c r="DF14" s="94">
        <f t="shared" si="27"/>
        <v>2526.0911999999998</v>
      </c>
      <c r="DG14" s="94">
        <f t="shared" si="27"/>
        <v>2576.6130239999998</v>
      </c>
      <c r="DH14" s="94">
        <f t="shared" si="27"/>
        <v>2628.1452844799996</v>
      </c>
      <c r="DI14" s="94">
        <f t="shared" si="27"/>
        <v>2680.7081901695997</v>
      </c>
      <c r="DJ14" s="94">
        <f t="shared" si="27"/>
        <v>2734.3223539729916</v>
      </c>
      <c r="DK14" s="94">
        <f>DJ14*0.5</f>
        <v>1367.1611769864958</v>
      </c>
      <c r="DL14" s="94">
        <f t="shared" ref="DL14:DS17" si="28">+DK14*0.5</f>
        <v>683.58058849324789</v>
      </c>
      <c r="DM14" s="94">
        <f t="shared" si="28"/>
        <v>341.79029424662394</v>
      </c>
      <c r="DN14" s="94">
        <f t="shared" si="28"/>
        <v>170.89514712331197</v>
      </c>
      <c r="DO14" s="94">
        <f t="shared" si="28"/>
        <v>85.447573561655986</v>
      </c>
      <c r="DP14" s="94">
        <f t="shared" si="28"/>
        <v>42.723786780827993</v>
      </c>
      <c r="DQ14" s="94">
        <f t="shared" si="28"/>
        <v>21.361893390413996</v>
      </c>
      <c r="DR14" s="94">
        <f t="shared" si="28"/>
        <v>10.680946695206998</v>
      </c>
      <c r="DS14" s="94">
        <f t="shared" si="28"/>
        <v>5.3404733476034991</v>
      </c>
      <c r="DU14" s="87"/>
    </row>
    <row r="15" spans="1:128" s="41" customFormat="1" ht="12.75" customHeight="1">
      <c r="B15" s="46" t="s">
        <v>477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>
        <v>0</v>
      </c>
      <c r="P15" s="94">
        <v>5</v>
      </c>
      <c r="Q15" s="94">
        <v>52</v>
      </c>
      <c r="R15" s="94">
        <v>76</v>
      </c>
      <c r="S15" s="94">
        <v>179</v>
      </c>
      <c r="T15" s="94">
        <v>193</v>
      </c>
      <c r="U15" s="94">
        <v>274</v>
      </c>
      <c r="V15" s="94">
        <v>355</v>
      </c>
      <c r="W15" s="94">
        <v>378.4</v>
      </c>
      <c r="X15" s="94">
        <v>497.4</v>
      </c>
      <c r="Y15" s="94">
        <v>526.6</v>
      </c>
      <c r="Z15" s="94">
        <v>552.9</v>
      </c>
      <c r="AA15" s="94">
        <v>623.79999999999995</v>
      </c>
      <c r="AB15" s="94">
        <v>686.4</v>
      </c>
      <c r="AC15" s="94">
        <v>693</v>
      </c>
      <c r="AD15" s="94">
        <v>600</v>
      </c>
      <c r="AE15" s="94">
        <v>651.20000000000005</v>
      </c>
      <c r="AF15" s="94">
        <v>592.1</v>
      </c>
      <c r="AG15" s="94">
        <v>567.20000000000005</v>
      </c>
      <c r="AH15" s="94">
        <f>AG15+10</f>
        <v>577.20000000000005</v>
      </c>
      <c r="AI15" s="94">
        <v>466</v>
      </c>
      <c r="AJ15" s="94">
        <v>519.9</v>
      </c>
      <c r="AK15" s="94">
        <v>514.1</v>
      </c>
      <c r="AL15" s="94">
        <v>384</v>
      </c>
      <c r="AM15" s="94">
        <v>477</v>
      </c>
      <c r="AN15" s="94">
        <v>490</v>
      </c>
      <c r="AO15" s="94">
        <v>485</v>
      </c>
      <c r="AP15" s="94">
        <v>562</v>
      </c>
      <c r="AQ15" s="94">
        <v>480</v>
      </c>
      <c r="AR15" s="94">
        <v>459</v>
      </c>
      <c r="AS15" s="94">
        <v>469</v>
      </c>
      <c r="AT15" s="94">
        <v>475</v>
      </c>
      <c r="AU15" s="94">
        <v>444</v>
      </c>
      <c r="AV15" s="94">
        <v>445</v>
      </c>
      <c r="AW15" s="94">
        <v>423</v>
      </c>
      <c r="AX15" s="94">
        <v>435</v>
      </c>
      <c r="AY15" s="94">
        <v>394</v>
      </c>
      <c r="AZ15" s="94">
        <v>417</v>
      </c>
      <c r="BA15" s="94">
        <v>396</v>
      </c>
      <c r="BB15" s="94">
        <v>436</v>
      </c>
      <c r="BC15" s="94">
        <v>361</v>
      </c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>
        <v>97</v>
      </c>
      <c r="BX15" s="94">
        <v>76</v>
      </c>
      <c r="BY15" s="94">
        <v>57</v>
      </c>
      <c r="BZ15" s="94">
        <v>54</v>
      </c>
      <c r="CA15" s="94">
        <v>53</v>
      </c>
      <c r="CB15" s="94">
        <v>39</v>
      </c>
      <c r="CC15" s="96" t="s">
        <v>788</v>
      </c>
      <c r="CD15" s="94">
        <v>43</v>
      </c>
      <c r="CE15" s="94">
        <v>0</v>
      </c>
      <c r="CF15" s="94">
        <v>0</v>
      </c>
      <c r="CG15" s="94">
        <v>0</v>
      </c>
      <c r="CH15" s="94">
        <v>0</v>
      </c>
      <c r="CI15" s="94">
        <v>0</v>
      </c>
      <c r="CJ15" s="94">
        <v>0</v>
      </c>
      <c r="CK15" s="94">
        <v>0</v>
      </c>
      <c r="CL15" s="94">
        <v>0</v>
      </c>
      <c r="CM15" s="94">
        <v>0</v>
      </c>
      <c r="CN15" s="94">
        <v>0</v>
      </c>
      <c r="CO15" s="94">
        <v>0</v>
      </c>
      <c r="CP15" s="94">
        <v>0</v>
      </c>
      <c r="CQ15" s="94"/>
      <c r="CR15" s="94"/>
      <c r="CS15" s="48"/>
      <c r="CT15" s="94" t="s">
        <v>443</v>
      </c>
      <c r="CU15" s="94" t="s">
        <v>443</v>
      </c>
      <c r="CV15" s="94" t="s">
        <v>443</v>
      </c>
      <c r="CW15" s="94">
        <f>SUM(O15:R15)</f>
        <v>133</v>
      </c>
      <c r="CX15" s="94">
        <f>SUM(S15:V15)</f>
        <v>1001</v>
      </c>
      <c r="CY15" s="94">
        <f>SUM(W15:Z15)</f>
        <v>1955.3000000000002</v>
      </c>
      <c r="CZ15" s="94">
        <f>SUM(AA15:AD15)</f>
        <v>2603.1999999999998</v>
      </c>
      <c r="DA15" s="94">
        <f>SUM(AE15:AH15)</f>
        <v>2387.7000000000003</v>
      </c>
      <c r="DB15" s="94">
        <f>SUM(AI15:AL15)</f>
        <v>1884</v>
      </c>
      <c r="DC15" s="94">
        <f t="shared" si="17"/>
        <v>2014</v>
      </c>
      <c r="DD15" s="94">
        <f t="shared" si="13"/>
        <v>1883</v>
      </c>
      <c r="DE15" s="94">
        <f t="shared" ref="DE15:DJ15" si="29">DD15*1.02</f>
        <v>1920.66</v>
      </c>
      <c r="DF15" s="94">
        <f t="shared" si="29"/>
        <v>1959.0732</v>
      </c>
      <c r="DG15" s="94">
        <f t="shared" si="29"/>
        <v>1998.254664</v>
      </c>
      <c r="DH15" s="94">
        <f t="shared" si="29"/>
        <v>2038.2197572800001</v>
      </c>
      <c r="DI15" s="94">
        <f t="shared" si="29"/>
        <v>2078.9841524256003</v>
      </c>
      <c r="DJ15" s="94">
        <f t="shared" si="29"/>
        <v>2120.5638354741122</v>
      </c>
      <c r="DK15" s="94">
        <f>DJ15*0.5</f>
        <v>1060.2819177370561</v>
      </c>
      <c r="DL15" s="94">
        <f t="shared" si="28"/>
        <v>530.14095886852806</v>
      </c>
      <c r="DM15" s="94">
        <f t="shared" si="28"/>
        <v>265.07047943426403</v>
      </c>
      <c r="DN15" s="94">
        <f t="shared" si="28"/>
        <v>132.53523971713201</v>
      </c>
      <c r="DO15" s="94">
        <f t="shared" si="28"/>
        <v>66.267619858566007</v>
      </c>
      <c r="DP15" s="94">
        <f t="shared" si="28"/>
        <v>33.133809929283004</v>
      </c>
      <c r="DQ15" s="94">
        <f t="shared" si="28"/>
        <v>16.566904964641502</v>
      </c>
      <c r="DR15" s="94">
        <f t="shared" si="28"/>
        <v>8.2834524823207509</v>
      </c>
      <c r="DS15" s="94">
        <f t="shared" si="28"/>
        <v>4.1417262411603755</v>
      </c>
      <c r="DU15" s="87"/>
    </row>
    <row r="16" spans="1:128" s="41" customFormat="1" ht="12.75" customHeight="1">
      <c r="B16" s="46" t="s">
        <v>758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>
        <v>94</v>
      </c>
      <c r="BX16" s="94">
        <v>92</v>
      </c>
      <c r="BY16" s="94">
        <v>97</v>
      </c>
      <c r="BZ16" s="94">
        <v>108</v>
      </c>
      <c r="CA16" s="94">
        <v>122</v>
      </c>
      <c r="CB16" s="94">
        <v>115</v>
      </c>
      <c r="CC16" s="96" t="s">
        <v>562</v>
      </c>
      <c r="CD16" s="94">
        <v>105</v>
      </c>
      <c r="CE16" s="94">
        <v>0</v>
      </c>
      <c r="CF16" s="94">
        <v>0</v>
      </c>
      <c r="CG16" s="94">
        <v>0</v>
      </c>
      <c r="CH16" s="94">
        <v>0</v>
      </c>
      <c r="CI16" s="94">
        <v>0</v>
      </c>
      <c r="CJ16" s="94">
        <v>0</v>
      </c>
      <c r="CK16" s="94">
        <v>0</v>
      </c>
      <c r="CL16" s="94">
        <v>0</v>
      </c>
      <c r="CM16" s="94">
        <v>0</v>
      </c>
      <c r="CN16" s="94">
        <v>0</v>
      </c>
      <c r="CO16" s="94">
        <v>0</v>
      </c>
      <c r="CP16" s="94">
        <v>0</v>
      </c>
      <c r="CQ16" s="94"/>
      <c r="CR16" s="94"/>
      <c r="CS16" s="48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U16" s="87"/>
    </row>
    <row r="17" spans="2:134" s="41" customFormat="1" ht="12.75" customHeight="1">
      <c r="B17" s="46" t="s">
        <v>567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 t="s">
        <v>443</v>
      </c>
      <c r="AB17" s="94" t="s">
        <v>443</v>
      </c>
      <c r="AC17" s="94" t="s">
        <v>443</v>
      </c>
      <c r="AD17" s="94" t="s">
        <v>443</v>
      </c>
      <c r="AE17" s="94">
        <v>47</v>
      </c>
      <c r="AF17" s="94">
        <v>77</v>
      </c>
      <c r="AG17" s="94">
        <v>107</v>
      </c>
      <c r="AH17" s="94">
        <f>AG17+10</f>
        <v>117</v>
      </c>
      <c r="AI17" s="94">
        <v>148</v>
      </c>
      <c r="AJ17" s="94">
        <v>172</v>
      </c>
      <c r="AK17" s="94">
        <v>197</v>
      </c>
      <c r="AL17" s="94">
        <v>234</v>
      </c>
      <c r="AM17" s="94">
        <v>232</v>
      </c>
      <c r="AN17" s="94">
        <v>267</v>
      </c>
      <c r="AO17" s="94">
        <v>278</v>
      </c>
      <c r="AP17" s="94">
        <v>313</v>
      </c>
      <c r="AQ17" s="94">
        <v>292</v>
      </c>
      <c r="AR17" s="94">
        <v>337</v>
      </c>
      <c r="AS17" s="94">
        <v>343</v>
      </c>
      <c r="AT17" s="94">
        <v>387</v>
      </c>
      <c r="AU17" s="94">
        <v>337</v>
      </c>
      <c r="AV17" s="94">
        <v>398</v>
      </c>
      <c r="AW17" s="94">
        <v>399</v>
      </c>
      <c r="AX17" s="94">
        <v>381</v>
      </c>
      <c r="AY17" s="94">
        <v>362</v>
      </c>
      <c r="AZ17" s="94">
        <v>412</v>
      </c>
      <c r="BA17" s="94">
        <v>427</v>
      </c>
      <c r="BB17" s="94">
        <v>442</v>
      </c>
      <c r="BC17" s="94">
        <v>390</v>
      </c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>
        <v>255</v>
      </c>
      <c r="BX17" s="94">
        <v>247</v>
      </c>
      <c r="BY17" s="94">
        <v>250</v>
      </c>
      <c r="BZ17" s="94">
        <v>223</v>
      </c>
      <c r="CA17" s="94">
        <v>245</v>
      </c>
      <c r="CB17" s="94">
        <v>196</v>
      </c>
      <c r="CC17" s="94">
        <v>205</v>
      </c>
      <c r="CD17" s="94">
        <v>211</v>
      </c>
      <c r="CE17" s="94">
        <v>209</v>
      </c>
      <c r="CF17" s="94">
        <v>192</v>
      </c>
      <c r="CG17" s="94">
        <v>189</v>
      </c>
      <c r="CH17" s="94">
        <v>178</v>
      </c>
      <c r="CI17" s="94">
        <v>158</v>
      </c>
      <c r="CJ17" s="94">
        <v>147</v>
      </c>
      <c r="CK17" s="94">
        <v>161</v>
      </c>
      <c r="CL17" s="94">
        <f t="shared" ref="CL17" si="30">+CH17*0.9</f>
        <v>160.20000000000002</v>
      </c>
      <c r="CM17" s="94">
        <f t="shared" ref="CM17" si="31">+CI17*0.9</f>
        <v>142.20000000000002</v>
      </c>
      <c r="CN17" s="94">
        <f t="shared" ref="CN17" si="32">+CJ17*0.9</f>
        <v>132.30000000000001</v>
      </c>
      <c r="CO17" s="94">
        <f t="shared" ref="CO17" si="33">+CK17*0.9</f>
        <v>144.9</v>
      </c>
      <c r="CP17" s="94">
        <f t="shared" ref="CP17" si="34">+CL17*0.9</f>
        <v>144.18</v>
      </c>
      <c r="CQ17" s="94"/>
      <c r="CR17" s="94"/>
      <c r="CS17" s="48"/>
      <c r="CT17" s="42" t="s">
        <v>443</v>
      </c>
      <c r="CU17" s="94" t="s">
        <v>443</v>
      </c>
      <c r="CV17" s="94" t="s">
        <v>443</v>
      </c>
      <c r="CW17" s="94" t="s">
        <v>443</v>
      </c>
      <c r="CX17" s="94" t="s">
        <v>443</v>
      </c>
      <c r="CY17" s="94" t="s">
        <v>443</v>
      </c>
      <c r="CZ17" s="94" t="s">
        <v>443</v>
      </c>
      <c r="DA17" s="94">
        <f>SUM(AE17:AH17)</f>
        <v>348</v>
      </c>
      <c r="DB17" s="94">
        <f>SUM(AI17:AL17)</f>
        <v>751</v>
      </c>
      <c r="DC17" s="94">
        <f t="shared" si="17"/>
        <v>1090</v>
      </c>
      <c r="DD17" s="94">
        <f>DC17*1.1</f>
        <v>1199</v>
      </c>
      <c r="DE17" s="94">
        <f>DD17*1.1</f>
        <v>1318.9</v>
      </c>
      <c r="DF17" s="94">
        <f>DE17*1.1</f>
        <v>1450.7900000000002</v>
      </c>
      <c r="DG17" s="94">
        <f>DF17*1.1</f>
        <v>1595.8690000000004</v>
      </c>
      <c r="DH17" s="94">
        <f>DG17*1.1</f>
        <v>1755.4559000000006</v>
      </c>
      <c r="DI17" s="94">
        <f>DH17*1.05</f>
        <v>1843.2286950000007</v>
      </c>
      <c r="DJ17" s="94">
        <f>DI17*1.05</f>
        <v>1935.3901297500008</v>
      </c>
      <c r="DK17" s="94">
        <f>DJ17*1.05</f>
        <v>2032.159636237501</v>
      </c>
      <c r="DL17" s="94">
        <f t="shared" si="28"/>
        <v>1016.0798181187505</v>
      </c>
      <c r="DM17" s="94">
        <f t="shared" si="28"/>
        <v>508.03990905937525</v>
      </c>
      <c r="DN17" s="94">
        <f t="shared" si="28"/>
        <v>254.01995452968762</v>
      </c>
      <c r="DO17" s="94">
        <f t="shared" si="28"/>
        <v>127.00997726484381</v>
      </c>
      <c r="DP17" s="94">
        <f t="shared" si="28"/>
        <v>63.504988632421906</v>
      </c>
      <c r="DQ17" s="94">
        <f t="shared" si="28"/>
        <v>31.752494316210953</v>
      </c>
      <c r="DR17" s="94">
        <f t="shared" si="28"/>
        <v>15.876247158105476</v>
      </c>
      <c r="DS17" s="94">
        <f t="shared" si="28"/>
        <v>7.9381235790527382</v>
      </c>
      <c r="DU17" s="30"/>
    </row>
    <row r="18" spans="2:134" s="41" customFormat="1" ht="12.75" customHeight="1">
      <c r="B18" s="46" t="s">
        <v>753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>
        <v>67</v>
      </c>
      <c r="BX18" s="94">
        <v>76</v>
      </c>
      <c r="BY18" s="94">
        <v>80</v>
      </c>
      <c r="BZ18" s="94">
        <v>83</v>
      </c>
      <c r="CA18" s="94">
        <v>79</v>
      </c>
      <c r="CB18" s="94">
        <v>84</v>
      </c>
      <c r="CC18" s="94">
        <v>81</v>
      </c>
      <c r="CD18" s="94">
        <v>83</v>
      </c>
      <c r="CE18" s="94">
        <v>79</v>
      </c>
      <c r="CF18" s="94">
        <v>78</v>
      </c>
      <c r="CG18" s="94">
        <v>81</v>
      </c>
      <c r="CH18" s="94">
        <v>80</v>
      </c>
      <c r="CI18" s="94">
        <v>69</v>
      </c>
      <c r="CJ18" s="94">
        <v>69</v>
      </c>
      <c r="CK18" s="94">
        <v>62</v>
      </c>
      <c r="CL18" s="94">
        <f t="shared" ref="CL18" si="35">+CH18*0.9</f>
        <v>72</v>
      </c>
      <c r="CM18" s="94">
        <f t="shared" ref="CM18" si="36">+CI18*0.9</f>
        <v>62.1</v>
      </c>
      <c r="CN18" s="94">
        <f t="shared" ref="CN18" si="37">+CJ18*0.9</f>
        <v>62.1</v>
      </c>
      <c r="CO18" s="94">
        <f t="shared" ref="CO18" si="38">+CK18*0.9</f>
        <v>55.800000000000004</v>
      </c>
      <c r="CP18" s="94">
        <f t="shared" ref="CP18" si="39">+CL18*0.9</f>
        <v>64.8</v>
      </c>
      <c r="CQ18" s="94"/>
      <c r="CR18" s="94"/>
      <c r="CS18" s="48"/>
      <c r="CT18" s="42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U18" s="30"/>
    </row>
    <row r="19" spans="2:134" s="41" customFormat="1" ht="12.75" customHeight="1">
      <c r="B19" s="46" t="s">
        <v>571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6" t="s">
        <v>537</v>
      </c>
      <c r="AE19" s="96" t="s">
        <v>536</v>
      </c>
      <c r="AF19" s="96" t="s">
        <v>557</v>
      </c>
      <c r="AG19" s="96" t="s">
        <v>549</v>
      </c>
      <c r="AH19" s="96" t="s">
        <v>535</v>
      </c>
      <c r="AI19" s="96" t="s">
        <v>523</v>
      </c>
      <c r="AJ19" s="96" t="s">
        <v>514</v>
      </c>
      <c r="AK19" s="96" t="s">
        <v>505</v>
      </c>
      <c r="AL19" s="94">
        <v>165</v>
      </c>
      <c r="AM19" s="94">
        <f>155+164</f>
        <v>319</v>
      </c>
      <c r="AN19" s="94">
        <v>338</v>
      </c>
      <c r="AO19" s="94">
        <v>259</v>
      </c>
      <c r="AP19" s="94">
        <v>303</v>
      </c>
      <c r="AQ19" s="94">
        <v>373</v>
      </c>
      <c r="AR19" s="94">
        <v>323</v>
      </c>
      <c r="AS19" s="94">
        <v>266</v>
      </c>
      <c r="AT19" s="94">
        <v>325</v>
      </c>
      <c r="AU19" s="94">
        <v>375</v>
      </c>
      <c r="AV19" s="94">
        <v>293</v>
      </c>
      <c r="AW19" s="94">
        <v>292</v>
      </c>
      <c r="AX19" s="94">
        <v>308</v>
      </c>
      <c r="AY19" s="94">
        <v>385</v>
      </c>
      <c r="AZ19" s="94">
        <v>325</v>
      </c>
      <c r="BA19" s="94">
        <v>297</v>
      </c>
      <c r="BB19" s="94">
        <v>327</v>
      </c>
      <c r="BC19" s="94">
        <v>271</v>
      </c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96</v>
      </c>
      <c r="BX19" s="94">
        <v>72</v>
      </c>
      <c r="BY19" s="94">
        <v>58</v>
      </c>
      <c r="BZ19" s="94">
        <v>67</v>
      </c>
      <c r="CA19" s="94">
        <v>71</v>
      </c>
      <c r="CB19" s="94">
        <v>49</v>
      </c>
      <c r="CC19" s="96" t="s">
        <v>628</v>
      </c>
      <c r="CD19" s="94">
        <v>57</v>
      </c>
      <c r="CE19" s="94">
        <v>0</v>
      </c>
      <c r="CF19" s="94">
        <v>0</v>
      </c>
      <c r="CG19" s="94">
        <v>0</v>
      </c>
      <c r="CH19" s="94">
        <v>0</v>
      </c>
      <c r="CI19" s="94">
        <v>0</v>
      </c>
      <c r="CJ19" s="94">
        <v>0</v>
      </c>
      <c r="CK19" s="94">
        <v>0</v>
      </c>
      <c r="CL19" s="94">
        <v>0</v>
      </c>
      <c r="CM19" s="94">
        <v>0</v>
      </c>
      <c r="CN19" s="94">
        <v>0</v>
      </c>
      <c r="CO19" s="94">
        <v>0</v>
      </c>
      <c r="CP19" s="94">
        <v>0</v>
      </c>
      <c r="CQ19" s="94"/>
      <c r="CR19" s="94"/>
      <c r="CS19" s="48"/>
      <c r="CT19" s="94"/>
      <c r="CU19" s="94"/>
      <c r="CV19" s="94"/>
      <c r="CW19" s="94"/>
      <c r="CX19" s="94"/>
      <c r="CY19" s="94"/>
      <c r="CZ19" s="94"/>
      <c r="DA19" s="96" t="s">
        <v>565</v>
      </c>
      <c r="DB19" s="96" t="s">
        <v>566</v>
      </c>
      <c r="DC19" s="94">
        <f t="shared" si="17"/>
        <v>1219</v>
      </c>
      <c r="DD19" s="94">
        <f>DC19</f>
        <v>1219</v>
      </c>
      <c r="DE19" s="94">
        <f>DD19*0.8</f>
        <v>975.2</v>
      </c>
      <c r="DF19" s="94">
        <f t="shared" ref="DF19:DL19" si="40">+DE19*0.9</f>
        <v>877.68000000000006</v>
      </c>
      <c r="DG19" s="94">
        <f t="shared" si="40"/>
        <v>789.91200000000003</v>
      </c>
      <c r="DH19" s="94">
        <f t="shared" si="40"/>
        <v>710.9208000000001</v>
      </c>
      <c r="DI19" s="94">
        <f t="shared" si="40"/>
        <v>639.82872000000009</v>
      </c>
      <c r="DJ19" s="94">
        <f t="shared" si="40"/>
        <v>575.84584800000005</v>
      </c>
      <c r="DK19" s="94">
        <f t="shared" si="40"/>
        <v>518.26126320000003</v>
      </c>
      <c r="DL19" s="94">
        <f t="shared" si="40"/>
        <v>466.43513688000002</v>
      </c>
      <c r="DM19" s="94">
        <f t="shared" ref="DM19:DS19" si="41">+DL19*0.9</f>
        <v>419.79162319200003</v>
      </c>
      <c r="DN19" s="94">
        <f t="shared" si="41"/>
        <v>377.81246087280005</v>
      </c>
      <c r="DO19" s="94">
        <f t="shared" si="41"/>
        <v>340.03121478552004</v>
      </c>
      <c r="DP19" s="94">
        <f t="shared" si="41"/>
        <v>306.02809330696806</v>
      </c>
      <c r="DQ19" s="94">
        <f t="shared" si="41"/>
        <v>275.42528397627126</v>
      </c>
      <c r="DR19" s="94">
        <f t="shared" si="41"/>
        <v>247.88275557864415</v>
      </c>
      <c r="DS19" s="94">
        <f t="shared" si="41"/>
        <v>223.09448002077974</v>
      </c>
      <c r="DU19" s="30"/>
      <c r="DX19" s="43"/>
    </row>
    <row r="20" spans="2:134" s="41" customFormat="1" ht="12.75" customHeight="1">
      <c r="B20" s="46" t="s">
        <v>186</v>
      </c>
      <c r="C20" s="94">
        <v>430.71800000000002</v>
      </c>
      <c r="D20" s="94">
        <v>430.71800000000002</v>
      </c>
      <c r="E20" s="94">
        <v>508.7876</v>
      </c>
      <c r="F20" s="94">
        <v>454.80281608529947</v>
      </c>
      <c r="G20" s="94">
        <v>422</v>
      </c>
      <c r="H20" s="94">
        <v>525</v>
      </c>
      <c r="I20" s="94">
        <v>549</v>
      </c>
      <c r="J20" s="94">
        <v>681</v>
      </c>
      <c r="K20" s="94">
        <v>633</v>
      </c>
      <c r="L20" s="94">
        <v>541</v>
      </c>
      <c r="M20" s="94">
        <v>622</v>
      </c>
      <c r="N20" s="94">
        <v>690</v>
      </c>
      <c r="O20" s="94">
        <v>629</v>
      </c>
      <c r="P20" s="94">
        <v>725</v>
      </c>
      <c r="Q20" s="94">
        <v>706</v>
      </c>
      <c r="R20" s="94">
        <v>764</v>
      </c>
      <c r="S20" s="94">
        <v>719</v>
      </c>
      <c r="T20" s="94">
        <v>785</v>
      </c>
      <c r="U20" s="94">
        <v>751</v>
      </c>
      <c r="V20" s="94">
        <v>782</v>
      </c>
      <c r="W20" s="94">
        <v>701</v>
      </c>
      <c r="X20" s="94">
        <v>784</v>
      </c>
      <c r="Y20" s="94">
        <v>813</v>
      </c>
      <c r="Z20" s="94">
        <v>865</v>
      </c>
      <c r="AA20" s="94">
        <v>798</v>
      </c>
      <c r="AB20" s="94">
        <v>847</v>
      </c>
      <c r="AC20" s="94">
        <v>814</v>
      </c>
      <c r="AD20" s="94">
        <v>800</v>
      </c>
      <c r="AE20" s="94">
        <v>847</v>
      </c>
      <c r="AF20" s="94">
        <v>941</v>
      </c>
      <c r="AG20" s="94">
        <v>888</v>
      </c>
      <c r="AH20" s="94">
        <f>+AG20+5</f>
        <v>893</v>
      </c>
      <c r="AI20" s="94">
        <v>839</v>
      </c>
      <c r="AJ20" s="94">
        <v>906</v>
      </c>
      <c r="AK20" s="94">
        <v>861</v>
      </c>
      <c r="AL20" s="94">
        <v>955</v>
      </c>
      <c r="AM20" s="94">
        <v>782</v>
      </c>
      <c r="AN20" s="94">
        <v>485</v>
      </c>
      <c r="AO20" s="94">
        <v>423</v>
      </c>
      <c r="AP20" s="94">
        <v>415</v>
      </c>
      <c r="AQ20" s="94">
        <v>426</v>
      </c>
      <c r="AR20" s="94">
        <v>406</v>
      </c>
      <c r="AS20" s="94">
        <v>404</v>
      </c>
      <c r="AT20" s="94">
        <v>427</v>
      </c>
      <c r="AU20" s="94">
        <v>336</v>
      </c>
      <c r="AV20" s="94">
        <v>337</v>
      </c>
      <c r="AW20" s="94">
        <v>295</v>
      </c>
      <c r="AX20" s="94">
        <v>315</v>
      </c>
      <c r="AY20" s="94">
        <v>267</v>
      </c>
      <c r="AZ20" s="94">
        <v>255</v>
      </c>
      <c r="BA20" s="94">
        <v>238</v>
      </c>
      <c r="BB20" s="94">
        <v>246</v>
      </c>
      <c r="BC20" s="94">
        <v>205</v>
      </c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>
        <v>103</v>
      </c>
      <c r="BX20" s="94">
        <v>109</v>
      </c>
      <c r="BY20" s="94">
        <v>116</v>
      </c>
      <c r="BZ20" s="94">
        <v>113</v>
      </c>
      <c r="CA20" s="94">
        <v>102</v>
      </c>
      <c r="CB20" s="94">
        <v>98</v>
      </c>
      <c r="CC20" s="96" t="s">
        <v>789</v>
      </c>
      <c r="CD20" s="94">
        <v>94</v>
      </c>
      <c r="CE20" s="94">
        <v>0</v>
      </c>
      <c r="CF20" s="94">
        <v>0</v>
      </c>
      <c r="CG20" s="94">
        <v>0</v>
      </c>
      <c r="CH20" s="94">
        <v>0</v>
      </c>
      <c r="CI20" s="94">
        <v>0</v>
      </c>
      <c r="CJ20" s="94">
        <v>0</v>
      </c>
      <c r="CK20" s="94">
        <v>0</v>
      </c>
      <c r="CL20" s="94">
        <v>0</v>
      </c>
      <c r="CM20" s="94">
        <v>0</v>
      </c>
      <c r="CN20" s="94">
        <v>0</v>
      </c>
      <c r="CO20" s="94">
        <v>0</v>
      </c>
      <c r="CP20" s="94">
        <v>0</v>
      </c>
      <c r="CQ20" s="94"/>
      <c r="CR20" s="94"/>
      <c r="CS20" s="48"/>
      <c r="CT20" s="94">
        <v>1825</v>
      </c>
      <c r="CU20" s="94">
        <v>2190</v>
      </c>
      <c r="CV20" s="94">
        <v>2486</v>
      </c>
      <c r="CW20" s="94">
        <f>SUM(O20:R20)</f>
        <v>2824</v>
      </c>
      <c r="CX20" s="94">
        <f>SUM(S20:V20)</f>
        <v>3037</v>
      </c>
      <c r="CY20" s="94">
        <f>SUM(W20:Z20)</f>
        <v>3163</v>
      </c>
      <c r="CZ20" s="94">
        <f>SUM(AA20:AD20)</f>
        <v>3259</v>
      </c>
      <c r="DA20" s="94">
        <f>SUM(AE20:AH20)</f>
        <v>3569</v>
      </c>
      <c r="DB20" s="94">
        <f>SUM(AI20:AL20)</f>
        <v>3561</v>
      </c>
      <c r="DC20" s="94">
        <f t="shared" si="17"/>
        <v>2105</v>
      </c>
      <c r="DD20" s="94">
        <f>SUM(AQ20:AT20)</f>
        <v>1663</v>
      </c>
      <c r="DE20" s="94">
        <f>DD20*0.8</f>
        <v>1330.4</v>
      </c>
      <c r="DF20" s="94">
        <f t="shared" ref="DF20:DK20" si="42">DE20*0.8</f>
        <v>1064.3200000000002</v>
      </c>
      <c r="DG20" s="94">
        <f t="shared" si="42"/>
        <v>851.45600000000013</v>
      </c>
      <c r="DH20" s="94">
        <f t="shared" si="42"/>
        <v>681.16480000000013</v>
      </c>
      <c r="DI20" s="94">
        <f t="shared" si="42"/>
        <v>544.93184000000008</v>
      </c>
      <c r="DJ20" s="94">
        <f t="shared" si="42"/>
        <v>435.94547200000011</v>
      </c>
      <c r="DK20" s="94">
        <f t="shared" si="42"/>
        <v>348.75637760000012</v>
      </c>
      <c r="DL20" s="94">
        <f t="shared" ref="DL20:DS20" si="43">+DK20*0.5</f>
        <v>174.37818880000006</v>
      </c>
      <c r="DM20" s="94">
        <f t="shared" si="43"/>
        <v>87.18909440000003</v>
      </c>
      <c r="DN20" s="94">
        <f t="shared" si="43"/>
        <v>43.594547200000015</v>
      </c>
      <c r="DO20" s="94">
        <f t="shared" si="43"/>
        <v>21.797273600000008</v>
      </c>
      <c r="DP20" s="94">
        <f t="shared" si="43"/>
        <v>10.898636800000004</v>
      </c>
      <c r="DQ20" s="94">
        <f t="shared" si="43"/>
        <v>5.4493184000000019</v>
      </c>
      <c r="DR20" s="94">
        <f t="shared" si="43"/>
        <v>2.7246592000000009</v>
      </c>
      <c r="DS20" s="94">
        <f t="shared" si="43"/>
        <v>1.3623296000000005</v>
      </c>
      <c r="DT20" s="97"/>
      <c r="DU20" s="94"/>
      <c r="DV20" s="97"/>
      <c r="DW20" s="97"/>
      <c r="DX20" s="92"/>
    </row>
    <row r="21" spans="2:134" s="41" customFormat="1" ht="12.75" customHeight="1">
      <c r="B21" s="46" t="s">
        <v>18</v>
      </c>
      <c r="C21" s="42"/>
      <c r="D21" s="42"/>
      <c r="E21" s="42"/>
      <c r="F21" s="42"/>
      <c r="G21" s="42"/>
      <c r="H21" s="42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>
        <v>31</v>
      </c>
      <c r="Y21" s="94">
        <v>62</v>
      </c>
      <c r="Z21" s="94">
        <v>69</v>
      </c>
      <c r="AA21" s="94">
        <v>85</v>
      </c>
      <c r="AB21" s="94">
        <v>119</v>
      </c>
      <c r="AC21" s="93">
        <v>171</v>
      </c>
      <c r="AD21" s="94">
        <v>190</v>
      </c>
      <c r="AE21" s="94">
        <v>190</v>
      </c>
      <c r="AF21" s="94">
        <v>178</v>
      </c>
      <c r="AG21" s="94">
        <v>134</v>
      </c>
      <c r="AH21" s="94">
        <f>AG21+10</f>
        <v>144</v>
      </c>
      <c r="AI21" s="94">
        <v>134</v>
      </c>
      <c r="AJ21" s="94">
        <v>126</v>
      </c>
      <c r="AK21" s="94">
        <v>127</v>
      </c>
      <c r="AL21" s="94">
        <f>123+12</f>
        <v>135</v>
      </c>
      <c r="AM21" s="94">
        <v>93</v>
      </c>
      <c r="AN21" s="94">
        <v>139</v>
      </c>
      <c r="AO21" s="94">
        <v>119</v>
      </c>
      <c r="AP21" s="94">
        <v>169</v>
      </c>
      <c r="AQ21" s="94">
        <v>125</v>
      </c>
      <c r="AR21" s="94">
        <v>148</v>
      </c>
      <c r="AS21" s="94">
        <v>184</v>
      </c>
      <c r="AT21" s="94">
        <v>195</v>
      </c>
      <c r="AU21" s="94">
        <v>142</v>
      </c>
      <c r="AV21" s="94">
        <v>142</v>
      </c>
      <c r="AW21" s="94">
        <v>150</v>
      </c>
      <c r="AX21" s="94">
        <v>168</v>
      </c>
      <c r="AY21" s="94">
        <v>162</v>
      </c>
      <c r="AZ21" s="94">
        <v>144</v>
      </c>
      <c r="BA21" s="94">
        <v>201</v>
      </c>
      <c r="BB21" s="94">
        <v>129</v>
      </c>
      <c r="BC21" s="94">
        <v>169</v>
      </c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211</v>
      </c>
      <c r="BX21" s="94">
        <v>172</v>
      </c>
      <c r="BY21" s="94">
        <v>180</v>
      </c>
      <c r="BZ21" s="94">
        <v>227</v>
      </c>
      <c r="CA21" s="94">
        <v>222</v>
      </c>
      <c r="CB21" s="94">
        <v>168</v>
      </c>
      <c r="CC21" s="94">
        <v>210</v>
      </c>
      <c r="CD21" s="94">
        <v>196</v>
      </c>
      <c r="CE21" s="94">
        <v>158</v>
      </c>
      <c r="CF21" s="94">
        <v>208</v>
      </c>
      <c r="CG21" s="94">
        <v>227</v>
      </c>
      <c r="CH21" s="94">
        <v>213</v>
      </c>
      <c r="CI21" s="94">
        <v>216</v>
      </c>
      <c r="CJ21" s="94">
        <v>173</v>
      </c>
      <c r="CK21" s="94">
        <v>256</v>
      </c>
      <c r="CL21" s="94">
        <f t="shared" ref="CL21:CP21" si="44">+CH21</f>
        <v>213</v>
      </c>
      <c r="CM21" s="94">
        <f t="shared" si="44"/>
        <v>216</v>
      </c>
      <c r="CN21" s="94">
        <f t="shared" si="44"/>
        <v>173</v>
      </c>
      <c r="CO21" s="94">
        <f t="shared" si="44"/>
        <v>256</v>
      </c>
      <c r="CP21" s="94">
        <f t="shared" si="44"/>
        <v>213</v>
      </c>
      <c r="CQ21" s="94"/>
      <c r="CR21" s="94"/>
      <c r="CS21" s="48"/>
      <c r="CT21" s="42" t="s">
        <v>443</v>
      </c>
      <c r="CU21" s="94" t="s">
        <v>443</v>
      </c>
      <c r="CV21" s="94" t="s">
        <v>443</v>
      </c>
      <c r="CW21" s="94">
        <f>SUM(O21:R21)</f>
        <v>0</v>
      </c>
      <c r="CX21" s="94">
        <f>SUM(S21:V21)</f>
        <v>0</v>
      </c>
      <c r="CY21" s="94">
        <f>SUM(W21:Z21)</f>
        <v>162</v>
      </c>
      <c r="CZ21" s="94">
        <f>SUM(AA21:AD21)</f>
        <v>565</v>
      </c>
      <c r="DA21" s="94">
        <f>SUM(AE21:AH21)</f>
        <v>646</v>
      </c>
      <c r="DB21" s="94">
        <f>SUM(AI21:AL21)</f>
        <v>522</v>
      </c>
      <c r="DC21" s="94">
        <f t="shared" si="17"/>
        <v>520</v>
      </c>
      <c r="DD21" s="94">
        <f>DC21*1.15</f>
        <v>598</v>
      </c>
      <c r="DE21" s="94">
        <f>DD21*1.1</f>
        <v>657.80000000000007</v>
      </c>
      <c r="DF21" s="94">
        <f>DE21*1.1</f>
        <v>723.58000000000015</v>
      </c>
      <c r="DG21" s="94">
        <f>DF21*1.1</f>
        <v>795.93800000000022</v>
      </c>
      <c r="DH21" s="94">
        <f>DG21*1.1</f>
        <v>875.53180000000032</v>
      </c>
      <c r="DI21" s="94">
        <f t="shared" ref="DI21:DN21" si="45">DH21*1.05</f>
        <v>919.30839000000037</v>
      </c>
      <c r="DJ21" s="94">
        <f t="shared" si="45"/>
        <v>965.27380950000043</v>
      </c>
      <c r="DK21" s="94">
        <f t="shared" si="45"/>
        <v>1013.5374999750005</v>
      </c>
      <c r="DL21" s="94">
        <f t="shared" si="45"/>
        <v>1064.2143749737506</v>
      </c>
      <c r="DM21" s="94">
        <f t="shared" si="45"/>
        <v>1117.4250937224383</v>
      </c>
      <c r="DN21" s="94">
        <f t="shared" si="45"/>
        <v>1173.2963484085603</v>
      </c>
      <c r="DO21" s="94">
        <f>DN21*1.02</f>
        <v>1196.7622753767316</v>
      </c>
      <c r="DP21" s="94">
        <f>DO21*1.02</f>
        <v>1220.6975208842662</v>
      </c>
      <c r="DQ21" s="94">
        <f>DP21*1.02</f>
        <v>1245.1114713019515</v>
      </c>
      <c r="DR21" s="94">
        <f>DQ21*1.02</f>
        <v>1270.0137007279905</v>
      </c>
      <c r="DS21" s="94">
        <f>DR21*1.02</f>
        <v>1295.4139747425502</v>
      </c>
      <c r="DU21" s="30"/>
    </row>
    <row r="22" spans="2:134" s="41" customFormat="1" ht="12.75" customHeight="1">
      <c r="B22" s="46" t="s">
        <v>699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6" t="s">
        <v>545</v>
      </c>
      <c r="AE22" s="96" t="s">
        <v>519</v>
      </c>
      <c r="AF22" s="96" t="s">
        <v>561</v>
      </c>
      <c r="AG22" s="96" t="s">
        <v>554</v>
      </c>
      <c r="AH22" s="96" t="s">
        <v>544</v>
      </c>
      <c r="AI22" s="96" t="s">
        <v>526</v>
      </c>
      <c r="AJ22" s="96" t="s">
        <v>518</v>
      </c>
      <c r="AK22" s="96" t="s">
        <v>509</v>
      </c>
      <c r="AL22" s="94">
        <v>88</v>
      </c>
      <c r="AM22" s="94">
        <v>135</v>
      </c>
      <c r="AN22" s="94">
        <v>145</v>
      </c>
      <c r="AO22" s="94">
        <v>134</v>
      </c>
      <c r="AP22" s="94">
        <v>145</v>
      </c>
      <c r="AQ22" s="94">
        <v>142</v>
      </c>
      <c r="AR22" s="94">
        <v>154</v>
      </c>
      <c r="AS22" s="94">
        <v>159</v>
      </c>
      <c r="AT22" s="94">
        <v>168</v>
      </c>
      <c r="AU22" s="94">
        <v>146</v>
      </c>
      <c r="AV22" s="94">
        <v>157</v>
      </c>
      <c r="AW22" s="94">
        <v>156</v>
      </c>
      <c r="AX22" s="94">
        <v>164</v>
      </c>
      <c r="AY22" s="94">
        <v>151</v>
      </c>
      <c r="AZ22" s="94">
        <v>171</v>
      </c>
      <c r="BA22" s="94">
        <v>170</v>
      </c>
      <c r="BB22" s="94">
        <v>193</v>
      </c>
      <c r="BC22" s="94">
        <v>168</v>
      </c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>
        <v>219</v>
      </c>
      <c r="BX22" s="94">
        <v>240</v>
      </c>
      <c r="BY22" s="94">
        <v>241</v>
      </c>
      <c r="BZ22" s="94">
        <v>179</v>
      </c>
      <c r="CA22" s="94">
        <v>63</v>
      </c>
      <c r="CB22" s="94">
        <v>63</v>
      </c>
      <c r="CC22" s="96" t="s">
        <v>785</v>
      </c>
      <c r="CD22" s="94">
        <v>53</v>
      </c>
      <c r="CE22" s="94">
        <v>0</v>
      </c>
      <c r="CF22" s="94">
        <v>0</v>
      </c>
      <c r="CG22" s="94">
        <v>0</v>
      </c>
      <c r="CH22" s="94">
        <v>0</v>
      </c>
      <c r="CI22" s="94">
        <v>0</v>
      </c>
      <c r="CJ22" s="94">
        <v>0</v>
      </c>
      <c r="CK22" s="94">
        <v>0</v>
      </c>
      <c r="CL22" s="94">
        <v>0</v>
      </c>
      <c r="CM22" s="94">
        <v>0</v>
      </c>
      <c r="CN22" s="94">
        <v>0</v>
      </c>
      <c r="CO22" s="94">
        <v>0</v>
      </c>
      <c r="CP22" s="94">
        <v>0</v>
      </c>
      <c r="CQ22" s="94"/>
      <c r="CR22" s="94"/>
      <c r="CS22" s="48"/>
      <c r="CT22" s="94"/>
      <c r="CU22" s="94"/>
      <c r="CV22" s="94"/>
      <c r="CW22" s="94"/>
      <c r="CX22" s="94"/>
      <c r="CY22" s="94"/>
      <c r="CZ22" s="94"/>
      <c r="DA22" s="94"/>
      <c r="DB22" s="94"/>
      <c r="DC22" s="94">
        <f t="shared" si="17"/>
        <v>559</v>
      </c>
      <c r="DD22" s="94">
        <f>+DC22*1.01</f>
        <v>564.59</v>
      </c>
      <c r="DE22" s="94">
        <f t="shared" ref="DE22:DL22" si="46">+DD22*1.01</f>
        <v>570.23590000000002</v>
      </c>
      <c r="DF22" s="94">
        <f t="shared" si="46"/>
        <v>575.93825900000002</v>
      </c>
      <c r="DG22" s="94">
        <f t="shared" si="46"/>
        <v>581.69764158999999</v>
      </c>
      <c r="DH22" s="94">
        <f t="shared" si="46"/>
        <v>587.51461800590005</v>
      </c>
      <c r="DI22" s="94">
        <f t="shared" si="46"/>
        <v>593.38976418595905</v>
      </c>
      <c r="DJ22" s="94">
        <f t="shared" si="46"/>
        <v>599.32366182781868</v>
      </c>
      <c r="DK22" s="94">
        <f t="shared" si="46"/>
        <v>605.31689844609684</v>
      </c>
      <c r="DL22" s="94">
        <f t="shared" si="46"/>
        <v>611.37006743055781</v>
      </c>
      <c r="DM22" s="94">
        <f t="shared" ref="DM22:DS22" si="47">+DL22*1.01</f>
        <v>617.48376810486343</v>
      </c>
      <c r="DN22" s="94">
        <f t="shared" si="47"/>
        <v>623.65860578591207</v>
      </c>
      <c r="DO22" s="94">
        <f t="shared" si="47"/>
        <v>629.89519184377116</v>
      </c>
      <c r="DP22" s="94">
        <f t="shared" si="47"/>
        <v>636.19414376220891</v>
      </c>
      <c r="DQ22" s="94">
        <f t="shared" si="47"/>
        <v>642.55608519983105</v>
      </c>
      <c r="DR22" s="94">
        <f t="shared" si="47"/>
        <v>648.98164605182933</v>
      </c>
      <c r="DS22" s="94">
        <f t="shared" si="47"/>
        <v>655.47146251234767</v>
      </c>
      <c r="DU22" s="30"/>
    </row>
    <row r="23" spans="2:134" s="41" customFormat="1" ht="12.75" customHeight="1">
      <c r="B23" s="46" t="s">
        <v>106</v>
      </c>
      <c r="C23" s="42"/>
      <c r="D23" s="42"/>
      <c r="E23" s="42"/>
      <c r="F23" s="42"/>
      <c r="G23" s="42"/>
      <c r="H23" s="42"/>
      <c r="I23" s="94"/>
      <c r="J23" s="94"/>
      <c r="K23" s="94"/>
      <c r="L23" s="94"/>
      <c r="M23" s="94"/>
      <c r="N23" s="94"/>
      <c r="O23" s="94">
        <v>88</v>
      </c>
      <c r="P23" s="94">
        <v>101</v>
      </c>
      <c r="Q23" s="94">
        <v>109</v>
      </c>
      <c r="R23" s="94">
        <v>132</v>
      </c>
      <c r="S23" s="94">
        <v>130</v>
      </c>
      <c r="T23" s="94">
        <v>140</v>
      </c>
      <c r="U23" s="94">
        <v>142</v>
      </c>
      <c r="V23" s="94">
        <v>157</v>
      </c>
      <c r="W23" s="94">
        <v>146</v>
      </c>
      <c r="X23" s="94">
        <v>124</v>
      </c>
      <c r="Y23" s="94">
        <v>127</v>
      </c>
      <c r="Z23" s="94">
        <v>133</v>
      </c>
      <c r="AA23" s="94">
        <v>134</v>
      </c>
      <c r="AB23" s="94">
        <v>123</v>
      </c>
      <c r="AC23" s="93">
        <v>135</v>
      </c>
      <c r="AD23" s="94">
        <f>AC23</f>
        <v>135</v>
      </c>
      <c r="AE23" s="94">
        <v>149</v>
      </c>
      <c r="AF23" s="94">
        <v>161</v>
      </c>
      <c r="AG23" s="94">
        <v>148</v>
      </c>
      <c r="AH23" s="94">
        <f>AG23</f>
        <v>148</v>
      </c>
      <c r="AI23" s="94">
        <v>139</v>
      </c>
      <c r="AJ23" s="94">
        <v>149</v>
      </c>
      <c r="AK23" s="94">
        <v>155</v>
      </c>
      <c r="AL23" s="94">
        <v>175</v>
      </c>
      <c r="AM23" s="94">
        <v>153</v>
      </c>
      <c r="AN23" s="94">
        <v>150</v>
      </c>
      <c r="AO23" s="94">
        <v>135</v>
      </c>
      <c r="AP23" s="94">
        <v>174</v>
      </c>
      <c r="AQ23" s="94">
        <v>158</v>
      </c>
      <c r="AR23" s="94">
        <v>168</v>
      </c>
      <c r="AS23" s="94">
        <v>150</v>
      </c>
      <c r="AT23" s="94">
        <v>164</v>
      </c>
      <c r="AU23" s="94">
        <v>145</v>
      </c>
      <c r="AV23" s="94">
        <v>166</v>
      </c>
      <c r="AW23" s="94">
        <v>163</v>
      </c>
      <c r="AX23" s="94">
        <v>145</v>
      </c>
      <c r="AY23" s="94">
        <v>162</v>
      </c>
      <c r="AZ23" s="94">
        <v>163</v>
      </c>
      <c r="BA23" s="94">
        <v>151</v>
      </c>
      <c r="BB23" s="94">
        <v>183</v>
      </c>
      <c r="BC23" s="94">
        <v>166</v>
      </c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>
        <v>61</v>
      </c>
      <c r="BX23" s="94">
        <v>67</v>
      </c>
      <c r="BY23" s="94">
        <v>62</v>
      </c>
      <c r="BZ23" s="94">
        <v>58</v>
      </c>
      <c r="CA23" s="94">
        <v>55</v>
      </c>
      <c r="CB23" s="94">
        <v>43</v>
      </c>
      <c r="CC23" s="94">
        <v>50</v>
      </c>
      <c r="CD23" s="94">
        <v>65</v>
      </c>
      <c r="CE23" s="94">
        <v>57</v>
      </c>
      <c r="CF23" s="94">
        <v>54</v>
      </c>
      <c r="CG23" s="94">
        <v>56</v>
      </c>
      <c r="CH23" s="94">
        <v>45</v>
      </c>
      <c r="CI23" s="94">
        <v>53</v>
      </c>
      <c r="CJ23" s="94">
        <v>42</v>
      </c>
      <c r="CK23" s="94">
        <v>43</v>
      </c>
      <c r="CL23" s="94">
        <f t="shared" ref="CL23:CL24" si="48">+CH23*0.9</f>
        <v>40.5</v>
      </c>
      <c r="CM23" s="94">
        <f t="shared" ref="CM23:CM24" si="49">+CI23*0.9</f>
        <v>47.7</v>
      </c>
      <c r="CN23" s="94">
        <f t="shared" ref="CN23:CN24" si="50">+CJ23*0.9</f>
        <v>37.800000000000004</v>
      </c>
      <c r="CO23" s="94">
        <f t="shared" ref="CO23:CO24" si="51">+CK23*0.9</f>
        <v>38.700000000000003</v>
      </c>
      <c r="CP23" s="94">
        <f t="shared" ref="CP23:CP24" si="52">+CL23*0.9</f>
        <v>36.450000000000003</v>
      </c>
      <c r="CQ23" s="94"/>
      <c r="CR23" s="94"/>
      <c r="CS23" s="48"/>
      <c r="CT23" s="42" t="s">
        <v>443</v>
      </c>
      <c r="CU23" s="94" t="s">
        <v>443</v>
      </c>
      <c r="CV23" s="94">
        <v>276</v>
      </c>
      <c r="CW23" s="94">
        <f>SUM(O23:R23)</f>
        <v>430</v>
      </c>
      <c r="CX23" s="94">
        <f>SUM(S23:V23)</f>
        <v>569</v>
      </c>
      <c r="CY23" s="94">
        <f>SUM(W23:Z23)</f>
        <v>530</v>
      </c>
      <c r="CZ23" s="94">
        <f>SUM(AA23:AD23)</f>
        <v>527</v>
      </c>
      <c r="DA23" s="94">
        <f>SUM(AE23:AH23)</f>
        <v>606</v>
      </c>
      <c r="DB23" s="94">
        <f>SUM(AI23:AL23)</f>
        <v>618</v>
      </c>
      <c r="DC23" s="94">
        <f t="shared" si="17"/>
        <v>612</v>
      </c>
      <c r="DD23" s="94">
        <f t="shared" ref="DD23:DK23" si="53">DC23</f>
        <v>612</v>
      </c>
      <c r="DE23" s="94">
        <f t="shared" si="53"/>
        <v>612</v>
      </c>
      <c r="DF23" s="94">
        <f t="shared" si="53"/>
        <v>612</v>
      </c>
      <c r="DG23" s="94">
        <f t="shared" si="53"/>
        <v>612</v>
      </c>
      <c r="DH23" s="94">
        <f t="shared" si="53"/>
        <v>612</v>
      </c>
      <c r="DI23" s="94">
        <f t="shared" si="53"/>
        <v>612</v>
      </c>
      <c r="DJ23" s="94">
        <f t="shared" si="53"/>
        <v>612</v>
      </c>
      <c r="DK23" s="94">
        <f t="shared" si="53"/>
        <v>612</v>
      </c>
      <c r="DL23" s="94">
        <f t="shared" ref="DL23:DS23" si="54">+DK23*0.5</f>
        <v>306</v>
      </c>
      <c r="DM23" s="94">
        <f t="shared" si="54"/>
        <v>153</v>
      </c>
      <c r="DN23" s="94">
        <f t="shared" si="54"/>
        <v>76.5</v>
      </c>
      <c r="DO23" s="94">
        <f t="shared" si="54"/>
        <v>38.25</v>
      </c>
      <c r="DP23" s="94">
        <f t="shared" si="54"/>
        <v>19.125</v>
      </c>
      <c r="DQ23" s="94">
        <f t="shared" si="54"/>
        <v>9.5625</v>
      </c>
      <c r="DR23" s="94">
        <f t="shared" si="54"/>
        <v>4.78125</v>
      </c>
      <c r="DS23" s="94">
        <f t="shared" si="54"/>
        <v>2.390625</v>
      </c>
      <c r="DU23" s="30"/>
      <c r="ED23" s="41" t="s">
        <v>685</v>
      </c>
    </row>
    <row r="24" spans="2:134" s="41" customFormat="1" ht="12.75" customHeight="1">
      <c r="B24" s="46" t="s">
        <v>683</v>
      </c>
      <c r="C24" s="42"/>
      <c r="D24" s="42"/>
      <c r="E24" s="42"/>
      <c r="F24" s="42"/>
      <c r="G24" s="42"/>
      <c r="H24" s="42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>
        <v>54</v>
      </c>
      <c r="AR24" s="94">
        <v>75</v>
      </c>
      <c r="AS24" s="94">
        <v>74</v>
      </c>
      <c r="AT24" s="94">
        <v>61</v>
      </c>
      <c r="AU24" s="94">
        <v>74</v>
      </c>
      <c r="AV24" s="94">
        <v>76</v>
      </c>
      <c r="AW24" s="94">
        <v>86</v>
      </c>
      <c r="AX24" s="94">
        <v>95</v>
      </c>
      <c r="AY24" s="94">
        <v>108</v>
      </c>
      <c r="AZ24" s="94">
        <v>120</v>
      </c>
      <c r="BA24" s="94">
        <v>126</v>
      </c>
      <c r="BB24" s="94">
        <v>146</v>
      </c>
      <c r="BC24" s="94">
        <v>157</v>
      </c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208</v>
      </c>
      <c r="BX24" s="94">
        <v>214</v>
      </c>
      <c r="BY24" s="94">
        <v>203</v>
      </c>
      <c r="BZ24" s="94">
        <v>205</v>
      </c>
      <c r="CA24" s="94">
        <v>215</v>
      </c>
      <c r="CB24" s="94">
        <v>191</v>
      </c>
      <c r="CC24" s="94">
        <v>209</v>
      </c>
      <c r="CD24" s="94">
        <v>223</v>
      </c>
      <c r="CE24" s="94">
        <v>214</v>
      </c>
      <c r="CF24" s="94">
        <v>202</v>
      </c>
      <c r="CG24" s="94">
        <v>203</v>
      </c>
      <c r="CH24" s="94">
        <v>206</v>
      </c>
      <c r="CI24" s="94">
        <v>186</v>
      </c>
      <c r="CJ24" s="94">
        <v>181</v>
      </c>
      <c r="CK24" s="94">
        <v>173</v>
      </c>
      <c r="CL24" s="94">
        <f t="shared" si="48"/>
        <v>185.4</v>
      </c>
      <c r="CM24" s="94">
        <f t="shared" si="49"/>
        <v>167.4</v>
      </c>
      <c r="CN24" s="94">
        <f t="shared" si="50"/>
        <v>162.9</v>
      </c>
      <c r="CO24" s="94">
        <f t="shared" si="51"/>
        <v>155.70000000000002</v>
      </c>
      <c r="CP24" s="94">
        <f t="shared" si="52"/>
        <v>166.86</v>
      </c>
      <c r="CQ24" s="94"/>
      <c r="CR24" s="94"/>
      <c r="CS24" s="48"/>
      <c r="CT24" s="42"/>
      <c r="CU24" s="93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U24" s="30"/>
    </row>
    <row r="25" spans="2:134" s="41" customFormat="1" ht="12.75" customHeight="1">
      <c r="B25" s="46" t="s">
        <v>751</v>
      </c>
      <c r="C25" s="42"/>
      <c r="D25" s="42"/>
      <c r="E25" s="42"/>
      <c r="F25" s="42"/>
      <c r="G25" s="42"/>
      <c r="H25" s="42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3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>
        <v>32</v>
      </c>
      <c r="BX25" s="94">
        <v>38</v>
      </c>
      <c r="BY25" s="94">
        <v>45</v>
      </c>
      <c r="BZ25" s="94">
        <v>50</v>
      </c>
      <c r="CA25" s="94">
        <v>60</v>
      </c>
      <c r="CB25" s="94">
        <v>63</v>
      </c>
      <c r="CC25" s="94">
        <v>77</v>
      </c>
      <c r="CD25" s="94">
        <v>80</v>
      </c>
      <c r="CE25" s="94">
        <v>82</v>
      </c>
      <c r="CF25" s="94">
        <v>93</v>
      </c>
      <c r="CG25" s="94">
        <v>96</v>
      </c>
      <c r="CH25" s="94">
        <v>100</v>
      </c>
      <c r="CI25" s="94">
        <v>94</v>
      </c>
      <c r="CJ25" s="94">
        <v>103</v>
      </c>
      <c r="CK25" s="94">
        <v>114</v>
      </c>
      <c r="CL25" s="94">
        <f t="shared" ref="CL25:CP25" si="55">+CK25+5</f>
        <v>119</v>
      </c>
      <c r="CM25" s="94">
        <f t="shared" si="55"/>
        <v>124</v>
      </c>
      <c r="CN25" s="94">
        <f t="shared" si="55"/>
        <v>129</v>
      </c>
      <c r="CO25" s="94">
        <f t="shared" si="55"/>
        <v>134</v>
      </c>
      <c r="CP25" s="94">
        <f t="shared" si="55"/>
        <v>139</v>
      </c>
      <c r="CQ25" s="94"/>
      <c r="CR25" s="94"/>
      <c r="CS25" s="48"/>
      <c r="CT25" s="42"/>
      <c r="CU25" s="93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U25" s="30"/>
    </row>
    <row r="26" spans="2:134" s="8" customFormat="1" ht="12.75" customHeight="1">
      <c r="B26" s="47" t="s">
        <v>128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>
        <v>1</v>
      </c>
      <c r="Y26" s="94">
        <v>10</v>
      </c>
      <c r="Z26" s="94">
        <v>27</v>
      </c>
      <c r="AA26" s="94">
        <v>43</v>
      </c>
      <c r="AB26" s="94">
        <v>47</v>
      </c>
      <c r="AC26" s="93">
        <v>61</v>
      </c>
      <c r="AD26" s="94">
        <v>80</v>
      </c>
      <c r="AE26" s="94">
        <v>74</v>
      </c>
      <c r="AF26" s="94">
        <v>66</v>
      </c>
      <c r="AG26" s="94">
        <v>11</v>
      </c>
      <c r="AH26" s="94">
        <v>162</v>
      </c>
      <c r="AI26" s="94">
        <v>75</v>
      </c>
      <c r="AJ26" s="94">
        <v>42</v>
      </c>
      <c r="AK26" s="94">
        <v>84</v>
      </c>
      <c r="AL26" s="94">
        <v>76</v>
      </c>
      <c r="AM26" s="94">
        <v>95</v>
      </c>
      <c r="AN26" s="94">
        <v>18</v>
      </c>
      <c r="AO26" s="94">
        <v>23</v>
      </c>
      <c r="AP26" s="94">
        <v>107</v>
      </c>
      <c r="AQ26" s="94">
        <v>24</v>
      </c>
      <c r="AR26" s="94">
        <v>122</v>
      </c>
      <c r="AS26" s="94">
        <v>108</v>
      </c>
      <c r="AT26" s="94">
        <v>78</v>
      </c>
      <c r="AU26" s="94">
        <v>76</v>
      </c>
      <c r="AV26" s="94">
        <v>148</v>
      </c>
      <c r="AW26" s="94">
        <v>202</v>
      </c>
      <c r="AX26" s="94">
        <v>225</v>
      </c>
      <c r="AY26" s="94">
        <v>168</v>
      </c>
      <c r="AZ26" s="94">
        <v>141</v>
      </c>
      <c r="BA26" s="94">
        <v>185</v>
      </c>
      <c r="BB26" s="94">
        <v>264</v>
      </c>
      <c r="BC26" s="94">
        <v>142</v>
      </c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0</v>
      </c>
      <c r="BX26" s="94">
        <v>0</v>
      </c>
      <c r="BY26" s="94">
        <v>0</v>
      </c>
      <c r="BZ26" s="94">
        <v>0</v>
      </c>
      <c r="CA26" s="94">
        <v>0</v>
      </c>
      <c r="CB26" s="94">
        <v>0</v>
      </c>
      <c r="CC26" s="94"/>
      <c r="CD26" s="94">
        <v>0</v>
      </c>
      <c r="CE26" s="94">
        <v>0</v>
      </c>
      <c r="CF26" s="94">
        <v>0</v>
      </c>
      <c r="CG26" s="94">
        <v>0</v>
      </c>
      <c r="CH26" s="94">
        <v>0</v>
      </c>
      <c r="CI26" s="94">
        <v>0</v>
      </c>
      <c r="CJ26" s="94">
        <v>0</v>
      </c>
      <c r="CK26" s="94">
        <v>0</v>
      </c>
      <c r="CL26" s="94">
        <v>0</v>
      </c>
      <c r="CM26" s="94">
        <v>0</v>
      </c>
      <c r="CN26" s="94">
        <v>0</v>
      </c>
      <c r="CO26" s="94">
        <v>0</v>
      </c>
      <c r="CP26" s="94">
        <v>0</v>
      </c>
      <c r="CQ26" s="94"/>
      <c r="CR26" s="94"/>
      <c r="CS26" s="49"/>
      <c r="CT26" s="9" t="s">
        <v>443</v>
      </c>
      <c r="CU26" s="94" t="s">
        <v>443</v>
      </c>
      <c r="CV26" s="94" t="s">
        <v>443</v>
      </c>
      <c r="CW26" s="94">
        <f>SUM(O26:R26)</f>
        <v>0</v>
      </c>
      <c r="CX26" s="94">
        <f>SUM(S26:V26)</f>
        <v>0</v>
      </c>
      <c r="CY26" s="94">
        <f>SUM(W26:Z26)</f>
        <v>38</v>
      </c>
      <c r="CZ26" s="94">
        <f>SUM(AA26:AD26)</f>
        <v>231</v>
      </c>
      <c r="DA26" s="94">
        <f>SUM(AE26:AH26)</f>
        <v>313</v>
      </c>
      <c r="DB26" s="94">
        <f>SUM(AI26:AL26)</f>
        <v>277</v>
      </c>
      <c r="DC26" s="94">
        <f t="shared" ref="DC26:DC36" si="56">SUM(AM26:AP26)</f>
        <v>243</v>
      </c>
      <c r="DD26" s="94">
        <f>DC26*1.1</f>
        <v>267.3</v>
      </c>
      <c r="DE26" s="94">
        <f>DD26*1.1</f>
        <v>294.03000000000003</v>
      </c>
      <c r="DF26" s="94">
        <f>DE26*1.1</f>
        <v>323.43300000000005</v>
      </c>
      <c r="DG26" s="94">
        <f>DF26*1.05</f>
        <v>339.60465000000005</v>
      </c>
      <c r="DH26" s="94">
        <f>DG26*1.05</f>
        <v>356.58488250000005</v>
      </c>
      <c r="DI26" s="94">
        <f>DH26*1.05</f>
        <v>374.41412662500005</v>
      </c>
      <c r="DJ26" s="94">
        <f>DI26*1.01</f>
        <v>378.15826789125003</v>
      </c>
      <c r="DK26" s="94">
        <f t="shared" ref="DK26:DS26" si="57">DJ26*1.01</f>
        <v>381.93985057016255</v>
      </c>
      <c r="DL26" s="94">
        <f t="shared" si="57"/>
        <v>385.7592490758642</v>
      </c>
      <c r="DM26" s="94">
        <f t="shared" si="57"/>
        <v>389.61684156662284</v>
      </c>
      <c r="DN26" s="94">
        <f t="shared" si="57"/>
        <v>393.51300998228908</v>
      </c>
      <c r="DO26" s="94">
        <f t="shared" si="57"/>
        <v>397.44814008211199</v>
      </c>
      <c r="DP26" s="94">
        <f t="shared" si="57"/>
        <v>401.4226214829331</v>
      </c>
      <c r="DQ26" s="94">
        <f t="shared" si="57"/>
        <v>405.4368476977624</v>
      </c>
      <c r="DR26" s="94">
        <f t="shared" si="57"/>
        <v>409.49121617474003</v>
      </c>
      <c r="DS26" s="94">
        <f t="shared" si="57"/>
        <v>413.58612833648743</v>
      </c>
      <c r="DU26" s="30"/>
    </row>
    <row r="27" spans="2:134" s="8" customFormat="1" ht="12.75" customHeight="1">
      <c r="B27" s="47" t="s">
        <v>107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>
        <v>30</v>
      </c>
      <c r="P27" s="94">
        <v>62</v>
      </c>
      <c r="Q27" s="94">
        <v>61</v>
      </c>
      <c r="R27" s="94">
        <v>77</v>
      </c>
      <c r="S27" s="94">
        <v>57</v>
      </c>
      <c r="T27" s="94">
        <v>50</v>
      </c>
      <c r="U27" s="94">
        <v>56</v>
      </c>
      <c r="V27" s="94">
        <v>55</v>
      </c>
      <c r="W27" s="94">
        <v>59</v>
      </c>
      <c r="X27" s="94">
        <v>66</v>
      </c>
      <c r="Y27" s="94">
        <v>66</v>
      </c>
      <c r="Z27" s="94">
        <v>74</v>
      </c>
      <c r="AA27" s="94">
        <v>79</v>
      </c>
      <c r="AB27" s="94">
        <v>89</v>
      </c>
      <c r="AC27" s="93">
        <v>76</v>
      </c>
      <c r="AD27" s="94">
        <f>AC27</f>
        <v>76</v>
      </c>
      <c r="AE27" s="94">
        <v>93</v>
      </c>
      <c r="AF27" s="94">
        <v>104</v>
      </c>
      <c r="AG27" s="94">
        <v>97</v>
      </c>
      <c r="AH27" s="94">
        <f>AG27-1</f>
        <v>96</v>
      </c>
      <c r="AI27" s="94">
        <v>81</v>
      </c>
      <c r="AJ27" s="94">
        <v>88</v>
      </c>
      <c r="AK27" s="94">
        <v>90</v>
      </c>
      <c r="AL27" s="94">
        <v>98</v>
      </c>
      <c r="AM27" s="94">
        <v>95</v>
      </c>
      <c r="AN27" s="94">
        <v>95</v>
      </c>
      <c r="AO27" s="94">
        <v>94</v>
      </c>
      <c r="AP27" s="94">
        <v>115</v>
      </c>
      <c r="AQ27" s="94">
        <v>114</v>
      </c>
      <c r="AR27" s="94">
        <v>100</v>
      </c>
      <c r="AS27" s="94">
        <v>108</v>
      </c>
      <c r="AT27" s="94">
        <v>110</v>
      </c>
      <c r="AU27" s="94">
        <v>112</v>
      </c>
      <c r="AV27" s="94">
        <v>117</v>
      </c>
      <c r="AW27" s="94">
        <v>109</v>
      </c>
      <c r="AX27" s="94">
        <v>115</v>
      </c>
      <c r="AY27" s="94">
        <v>121</v>
      </c>
      <c r="AZ27" s="94">
        <v>121</v>
      </c>
      <c r="BA27" s="94">
        <v>112</v>
      </c>
      <c r="BB27" s="94">
        <v>131</v>
      </c>
      <c r="BC27" s="94">
        <v>128</v>
      </c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>
        <v>75</v>
      </c>
      <c r="BX27" s="94">
        <v>75</v>
      </c>
      <c r="BY27" s="94">
        <v>72</v>
      </c>
      <c r="BZ27" s="94">
        <v>67</v>
      </c>
      <c r="CA27" s="94">
        <v>70</v>
      </c>
      <c r="CB27" s="94">
        <v>65</v>
      </c>
      <c r="CC27" s="96" t="s">
        <v>792</v>
      </c>
      <c r="CD27" s="94">
        <v>54</v>
      </c>
      <c r="CE27" s="94">
        <v>0</v>
      </c>
      <c r="CF27" s="94">
        <v>0</v>
      </c>
      <c r="CG27" s="94">
        <v>0</v>
      </c>
      <c r="CH27" s="94">
        <v>0</v>
      </c>
      <c r="CI27" s="94">
        <v>0</v>
      </c>
      <c r="CJ27" s="94">
        <v>0</v>
      </c>
      <c r="CK27" s="94">
        <v>0</v>
      </c>
      <c r="CL27" s="94">
        <v>0</v>
      </c>
      <c r="CM27" s="94">
        <v>0</v>
      </c>
      <c r="CN27" s="94">
        <v>0</v>
      </c>
      <c r="CO27" s="94">
        <v>0</v>
      </c>
      <c r="CP27" s="94">
        <v>0</v>
      </c>
      <c r="CQ27" s="94"/>
      <c r="CR27" s="94"/>
      <c r="CS27" s="49"/>
      <c r="CT27" s="9" t="s">
        <v>443</v>
      </c>
      <c r="CU27" s="94" t="s">
        <v>443</v>
      </c>
      <c r="CV27" s="94">
        <v>70</v>
      </c>
      <c r="CW27" s="94">
        <f>SUM(O27:R27)</f>
        <v>230</v>
      </c>
      <c r="CX27" s="94">
        <f>SUM(S27:V27)</f>
        <v>218</v>
      </c>
      <c r="CY27" s="94">
        <f>SUM(W27:Z27)</f>
        <v>265</v>
      </c>
      <c r="CZ27" s="94">
        <f>SUM(AA27:AD27)</f>
        <v>320</v>
      </c>
      <c r="DA27" s="94">
        <f>SUM(AE27:AH27)</f>
        <v>390</v>
      </c>
      <c r="DB27" s="94">
        <f>SUM(AI27:AL27)</f>
        <v>357</v>
      </c>
      <c r="DC27" s="94">
        <f t="shared" si="56"/>
        <v>399</v>
      </c>
      <c r="DD27" s="94">
        <f>DC27*1.01</f>
        <v>402.99</v>
      </c>
      <c r="DE27" s="94">
        <f>DD27*1.01</f>
        <v>407.01990000000001</v>
      </c>
      <c r="DF27" s="94">
        <f>DE27*1.01</f>
        <v>411.09009900000001</v>
      </c>
      <c r="DG27" s="94">
        <f t="shared" ref="DG27:DL27" si="58">DF27*0.9</f>
        <v>369.98108910000002</v>
      </c>
      <c r="DH27" s="94">
        <f t="shared" si="58"/>
        <v>332.98298019000003</v>
      </c>
      <c r="DI27" s="94">
        <f t="shared" si="58"/>
        <v>299.68468217100002</v>
      </c>
      <c r="DJ27" s="94">
        <f t="shared" si="58"/>
        <v>269.71621395390002</v>
      </c>
      <c r="DK27" s="94">
        <f t="shared" si="58"/>
        <v>242.74459255851002</v>
      </c>
      <c r="DL27" s="94">
        <f t="shared" si="58"/>
        <v>218.47013330265904</v>
      </c>
      <c r="DM27" s="94">
        <f t="shared" ref="DM27:DS27" si="59">DL27*0.9</f>
        <v>196.62311997239314</v>
      </c>
      <c r="DN27" s="94">
        <f t="shared" si="59"/>
        <v>176.96080797515384</v>
      </c>
      <c r="DO27" s="94">
        <f t="shared" si="59"/>
        <v>159.26472717763846</v>
      </c>
      <c r="DP27" s="94">
        <f t="shared" si="59"/>
        <v>143.33825445987463</v>
      </c>
      <c r="DQ27" s="94">
        <f t="shared" si="59"/>
        <v>129.00442901388718</v>
      </c>
      <c r="DR27" s="94">
        <f t="shared" si="59"/>
        <v>116.10398611249846</v>
      </c>
      <c r="DS27" s="94">
        <f t="shared" si="59"/>
        <v>104.49358750124861</v>
      </c>
      <c r="DU27" s="30"/>
      <c r="DX27" s="83"/>
    </row>
    <row r="28" spans="2:134" s="8" customFormat="1" ht="12.75" customHeight="1">
      <c r="B28" s="47" t="s">
        <v>619</v>
      </c>
      <c r="C28" s="94">
        <v>394.74103000000002</v>
      </c>
      <c r="D28" s="94">
        <v>394.74152000000004</v>
      </c>
      <c r="E28" s="94">
        <v>419.24689999999998</v>
      </c>
      <c r="F28" s="94">
        <v>441.19976359338057</v>
      </c>
      <c r="G28" s="94">
        <v>515</v>
      </c>
      <c r="H28" s="94">
        <v>586</v>
      </c>
      <c r="I28" s="94">
        <v>451</v>
      </c>
      <c r="J28" s="94">
        <v>691</v>
      </c>
      <c r="K28" s="94">
        <v>795</v>
      </c>
      <c r="L28" s="94">
        <v>544</v>
      </c>
      <c r="M28" s="94">
        <v>687.25</v>
      </c>
      <c r="N28" s="94">
        <v>650.25</v>
      </c>
      <c r="O28" s="94">
        <v>759</v>
      </c>
      <c r="P28" s="94">
        <v>792</v>
      </c>
      <c r="Q28" s="94">
        <v>778</v>
      </c>
      <c r="R28" s="94">
        <v>831</v>
      </c>
      <c r="S28" s="94">
        <v>772</v>
      </c>
      <c r="T28" s="94">
        <v>853</v>
      </c>
      <c r="U28" s="94">
        <v>777</v>
      </c>
      <c r="V28" s="94">
        <v>789</v>
      </c>
      <c r="W28" s="94">
        <v>754</v>
      </c>
      <c r="X28" s="94">
        <v>821</v>
      </c>
      <c r="Y28" s="94">
        <v>771</v>
      </c>
      <c r="Z28" s="94">
        <v>789</v>
      </c>
      <c r="AA28" s="94">
        <v>742</v>
      </c>
      <c r="AB28" s="94">
        <v>786</v>
      </c>
      <c r="AC28" s="94">
        <v>725</v>
      </c>
      <c r="AD28" s="94">
        <v>730</v>
      </c>
      <c r="AE28" s="94">
        <v>470</v>
      </c>
      <c r="AF28" s="94">
        <v>411</v>
      </c>
      <c r="AG28" s="94">
        <v>354</v>
      </c>
      <c r="AH28" s="94">
        <f>AG28-40</f>
        <v>314</v>
      </c>
      <c r="AI28" s="94">
        <v>261</v>
      </c>
      <c r="AJ28" s="94">
        <v>277</v>
      </c>
      <c r="AK28" s="94">
        <v>276</v>
      </c>
      <c r="AL28" s="94">
        <v>285</v>
      </c>
      <c r="AM28" s="94">
        <f>25+205</f>
        <v>230</v>
      </c>
      <c r="AN28" s="94">
        <v>241</v>
      </c>
      <c r="AO28" s="94">
        <v>220</v>
      </c>
      <c r="AP28" s="94">
        <v>234</v>
      </c>
      <c r="AQ28" s="94">
        <v>208</v>
      </c>
      <c r="AR28" s="94">
        <v>221</v>
      </c>
      <c r="AS28" s="94">
        <v>215</v>
      </c>
      <c r="AT28" s="94">
        <v>211</v>
      </c>
      <c r="AU28" s="94">
        <v>184</v>
      </c>
      <c r="AV28" s="94">
        <v>186</v>
      </c>
      <c r="AW28" s="94">
        <v>152</v>
      </c>
      <c r="AX28" s="94">
        <v>154</v>
      </c>
      <c r="AY28" s="94">
        <v>137</v>
      </c>
      <c r="AZ28" s="94">
        <v>144</v>
      </c>
      <c r="BA28" s="94">
        <v>140</v>
      </c>
      <c r="BB28" s="94">
        <v>139</v>
      </c>
      <c r="BC28" s="94">
        <v>123</v>
      </c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>
        <v>0</v>
      </c>
      <c r="BX28" s="94">
        <v>0</v>
      </c>
      <c r="BY28" s="94">
        <v>0</v>
      </c>
      <c r="BZ28" s="94">
        <v>0</v>
      </c>
      <c r="CA28" s="94">
        <v>0</v>
      </c>
      <c r="CB28" s="94">
        <v>0</v>
      </c>
      <c r="CC28" s="94"/>
      <c r="CD28" s="94">
        <v>0</v>
      </c>
      <c r="CE28" s="94">
        <v>0</v>
      </c>
      <c r="CF28" s="94">
        <v>0</v>
      </c>
      <c r="CG28" s="94">
        <v>0</v>
      </c>
      <c r="CH28" s="94">
        <v>0</v>
      </c>
      <c r="CI28" s="94">
        <v>0</v>
      </c>
      <c r="CJ28" s="94">
        <v>0</v>
      </c>
      <c r="CK28" s="94">
        <v>0</v>
      </c>
      <c r="CL28" s="94">
        <v>0</v>
      </c>
      <c r="CM28" s="94">
        <v>0</v>
      </c>
      <c r="CN28" s="94">
        <v>0</v>
      </c>
      <c r="CO28" s="94">
        <v>0</v>
      </c>
      <c r="CP28" s="94">
        <v>0</v>
      </c>
      <c r="CQ28" s="94"/>
      <c r="CR28" s="94"/>
      <c r="CS28" s="49"/>
      <c r="CT28" s="94">
        <v>1649.9299223235394</v>
      </c>
      <c r="CU28" s="94">
        <v>2250</v>
      </c>
      <c r="CV28" s="94">
        <v>2677</v>
      </c>
      <c r="CW28" s="94">
        <f>SUM(O28:R28)</f>
        <v>3160</v>
      </c>
      <c r="CX28" s="94">
        <f>SUM(S28:V28)</f>
        <v>3191</v>
      </c>
      <c r="CY28" s="94">
        <f>SUM(W28:Z28)</f>
        <v>3135</v>
      </c>
      <c r="CZ28" s="94">
        <f>SUM(AA28:AD28)</f>
        <v>2983</v>
      </c>
      <c r="DA28" s="94">
        <f>SUM(AE28:AH28)</f>
        <v>1549</v>
      </c>
      <c r="DB28" s="94">
        <f>SUM(AI28:AL28)</f>
        <v>1099</v>
      </c>
      <c r="DC28" s="94">
        <f t="shared" si="56"/>
        <v>925</v>
      </c>
      <c r="DD28" s="94">
        <f>SUM(AQ28:AT28)</f>
        <v>855</v>
      </c>
      <c r="DE28" s="94">
        <f>DD28*0.9</f>
        <v>769.5</v>
      </c>
      <c r="DF28" s="94">
        <f t="shared" ref="DF28:DL28" si="60">DE28*0.9</f>
        <v>692.55000000000007</v>
      </c>
      <c r="DG28" s="94">
        <f t="shared" si="60"/>
        <v>623.29500000000007</v>
      </c>
      <c r="DH28" s="94">
        <f t="shared" si="60"/>
        <v>560.96550000000013</v>
      </c>
      <c r="DI28" s="94">
        <f t="shared" si="60"/>
        <v>504.86895000000015</v>
      </c>
      <c r="DJ28" s="94">
        <f t="shared" si="60"/>
        <v>454.38205500000015</v>
      </c>
      <c r="DK28" s="94">
        <f t="shared" si="60"/>
        <v>408.94384950000017</v>
      </c>
      <c r="DL28" s="94">
        <f t="shared" si="60"/>
        <v>368.04946455000015</v>
      </c>
      <c r="DM28" s="94">
        <f t="shared" ref="DM28:DS28" si="61">DL28*0.9</f>
        <v>331.24451809500016</v>
      </c>
      <c r="DN28" s="94">
        <f t="shared" si="61"/>
        <v>298.12006628550017</v>
      </c>
      <c r="DO28" s="94">
        <f t="shared" si="61"/>
        <v>268.30805965695015</v>
      </c>
      <c r="DP28" s="94">
        <f t="shared" si="61"/>
        <v>241.47725369125513</v>
      </c>
      <c r="DQ28" s="94">
        <f t="shared" si="61"/>
        <v>217.32952832212962</v>
      </c>
      <c r="DR28" s="94">
        <f t="shared" si="61"/>
        <v>195.59657548991666</v>
      </c>
      <c r="DS28" s="94">
        <f t="shared" si="61"/>
        <v>176.03691794092501</v>
      </c>
      <c r="DU28" s="30"/>
    </row>
    <row r="29" spans="2:134" s="8" customFormat="1" ht="12.75" customHeight="1">
      <c r="B29" s="47" t="s">
        <v>357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>
        <v>6</v>
      </c>
      <c r="P29" s="94">
        <v>9</v>
      </c>
      <c r="Q29" s="94">
        <v>14</v>
      </c>
      <c r="R29" s="94">
        <v>18</v>
      </c>
      <c r="S29" s="94">
        <v>17</v>
      </c>
      <c r="T29" s="94">
        <v>19</v>
      </c>
      <c r="U29" s="94">
        <v>22</v>
      </c>
      <c r="V29" s="94">
        <v>28</v>
      </c>
      <c r="W29" s="94">
        <v>23</v>
      </c>
      <c r="X29" s="94">
        <v>32</v>
      </c>
      <c r="Y29" s="94">
        <v>41</v>
      </c>
      <c r="Z29" s="94">
        <v>36</v>
      </c>
      <c r="AA29" s="94">
        <v>48</v>
      </c>
      <c r="AB29" s="94">
        <v>47</v>
      </c>
      <c r="AC29" s="93">
        <v>49</v>
      </c>
      <c r="AD29" s="94">
        <f>AC29</f>
        <v>49</v>
      </c>
      <c r="AE29" s="94">
        <v>60</v>
      </c>
      <c r="AF29" s="94">
        <v>65</v>
      </c>
      <c r="AG29" s="94">
        <v>68</v>
      </c>
      <c r="AH29" s="94">
        <f>AG29+1</f>
        <v>69</v>
      </c>
      <c r="AI29" s="94">
        <v>69</v>
      </c>
      <c r="AJ29" s="94">
        <v>77</v>
      </c>
      <c r="AK29" s="94">
        <v>82</v>
      </c>
      <c r="AL29" s="94">
        <v>88</v>
      </c>
      <c r="AM29" s="94">
        <v>82</v>
      </c>
      <c r="AN29" s="94">
        <v>93</v>
      </c>
      <c r="AO29" s="94">
        <v>91</v>
      </c>
      <c r="AP29" s="94">
        <v>110</v>
      </c>
      <c r="AQ29" s="94">
        <v>87</v>
      </c>
      <c r="AR29" s="94">
        <v>120</v>
      </c>
      <c r="AS29" s="94">
        <v>98</v>
      </c>
      <c r="AT29" s="94">
        <v>114</v>
      </c>
      <c r="AU29" s="94">
        <v>102</v>
      </c>
      <c r="AV29" s="94">
        <v>145</v>
      </c>
      <c r="AW29" s="94">
        <v>111</v>
      </c>
      <c r="AX29" s="94">
        <v>131</v>
      </c>
      <c r="AY29" s="94">
        <v>116</v>
      </c>
      <c r="AZ29" s="94">
        <v>135</v>
      </c>
      <c r="BA29" s="94">
        <v>123</v>
      </c>
      <c r="BB29" s="94">
        <v>134</v>
      </c>
      <c r="BC29" s="94">
        <v>122</v>
      </c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>
        <v>117</v>
      </c>
      <c r="BX29" s="94">
        <v>121</v>
      </c>
      <c r="BY29" s="94">
        <v>98</v>
      </c>
      <c r="BZ29" s="94">
        <v>53</v>
      </c>
      <c r="CA29" s="94">
        <v>43</v>
      </c>
      <c r="CB29" s="94">
        <v>33</v>
      </c>
      <c r="CC29" s="96" t="s">
        <v>629</v>
      </c>
      <c r="CD29" s="94">
        <v>31</v>
      </c>
      <c r="CE29" s="94">
        <v>0</v>
      </c>
      <c r="CF29" s="94">
        <v>0</v>
      </c>
      <c r="CG29" s="94">
        <v>0</v>
      </c>
      <c r="CH29" s="94">
        <v>0</v>
      </c>
      <c r="CI29" s="94">
        <v>0</v>
      </c>
      <c r="CJ29" s="94">
        <v>0</v>
      </c>
      <c r="CK29" s="94">
        <v>0</v>
      </c>
      <c r="CL29" s="94">
        <v>0</v>
      </c>
      <c r="CM29" s="94">
        <v>0</v>
      </c>
      <c r="CN29" s="94">
        <v>0</v>
      </c>
      <c r="CO29" s="94">
        <v>0</v>
      </c>
      <c r="CP29" s="94">
        <v>0</v>
      </c>
      <c r="CQ29" s="94"/>
      <c r="CR29" s="94"/>
      <c r="CS29" s="49"/>
      <c r="CT29" s="9" t="s">
        <v>443</v>
      </c>
      <c r="CU29" s="94" t="s">
        <v>443</v>
      </c>
      <c r="CV29" s="94">
        <v>27</v>
      </c>
      <c r="CW29" s="94">
        <f>SUM(O29:R29)</f>
        <v>47</v>
      </c>
      <c r="CX29" s="94">
        <f>SUM(S29:V29)</f>
        <v>86</v>
      </c>
      <c r="CY29" s="94">
        <f>SUM(W29:Z29)</f>
        <v>132</v>
      </c>
      <c r="CZ29" s="94">
        <f>SUM(AA29:AD29)</f>
        <v>193</v>
      </c>
      <c r="DA29" s="94">
        <f>SUM(AE29:AH29)</f>
        <v>262</v>
      </c>
      <c r="DB29" s="94">
        <f>SUM(AI29:AL29)</f>
        <v>316</v>
      </c>
      <c r="DC29" s="94">
        <f t="shared" si="56"/>
        <v>376</v>
      </c>
      <c r="DD29" s="94">
        <f>DC29</f>
        <v>376</v>
      </c>
      <c r="DE29" s="94">
        <f>DD29*0.7</f>
        <v>263.2</v>
      </c>
      <c r="DF29" s="94">
        <f t="shared" ref="DF29:DL30" si="62">DE29*0.7</f>
        <v>184.23999999999998</v>
      </c>
      <c r="DG29" s="94">
        <f t="shared" si="62"/>
        <v>128.96799999999999</v>
      </c>
      <c r="DH29" s="94">
        <f t="shared" si="62"/>
        <v>90.277599999999993</v>
      </c>
      <c r="DI29" s="94">
        <f t="shared" si="62"/>
        <v>63.194319999999991</v>
      </c>
      <c r="DJ29" s="94">
        <f t="shared" si="62"/>
        <v>44.236023999999993</v>
      </c>
      <c r="DK29" s="94">
        <f t="shared" si="62"/>
        <v>30.965216799999993</v>
      </c>
      <c r="DL29" s="94">
        <f t="shared" ref="DL29:DS29" si="63">+DK29*0.5</f>
        <v>15.482608399999997</v>
      </c>
      <c r="DM29" s="94">
        <f t="shared" si="63"/>
        <v>7.7413041999999983</v>
      </c>
      <c r="DN29" s="94">
        <f t="shared" si="63"/>
        <v>3.8706520999999992</v>
      </c>
      <c r="DO29" s="94">
        <f t="shared" si="63"/>
        <v>1.9353260499999996</v>
      </c>
      <c r="DP29" s="94">
        <f t="shared" si="63"/>
        <v>0.96766302499999979</v>
      </c>
      <c r="DQ29" s="94">
        <f t="shared" si="63"/>
        <v>0.48383151249999989</v>
      </c>
      <c r="DR29" s="94">
        <f t="shared" si="63"/>
        <v>0.24191575624999995</v>
      </c>
      <c r="DS29" s="94">
        <f t="shared" si="63"/>
        <v>0.12095787812499997</v>
      </c>
      <c r="DU29" s="30"/>
    </row>
    <row r="30" spans="2:134" s="8" customFormat="1" ht="12.75" customHeight="1">
      <c r="B30" s="47" t="s">
        <v>358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>
        <v>12</v>
      </c>
      <c r="P30" s="94">
        <v>16</v>
      </c>
      <c r="Q30" s="94">
        <v>16</v>
      </c>
      <c r="R30" s="94">
        <v>19</v>
      </c>
      <c r="S30" s="94">
        <v>20</v>
      </c>
      <c r="T30" s="94">
        <v>22</v>
      </c>
      <c r="U30" s="94">
        <v>25</v>
      </c>
      <c r="V30" s="94">
        <v>27</v>
      </c>
      <c r="W30" s="94">
        <v>28</v>
      </c>
      <c r="X30" s="94">
        <v>34</v>
      </c>
      <c r="Y30" s="94">
        <v>37</v>
      </c>
      <c r="Z30" s="94">
        <v>41</v>
      </c>
      <c r="AA30" s="94">
        <v>42</v>
      </c>
      <c r="AB30" s="94">
        <v>46</v>
      </c>
      <c r="AC30" s="93">
        <v>50</v>
      </c>
      <c r="AD30" s="94">
        <f>AC30</f>
        <v>50</v>
      </c>
      <c r="AE30" s="94">
        <v>55</v>
      </c>
      <c r="AF30" s="94">
        <v>71</v>
      </c>
      <c r="AG30" s="94">
        <v>71</v>
      </c>
      <c r="AH30" s="94">
        <f>AG30</f>
        <v>71</v>
      </c>
      <c r="AI30" s="94">
        <v>62</v>
      </c>
      <c r="AJ30" s="94">
        <v>71</v>
      </c>
      <c r="AK30" s="94">
        <v>73</v>
      </c>
      <c r="AL30" s="94">
        <v>88</v>
      </c>
      <c r="AM30" s="94">
        <v>75</v>
      </c>
      <c r="AN30" s="94">
        <v>83</v>
      </c>
      <c r="AO30" s="94">
        <v>91</v>
      </c>
      <c r="AP30" s="94">
        <v>113</v>
      </c>
      <c r="AQ30" s="94">
        <v>87</v>
      </c>
      <c r="AR30" s="94">
        <v>103</v>
      </c>
      <c r="AS30" s="94">
        <v>107</v>
      </c>
      <c r="AT30" s="94">
        <v>110</v>
      </c>
      <c r="AU30" s="94">
        <v>101</v>
      </c>
      <c r="AV30" s="94">
        <v>110</v>
      </c>
      <c r="AW30" s="94">
        <v>118</v>
      </c>
      <c r="AX30" s="94">
        <v>116</v>
      </c>
      <c r="AY30" s="94">
        <v>110</v>
      </c>
      <c r="AZ30" s="94">
        <v>120</v>
      </c>
      <c r="BA30" s="94">
        <v>130</v>
      </c>
      <c r="BB30" s="94">
        <v>128</v>
      </c>
      <c r="BC30" s="94">
        <v>114</v>
      </c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>
        <v>72</v>
      </c>
      <c r="BX30" s="94">
        <v>78</v>
      </c>
      <c r="BY30" s="94">
        <v>57</v>
      </c>
      <c r="BZ30" s="94">
        <v>57</v>
      </c>
      <c r="CA30" s="94">
        <v>64</v>
      </c>
      <c r="CB30" s="94">
        <v>43</v>
      </c>
      <c r="CC30" s="94">
        <v>51</v>
      </c>
      <c r="CD30" s="94">
        <v>53</v>
      </c>
      <c r="CE30" s="94">
        <v>57</v>
      </c>
      <c r="CF30" s="94">
        <v>48</v>
      </c>
      <c r="CG30" s="94">
        <v>53</v>
      </c>
      <c r="CH30" s="94">
        <v>45</v>
      </c>
      <c r="CI30" s="94">
        <v>52</v>
      </c>
      <c r="CJ30" s="94">
        <v>46</v>
      </c>
      <c r="CK30" s="94">
        <v>50</v>
      </c>
      <c r="CL30" s="94">
        <f t="shared" ref="CL30:CL31" si="64">+CH30</f>
        <v>45</v>
      </c>
      <c r="CM30" s="94">
        <f t="shared" ref="CM30:CM31" si="65">+CI30</f>
        <v>52</v>
      </c>
      <c r="CN30" s="94">
        <f t="shared" ref="CN30:CN31" si="66">+CJ30</f>
        <v>46</v>
      </c>
      <c r="CO30" s="94">
        <f t="shared" ref="CO30:CO31" si="67">+CK30</f>
        <v>50</v>
      </c>
      <c r="CP30" s="94">
        <f t="shared" ref="CP30:CP31" si="68">+CL30</f>
        <v>45</v>
      </c>
      <c r="CQ30" s="94"/>
      <c r="CR30" s="94"/>
      <c r="CS30" s="49"/>
      <c r="CT30" s="9" t="s">
        <v>443</v>
      </c>
      <c r="CU30" s="94" t="s">
        <v>443</v>
      </c>
      <c r="CV30" s="94">
        <v>37</v>
      </c>
      <c r="CW30" s="94">
        <f>SUM(O30:R30)</f>
        <v>63</v>
      </c>
      <c r="CX30" s="94">
        <f>SUM(S30:V30)</f>
        <v>94</v>
      </c>
      <c r="CY30" s="94">
        <f>SUM(W30:Z30)</f>
        <v>140</v>
      </c>
      <c r="CZ30" s="94">
        <f>SUM(AA30:AD30)</f>
        <v>188</v>
      </c>
      <c r="DA30" s="94">
        <f>SUM(AE30:AH30)</f>
        <v>268</v>
      </c>
      <c r="DB30" s="94">
        <f>SUM(AI30:AL30)</f>
        <v>294</v>
      </c>
      <c r="DC30" s="94">
        <f t="shared" si="56"/>
        <v>362</v>
      </c>
      <c r="DD30" s="94">
        <f>DC30</f>
        <v>362</v>
      </c>
      <c r="DE30" s="94">
        <f>DD30*0.7</f>
        <v>253.39999999999998</v>
      </c>
      <c r="DF30" s="94">
        <f t="shared" si="62"/>
        <v>177.37999999999997</v>
      </c>
      <c r="DG30" s="94">
        <f t="shared" si="62"/>
        <v>124.16599999999997</v>
      </c>
      <c r="DH30" s="94">
        <f t="shared" si="62"/>
        <v>86.916199999999975</v>
      </c>
      <c r="DI30" s="94">
        <f t="shared" si="62"/>
        <v>60.841339999999981</v>
      </c>
      <c r="DJ30" s="94">
        <f t="shared" si="62"/>
        <v>42.588937999999985</v>
      </c>
      <c r="DK30" s="94">
        <f t="shared" si="62"/>
        <v>29.812256599999987</v>
      </c>
      <c r="DL30" s="94">
        <f t="shared" si="62"/>
        <v>20.868579619999991</v>
      </c>
      <c r="DM30" s="94">
        <f t="shared" ref="DM30:DS30" si="69">DL30*0.7</f>
        <v>14.608005733999994</v>
      </c>
      <c r="DN30" s="94">
        <f t="shared" si="69"/>
        <v>10.225604013799995</v>
      </c>
      <c r="DO30" s="94">
        <f t="shared" si="69"/>
        <v>7.1579228096599961</v>
      </c>
      <c r="DP30" s="94">
        <f t="shared" si="69"/>
        <v>5.0105459667619971</v>
      </c>
      <c r="DQ30" s="94">
        <f t="shared" si="69"/>
        <v>3.5073821767333979</v>
      </c>
      <c r="DR30" s="94">
        <f t="shared" si="69"/>
        <v>2.4551675237133783</v>
      </c>
      <c r="DS30" s="94">
        <f t="shared" si="69"/>
        <v>1.7186172665993646</v>
      </c>
      <c r="DU30" s="30"/>
    </row>
    <row r="31" spans="2:134" s="8" customFormat="1" ht="12.75" customHeight="1">
      <c r="B31" s="47" t="s">
        <v>752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>
        <v>0</v>
      </c>
      <c r="BX31" s="94">
        <v>0</v>
      </c>
      <c r="BY31" s="94">
        <v>0</v>
      </c>
      <c r="BZ31" s="94">
        <v>0</v>
      </c>
      <c r="CA31" s="94">
        <v>0</v>
      </c>
      <c r="CB31" s="94">
        <v>0</v>
      </c>
      <c r="CC31" s="94"/>
      <c r="CD31" s="94">
        <v>0</v>
      </c>
      <c r="CE31" s="94">
        <v>27</v>
      </c>
      <c r="CF31" s="94">
        <v>34</v>
      </c>
      <c r="CG31" s="94">
        <v>54</v>
      </c>
      <c r="CH31" s="94">
        <v>60</v>
      </c>
      <c r="CI31" s="94">
        <v>52</v>
      </c>
      <c r="CJ31" s="94">
        <v>66</v>
      </c>
      <c r="CK31" s="94">
        <v>77</v>
      </c>
      <c r="CL31" s="94">
        <f t="shared" si="64"/>
        <v>60</v>
      </c>
      <c r="CM31" s="94">
        <f t="shared" si="65"/>
        <v>52</v>
      </c>
      <c r="CN31" s="94">
        <f t="shared" si="66"/>
        <v>66</v>
      </c>
      <c r="CO31" s="94">
        <f t="shared" si="67"/>
        <v>77</v>
      </c>
      <c r="CP31" s="94">
        <f t="shared" si="68"/>
        <v>60</v>
      </c>
      <c r="CQ31" s="94"/>
      <c r="CR31" s="94"/>
      <c r="CS31" s="49"/>
      <c r="CT31" s="9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U31" s="30"/>
    </row>
    <row r="32" spans="2:134" s="8" customFormat="1" ht="12.75" customHeight="1">
      <c r="B32" s="47" t="s">
        <v>756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3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>
        <v>26</v>
      </c>
      <c r="BX32" s="94">
        <v>27</v>
      </c>
      <c r="BY32" s="94">
        <v>35</v>
      </c>
      <c r="BZ32" s="94">
        <v>32</v>
      </c>
      <c r="CA32" s="94">
        <v>37</v>
      </c>
      <c r="CB32" s="94">
        <v>32</v>
      </c>
      <c r="CC32" s="94">
        <v>43</v>
      </c>
      <c r="CD32" s="94">
        <v>19</v>
      </c>
      <c r="CE32" s="94">
        <v>-8</v>
      </c>
      <c r="CF32" s="94">
        <v>-1</v>
      </c>
      <c r="CG32" s="94">
        <v>-2</v>
      </c>
      <c r="CH32" s="94">
        <v>10</v>
      </c>
      <c r="CI32" s="94">
        <v>30</v>
      </c>
      <c r="CJ32" s="94">
        <v>46</v>
      </c>
      <c r="CK32" s="94">
        <v>43</v>
      </c>
      <c r="CL32" s="94">
        <f t="shared" ref="CL32:CP32" si="70">+CK32</f>
        <v>43</v>
      </c>
      <c r="CM32" s="94">
        <f t="shared" si="70"/>
        <v>43</v>
      </c>
      <c r="CN32" s="94">
        <f t="shared" si="70"/>
        <v>43</v>
      </c>
      <c r="CO32" s="94">
        <f t="shared" si="70"/>
        <v>43</v>
      </c>
      <c r="CP32" s="94">
        <f t="shared" si="70"/>
        <v>43</v>
      </c>
      <c r="CQ32" s="94"/>
      <c r="CR32" s="94"/>
      <c r="CS32" s="49"/>
      <c r="CT32" s="9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U32" s="30"/>
    </row>
    <row r="33" spans="2:128" s="8" customFormat="1" ht="12.75" customHeight="1">
      <c r="B33" s="47" t="s">
        <v>570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6" t="s">
        <v>539</v>
      </c>
      <c r="AE33" s="96" t="s">
        <v>538</v>
      </c>
      <c r="AF33" s="96" t="s">
        <v>558</v>
      </c>
      <c r="AG33" s="96" t="s">
        <v>551</v>
      </c>
      <c r="AH33" s="96" t="s">
        <v>538</v>
      </c>
      <c r="AI33" s="96" t="s">
        <v>524</v>
      </c>
      <c r="AJ33" s="96" t="s">
        <v>515</v>
      </c>
      <c r="AK33" s="96" t="s">
        <v>504</v>
      </c>
      <c r="AL33" s="94">
        <v>149</v>
      </c>
      <c r="AM33" s="94">
        <v>186</v>
      </c>
      <c r="AN33" s="94">
        <v>185</v>
      </c>
      <c r="AO33" s="94">
        <v>168</v>
      </c>
      <c r="AP33" s="94">
        <v>198</v>
      </c>
      <c r="AQ33" s="94">
        <v>166</v>
      </c>
      <c r="AR33" s="94">
        <v>154</v>
      </c>
      <c r="AS33" s="94">
        <v>163</v>
      </c>
      <c r="AT33" s="94">
        <v>175</v>
      </c>
      <c r="AU33" s="94">
        <v>162</v>
      </c>
      <c r="AV33" s="94">
        <v>183</v>
      </c>
      <c r="AW33" s="94">
        <v>165</v>
      </c>
      <c r="AX33" s="94">
        <v>143</v>
      </c>
      <c r="AY33" s="94">
        <v>126</v>
      </c>
      <c r="AZ33" s="94">
        <v>142</v>
      </c>
      <c r="BA33" s="94">
        <v>104</v>
      </c>
      <c r="BB33" s="94">
        <v>124</v>
      </c>
      <c r="BC33" s="94">
        <v>112</v>
      </c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>
        <v>0</v>
      </c>
      <c r="BX33" s="94">
        <v>0</v>
      </c>
      <c r="BY33" s="94">
        <v>0</v>
      </c>
      <c r="BZ33" s="94">
        <v>0</v>
      </c>
      <c r="CA33" s="94">
        <v>0</v>
      </c>
      <c r="CB33" s="94">
        <v>0</v>
      </c>
      <c r="CC33" s="94"/>
      <c r="CD33" s="94">
        <v>0</v>
      </c>
      <c r="CE33" s="94">
        <v>0</v>
      </c>
      <c r="CF33" s="94">
        <v>0</v>
      </c>
      <c r="CG33" s="94">
        <v>0</v>
      </c>
      <c r="CH33" s="94">
        <v>0</v>
      </c>
      <c r="CI33" s="94">
        <v>0</v>
      </c>
      <c r="CJ33" s="94">
        <v>0</v>
      </c>
      <c r="CK33" s="94">
        <v>0</v>
      </c>
      <c r="CL33" s="94">
        <v>0</v>
      </c>
      <c r="CM33" s="94">
        <v>0</v>
      </c>
      <c r="CN33" s="94">
        <v>0</v>
      </c>
      <c r="CO33" s="94">
        <v>0</v>
      </c>
      <c r="CP33" s="94">
        <v>0</v>
      </c>
      <c r="CQ33" s="94"/>
      <c r="CR33" s="94"/>
      <c r="CS33" s="49"/>
      <c r="CT33" s="94"/>
      <c r="CU33" s="94"/>
      <c r="CV33" s="94"/>
      <c r="CW33" s="94"/>
      <c r="CX33" s="94"/>
      <c r="CY33" s="94"/>
      <c r="CZ33" s="94"/>
      <c r="DA33" s="96" t="s">
        <v>569</v>
      </c>
      <c r="DB33" s="96" t="s">
        <v>568</v>
      </c>
      <c r="DC33" s="94">
        <f t="shared" si="56"/>
        <v>737</v>
      </c>
      <c r="DD33" s="94">
        <f>DC33*0.95</f>
        <v>700.15</v>
      </c>
      <c r="DE33" s="94">
        <f t="shared" ref="DE33:DL33" si="71">DD33*0.95</f>
        <v>665.14249999999993</v>
      </c>
      <c r="DF33" s="94">
        <f t="shared" si="71"/>
        <v>631.88537499999995</v>
      </c>
      <c r="DG33" s="94">
        <f t="shared" si="71"/>
        <v>600.29110624999998</v>
      </c>
      <c r="DH33" s="94">
        <f t="shared" si="71"/>
        <v>570.27655093749991</v>
      </c>
      <c r="DI33" s="94">
        <f t="shared" si="71"/>
        <v>541.76272339062484</v>
      </c>
      <c r="DJ33" s="94">
        <f t="shared" si="71"/>
        <v>514.67458722109359</v>
      </c>
      <c r="DK33" s="94">
        <f t="shared" si="71"/>
        <v>488.94085786003888</v>
      </c>
      <c r="DL33" s="94">
        <f t="shared" si="71"/>
        <v>464.49381496703688</v>
      </c>
      <c r="DM33" s="94">
        <f t="shared" ref="DM33:DS33" si="72">DL33*0.95</f>
        <v>441.26912421868502</v>
      </c>
      <c r="DN33" s="94">
        <f t="shared" si="72"/>
        <v>419.20566800775077</v>
      </c>
      <c r="DO33" s="94">
        <f t="shared" si="72"/>
        <v>398.24538460736323</v>
      </c>
      <c r="DP33" s="94">
        <f t="shared" si="72"/>
        <v>378.33311537699507</v>
      </c>
      <c r="DQ33" s="94">
        <f t="shared" si="72"/>
        <v>359.41645960814532</v>
      </c>
      <c r="DR33" s="94">
        <f t="shared" si="72"/>
        <v>341.44563662773805</v>
      </c>
      <c r="DS33" s="94">
        <f t="shared" si="72"/>
        <v>324.37335479635112</v>
      </c>
      <c r="DU33" s="30"/>
      <c r="DX33" s="83"/>
    </row>
    <row r="34" spans="2:128" s="8" customFormat="1" ht="12.75" customHeight="1">
      <c r="B34" s="47" t="s">
        <v>759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/>
      <c r="AE34" s="96"/>
      <c r="AF34" s="96"/>
      <c r="AG34" s="96"/>
      <c r="AH34" s="96"/>
      <c r="AI34" s="96"/>
      <c r="AJ34" s="96"/>
      <c r="AK34" s="96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>
        <v>88</v>
      </c>
      <c r="BX34" s="94">
        <v>67</v>
      </c>
      <c r="BY34" s="94">
        <v>52</v>
      </c>
      <c r="BZ34" s="94">
        <v>50</v>
      </c>
      <c r="CA34" s="94">
        <v>46</v>
      </c>
      <c r="CB34" s="94">
        <v>32</v>
      </c>
      <c r="CC34" s="96" t="s">
        <v>629</v>
      </c>
      <c r="CD34" s="94">
        <v>36</v>
      </c>
      <c r="CE34" s="94">
        <v>0</v>
      </c>
      <c r="CF34" s="94">
        <v>0</v>
      </c>
      <c r="CG34" s="94">
        <v>0</v>
      </c>
      <c r="CH34" s="94">
        <v>0</v>
      </c>
      <c r="CI34" s="94">
        <v>0</v>
      </c>
      <c r="CJ34" s="94">
        <v>0</v>
      </c>
      <c r="CK34" s="94">
        <v>0</v>
      </c>
      <c r="CL34" s="94">
        <v>0</v>
      </c>
      <c r="CM34" s="94">
        <v>0</v>
      </c>
      <c r="CN34" s="94">
        <v>0</v>
      </c>
      <c r="CO34" s="94">
        <v>0</v>
      </c>
      <c r="CP34" s="94">
        <v>0</v>
      </c>
      <c r="CQ34" s="94"/>
      <c r="CR34" s="94"/>
      <c r="CS34" s="49"/>
      <c r="CT34" s="94"/>
      <c r="CU34" s="94"/>
      <c r="CV34" s="94"/>
      <c r="CW34" s="94"/>
      <c r="CX34" s="94"/>
      <c r="CY34" s="94"/>
      <c r="CZ34" s="94"/>
      <c r="DA34" s="96"/>
      <c r="DB34" s="96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U34" s="30"/>
      <c r="DX34" s="83"/>
    </row>
    <row r="35" spans="2:128" s="8" customFormat="1" ht="12.75" customHeight="1">
      <c r="B35" s="47" t="s">
        <v>621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6" t="s">
        <v>543</v>
      </c>
      <c r="AE35" s="96" t="s">
        <v>517</v>
      </c>
      <c r="AF35" s="96" t="s">
        <v>560</v>
      </c>
      <c r="AG35" s="96" t="s">
        <v>553</v>
      </c>
      <c r="AH35" s="96" t="s">
        <v>542</v>
      </c>
      <c r="AI35" s="96" t="s">
        <v>509</v>
      </c>
      <c r="AJ35" s="96" t="s">
        <v>517</v>
      </c>
      <c r="AK35" s="96" t="s">
        <v>508</v>
      </c>
      <c r="AL35" s="94">
        <v>96</v>
      </c>
      <c r="AM35" s="94">
        <v>134</v>
      </c>
      <c r="AN35" s="94">
        <v>137</v>
      </c>
      <c r="AO35" s="94">
        <v>119</v>
      </c>
      <c r="AP35" s="94">
        <v>138</v>
      </c>
      <c r="AQ35" s="94">
        <v>133</v>
      </c>
      <c r="AR35" s="94">
        <v>143</v>
      </c>
      <c r="AS35" s="94">
        <v>129</v>
      </c>
      <c r="AT35" s="94">
        <v>126</v>
      </c>
      <c r="AU35" s="94">
        <v>116</v>
      </c>
      <c r="AV35" s="94">
        <v>125</v>
      </c>
      <c r="AW35" s="94">
        <v>111</v>
      </c>
      <c r="AX35" s="94">
        <v>116</v>
      </c>
      <c r="AY35" s="94">
        <v>122</v>
      </c>
      <c r="AZ35" s="94">
        <v>134</v>
      </c>
      <c r="BA35" s="94">
        <v>124</v>
      </c>
      <c r="BB35" s="94">
        <v>101</v>
      </c>
      <c r="BC35" s="94">
        <v>110</v>
      </c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>
        <v>57</v>
      </c>
      <c r="BX35" s="94">
        <v>63</v>
      </c>
      <c r="BY35" s="94">
        <v>62</v>
      </c>
      <c r="BZ35" s="94">
        <v>58</v>
      </c>
      <c r="CA35" s="94">
        <v>41</v>
      </c>
      <c r="CB35" s="94">
        <v>44</v>
      </c>
      <c r="CC35" s="96" t="s">
        <v>626</v>
      </c>
      <c r="CD35" s="94">
        <v>57</v>
      </c>
      <c r="CE35" s="94">
        <v>0</v>
      </c>
      <c r="CF35" s="94">
        <v>0</v>
      </c>
      <c r="CG35" s="94">
        <v>0</v>
      </c>
      <c r="CH35" s="94">
        <v>0</v>
      </c>
      <c r="CI35" s="94">
        <v>0</v>
      </c>
      <c r="CJ35" s="94">
        <v>0</v>
      </c>
      <c r="CK35" s="94">
        <v>0</v>
      </c>
      <c r="CL35" s="94">
        <v>0</v>
      </c>
      <c r="CM35" s="94">
        <v>0</v>
      </c>
      <c r="CN35" s="94">
        <v>0</v>
      </c>
      <c r="CO35" s="94">
        <v>0</v>
      </c>
      <c r="CP35" s="94">
        <v>0</v>
      </c>
      <c r="CQ35" s="94"/>
      <c r="CR35" s="94"/>
      <c r="CS35" s="49"/>
      <c r="CT35" s="94"/>
      <c r="CU35" s="94"/>
      <c r="CV35" s="94"/>
      <c r="CW35" s="94"/>
      <c r="CX35" s="94"/>
      <c r="CY35" s="94"/>
      <c r="CZ35" s="94"/>
      <c r="DA35" s="94"/>
      <c r="DB35" s="94"/>
      <c r="DC35" s="94">
        <f t="shared" si="56"/>
        <v>528</v>
      </c>
      <c r="DD35" s="94">
        <f>DC35*1.01</f>
        <v>533.28</v>
      </c>
      <c r="DE35" s="94">
        <f t="shared" ref="DE35:DL35" si="73">DD35*1.01</f>
        <v>538.61279999999999</v>
      </c>
      <c r="DF35" s="94">
        <f t="shared" si="73"/>
        <v>543.99892799999998</v>
      </c>
      <c r="DG35" s="94">
        <f t="shared" si="73"/>
        <v>549.43891727999994</v>
      </c>
      <c r="DH35" s="94">
        <f t="shared" si="73"/>
        <v>554.93330645279991</v>
      </c>
      <c r="DI35" s="94">
        <f t="shared" si="73"/>
        <v>560.48263951732793</v>
      </c>
      <c r="DJ35" s="94">
        <f t="shared" si="73"/>
        <v>566.08746591250122</v>
      </c>
      <c r="DK35" s="94">
        <f t="shared" si="73"/>
        <v>571.74834057162627</v>
      </c>
      <c r="DL35" s="94">
        <f t="shared" si="73"/>
        <v>577.46582397734255</v>
      </c>
      <c r="DM35" s="94">
        <f t="shared" ref="DM35:DS35" si="74">DL35*1.01</f>
        <v>583.24048221711598</v>
      </c>
      <c r="DN35" s="94">
        <f t="shared" si="74"/>
        <v>589.07288703928714</v>
      </c>
      <c r="DO35" s="94">
        <f t="shared" si="74"/>
        <v>594.96361590968002</v>
      </c>
      <c r="DP35" s="94">
        <f t="shared" si="74"/>
        <v>600.91325206877684</v>
      </c>
      <c r="DQ35" s="94">
        <f t="shared" si="74"/>
        <v>606.92238458946463</v>
      </c>
      <c r="DR35" s="94">
        <f t="shared" si="74"/>
        <v>612.99160843535924</v>
      </c>
      <c r="DS35" s="94">
        <f t="shared" si="74"/>
        <v>619.12152451971281</v>
      </c>
      <c r="DU35" s="30"/>
    </row>
    <row r="36" spans="2:128" s="8" customFormat="1" ht="12.75" customHeight="1">
      <c r="B36" s="47" t="s">
        <v>613</v>
      </c>
      <c r="C36" s="9"/>
      <c r="D36" s="9"/>
      <c r="E36" s="9"/>
      <c r="F36" s="9"/>
      <c r="G36" s="7"/>
      <c r="H36" s="7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6" t="s">
        <v>630</v>
      </c>
      <c r="AJ36" s="94"/>
      <c r="AK36" s="94"/>
      <c r="AL36" s="94" t="s">
        <v>443</v>
      </c>
      <c r="AM36" s="94">
        <v>51</v>
      </c>
      <c r="AN36" s="94">
        <v>51</v>
      </c>
      <c r="AO36" s="94">
        <v>64</v>
      </c>
      <c r="AP36" s="94">
        <v>71</v>
      </c>
      <c r="AQ36" s="94">
        <v>60</v>
      </c>
      <c r="AR36" s="94">
        <v>81</v>
      </c>
      <c r="AS36" s="94">
        <v>80</v>
      </c>
      <c r="AT36" s="94">
        <v>74</v>
      </c>
      <c r="AU36" s="94">
        <v>76</v>
      </c>
      <c r="AV36" s="94">
        <v>85</v>
      </c>
      <c r="AW36" s="94">
        <v>93</v>
      </c>
      <c r="AX36" s="94">
        <v>94</v>
      </c>
      <c r="AY36" s="94">
        <v>84</v>
      </c>
      <c r="AZ36" s="94">
        <v>102</v>
      </c>
      <c r="BA36" s="94">
        <v>96</v>
      </c>
      <c r="BB36" s="94">
        <v>120</v>
      </c>
      <c r="BC36" s="94">
        <v>102</v>
      </c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>
        <v>199</v>
      </c>
      <c r="BX36" s="94">
        <v>183</v>
      </c>
      <c r="BY36" s="94">
        <v>199</v>
      </c>
      <c r="BZ36" s="94">
        <v>206</v>
      </c>
      <c r="CA36" s="94">
        <v>195</v>
      </c>
      <c r="CB36" s="94">
        <v>132</v>
      </c>
      <c r="CC36" s="96" t="s">
        <v>786</v>
      </c>
      <c r="CD36" s="94">
        <v>165</v>
      </c>
      <c r="CE36" s="94">
        <v>0</v>
      </c>
      <c r="CF36" s="94">
        <v>0</v>
      </c>
      <c r="CG36" s="94">
        <v>0</v>
      </c>
      <c r="CH36" s="94">
        <v>0</v>
      </c>
      <c r="CI36" s="94">
        <v>0</v>
      </c>
      <c r="CJ36" s="94">
        <v>0</v>
      </c>
      <c r="CK36" s="94">
        <v>0</v>
      </c>
      <c r="CL36" s="94">
        <v>0</v>
      </c>
      <c r="CM36" s="94">
        <v>0</v>
      </c>
      <c r="CN36" s="94">
        <v>0</v>
      </c>
      <c r="CO36" s="94">
        <v>0</v>
      </c>
      <c r="CP36" s="94">
        <v>0</v>
      </c>
      <c r="CQ36" s="94"/>
      <c r="CR36" s="94"/>
      <c r="CS36" s="49"/>
      <c r="CT36" s="9"/>
      <c r="CU36" s="94"/>
      <c r="CV36" s="94"/>
      <c r="CW36" s="94"/>
      <c r="CX36" s="94"/>
      <c r="CY36" s="94"/>
      <c r="CZ36" s="94"/>
      <c r="DA36" s="94"/>
      <c r="DB36" s="94"/>
      <c r="DC36" s="94">
        <f t="shared" si="56"/>
        <v>237</v>
      </c>
      <c r="DD36" s="94">
        <f>+DC36*1.01</f>
        <v>239.37</v>
      </c>
      <c r="DE36" s="94">
        <f>+DD36*1.01</f>
        <v>241.7637</v>
      </c>
      <c r="DF36" s="94">
        <f t="shared" ref="DF36:DS36" si="75">DE36</f>
        <v>241.7637</v>
      </c>
      <c r="DG36" s="94">
        <f t="shared" si="75"/>
        <v>241.7637</v>
      </c>
      <c r="DH36" s="94">
        <f t="shared" si="75"/>
        <v>241.7637</v>
      </c>
      <c r="DI36" s="94">
        <f t="shared" si="75"/>
        <v>241.7637</v>
      </c>
      <c r="DJ36" s="94">
        <f t="shared" si="75"/>
        <v>241.7637</v>
      </c>
      <c r="DK36" s="94">
        <f t="shared" si="75"/>
        <v>241.7637</v>
      </c>
      <c r="DL36" s="94">
        <f t="shared" si="75"/>
        <v>241.7637</v>
      </c>
      <c r="DM36" s="94">
        <f t="shared" si="75"/>
        <v>241.7637</v>
      </c>
      <c r="DN36" s="94">
        <f t="shared" si="75"/>
        <v>241.7637</v>
      </c>
      <c r="DO36" s="94">
        <f t="shared" si="75"/>
        <v>241.7637</v>
      </c>
      <c r="DP36" s="94">
        <f t="shared" si="75"/>
        <v>241.7637</v>
      </c>
      <c r="DQ36" s="94">
        <f t="shared" si="75"/>
        <v>241.7637</v>
      </c>
      <c r="DR36" s="94">
        <f t="shared" si="75"/>
        <v>241.7637</v>
      </c>
      <c r="DS36" s="94">
        <f t="shared" si="75"/>
        <v>241.7637</v>
      </c>
      <c r="DU36" s="30"/>
    </row>
    <row r="37" spans="2:128" s="8" customFormat="1" ht="12.75" customHeight="1">
      <c r="B37" s="47" t="s">
        <v>679</v>
      </c>
      <c r="C37" s="9"/>
      <c r="D37" s="9"/>
      <c r="E37" s="9"/>
      <c r="F37" s="9"/>
      <c r="G37" s="7"/>
      <c r="H37" s="7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3"/>
      <c r="AD37" s="94"/>
      <c r="AE37" s="94"/>
      <c r="AF37" s="94"/>
      <c r="AG37" s="94"/>
      <c r="AH37" s="94"/>
      <c r="AI37" s="96"/>
      <c r="AJ37" s="94"/>
      <c r="AK37" s="94"/>
      <c r="AL37" s="94"/>
      <c r="AM37" s="94"/>
      <c r="AN37" s="94"/>
      <c r="AO37" s="94"/>
      <c r="AP37" s="94"/>
      <c r="AQ37" s="94">
        <v>13</v>
      </c>
      <c r="AR37" s="94">
        <v>25</v>
      </c>
      <c r="AS37" s="94">
        <v>22</v>
      </c>
      <c r="AT37" s="94">
        <v>37</v>
      </c>
      <c r="AU37" s="94">
        <v>39</v>
      </c>
      <c r="AV37" s="94">
        <v>50</v>
      </c>
      <c r="AW37" s="94">
        <v>52</v>
      </c>
      <c r="AX37" s="94">
        <v>67</v>
      </c>
      <c r="AY37" s="94">
        <v>68</v>
      </c>
      <c r="AZ37" s="94">
        <v>79</v>
      </c>
      <c r="BA37" s="94">
        <v>82</v>
      </c>
      <c r="BB37" s="94">
        <v>95</v>
      </c>
      <c r="BC37" s="94">
        <v>102</v>
      </c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>
        <v>0</v>
      </c>
      <c r="BX37" s="94">
        <v>0</v>
      </c>
      <c r="BY37" s="94">
        <v>0</v>
      </c>
      <c r="BZ37" s="94">
        <v>0</v>
      </c>
      <c r="CA37" s="94">
        <v>0</v>
      </c>
      <c r="CB37" s="94">
        <v>0</v>
      </c>
      <c r="CC37" s="94"/>
      <c r="CD37" s="94">
        <v>0</v>
      </c>
      <c r="CE37" s="94">
        <v>0</v>
      </c>
      <c r="CF37" s="94">
        <v>0</v>
      </c>
      <c r="CG37" s="94">
        <v>0</v>
      </c>
      <c r="CH37" s="94">
        <v>0</v>
      </c>
      <c r="CI37" s="94">
        <v>0</v>
      </c>
      <c r="CJ37" s="94">
        <v>0</v>
      </c>
      <c r="CK37" s="94">
        <v>0</v>
      </c>
      <c r="CL37" s="94">
        <v>0</v>
      </c>
      <c r="CM37" s="94">
        <v>0</v>
      </c>
      <c r="CN37" s="94">
        <v>0</v>
      </c>
      <c r="CO37" s="94">
        <v>0</v>
      </c>
      <c r="CP37" s="94">
        <v>0</v>
      </c>
      <c r="CQ37" s="94"/>
      <c r="CR37" s="94"/>
      <c r="CS37" s="49"/>
      <c r="CT37" s="9"/>
      <c r="CU37" s="98"/>
      <c r="CV37" s="94"/>
      <c r="CW37" s="94"/>
      <c r="CX37" s="94"/>
      <c r="CY37" s="94"/>
      <c r="CZ37" s="94"/>
      <c r="DA37" s="94"/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U37" s="30"/>
    </row>
    <row r="38" spans="2:128" s="8" customFormat="1" ht="12.75" customHeight="1">
      <c r="B38" s="47" t="s">
        <v>594</v>
      </c>
      <c r="C38" s="9"/>
      <c r="D38" s="9"/>
      <c r="E38" s="9"/>
      <c r="F38" s="9"/>
      <c r="G38" s="7"/>
      <c r="H38" s="7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3"/>
      <c r="AD38" s="94"/>
      <c r="AE38" s="94"/>
      <c r="AF38" s="94"/>
      <c r="AG38" s="94"/>
      <c r="AH38" s="94"/>
      <c r="AI38" s="96" t="s">
        <v>628</v>
      </c>
      <c r="AJ38" s="94"/>
      <c r="AK38" s="94"/>
      <c r="AL38" s="94">
        <v>128</v>
      </c>
      <c r="AM38" s="94">
        <v>51</v>
      </c>
      <c r="AN38" s="94">
        <v>59</v>
      </c>
      <c r="AO38" s="94">
        <v>110</v>
      </c>
      <c r="AP38" s="94">
        <v>156</v>
      </c>
      <c r="AQ38" s="94">
        <v>79</v>
      </c>
      <c r="AR38" s="94">
        <v>64</v>
      </c>
      <c r="AS38" s="94">
        <v>133</v>
      </c>
      <c r="AT38" s="94">
        <v>222</v>
      </c>
      <c r="AU38" s="94">
        <v>112</v>
      </c>
      <c r="AV38" s="94">
        <v>101</v>
      </c>
      <c r="AW38" s="94">
        <v>160</v>
      </c>
      <c r="AX38" s="94">
        <v>208</v>
      </c>
      <c r="AY38" s="94">
        <v>111</v>
      </c>
      <c r="AZ38" s="94">
        <v>108</v>
      </c>
      <c r="BA38" s="94">
        <v>193</v>
      </c>
      <c r="BB38" s="94">
        <v>241</v>
      </c>
      <c r="BC38" s="94">
        <v>101</v>
      </c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>
        <v>185</v>
      </c>
      <c r="BX38" s="94">
        <v>170</v>
      </c>
      <c r="BY38" s="94">
        <v>237</v>
      </c>
      <c r="BZ38" s="94">
        <v>334</v>
      </c>
      <c r="CA38" s="94">
        <v>256</v>
      </c>
      <c r="CB38" s="94">
        <v>117</v>
      </c>
      <c r="CC38" s="94">
        <v>375</v>
      </c>
      <c r="CD38" s="94">
        <v>339</v>
      </c>
      <c r="CE38" s="94">
        <v>171</v>
      </c>
      <c r="CF38" s="94">
        <v>152</v>
      </c>
      <c r="CG38" s="94">
        <v>277</v>
      </c>
      <c r="CH38" s="94">
        <v>292</v>
      </c>
      <c r="CI38" s="94">
        <v>173</v>
      </c>
      <c r="CJ38" s="94">
        <v>153</v>
      </c>
      <c r="CK38" s="94">
        <v>131</v>
      </c>
      <c r="CL38" s="94">
        <f>+CK38*0.9</f>
        <v>117.9</v>
      </c>
      <c r="CM38" s="94">
        <f t="shared" ref="CM38:CP38" si="76">+CL38*0.9</f>
        <v>106.11000000000001</v>
      </c>
      <c r="CN38" s="94">
        <f t="shared" si="76"/>
        <v>95.499000000000009</v>
      </c>
      <c r="CO38" s="94">
        <f t="shared" si="76"/>
        <v>85.949100000000016</v>
      </c>
      <c r="CP38" s="94">
        <f t="shared" si="76"/>
        <v>77.354190000000017</v>
      </c>
      <c r="CQ38" s="94"/>
      <c r="CR38" s="94"/>
      <c r="CS38" s="49"/>
      <c r="CT38" s="9"/>
      <c r="CU38" s="94"/>
      <c r="CV38" s="94"/>
      <c r="CW38" s="94"/>
      <c r="CX38" s="94"/>
      <c r="CY38" s="94"/>
      <c r="CZ38" s="94"/>
      <c r="DA38" s="94"/>
      <c r="DB38" s="94"/>
      <c r="DC38" s="94">
        <f>SUM(AM38:AP38)</f>
        <v>376</v>
      </c>
      <c r="DD38" s="94">
        <f>DC38</f>
        <v>376</v>
      </c>
      <c r="DE38" s="94">
        <f t="shared" ref="DE38:DL38" si="77">DD38</f>
        <v>376</v>
      </c>
      <c r="DF38" s="94">
        <f t="shared" si="77"/>
        <v>376</v>
      </c>
      <c r="DG38" s="94">
        <f t="shared" si="77"/>
        <v>376</v>
      </c>
      <c r="DH38" s="94">
        <f t="shared" si="77"/>
        <v>376</v>
      </c>
      <c r="DI38" s="94">
        <f t="shared" si="77"/>
        <v>376</v>
      </c>
      <c r="DJ38" s="94">
        <f t="shared" si="77"/>
        <v>376</v>
      </c>
      <c r="DK38" s="94">
        <f t="shared" si="77"/>
        <v>376</v>
      </c>
      <c r="DL38" s="94">
        <f t="shared" si="77"/>
        <v>376</v>
      </c>
      <c r="DM38" s="94">
        <f t="shared" ref="DM38:DS38" si="78">DL38</f>
        <v>376</v>
      </c>
      <c r="DN38" s="94">
        <f t="shared" si="78"/>
        <v>376</v>
      </c>
      <c r="DO38" s="94">
        <f t="shared" si="78"/>
        <v>376</v>
      </c>
      <c r="DP38" s="94">
        <f t="shared" si="78"/>
        <v>376</v>
      </c>
      <c r="DQ38" s="94">
        <f t="shared" si="78"/>
        <v>376</v>
      </c>
      <c r="DR38" s="94">
        <f t="shared" si="78"/>
        <v>376</v>
      </c>
      <c r="DS38" s="94">
        <f t="shared" si="78"/>
        <v>376</v>
      </c>
      <c r="DU38" s="30"/>
    </row>
    <row r="39" spans="2:128" s="8" customFormat="1" ht="12.75" customHeight="1">
      <c r="B39" s="47" t="s">
        <v>750</v>
      </c>
      <c r="C39" s="9"/>
      <c r="D39" s="9"/>
      <c r="E39" s="9"/>
      <c r="F39" s="9"/>
      <c r="G39" s="7"/>
      <c r="H39" s="7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3"/>
      <c r="AD39" s="94"/>
      <c r="AE39" s="94"/>
      <c r="AF39" s="94"/>
      <c r="AG39" s="94"/>
      <c r="AH39" s="94"/>
      <c r="AI39" s="96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>
        <v>47</v>
      </c>
      <c r="BX39" s="94">
        <v>58</v>
      </c>
      <c r="BY39" s="94">
        <v>62</v>
      </c>
      <c r="BZ39" s="94">
        <v>71</v>
      </c>
      <c r="CA39" s="94">
        <v>60</v>
      </c>
      <c r="CB39" s="94">
        <v>28</v>
      </c>
      <c r="CC39" s="94">
        <v>51</v>
      </c>
      <c r="CD39" s="94">
        <v>31</v>
      </c>
      <c r="CE39" s="94">
        <v>34</v>
      </c>
      <c r="CF39" s="94">
        <v>56</v>
      </c>
      <c r="CG39" s="94">
        <v>48</v>
      </c>
      <c r="CH39" s="94">
        <v>41</v>
      </c>
      <c r="CI39" s="94">
        <v>36</v>
      </c>
      <c r="CJ39" s="94">
        <v>35</v>
      </c>
      <c r="CK39" s="94">
        <v>64</v>
      </c>
      <c r="CL39" s="94">
        <f t="shared" ref="CL39:CP39" si="79">+CK39</f>
        <v>64</v>
      </c>
      <c r="CM39" s="94">
        <f t="shared" si="79"/>
        <v>64</v>
      </c>
      <c r="CN39" s="94">
        <f t="shared" si="79"/>
        <v>64</v>
      </c>
      <c r="CO39" s="94">
        <f t="shared" si="79"/>
        <v>64</v>
      </c>
      <c r="CP39" s="94">
        <f t="shared" si="79"/>
        <v>64</v>
      </c>
      <c r="CQ39" s="94"/>
      <c r="CR39" s="94"/>
      <c r="CS39" s="49"/>
      <c r="CT39" s="9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94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4"/>
      <c r="DS39" s="94"/>
      <c r="DU39" s="30"/>
    </row>
    <row r="40" spans="2:128" s="8" customFormat="1" ht="12.75" customHeight="1">
      <c r="B40" s="47" t="s">
        <v>355</v>
      </c>
      <c r="C40" s="9"/>
      <c r="D40" s="9"/>
      <c r="E40" s="9"/>
      <c r="F40" s="9"/>
      <c r="G40" s="7"/>
      <c r="H40" s="7"/>
      <c r="I40" s="94"/>
      <c r="J40" s="94"/>
      <c r="K40" s="94"/>
      <c r="L40" s="94"/>
      <c r="M40" s="94"/>
      <c r="N40" s="94"/>
      <c r="O40" s="94">
        <v>131</v>
      </c>
      <c r="P40" s="94">
        <v>133</v>
      </c>
      <c r="Q40" s="94">
        <v>138</v>
      </c>
      <c r="R40" s="94">
        <v>157</v>
      </c>
      <c r="S40" s="94">
        <v>140</v>
      </c>
      <c r="T40" s="94">
        <v>153</v>
      </c>
      <c r="U40" s="94">
        <v>156</v>
      </c>
      <c r="V40" s="94">
        <v>167</v>
      </c>
      <c r="W40" s="94">
        <v>152</v>
      </c>
      <c r="X40" s="94">
        <v>175</v>
      </c>
      <c r="Y40" s="94">
        <v>191</v>
      </c>
      <c r="Z40" s="94">
        <v>179</v>
      </c>
      <c r="AA40" s="94">
        <v>186</v>
      </c>
      <c r="AB40" s="94">
        <v>192</v>
      </c>
      <c r="AC40" s="93">
        <v>197</v>
      </c>
      <c r="AD40" s="94">
        <f>AC40</f>
        <v>197</v>
      </c>
      <c r="AE40" s="94">
        <v>201</v>
      </c>
      <c r="AF40" s="94">
        <v>217</v>
      </c>
      <c r="AG40" s="94">
        <v>209</v>
      </c>
      <c r="AH40" s="94">
        <f>AG40</f>
        <v>209</v>
      </c>
      <c r="AI40" s="94">
        <v>121</v>
      </c>
      <c r="AJ40" s="94">
        <v>125</v>
      </c>
      <c r="AK40" s="94">
        <v>123</v>
      </c>
      <c r="AL40" s="94">
        <v>134</v>
      </c>
      <c r="AM40" s="94">
        <v>115</v>
      </c>
      <c r="AN40" s="94">
        <v>123</v>
      </c>
      <c r="AO40" s="94">
        <v>114</v>
      </c>
      <c r="AP40" s="94">
        <v>131</v>
      </c>
      <c r="AQ40" s="94">
        <v>114</v>
      </c>
      <c r="AR40" s="94">
        <v>122</v>
      </c>
      <c r="AS40" s="94">
        <v>124</v>
      </c>
      <c r="AT40" s="94">
        <v>117</v>
      </c>
      <c r="AU40" s="94">
        <v>124</v>
      </c>
      <c r="AV40" s="94">
        <v>105</v>
      </c>
      <c r="AW40" s="94">
        <v>102</v>
      </c>
      <c r="AX40" s="94">
        <v>113</v>
      </c>
      <c r="AY40" s="94">
        <v>105</v>
      </c>
      <c r="AZ40" s="94">
        <v>103</v>
      </c>
      <c r="BA40" s="94">
        <v>104</v>
      </c>
      <c r="BB40" s="94">
        <v>103</v>
      </c>
      <c r="BC40" s="94">
        <v>99</v>
      </c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>
        <v>0</v>
      </c>
      <c r="CN40" s="94">
        <v>0</v>
      </c>
      <c r="CO40" s="94">
        <v>0</v>
      </c>
      <c r="CP40" s="94">
        <v>0</v>
      </c>
      <c r="CQ40" s="94"/>
      <c r="CR40" s="94"/>
      <c r="CS40" s="49"/>
      <c r="CT40" s="9" t="s">
        <v>443</v>
      </c>
      <c r="CU40" s="94" t="s">
        <v>443</v>
      </c>
      <c r="CV40" s="94">
        <v>484</v>
      </c>
      <c r="CW40" s="94">
        <f>SUM(O40:R40)</f>
        <v>559</v>
      </c>
      <c r="CX40" s="94">
        <f>SUM(S40:V40)</f>
        <v>616</v>
      </c>
      <c r="CY40" s="94">
        <f>SUM(W40:Z40)</f>
        <v>697</v>
      </c>
      <c r="CZ40" s="94">
        <f>SUM(AA40:AD40)</f>
        <v>772</v>
      </c>
      <c r="DA40" s="94">
        <f>SUM(AE40:AH40)</f>
        <v>836</v>
      </c>
      <c r="DB40" s="94">
        <f>SUM(AI40:AL40)</f>
        <v>503</v>
      </c>
      <c r="DC40" s="94">
        <f>SUM(AM40:AP40)</f>
        <v>483</v>
      </c>
      <c r="DD40" s="94">
        <f t="shared" ref="DD40:DL40" si="80">DC40*0.8</f>
        <v>386.40000000000003</v>
      </c>
      <c r="DE40" s="94">
        <f t="shared" si="80"/>
        <v>309.12000000000006</v>
      </c>
      <c r="DF40" s="94">
        <f t="shared" si="80"/>
        <v>247.29600000000005</v>
      </c>
      <c r="DG40" s="94">
        <f t="shared" si="80"/>
        <v>197.83680000000004</v>
      </c>
      <c r="DH40" s="94">
        <f t="shared" si="80"/>
        <v>158.26944000000003</v>
      </c>
      <c r="DI40" s="94">
        <f t="shared" si="80"/>
        <v>126.61555200000004</v>
      </c>
      <c r="DJ40" s="94">
        <f t="shared" si="80"/>
        <v>101.29244160000003</v>
      </c>
      <c r="DK40" s="94">
        <f t="shared" si="80"/>
        <v>81.033953280000034</v>
      </c>
      <c r="DL40" s="94">
        <f t="shared" si="80"/>
        <v>64.827162624000024</v>
      </c>
      <c r="DM40" s="94">
        <f t="shared" ref="DM40:DS40" si="81">DL40*0.8</f>
        <v>51.861730099200024</v>
      </c>
      <c r="DN40" s="94">
        <f t="shared" si="81"/>
        <v>41.489384079360022</v>
      </c>
      <c r="DO40" s="94">
        <f t="shared" si="81"/>
        <v>33.19150726348802</v>
      </c>
      <c r="DP40" s="94">
        <f t="shared" si="81"/>
        <v>26.553205810790416</v>
      </c>
      <c r="DQ40" s="94">
        <f t="shared" si="81"/>
        <v>21.242564648632335</v>
      </c>
      <c r="DR40" s="94">
        <f t="shared" si="81"/>
        <v>16.994051718905869</v>
      </c>
      <c r="DS40" s="94">
        <f t="shared" si="81"/>
        <v>13.595241375124695</v>
      </c>
      <c r="DU40" s="30"/>
    </row>
    <row r="41" spans="2:128" s="8" customFormat="1" ht="12.75" customHeight="1">
      <c r="B41" s="47" t="s">
        <v>103</v>
      </c>
      <c r="C41" s="9"/>
      <c r="D41" s="9"/>
      <c r="E41" s="9"/>
      <c r="F41" s="9"/>
      <c r="G41" s="7"/>
      <c r="H41" s="7"/>
      <c r="I41" s="94"/>
      <c r="J41" s="94"/>
      <c r="K41" s="94"/>
      <c r="L41" s="94"/>
      <c r="M41" s="94"/>
      <c r="N41" s="94"/>
      <c r="O41" s="94">
        <v>150</v>
      </c>
      <c r="P41" s="94">
        <v>153</v>
      </c>
      <c r="Q41" s="94">
        <v>162</v>
      </c>
      <c r="R41" s="94">
        <v>176</v>
      </c>
      <c r="S41" s="94">
        <v>185</v>
      </c>
      <c r="T41" s="94">
        <v>181</v>
      </c>
      <c r="U41" s="94">
        <v>182</v>
      </c>
      <c r="V41" s="94">
        <v>191</v>
      </c>
      <c r="W41" s="94">
        <v>170</v>
      </c>
      <c r="X41" s="94">
        <v>172</v>
      </c>
      <c r="Y41" s="94">
        <v>182</v>
      </c>
      <c r="Z41" s="94">
        <v>181</v>
      </c>
      <c r="AA41" s="94">
        <v>197</v>
      </c>
      <c r="AB41" s="94">
        <v>186</v>
      </c>
      <c r="AC41" s="93">
        <v>186</v>
      </c>
      <c r="AD41" s="94">
        <f>AC41</f>
        <v>186</v>
      </c>
      <c r="AE41" s="94">
        <v>203</v>
      </c>
      <c r="AF41" s="94">
        <v>201</v>
      </c>
      <c r="AG41" s="94">
        <v>188</v>
      </c>
      <c r="AH41" s="94">
        <f>AG41</f>
        <v>188</v>
      </c>
      <c r="AI41" s="94">
        <v>165</v>
      </c>
      <c r="AJ41" s="94">
        <v>160</v>
      </c>
      <c r="AK41" s="94">
        <v>168</v>
      </c>
      <c r="AL41" s="94">
        <v>196</v>
      </c>
      <c r="AM41" s="94">
        <v>159</v>
      </c>
      <c r="AN41" s="94">
        <v>158</v>
      </c>
      <c r="AO41" s="94">
        <v>135</v>
      </c>
      <c r="AP41" s="94">
        <v>158</v>
      </c>
      <c r="AQ41" s="94">
        <v>136</v>
      </c>
      <c r="AR41" s="94">
        <v>136</v>
      </c>
      <c r="AS41" s="94">
        <v>124</v>
      </c>
      <c r="AT41" s="94">
        <v>119</v>
      </c>
      <c r="AU41" s="94">
        <v>88</v>
      </c>
      <c r="AV41" s="94">
        <v>104</v>
      </c>
      <c r="AW41" s="94">
        <v>109</v>
      </c>
      <c r="AX41" s="94">
        <v>83</v>
      </c>
      <c r="AY41" s="94">
        <v>84</v>
      </c>
      <c r="AZ41" s="94">
        <v>85</v>
      </c>
      <c r="BA41" s="94">
        <v>88</v>
      </c>
      <c r="BB41" s="94">
        <v>79</v>
      </c>
      <c r="BC41" s="94">
        <v>71</v>
      </c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>
        <v>59</v>
      </c>
      <c r="BX41" s="94">
        <v>71</v>
      </c>
      <c r="BY41" s="94">
        <v>77</v>
      </c>
      <c r="BZ41" s="94">
        <v>67</v>
      </c>
      <c r="CA41" s="94">
        <v>51</v>
      </c>
      <c r="CB41" s="94">
        <v>64</v>
      </c>
      <c r="CC41" s="94">
        <v>74</v>
      </c>
      <c r="CD41" s="94">
        <v>62</v>
      </c>
      <c r="CE41" s="94">
        <v>65</v>
      </c>
      <c r="CF41" s="94">
        <v>60</v>
      </c>
      <c r="CG41" s="94">
        <v>70</v>
      </c>
      <c r="CH41" s="94">
        <v>65</v>
      </c>
      <c r="CI41" s="94">
        <v>58</v>
      </c>
      <c r="CJ41" s="94">
        <v>64</v>
      </c>
      <c r="CK41" s="94">
        <v>63</v>
      </c>
      <c r="CL41" s="94">
        <f t="shared" ref="CL41:CP41" si="82">+CK41-1</f>
        <v>62</v>
      </c>
      <c r="CM41" s="94">
        <f t="shared" si="82"/>
        <v>61</v>
      </c>
      <c r="CN41" s="94">
        <f t="shared" si="82"/>
        <v>60</v>
      </c>
      <c r="CO41" s="94">
        <f t="shared" si="82"/>
        <v>59</v>
      </c>
      <c r="CP41" s="94">
        <f t="shared" si="82"/>
        <v>58</v>
      </c>
      <c r="CQ41" s="94"/>
      <c r="CR41" s="94"/>
      <c r="CS41" s="49"/>
      <c r="CT41" s="9" t="s">
        <v>443</v>
      </c>
      <c r="CU41" s="94" t="s">
        <v>443</v>
      </c>
      <c r="CV41" s="94">
        <v>629</v>
      </c>
      <c r="CW41" s="94">
        <f>SUM(O41:R41)</f>
        <v>641</v>
      </c>
      <c r="CX41" s="94">
        <f>SUM(S41:V41)</f>
        <v>739</v>
      </c>
      <c r="CY41" s="94">
        <f>SUM(W41:Z41)</f>
        <v>705</v>
      </c>
      <c r="CZ41" s="94">
        <f>SUM(AA41:AD41)</f>
        <v>755</v>
      </c>
      <c r="DA41" s="94">
        <f>SUM(AE41:AH41)</f>
        <v>780</v>
      </c>
      <c r="DB41" s="94">
        <f>SUM(AI41:AL41)</f>
        <v>689</v>
      </c>
      <c r="DC41" s="94">
        <f>SUM(AM41:AP41)</f>
        <v>610</v>
      </c>
      <c r="DD41" s="94">
        <f t="shared" ref="DD41:DL41" si="83">DC41*0.7</f>
        <v>427</v>
      </c>
      <c r="DE41" s="94">
        <f t="shared" si="83"/>
        <v>298.89999999999998</v>
      </c>
      <c r="DF41" s="94">
        <f t="shared" si="83"/>
        <v>209.22999999999996</v>
      </c>
      <c r="DG41" s="94">
        <f t="shared" si="83"/>
        <v>146.46099999999996</v>
      </c>
      <c r="DH41" s="94">
        <f t="shared" si="83"/>
        <v>102.52269999999996</v>
      </c>
      <c r="DI41" s="94">
        <f t="shared" si="83"/>
        <v>71.76588999999997</v>
      </c>
      <c r="DJ41" s="94">
        <f t="shared" si="83"/>
        <v>50.236122999999978</v>
      </c>
      <c r="DK41" s="94">
        <f t="shared" si="83"/>
        <v>35.165286099999982</v>
      </c>
      <c r="DL41" s="94">
        <f t="shared" si="83"/>
        <v>24.615700269999987</v>
      </c>
      <c r="DM41" s="94">
        <f t="shared" ref="DM41:DS41" si="84">DL41*0.7</f>
        <v>17.230990188999989</v>
      </c>
      <c r="DN41" s="94">
        <f t="shared" si="84"/>
        <v>12.061693132299991</v>
      </c>
      <c r="DO41" s="94">
        <f t="shared" si="84"/>
        <v>8.4431851926099935</v>
      </c>
      <c r="DP41" s="94">
        <f t="shared" si="84"/>
        <v>5.9102296348269947</v>
      </c>
      <c r="DQ41" s="94">
        <f t="shared" si="84"/>
        <v>4.137160744378896</v>
      </c>
      <c r="DR41" s="94">
        <f t="shared" si="84"/>
        <v>2.8960125210652272</v>
      </c>
      <c r="DS41" s="94">
        <f t="shared" si="84"/>
        <v>2.0272087647456591</v>
      </c>
      <c r="DU41" s="30"/>
    </row>
    <row r="42" spans="2:128" s="8" customFormat="1" ht="12.75" customHeight="1">
      <c r="B42" s="47" t="s">
        <v>755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3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>
        <v>42</v>
      </c>
      <c r="BX42" s="94">
        <v>51</v>
      </c>
      <c r="BY42" s="94">
        <v>50</v>
      </c>
      <c r="BZ42" s="94">
        <v>60</v>
      </c>
      <c r="CA42" s="94">
        <v>53</v>
      </c>
      <c r="CB42" s="94">
        <v>79</v>
      </c>
      <c r="CC42" s="94">
        <v>83</v>
      </c>
      <c r="CD42" s="94">
        <v>65</v>
      </c>
      <c r="CE42" s="94">
        <v>74</v>
      </c>
      <c r="CF42" s="94">
        <v>74</v>
      </c>
      <c r="CG42" s="94">
        <v>100</v>
      </c>
      <c r="CH42" s="94">
        <v>94</v>
      </c>
      <c r="CI42" s="94">
        <v>72</v>
      </c>
      <c r="CJ42" s="94">
        <v>98</v>
      </c>
      <c r="CK42" s="94">
        <v>88</v>
      </c>
      <c r="CL42" s="94">
        <f t="shared" ref="CL42:CP42" si="85">+CK42+1</f>
        <v>89</v>
      </c>
      <c r="CM42" s="94">
        <f t="shared" si="85"/>
        <v>90</v>
      </c>
      <c r="CN42" s="94">
        <f t="shared" si="85"/>
        <v>91</v>
      </c>
      <c r="CO42" s="94">
        <f t="shared" si="85"/>
        <v>92</v>
      </c>
      <c r="CP42" s="94">
        <f t="shared" si="85"/>
        <v>93</v>
      </c>
      <c r="CQ42" s="94"/>
      <c r="CR42" s="94"/>
      <c r="CS42" s="49"/>
      <c r="CT42" s="9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U42" s="30"/>
    </row>
    <row r="43" spans="2:128" s="8" customFormat="1" ht="12.75" customHeight="1">
      <c r="B43" s="47" t="s">
        <v>754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>
        <v>48</v>
      </c>
      <c r="BX43" s="94">
        <v>53</v>
      </c>
      <c r="BY43" s="94">
        <v>57</v>
      </c>
      <c r="BZ43" s="94">
        <v>57</v>
      </c>
      <c r="CA43" s="94">
        <v>56</v>
      </c>
      <c r="CB43" s="94">
        <v>57</v>
      </c>
      <c r="CC43" s="94">
        <v>55</v>
      </c>
      <c r="CD43" s="94">
        <v>53</v>
      </c>
      <c r="CE43" s="94">
        <v>55</v>
      </c>
      <c r="CF43" s="94">
        <v>74</v>
      </c>
      <c r="CG43" s="94">
        <v>59</v>
      </c>
      <c r="CH43" s="94">
        <v>63</v>
      </c>
      <c r="CI43" s="94">
        <v>61</v>
      </c>
      <c r="CJ43" s="94">
        <v>63</v>
      </c>
      <c r="CK43" s="94">
        <v>57</v>
      </c>
      <c r="CL43" s="94">
        <f t="shared" ref="CL43:CP43" si="86">+CK43+1</f>
        <v>58</v>
      </c>
      <c r="CM43" s="94">
        <f t="shared" si="86"/>
        <v>59</v>
      </c>
      <c r="CN43" s="94">
        <f t="shared" si="86"/>
        <v>60</v>
      </c>
      <c r="CO43" s="94">
        <f t="shared" si="86"/>
        <v>61</v>
      </c>
      <c r="CP43" s="94">
        <f t="shared" si="86"/>
        <v>62</v>
      </c>
      <c r="CQ43" s="94"/>
      <c r="CR43" s="94"/>
      <c r="CS43" s="49"/>
      <c r="CT43" s="9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U43" s="30"/>
    </row>
    <row r="44" spans="2:128" s="8" customFormat="1" ht="12.75" customHeight="1">
      <c r="B44" s="47" t="s">
        <v>760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3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>
        <v>114</v>
      </c>
      <c r="BX44" s="94">
        <v>108</v>
      </c>
      <c r="BY44" s="94">
        <v>83</v>
      </c>
      <c r="BZ44" s="94">
        <v>66</v>
      </c>
      <c r="CA44" s="94">
        <v>55</v>
      </c>
      <c r="CB44" s="94">
        <v>39</v>
      </c>
      <c r="CC44" s="96" t="s">
        <v>791</v>
      </c>
      <c r="CD44" s="94">
        <v>45</v>
      </c>
      <c r="CE44" s="94">
        <v>0</v>
      </c>
      <c r="CF44" s="94">
        <v>0</v>
      </c>
      <c r="CG44" s="94">
        <v>0</v>
      </c>
      <c r="CH44" s="94">
        <v>0</v>
      </c>
      <c r="CI44" s="94">
        <v>0</v>
      </c>
      <c r="CJ44" s="94">
        <v>0</v>
      </c>
      <c r="CK44" s="94">
        <v>0</v>
      </c>
      <c r="CL44" s="94">
        <v>0</v>
      </c>
      <c r="CM44" s="94">
        <v>0</v>
      </c>
      <c r="CN44" s="94">
        <v>0</v>
      </c>
      <c r="CO44" s="94">
        <v>0</v>
      </c>
      <c r="CP44" s="94">
        <v>0</v>
      </c>
      <c r="CQ44" s="94"/>
      <c r="CR44" s="94"/>
      <c r="CS44" s="49"/>
      <c r="CT44" s="9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4"/>
      <c r="DF44" s="94"/>
      <c r="DG44" s="94"/>
      <c r="DH44" s="94"/>
      <c r="DI44" s="94"/>
      <c r="DJ44" s="94"/>
      <c r="DK44" s="94"/>
      <c r="DL44" s="94"/>
      <c r="DM44" s="94"/>
      <c r="DN44" s="94"/>
      <c r="DO44" s="94"/>
      <c r="DP44" s="94"/>
      <c r="DQ44" s="94"/>
      <c r="DR44" s="94"/>
      <c r="DS44" s="94"/>
      <c r="DU44" s="30"/>
    </row>
    <row r="45" spans="2:128" s="8" customFormat="1" ht="12.75" customHeight="1">
      <c r="B45" s="47" t="s">
        <v>572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533</v>
      </c>
      <c r="AE45" s="96" t="s">
        <v>534</v>
      </c>
      <c r="AF45" s="96" t="s">
        <v>556</v>
      </c>
      <c r="AG45" s="96" t="s">
        <v>550</v>
      </c>
      <c r="AH45" s="96" t="s">
        <v>532</v>
      </c>
      <c r="AI45" s="96" t="s">
        <v>522</v>
      </c>
      <c r="AJ45" s="96" t="s">
        <v>513</v>
      </c>
      <c r="AK45" s="96" t="s">
        <v>506</v>
      </c>
      <c r="AL45" s="94">
        <v>188</v>
      </c>
      <c r="AM45" s="94">
        <v>274</v>
      </c>
      <c r="AN45" s="94">
        <v>271</v>
      </c>
      <c r="AO45" s="94">
        <v>254</v>
      </c>
      <c r="AP45" s="94">
        <v>266</v>
      </c>
      <c r="AQ45" s="94">
        <v>248</v>
      </c>
      <c r="AR45" s="94">
        <v>234</v>
      </c>
      <c r="AS45" s="94">
        <v>223</v>
      </c>
      <c r="AT45" s="94">
        <v>230</v>
      </c>
      <c r="AU45" s="94">
        <v>237</v>
      </c>
      <c r="AV45" s="94">
        <v>225</v>
      </c>
      <c r="AW45" s="94">
        <v>227</v>
      </c>
      <c r="AX45" s="94">
        <v>229</v>
      </c>
      <c r="AY45" s="94">
        <v>216</v>
      </c>
      <c r="AZ45" s="94">
        <v>219</v>
      </c>
      <c r="BA45" s="94">
        <v>162</v>
      </c>
      <c r="BB45" s="94">
        <v>111</v>
      </c>
      <c r="BC45" s="94">
        <v>83</v>
      </c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49"/>
      <c r="CT45" s="94"/>
      <c r="CU45" s="94"/>
      <c r="CV45" s="94"/>
      <c r="CW45" s="94"/>
      <c r="CX45" s="94"/>
      <c r="CY45" s="94"/>
      <c r="CZ45" s="94"/>
      <c r="DA45" s="96" t="s">
        <v>564</v>
      </c>
      <c r="DB45" s="96" t="s">
        <v>563</v>
      </c>
      <c r="DC45" s="94">
        <f>SUM(AM45:AP45)</f>
        <v>1065</v>
      </c>
      <c r="DD45" s="94">
        <f>DC45</f>
        <v>1065</v>
      </c>
      <c r="DE45" s="94">
        <f>DD45</f>
        <v>1065</v>
      </c>
      <c r="DF45" s="94">
        <f>DE45</f>
        <v>1065</v>
      </c>
      <c r="DG45" s="94">
        <f>DF45*0.6</f>
        <v>639</v>
      </c>
      <c r="DH45" s="94">
        <f>DG45*0.3</f>
        <v>191.7</v>
      </c>
      <c r="DI45" s="94">
        <f>DH45*0.8</f>
        <v>153.35999999999999</v>
      </c>
      <c r="DJ45" s="94">
        <f>DI45*0.8</f>
        <v>122.68799999999999</v>
      </c>
      <c r="DK45" s="94">
        <f>DJ45*0.8</f>
        <v>98.150399999999991</v>
      </c>
      <c r="DL45" s="94">
        <f t="shared" ref="DL45:DS45" si="87">+DK45*0.5</f>
        <v>49.075199999999995</v>
      </c>
      <c r="DM45" s="94">
        <f t="shared" si="87"/>
        <v>24.537599999999998</v>
      </c>
      <c r="DN45" s="94">
        <f t="shared" si="87"/>
        <v>12.268799999999999</v>
      </c>
      <c r="DO45" s="94">
        <f t="shared" si="87"/>
        <v>6.1343999999999994</v>
      </c>
      <c r="DP45" s="94">
        <f t="shared" si="87"/>
        <v>3.0671999999999997</v>
      </c>
      <c r="DQ45" s="94">
        <f t="shared" si="87"/>
        <v>1.5335999999999999</v>
      </c>
      <c r="DR45" s="94">
        <f t="shared" si="87"/>
        <v>0.76679999999999993</v>
      </c>
      <c r="DS45" s="94">
        <f t="shared" si="87"/>
        <v>0.38339999999999996</v>
      </c>
      <c r="DU45" s="30"/>
    </row>
    <row r="46" spans="2:128" s="8" customFormat="1" ht="12.75" customHeight="1">
      <c r="B46" s="47" t="s">
        <v>9</v>
      </c>
      <c r="C46" s="94">
        <v>1106.9466</v>
      </c>
      <c r="D46" s="94">
        <v>1106.9449999999999</v>
      </c>
      <c r="E46" s="94">
        <v>1348.01179</v>
      </c>
      <c r="F46" s="94">
        <v>1559.5255999999999</v>
      </c>
      <c r="G46" s="94">
        <v>1105</v>
      </c>
      <c r="H46" s="94">
        <v>1175</v>
      </c>
      <c r="I46" s="94">
        <v>1440</v>
      </c>
      <c r="J46" s="94">
        <v>1723</v>
      </c>
      <c r="K46" s="94">
        <v>1175</v>
      </c>
      <c r="L46" s="94">
        <v>1218</v>
      </c>
      <c r="M46" s="94">
        <v>1404.75</v>
      </c>
      <c r="N46" s="94">
        <v>1213.74</v>
      </c>
      <c r="O46" s="94">
        <v>1296</v>
      </c>
      <c r="P46" s="94">
        <v>1370</v>
      </c>
      <c r="Q46" s="94">
        <v>1221</v>
      </c>
      <c r="R46" s="94">
        <v>1311</v>
      </c>
      <c r="S46" s="94">
        <v>1106</v>
      </c>
      <c r="T46" s="94">
        <v>1151</v>
      </c>
      <c r="U46" s="94">
        <v>1050</v>
      </c>
      <c r="V46" s="94">
        <v>1074</v>
      </c>
      <c r="W46" s="94">
        <v>1063</v>
      </c>
      <c r="X46" s="94">
        <v>990</v>
      </c>
      <c r="Y46" s="94">
        <v>371</v>
      </c>
      <c r="Z46" s="94">
        <v>379</v>
      </c>
      <c r="AA46" s="94">
        <v>258</v>
      </c>
      <c r="AB46" s="94">
        <v>178</v>
      </c>
      <c r="AC46" s="94">
        <v>218</v>
      </c>
      <c r="AD46" s="94">
        <v>195</v>
      </c>
      <c r="AE46" s="94">
        <v>179</v>
      </c>
      <c r="AF46" s="94">
        <v>177</v>
      </c>
      <c r="AG46" s="94">
        <v>157</v>
      </c>
      <c r="AH46" s="94">
        <f>AG46*0.8</f>
        <v>125.60000000000001</v>
      </c>
      <c r="AI46" s="94">
        <v>137</v>
      </c>
      <c r="AJ46" s="94">
        <v>141</v>
      </c>
      <c r="AK46" s="94">
        <v>141</v>
      </c>
      <c r="AL46" s="94">
        <v>139</v>
      </c>
      <c r="AM46" s="94">
        <v>116</v>
      </c>
      <c r="AN46" s="94">
        <v>117</v>
      </c>
      <c r="AO46" s="94">
        <v>114</v>
      </c>
      <c r="AP46" s="94">
        <v>121</v>
      </c>
      <c r="AQ46" s="94">
        <v>127</v>
      </c>
      <c r="AR46" s="94">
        <v>107</v>
      </c>
      <c r="AS46" s="94">
        <v>110</v>
      </c>
      <c r="AT46" s="94">
        <v>111</v>
      </c>
      <c r="AU46" s="94">
        <v>103</v>
      </c>
      <c r="AV46" s="94">
        <v>96</v>
      </c>
      <c r="AW46" s="94">
        <v>86</v>
      </c>
      <c r="AX46" s="94">
        <v>98</v>
      </c>
      <c r="AY46" s="94">
        <v>82</v>
      </c>
      <c r="AZ46" s="94">
        <v>74</v>
      </c>
      <c r="BA46" s="94">
        <v>65</v>
      </c>
      <c r="BB46" s="94">
        <v>79</v>
      </c>
      <c r="BC46" s="94">
        <v>64</v>
      </c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7"/>
      <c r="CT46" s="94">
        <v>5121</v>
      </c>
      <c r="CU46" s="94"/>
      <c r="CV46" s="94"/>
      <c r="CW46" s="94">
        <f>SUM(O46:R46)</f>
        <v>5198</v>
      </c>
      <c r="CX46" s="94">
        <f>SUM(S46:V46)</f>
        <v>4381</v>
      </c>
      <c r="CY46" s="94">
        <f>SUM(W46:Z46)</f>
        <v>2803</v>
      </c>
      <c r="CZ46" s="94">
        <f>SUM(AA46:AD46)</f>
        <v>849</v>
      </c>
      <c r="DA46" s="94">
        <f>SUM(AE46:AH46)</f>
        <v>638.6</v>
      </c>
      <c r="DB46" s="94">
        <f>SUM(AI46:AL46)</f>
        <v>558</v>
      </c>
      <c r="DC46" s="94">
        <f>SUM(AM46:AP46)</f>
        <v>468</v>
      </c>
      <c r="DD46" s="94">
        <f t="shared" ref="DD46:DL46" si="88">DC46*0.8</f>
        <v>374.40000000000003</v>
      </c>
      <c r="DE46" s="94">
        <f t="shared" si="88"/>
        <v>299.52000000000004</v>
      </c>
      <c r="DF46" s="94">
        <f t="shared" si="88"/>
        <v>239.61600000000004</v>
      </c>
      <c r="DG46" s="94">
        <f t="shared" si="88"/>
        <v>191.69280000000003</v>
      </c>
      <c r="DH46" s="94">
        <f t="shared" si="88"/>
        <v>153.35424000000003</v>
      </c>
      <c r="DI46" s="94">
        <f t="shared" si="88"/>
        <v>122.68339200000003</v>
      </c>
      <c r="DJ46" s="94">
        <f t="shared" si="88"/>
        <v>98.146713600000027</v>
      </c>
      <c r="DK46" s="94">
        <f t="shared" si="88"/>
        <v>78.51737088000003</v>
      </c>
      <c r="DL46" s="94">
        <f t="shared" si="88"/>
        <v>62.81389670400003</v>
      </c>
      <c r="DM46" s="94">
        <f t="shared" ref="DM46:DS46" si="89">DL46*0.8</f>
        <v>50.251117363200024</v>
      </c>
      <c r="DN46" s="94">
        <f t="shared" si="89"/>
        <v>40.200893890560025</v>
      </c>
      <c r="DO46" s="94">
        <f t="shared" si="89"/>
        <v>32.160715112448024</v>
      </c>
      <c r="DP46" s="94">
        <f t="shared" si="89"/>
        <v>25.728572089958419</v>
      </c>
      <c r="DQ46" s="94">
        <f t="shared" si="89"/>
        <v>20.582857671966735</v>
      </c>
      <c r="DR46" s="94">
        <f t="shared" si="89"/>
        <v>16.466286137573388</v>
      </c>
      <c r="DS46" s="94">
        <f t="shared" si="89"/>
        <v>13.173028910058711</v>
      </c>
      <c r="DU46" s="30"/>
      <c r="DX46" s="99"/>
    </row>
    <row r="47" spans="2:128" s="8" customFormat="1" ht="12.75" customHeight="1">
      <c r="B47" s="47" t="s">
        <v>700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>
        <v>1</v>
      </c>
      <c r="AR47" s="94">
        <v>21</v>
      </c>
      <c r="AS47" s="94">
        <v>31</v>
      </c>
      <c r="AT47" s="94">
        <v>87</v>
      </c>
      <c r="AU47" s="94">
        <v>111</v>
      </c>
      <c r="AV47" s="94">
        <v>126</v>
      </c>
      <c r="AW47" s="94">
        <v>149</v>
      </c>
      <c r="AX47" s="94">
        <v>115</v>
      </c>
      <c r="AY47" s="94">
        <v>110</v>
      </c>
      <c r="AZ47" s="94">
        <v>116</v>
      </c>
      <c r="BA47" s="94">
        <v>121</v>
      </c>
      <c r="BB47" s="94">
        <v>81</v>
      </c>
      <c r="BC47" s="94">
        <v>59</v>
      </c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7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S47" s="94"/>
      <c r="DU47" s="30"/>
      <c r="DX47" s="99"/>
    </row>
    <row r="48" spans="2:128" s="8" customFormat="1" ht="12.75" customHeight="1">
      <c r="B48" s="47" t="s">
        <v>635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6" t="s">
        <v>525</v>
      </c>
      <c r="AE48" s="96" t="s">
        <v>541</v>
      </c>
      <c r="AF48" s="96" t="s">
        <v>559</v>
      </c>
      <c r="AG48" s="96" t="s">
        <v>552</v>
      </c>
      <c r="AH48" s="96" t="s">
        <v>540</v>
      </c>
      <c r="AI48" s="96" t="s">
        <v>525</v>
      </c>
      <c r="AJ48" s="96" t="s">
        <v>516</v>
      </c>
      <c r="AK48" s="96" t="s">
        <v>507</v>
      </c>
      <c r="AL48" s="94">
        <v>101</v>
      </c>
      <c r="AM48" s="94">
        <f>49+125</f>
        <v>174</v>
      </c>
      <c r="AN48" s="94">
        <v>202</v>
      </c>
      <c r="AO48" s="94">
        <v>137</v>
      </c>
      <c r="AP48" s="94">
        <v>146</v>
      </c>
      <c r="AQ48" s="94">
        <v>155</v>
      </c>
      <c r="AR48" s="94">
        <v>209</v>
      </c>
      <c r="AS48" s="94">
        <v>128</v>
      </c>
      <c r="AT48" s="94">
        <v>129</v>
      </c>
      <c r="AU48" s="94">
        <v>134</v>
      </c>
      <c r="AV48" s="94">
        <v>140</v>
      </c>
      <c r="AW48" s="94">
        <v>64</v>
      </c>
      <c r="AX48" s="94">
        <v>56</v>
      </c>
      <c r="AY48" s="94">
        <v>61</v>
      </c>
      <c r="AZ48" s="94">
        <v>64</v>
      </c>
      <c r="BA48" s="94">
        <v>54</v>
      </c>
      <c r="BB48" s="94">
        <v>55</v>
      </c>
      <c r="BC48" s="94">
        <v>62</v>
      </c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49"/>
      <c r="CT48" s="94"/>
      <c r="CU48" s="94"/>
      <c r="CV48" s="94"/>
      <c r="CW48" s="94"/>
      <c r="CX48" s="94"/>
      <c r="CY48" s="94"/>
      <c r="CZ48" s="94"/>
      <c r="DA48" s="94"/>
      <c r="DB48" s="94"/>
      <c r="DC48" s="94">
        <f>SUM(AM48:AP48)</f>
        <v>659</v>
      </c>
      <c r="DD48" s="94">
        <f>DC48*0.9</f>
        <v>593.1</v>
      </c>
      <c r="DE48" s="94">
        <f t="shared" ref="DE48:DK48" si="90">DD48*0.9</f>
        <v>533.79000000000008</v>
      </c>
      <c r="DF48" s="94">
        <f t="shared" si="90"/>
        <v>480.41100000000006</v>
      </c>
      <c r="DG48" s="94">
        <f t="shared" si="90"/>
        <v>432.36990000000009</v>
      </c>
      <c r="DH48" s="94">
        <f t="shared" si="90"/>
        <v>389.13291000000009</v>
      </c>
      <c r="DI48" s="94">
        <f t="shared" si="90"/>
        <v>350.21961900000008</v>
      </c>
      <c r="DJ48" s="94">
        <f t="shared" si="90"/>
        <v>315.19765710000007</v>
      </c>
      <c r="DK48" s="94">
        <f t="shared" si="90"/>
        <v>283.67789139000007</v>
      </c>
      <c r="DL48" s="94">
        <f t="shared" ref="DL48:DS48" si="91">+DK48*0.5</f>
        <v>141.83894569500004</v>
      </c>
      <c r="DM48" s="94">
        <f t="shared" si="91"/>
        <v>70.919472847500018</v>
      </c>
      <c r="DN48" s="94">
        <f t="shared" si="91"/>
        <v>35.459736423750009</v>
      </c>
      <c r="DO48" s="94">
        <f t="shared" si="91"/>
        <v>17.729868211875004</v>
      </c>
      <c r="DP48" s="94">
        <f t="shared" si="91"/>
        <v>8.8649341059375022</v>
      </c>
      <c r="DQ48" s="94">
        <f t="shared" si="91"/>
        <v>4.4324670529687511</v>
      </c>
      <c r="DR48" s="94">
        <f t="shared" si="91"/>
        <v>2.2162335264843755</v>
      </c>
      <c r="DS48" s="94">
        <f t="shared" si="91"/>
        <v>1.1081167632421878</v>
      </c>
      <c r="DU48" s="30"/>
      <c r="DX48" s="83"/>
    </row>
    <row r="49" spans="2:128" s="8" customFormat="1" ht="12.75" customHeight="1">
      <c r="B49" s="47" t="s">
        <v>684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3"/>
      <c r="AD49" s="94"/>
      <c r="AE49" s="94"/>
      <c r="AF49" s="94"/>
      <c r="AG49" s="94"/>
      <c r="AH49" s="94"/>
      <c r="AI49" s="96"/>
      <c r="AJ49" s="94"/>
      <c r="AK49" s="94"/>
      <c r="AL49" s="94"/>
      <c r="AM49" s="94"/>
      <c r="AN49" s="94"/>
      <c r="AO49" s="94"/>
      <c r="AP49" s="94"/>
      <c r="AQ49" s="94">
        <v>55</v>
      </c>
      <c r="AR49" s="94">
        <v>56</v>
      </c>
      <c r="AS49" s="94">
        <v>61</v>
      </c>
      <c r="AT49" s="94">
        <v>59</v>
      </c>
      <c r="AU49" s="94">
        <v>59</v>
      </c>
      <c r="AV49" s="94">
        <v>66</v>
      </c>
      <c r="AW49" s="94">
        <v>66</v>
      </c>
      <c r="AX49" s="94">
        <v>68</v>
      </c>
      <c r="AY49" s="94">
        <v>65</v>
      </c>
      <c r="AZ49" s="94">
        <v>71</v>
      </c>
      <c r="BA49" s="94">
        <v>75</v>
      </c>
      <c r="BB49" s="94">
        <v>98</v>
      </c>
      <c r="BC49" s="94">
        <v>74</v>
      </c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>
        <v>190</v>
      </c>
      <c r="BX49" s="94">
        <v>193</v>
      </c>
      <c r="BY49" s="94">
        <v>177</v>
      </c>
      <c r="BZ49" s="94">
        <v>103</v>
      </c>
      <c r="CA49" s="94">
        <v>94</v>
      </c>
      <c r="CB49" s="94">
        <v>73</v>
      </c>
      <c r="CC49" s="94">
        <v>79</v>
      </c>
      <c r="CD49" s="94">
        <v>82</v>
      </c>
      <c r="CE49" s="94">
        <v>67</v>
      </c>
      <c r="CF49" s="94">
        <v>66</v>
      </c>
      <c r="CG49" s="94">
        <v>64</v>
      </c>
      <c r="CH49" s="94">
        <v>62</v>
      </c>
      <c r="CI49" s="94">
        <v>57</v>
      </c>
      <c r="CJ49" s="94">
        <v>60</v>
      </c>
      <c r="CK49" s="94">
        <v>62</v>
      </c>
      <c r="CL49" s="94">
        <f t="shared" ref="CL49:CP49" si="92">+CK49*0.95</f>
        <v>58.9</v>
      </c>
      <c r="CM49" s="94">
        <f t="shared" si="92"/>
        <v>55.954999999999998</v>
      </c>
      <c r="CN49" s="94">
        <f t="shared" si="92"/>
        <v>53.157249999999998</v>
      </c>
      <c r="CO49" s="94">
        <f t="shared" si="92"/>
        <v>50.499387499999997</v>
      </c>
      <c r="CP49" s="94">
        <f t="shared" si="92"/>
        <v>47.974418124999993</v>
      </c>
      <c r="CQ49" s="94"/>
      <c r="CR49" s="94"/>
      <c r="CS49" s="49"/>
      <c r="CT49" s="9"/>
      <c r="CU49" s="9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4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U49" s="30"/>
    </row>
    <row r="50" spans="2:128" s="8" customFormat="1" ht="12.75" customHeight="1">
      <c r="B50" s="47" t="s">
        <v>636</v>
      </c>
      <c r="C50" s="9"/>
      <c r="D50" s="9"/>
      <c r="E50" s="9"/>
      <c r="F50" s="9"/>
      <c r="G50" s="7"/>
      <c r="H50" s="7"/>
      <c r="I50" s="94"/>
      <c r="J50" s="94"/>
      <c r="K50" s="94"/>
      <c r="L50" s="94"/>
      <c r="M50" s="94"/>
      <c r="N50" s="94"/>
      <c r="O50" s="94">
        <v>63</v>
      </c>
      <c r="P50" s="94">
        <v>65</v>
      </c>
      <c r="Q50" s="94">
        <v>67</v>
      </c>
      <c r="R50" s="94">
        <v>76</v>
      </c>
      <c r="S50" s="94">
        <v>70</v>
      </c>
      <c r="T50" s="94">
        <v>69</v>
      </c>
      <c r="U50" s="94">
        <v>67</v>
      </c>
      <c r="V50" s="94">
        <v>86</v>
      </c>
      <c r="W50" s="94">
        <v>75</v>
      </c>
      <c r="X50" s="94">
        <v>85</v>
      </c>
      <c r="Y50" s="94">
        <v>89</v>
      </c>
      <c r="Z50" s="94">
        <v>103</v>
      </c>
      <c r="AA50" s="94">
        <v>95</v>
      </c>
      <c r="AB50" s="94">
        <v>98</v>
      </c>
      <c r="AC50" s="93">
        <v>99</v>
      </c>
      <c r="AD50" s="94">
        <f>AC50</f>
        <v>99</v>
      </c>
      <c r="AE50" s="94">
        <v>105</v>
      </c>
      <c r="AF50" s="94">
        <v>108</v>
      </c>
      <c r="AG50" s="94">
        <v>108</v>
      </c>
      <c r="AH50" s="94">
        <f>AG50</f>
        <v>108</v>
      </c>
      <c r="AI50" s="94">
        <v>103</v>
      </c>
      <c r="AJ50" s="94">
        <v>106</v>
      </c>
      <c r="AK50" s="94">
        <v>109</v>
      </c>
      <c r="AL50" s="94">
        <v>123</v>
      </c>
      <c r="AM50" s="94">
        <f>35+64</f>
        <v>99</v>
      </c>
      <c r="AN50" s="94">
        <v>113</v>
      </c>
      <c r="AO50" s="94">
        <v>109</v>
      </c>
      <c r="AP50" s="94">
        <v>124</v>
      </c>
      <c r="AQ50" s="94">
        <v>106</v>
      </c>
      <c r="AR50" s="94">
        <v>112</v>
      </c>
      <c r="AS50" s="94">
        <v>112</v>
      </c>
      <c r="AT50" s="94">
        <v>117</v>
      </c>
      <c r="AU50" s="94">
        <v>108</v>
      </c>
      <c r="AV50" s="94">
        <v>100</v>
      </c>
      <c r="AW50" s="94">
        <v>104</v>
      </c>
      <c r="AX50" s="94">
        <v>112</v>
      </c>
      <c r="AY50" s="94">
        <v>68</v>
      </c>
      <c r="AZ50" s="94">
        <v>67</v>
      </c>
      <c r="BA50" s="94">
        <v>71</v>
      </c>
      <c r="BB50" s="94">
        <v>77</v>
      </c>
      <c r="BC50" s="94">
        <v>74</v>
      </c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49"/>
      <c r="CT50" s="9" t="s">
        <v>443</v>
      </c>
      <c r="CU50" s="94" t="s">
        <v>443</v>
      </c>
      <c r="CV50" s="94">
        <v>239</v>
      </c>
      <c r="CW50" s="94">
        <f>SUM(O50:R50)</f>
        <v>271</v>
      </c>
      <c r="CX50" s="94">
        <f>SUM(S50:V50)</f>
        <v>292</v>
      </c>
      <c r="CY50" s="94">
        <f>SUM(W50:Z50)</f>
        <v>352</v>
      </c>
      <c r="CZ50" s="94">
        <f>SUM(AA50:AD50)</f>
        <v>391</v>
      </c>
      <c r="DA50" s="94">
        <f>SUM(AE50:AH50)</f>
        <v>429</v>
      </c>
      <c r="DB50" s="94">
        <f>SUM(AI50:AL50)</f>
        <v>441</v>
      </c>
      <c r="DC50" s="94">
        <f>SUM(AM50:AP50)</f>
        <v>445</v>
      </c>
      <c r="DD50" s="94">
        <f>DC50</f>
        <v>445</v>
      </c>
      <c r="DE50" s="94">
        <f>DD50</f>
        <v>445</v>
      </c>
      <c r="DF50" s="94">
        <f>DE50*0.7</f>
        <v>311.5</v>
      </c>
      <c r="DG50" s="94">
        <f t="shared" ref="DG50:DL50" si="93">DF50*0.9</f>
        <v>280.35000000000002</v>
      </c>
      <c r="DH50" s="94">
        <f t="shared" si="93"/>
        <v>252.31500000000003</v>
      </c>
      <c r="DI50" s="94">
        <f t="shared" si="93"/>
        <v>227.08350000000002</v>
      </c>
      <c r="DJ50" s="94">
        <f t="shared" si="93"/>
        <v>204.37515000000002</v>
      </c>
      <c r="DK50" s="94">
        <f t="shared" si="93"/>
        <v>183.93763500000003</v>
      </c>
      <c r="DL50" s="94">
        <f t="shared" si="93"/>
        <v>165.54387150000002</v>
      </c>
      <c r="DM50" s="94">
        <f t="shared" ref="DM50:DS50" si="94">DL50*0.9</f>
        <v>148.98948435000003</v>
      </c>
      <c r="DN50" s="94">
        <f t="shared" si="94"/>
        <v>134.09053591500003</v>
      </c>
      <c r="DO50" s="94">
        <f t="shared" si="94"/>
        <v>120.68148232350003</v>
      </c>
      <c r="DP50" s="94">
        <f t="shared" si="94"/>
        <v>108.61333409115004</v>
      </c>
      <c r="DQ50" s="94">
        <f t="shared" si="94"/>
        <v>97.752000682035032</v>
      </c>
      <c r="DR50" s="94">
        <f t="shared" si="94"/>
        <v>87.976800613831529</v>
      </c>
      <c r="DS50" s="94">
        <f t="shared" si="94"/>
        <v>79.179120552448381</v>
      </c>
      <c r="DU50" s="30"/>
      <c r="DX50" s="99"/>
    </row>
    <row r="51" spans="2:128" s="8" customFormat="1" ht="12.75" customHeight="1">
      <c r="B51" s="47" t="s">
        <v>590</v>
      </c>
      <c r="C51" s="9"/>
      <c r="D51" s="9"/>
      <c r="E51" s="9"/>
      <c r="F51" s="9"/>
      <c r="G51" s="7"/>
      <c r="H51" s="7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6" t="s">
        <v>626</v>
      </c>
      <c r="AJ51" s="94"/>
      <c r="AK51" s="94"/>
      <c r="AL51" s="94">
        <v>38</v>
      </c>
      <c r="AM51" s="94">
        <v>51</v>
      </c>
      <c r="AN51" s="94">
        <v>59</v>
      </c>
      <c r="AO51" s="94">
        <v>50</v>
      </c>
      <c r="AP51" s="94">
        <v>62</v>
      </c>
      <c r="AQ51" s="94">
        <v>60</v>
      </c>
      <c r="AR51" s="94">
        <v>57</v>
      </c>
      <c r="AS51" s="94">
        <v>65</v>
      </c>
      <c r="AT51" s="94">
        <v>59</v>
      </c>
      <c r="AU51" s="94">
        <v>57</v>
      </c>
      <c r="AV51" s="94">
        <v>66</v>
      </c>
      <c r="AW51" s="94">
        <v>52</v>
      </c>
      <c r="AX51" s="94">
        <v>57</v>
      </c>
      <c r="AY51" s="94">
        <v>52</v>
      </c>
      <c r="AZ51" s="94">
        <v>53</v>
      </c>
      <c r="BA51" s="94">
        <v>44</v>
      </c>
      <c r="BB51" s="94">
        <v>56</v>
      </c>
      <c r="BC51" s="94">
        <v>50</v>
      </c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49"/>
      <c r="CT51" s="9"/>
      <c r="CU51" s="94"/>
      <c r="CV51" s="94"/>
      <c r="CW51" s="94"/>
      <c r="CX51" s="94"/>
      <c r="CY51" s="94"/>
      <c r="CZ51" s="94"/>
      <c r="DA51" s="94"/>
      <c r="DB51" s="94"/>
      <c r="DC51" s="94">
        <f t="shared" ref="DC51:DC64" si="95">SUM(AM51:AP51)</f>
        <v>222</v>
      </c>
      <c r="DD51" s="94">
        <f>DC51</f>
        <v>222</v>
      </c>
      <c r="DE51" s="94">
        <f t="shared" ref="DE51:DK51" si="96">DD51</f>
        <v>222</v>
      </c>
      <c r="DF51" s="94">
        <f t="shared" si="96"/>
        <v>222</v>
      </c>
      <c r="DG51" s="94">
        <f t="shared" si="96"/>
        <v>222</v>
      </c>
      <c r="DH51" s="94">
        <f t="shared" si="96"/>
        <v>222</v>
      </c>
      <c r="DI51" s="94">
        <f t="shared" si="96"/>
        <v>222</v>
      </c>
      <c r="DJ51" s="94">
        <f t="shared" si="96"/>
        <v>222</v>
      </c>
      <c r="DK51" s="94">
        <f t="shared" si="96"/>
        <v>222</v>
      </c>
      <c r="DL51" s="94" t="s">
        <v>443</v>
      </c>
      <c r="DM51" s="94" t="s">
        <v>443</v>
      </c>
      <c r="DN51" s="94" t="s">
        <v>443</v>
      </c>
      <c r="DO51" s="94"/>
      <c r="DP51" s="94" t="s">
        <v>443</v>
      </c>
      <c r="DQ51" s="94" t="s">
        <v>443</v>
      </c>
      <c r="DR51" s="94" t="s">
        <v>443</v>
      </c>
      <c r="DS51" s="94" t="s">
        <v>443</v>
      </c>
      <c r="DU51" s="30"/>
    </row>
    <row r="52" spans="2:128" s="8" customFormat="1" ht="12.75" customHeight="1">
      <c r="B52" s="47" t="s">
        <v>102</v>
      </c>
      <c r="C52" s="9"/>
      <c r="D52" s="9"/>
      <c r="E52" s="9"/>
      <c r="F52" s="9"/>
      <c r="G52" s="7"/>
      <c r="H52" s="7"/>
      <c r="I52" s="94"/>
      <c r="J52" s="94"/>
      <c r="K52" s="94"/>
      <c r="L52" s="94"/>
      <c r="M52" s="94"/>
      <c r="N52" s="94"/>
      <c r="O52" s="94">
        <v>175</v>
      </c>
      <c r="P52" s="94">
        <v>185</v>
      </c>
      <c r="Q52" s="94">
        <v>180</v>
      </c>
      <c r="R52" s="94">
        <v>194</v>
      </c>
      <c r="S52" s="94">
        <v>175</v>
      </c>
      <c r="T52" s="94">
        <v>188</v>
      </c>
      <c r="U52" s="94">
        <v>186</v>
      </c>
      <c r="V52" s="94">
        <v>192</v>
      </c>
      <c r="W52" s="94">
        <v>188</v>
      </c>
      <c r="X52" s="94">
        <v>183</v>
      </c>
      <c r="Y52" s="94">
        <v>127</v>
      </c>
      <c r="Z52" s="94">
        <v>120</v>
      </c>
      <c r="AA52" s="94">
        <v>125</v>
      </c>
      <c r="AB52" s="94">
        <v>113</v>
      </c>
      <c r="AC52" s="93">
        <v>90</v>
      </c>
      <c r="AD52" s="94">
        <f>AC52</f>
        <v>90</v>
      </c>
      <c r="AE52" s="94">
        <v>85</v>
      </c>
      <c r="AF52" s="94">
        <v>86</v>
      </c>
      <c r="AG52" s="94">
        <v>81</v>
      </c>
      <c r="AH52" s="94">
        <f>AG52-2</f>
        <v>79</v>
      </c>
      <c r="AI52" s="94">
        <v>72</v>
      </c>
      <c r="AJ52" s="94">
        <v>79</v>
      </c>
      <c r="AK52" s="94">
        <v>67</v>
      </c>
      <c r="AL52" s="94">
        <v>72</v>
      </c>
      <c r="AM52" s="94">
        <v>58</v>
      </c>
      <c r="AN52" s="94">
        <v>56</v>
      </c>
      <c r="AO52" s="94">
        <v>58</v>
      </c>
      <c r="AP52" s="94">
        <v>44</v>
      </c>
      <c r="AQ52" s="94">
        <v>60</v>
      </c>
      <c r="AR52" s="94">
        <v>53</v>
      </c>
      <c r="AS52" s="94">
        <v>58</v>
      </c>
      <c r="AT52" s="94">
        <v>52</v>
      </c>
      <c r="AU52" s="94">
        <v>51</v>
      </c>
      <c r="AV52" s="94">
        <v>55</v>
      </c>
      <c r="AW52" s="94">
        <v>55</v>
      </c>
      <c r="AX52" s="94">
        <v>56</v>
      </c>
      <c r="AY52" s="94" t="s">
        <v>443</v>
      </c>
      <c r="AZ52" s="94" t="s">
        <v>443</v>
      </c>
      <c r="BA52" s="94" t="s">
        <v>443</v>
      </c>
      <c r="BB52" s="94" t="s">
        <v>443</v>
      </c>
      <c r="BC52" s="94" t="s">
        <v>443</v>
      </c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49"/>
      <c r="CT52" s="9" t="s">
        <v>443</v>
      </c>
      <c r="CU52" s="98" t="s">
        <v>443</v>
      </c>
      <c r="CV52" s="94">
        <v>606</v>
      </c>
      <c r="CW52" s="94">
        <f>SUM(O52:R52)</f>
        <v>734</v>
      </c>
      <c r="CX52" s="94">
        <f>SUM(S52:V52)</f>
        <v>741</v>
      </c>
      <c r="CY52" s="94">
        <f>SUM(W52:Z52)</f>
        <v>618</v>
      </c>
      <c r="CZ52" s="94">
        <f>SUM(AA52:AD52)</f>
        <v>418</v>
      </c>
      <c r="DA52" s="94">
        <f>SUM(AE52:AH52)</f>
        <v>331</v>
      </c>
      <c r="DB52" s="94">
        <f>SUM(AI52:AL52)</f>
        <v>290</v>
      </c>
      <c r="DC52" s="94">
        <f t="shared" si="95"/>
        <v>216</v>
      </c>
      <c r="DD52" s="94">
        <f t="shared" ref="DD52:DD62" si="97">DC52</f>
        <v>216</v>
      </c>
      <c r="DE52" s="94">
        <f t="shared" ref="DE52:DS52" si="98">DD52*0.7</f>
        <v>151.19999999999999</v>
      </c>
      <c r="DF52" s="94">
        <f t="shared" si="98"/>
        <v>105.83999999999999</v>
      </c>
      <c r="DG52" s="94">
        <f t="shared" si="98"/>
        <v>74.087999999999994</v>
      </c>
      <c r="DH52" s="94">
        <f t="shared" si="98"/>
        <v>51.861599999999996</v>
      </c>
      <c r="DI52" s="94">
        <f t="shared" si="98"/>
        <v>36.303119999999993</v>
      </c>
      <c r="DJ52" s="94">
        <f t="shared" si="98"/>
        <v>25.412183999999993</v>
      </c>
      <c r="DK52" s="94">
        <f t="shared" si="98"/>
        <v>17.788528799999995</v>
      </c>
      <c r="DL52" s="94">
        <f t="shared" si="98"/>
        <v>12.451970159999995</v>
      </c>
      <c r="DM52" s="94">
        <f t="shared" si="98"/>
        <v>8.7163791119999949</v>
      </c>
      <c r="DN52" s="94">
        <f t="shared" si="98"/>
        <v>6.1014653783999959</v>
      </c>
      <c r="DO52" s="94">
        <f t="shared" si="98"/>
        <v>4.2710257648799965</v>
      </c>
      <c r="DP52" s="94">
        <f t="shared" si="98"/>
        <v>2.9897180354159976</v>
      </c>
      <c r="DQ52" s="94">
        <f t="shared" si="98"/>
        <v>2.0928026247911982</v>
      </c>
      <c r="DR52" s="94">
        <f t="shared" si="98"/>
        <v>1.4649618373538387</v>
      </c>
      <c r="DS52" s="94">
        <f t="shared" si="98"/>
        <v>1.025473286147687</v>
      </c>
      <c r="DU52" s="30"/>
    </row>
    <row r="53" spans="2:128" s="8" customFormat="1" ht="12.75" customHeight="1">
      <c r="B53" s="47" t="s">
        <v>615</v>
      </c>
      <c r="C53" s="9"/>
      <c r="D53" s="9"/>
      <c r="E53" s="9"/>
      <c r="F53" s="9"/>
      <c r="G53" s="7"/>
      <c r="H53" s="7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3"/>
      <c r="AD53" s="94"/>
      <c r="AE53" s="94"/>
      <c r="AF53" s="94"/>
      <c r="AG53" s="94"/>
      <c r="AH53" s="94"/>
      <c r="AI53" s="96" t="s">
        <v>634</v>
      </c>
      <c r="AJ53" s="94"/>
      <c r="AK53" s="94"/>
      <c r="AL53" s="94">
        <v>66</v>
      </c>
      <c r="AM53" s="94">
        <v>106</v>
      </c>
      <c r="AN53" s="94">
        <v>59</v>
      </c>
      <c r="AO53" s="94">
        <v>59</v>
      </c>
      <c r="AP53" s="94">
        <v>92</v>
      </c>
      <c r="AQ53" s="94">
        <v>106</v>
      </c>
      <c r="AR53" s="94">
        <v>61</v>
      </c>
      <c r="AS53" s="94">
        <v>59</v>
      </c>
      <c r="AT53" s="94">
        <v>95</v>
      </c>
      <c r="AU53" s="94">
        <v>73</v>
      </c>
      <c r="AV53" s="94">
        <v>44</v>
      </c>
      <c r="AW53" s="94">
        <v>30</v>
      </c>
      <c r="AX53" s="94">
        <v>55</v>
      </c>
      <c r="AY53" s="94" t="s">
        <v>443</v>
      </c>
      <c r="AZ53" s="94" t="s">
        <v>443</v>
      </c>
      <c r="BA53" s="94" t="s">
        <v>443</v>
      </c>
      <c r="BB53" s="94" t="s">
        <v>443</v>
      </c>
      <c r="BC53" s="94" t="s">
        <v>443</v>
      </c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49"/>
      <c r="CT53" s="9"/>
      <c r="CU53" s="94"/>
      <c r="CV53" s="94"/>
      <c r="CW53" s="94"/>
      <c r="CX53" s="94"/>
      <c r="CY53" s="94"/>
      <c r="CZ53" s="94"/>
      <c r="DA53" s="94"/>
      <c r="DB53" s="94"/>
      <c r="DC53" s="94">
        <f t="shared" si="95"/>
        <v>316</v>
      </c>
      <c r="DD53" s="94">
        <f>+DC53*0.9</f>
        <v>284.40000000000003</v>
      </c>
      <c r="DE53" s="94">
        <f t="shared" ref="DE53:DK53" si="99">+DD53*0.9</f>
        <v>255.96000000000004</v>
      </c>
      <c r="DF53" s="94">
        <f t="shared" si="99"/>
        <v>230.36400000000003</v>
      </c>
      <c r="DG53" s="94">
        <f t="shared" si="99"/>
        <v>207.32760000000005</v>
      </c>
      <c r="DH53" s="94">
        <f t="shared" si="99"/>
        <v>186.59484000000003</v>
      </c>
      <c r="DI53" s="94">
        <f t="shared" si="99"/>
        <v>167.93535600000004</v>
      </c>
      <c r="DJ53" s="94">
        <f t="shared" si="99"/>
        <v>151.14182040000003</v>
      </c>
      <c r="DK53" s="94">
        <f t="shared" si="99"/>
        <v>136.02763836000003</v>
      </c>
      <c r="DL53" s="94">
        <f t="shared" ref="DL53:DS54" si="100">+DK53*0.5</f>
        <v>68.013819180000013</v>
      </c>
      <c r="DM53" s="94">
        <f t="shared" si="100"/>
        <v>34.006909590000006</v>
      </c>
      <c r="DN53" s="94">
        <f t="shared" si="100"/>
        <v>17.003454795000003</v>
      </c>
      <c r="DO53" s="94">
        <f t="shared" si="100"/>
        <v>8.5017273975000016</v>
      </c>
      <c r="DP53" s="94">
        <f t="shared" si="100"/>
        <v>4.2508636987500008</v>
      </c>
      <c r="DQ53" s="94">
        <f t="shared" si="100"/>
        <v>2.1254318493750004</v>
      </c>
      <c r="DR53" s="94">
        <f t="shared" si="100"/>
        <v>1.0627159246875002</v>
      </c>
      <c r="DS53" s="94">
        <f t="shared" si="100"/>
        <v>0.5313579623437501</v>
      </c>
      <c r="DU53" s="30"/>
    </row>
    <row r="54" spans="2:128" s="8" customFormat="1" ht="12.75" customHeight="1">
      <c r="B54" s="47" t="s">
        <v>356</v>
      </c>
      <c r="C54" s="9"/>
      <c r="D54" s="9"/>
      <c r="E54" s="9"/>
      <c r="F54" s="9"/>
      <c r="G54" s="7"/>
      <c r="H54" s="7"/>
      <c r="I54" s="94"/>
      <c r="J54" s="94"/>
      <c r="K54" s="94"/>
      <c r="L54" s="94"/>
      <c r="M54" s="94"/>
      <c r="N54" s="94"/>
      <c r="O54" s="94">
        <v>64</v>
      </c>
      <c r="P54" s="94">
        <v>64</v>
      </c>
      <c r="Q54" s="94">
        <v>65</v>
      </c>
      <c r="R54" s="94">
        <v>62</v>
      </c>
      <c r="S54" s="94">
        <v>79</v>
      </c>
      <c r="T54" s="94">
        <v>89</v>
      </c>
      <c r="U54" s="94">
        <v>91</v>
      </c>
      <c r="V54" s="94">
        <v>90</v>
      </c>
      <c r="W54" s="94">
        <v>82</v>
      </c>
      <c r="X54" s="94">
        <v>74</v>
      </c>
      <c r="Y54" s="94">
        <v>83</v>
      </c>
      <c r="Z54" s="94">
        <v>89</v>
      </c>
      <c r="AA54" s="94">
        <v>82</v>
      </c>
      <c r="AB54" s="94">
        <v>75</v>
      </c>
      <c r="AC54" s="93">
        <v>72</v>
      </c>
      <c r="AD54" s="94">
        <f>AC54</f>
        <v>72</v>
      </c>
      <c r="AE54" s="94">
        <v>75</v>
      </c>
      <c r="AF54" s="94">
        <v>79</v>
      </c>
      <c r="AG54" s="94">
        <v>69</v>
      </c>
      <c r="AH54" s="94">
        <f>AG54-1</f>
        <v>68</v>
      </c>
      <c r="AI54" s="94">
        <v>49</v>
      </c>
      <c r="AJ54" s="94">
        <v>56</v>
      </c>
      <c r="AK54" s="94">
        <v>49</v>
      </c>
      <c r="AL54" s="94">
        <v>52</v>
      </c>
      <c r="AM54" s="94">
        <v>52</v>
      </c>
      <c r="AN54" s="94">
        <v>48</v>
      </c>
      <c r="AO54" s="94">
        <v>49</v>
      </c>
      <c r="AP54" s="94">
        <v>58</v>
      </c>
      <c r="AQ54" s="94">
        <v>45</v>
      </c>
      <c r="AR54" s="94"/>
      <c r="AS54" s="94"/>
      <c r="AT54" s="94"/>
      <c r="AU54" s="94"/>
      <c r="AV54" s="94"/>
      <c r="AW54" s="94"/>
      <c r="AX54" s="94"/>
      <c r="AY54" s="94" t="s">
        <v>443</v>
      </c>
      <c r="AZ54" s="94" t="s">
        <v>443</v>
      </c>
      <c r="BA54" s="94" t="s">
        <v>443</v>
      </c>
      <c r="BB54" s="94" t="s">
        <v>443</v>
      </c>
      <c r="BC54" s="94" t="s">
        <v>443</v>
      </c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49"/>
      <c r="CT54" s="9" t="s">
        <v>443</v>
      </c>
      <c r="CU54" s="94" t="s">
        <v>443</v>
      </c>
      <c r="CV54" s="94">
        <v>291</v>
      </c>
      <c r="CW54" s="94">
        <f>SUM(O54:R54)</f>
        <v>255</v>
      </c>
      <c r="CX54" s="94">
        <f>SUM(S54:V54)</f>
        <v>349</v>
      </c>
      <c r="CY54" s="94">
        <f>SUM(W54:Z54)</f>
        <v>328</v>
      </c>
      <c r="CZ54" s="94">
        <f>SUM(AA54:AD54)</f>
        <v>301</v>
      </c>
      <c r="DA54" s="94">
        <f>SUM(AE54:AH54)</f>
        <v>291</v>
      </c>
      <c r="DB54" s="94">
        <f>SUM(AI54:AL54)</f>
        <v>206</v>
      </c>
      <c r="DC54" s="94">
        <f t="shared" si="95"/>
        <v>207</v>
      </c>
      <c r="DD54" s="94">
        <f>DC54</f>
        <v>207</v>
      </c>
      <c r="DE54" s="94">
        <f t="shared" ref="DE54:DK54" si="101">DD54</f>
        <v>207</v>
      </c>
      <c r="DF54" s="94">
        <f t="shared" si="101"/>
        <v>207</v>
      </c>
      <c r="DG54" s="94">
        <f t="shared" si="101"/>
        <v>207</v>
      </c>
      <c r="DH54" s="94">
        <f t="shared" si="101"/>
        <v>207</v>
      </c>
      <c r="DI54" s="94">
        <f t="shared" si="101"/>
        <v>207</v>
      </c>
      <c r="DJ54" s="94">
        <f t="shared" si="101"/>
        <v>207</v>
      </c>
      <c r="DK54" s="94">
        <f t="shared" si="101"/>
        <v>207</v>
      </c>
      <c r="DL54" s="94">
        <f t="shared" si="100"/>
        <v>103.5</v>
      </c>
      <c r="DM54" s="94">
        <f t="shared" si="100"/>
        <v>51.75</v>
      </c>
      <c r="DN54" s="94">
        <f t="shared" si="100"/>
        <v>25.875</v>
      </c>
      <c r="DO54" s="94">
        <f t="shared" si="100"/>
        <v>12.9375</v>
      </c>
      <c r="DP54" s="94">
        <f t="shared" si="100"/>
        <v>6.46875</v>
      </c>
      <c r="DQ54" s="94">
        <f t="shared" si="100"/>
        <v>3.234375</v>
      </c>
      <c r="DR54" s="94">
        <f t="shared" si="100"/>
        <v>1.6171875</v>
      </c>
      <c r="DS54" s="94">
        <f t="shared" si="100"/>
        <v>0.80859375</v>
      </c>
      <c r="DU54" s="30"/>
    </row>
    <row r="55" spans="2:128" s="8" customFormat="1" ht="12.75" customHeight="1">
      <c r="B55" s="47" t="s">
        <v>588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3"/>
      <c r="AD55" s="94"/>
      <c r="AE55" s="94"/>
      <c r="AF55" s="94"/>
      <c r="AG55" s="94"/>
      <c r="AH55" s="94"/>
      <c r="AI55" s="96" t="s">
        <v>633</v>
      </c>
      <c r="AJ55" s="94"/>
      <c r="AK55" s="94"/>
      <c r="AL55" s="94">
        <v>36</v>
      </c>
      <c r="AM55" s="94">
        <v>56</v>
      </c>
      <c r="AN55" s="94">
        <v>55</v>
      </c>
      <c r="AO55" s="94">
        <v>55</v>
      </c>
      <c r="AP55" s="94">
        <v>54</v>
      </c>
      <c r="AQ55" s="94">
        <v>53</v>
      </c>
      <c r="AR55" s="94"/>
      <c r="AS55" s="94"/>
      <c r="AT55" s="94"/>
      <c r="AU55" s="94"/>
      <c r="AV55" s="94"/>
      <c r="AW55" s="94"/>
      <c r="AX55" s="94"/>
      <c r="AY55" s="94" t="s">
        <v>443</v>
      </c>
      <c r="AZ55" s="94" t="s">
        <v>443</v>
      </c>
      <c r="BA55" s="94" t="s">
        <v>443</v>
      </c>
      <c r="BB55" s="94" t="s">
        <v>443</v>
      </c>
      <c r="BC55" s="94" t="s">
        <v>443</v>
      </c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49"/>
      <c r="CT55" s="9"/>
      <c r="CU55" s="94"/>
      <c r="CV55" s="94"/>
      <c r="CW55" s="94"/>
      <c r="CX55" s="94"/>
      <c r="CY55" s="94"/>
      <c r="CZ55" s="94"/>
      <c r="DA55" s="94"/>
      <c r="DB55" s="94"/>
      <c r="DC55" s="94">
        <f t="shared" si="95"/>
        <v>220</v>
      </c>
      <c r="DD55" s="94">
        <f t="shared" ref="DD55:DL55" si="102">DC55</f>
        <v>220</v>
      </c>
      <c r="DE55" s="94">
        <f t="shared" si="102"/>
        <v>220</v>
      </c>
      <c r="DF55" s="94">
        <f t="shared" si="102"/>
        <v>220</v>
      </c>
      <c r="DG55" s="94">
        <f t="shared" si="102"/>
        <v>220</v>
      </c>
      <c r="DH55" s="94">
        <f t="shared" si="102"/>
        <v>220</v>
      </c>
      <c r="DI55" s="94">
        <f t="shared" si="102"/>
        <v>220</v>
      </c>
      <c r="DJ55" s="94">
        <f t="shared" si="102"/>
        <v>220</v>
      </c>
      <c r="DK55" s="94">
        <f t="shared" si="102"/>
        <v>220</v>
      </c>
      <c r="DL55" s="94">
        <f t="shared" si="102"/>
        <v>220</v>
      </c>
      <c r="DM55" s="94">
        <f t="shared" ref="DM55:DS55" si="103">DL55</f>
        <v>220</v>
      </c>
      <c r="DN55" s="94">
        <f t="shared" si="103"/>
        <v>220</v>
      </c>
      <c r="DO55" s="94">
        <f t="shared" si="103"/>
        <v>220</v>
      </c>
      <c r="DP55" s="94">
        <f t="shared" si="103"/>
        <v>220</v>
      </c>
      <c r="DQ55" s="94">
        <f t="shared" si="103"/>
        <v>220</v>
      </c>
      <c r="DR55" s="94">
        <f t="shared" si="103"/>
        <v>220</v>
      </c>
      <c r="DS55" s="94">
        <f t="shared" si="103"/>
        <v>220</v>
      </c>
      <c r="DU55" s="30"/>
    </row>
    <row r="56" spans="2:128" s="8" customFormat="1" ht="12.75" customHeight="1">
      <c r="B56" s="47" t="s">
        <v>101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>
        <v>56</v>
      </c>
      <c r="P56" s="94">
        <v>79</v>
      </c>
      <c r="Q56" s="94">
        <v>84</v>
      </c>
      <c r="R56" s="94">
        <v>91</v>
      </c>
      <c r="S56" s="94">
        <v>78</v>
      </c>
      <c r="T56" s="94">
        <v>84</v>
      </c>
      <c r="U56" s="94">
        <v>92</v>
      </c>
      <c r="V56" s="94">
        <v>94</v>
      </c>
      <c r="W56" s="94">
        <v>93</v>
      </c>
      <c r="X56" s="94">
        <v>97</v>
      </c>
      <c r="Y56" s="94">
        <v>105</v>
      </c>
      <c r="Z56" s="94">
        <v>111</v>
      </c>
      <c r="AA56" s="94">
        <v>107</v>
      </c>
      <c r="AB56" s="94">
        <v>109</v>
      </c>
      <c r="AC56" s="93">
        <v>125</v>
      </c>
      <c r="AD56" s="94">
        <f>AC56</f>
        <v>125</v>
      </c>
      <c r="AE56" s="94">
        <v>122</v>
      </c>
      <c r="AF56" s="94">
        <v>130</v>
      </c>
      <c r="AG56" s="94">
        <v>136</v>
      </c>
      <c r="AH56" s="94">
        <f>AG56</f>
        <v>136</v>
      </c>
      <c r="AI56" s="94">
        <v>133</v>
      </c>
      <c r="AJ56" s="94">
        <v>141</v>
      </c>
      <c r="AK56" s="94">
        <v>144</v>
      </c>
      <c r="AL56" s="94">
        <v>156</v>
      </c>
      <c r="AM56" s="94">
        <v>135</v>
      </c>
      <c r="AN56" s="94">
        <v>133</v>
      </c>
      <c r="AO56" s="94">
        <v>133</v>
      </c>
      <c r="AP56" s="94">
        <v>149</v>
      </c>
      <c r="AQ56" s="94">
        <v>173</v>
      </c>
      <c r="AR56" s="94">
        <v>131</v>
      </c>
      <c r="AS56" s="94">
        <v>156</v>
      </c>
      <c r="AT56" s="94">
        <v>178</v>
      </c>
      <c r="AU56" s="94">
        <v>156</v>
      </c>
      <c r="AV56" s="94">
        <v>154</v>
      </c>
      <c r="AW56" s="94">
        <v>166</v>
      </c>
      <c r="AX56" s="94">
        <v>165</v>
      </c>
      <c r="AY56" s="94" t="s">
        <v>443</v>
      </c>
      <c r="AZ56" s="94" t="s">
        <v>443</v>
      </c>
      <c r="BA56" s="94" t="s">
        <v>443</v>
      </c>
      <c r="BB56" s="94" t="s">
        <v>443</v>
      </c>
      <c r="BC56" s="94" t="s">
        <v>443</v>
      </c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49"/>
      <c r="CT56" s="9" t="s">
        <v>443</v>
      </c>
      <c r="CU56" s="94" t="s">
        <v>443</v>
      </c>
      <c r="CV56" s="94">
        <v>324</v>
      </c>
      <c r="CW56" s="94">
        <f>SUM(O56:R56)</f>
        <v>310</v>
      </c>
      <c r="CX56" s="94">
        <f>SUM(S56:V56)</f>
        <v>348</v>
      </c>
      <c r="CY56" s="94">
        <f>SUM(W56:Z56)</f>
        <v>406</v>
      </c>
      <c r="CZ56" s="94">
        <f>SUM(AA56:AD56)</f>
        <v>466</v>
      </c>
      <c r="DA56" s="94">
        <f>SUM(AE56:AH56)</f>
        <v>524</v>
      </c>
      <c r="DB56" s="94">
        <f>SUM(AI56:AL56)</f>
        <v>574</v>
      </c>
      <c r="DC56" s="94">
        <f t="shared" si="95"/>
        <v>550</v>
      </c>
      <c r="DD56" s="94">
        <f>DC56</f>
        <v>550</v>
      </c>
      <c r="DE56" s="94">
        <f>DD56</f>
        <v>550</v>
      </c>
      <c r="DF56" s="94">
        <f>DE56</f>
        <v>550</v>
      </c>
      <c r="DG56" s="94">
        <f>DF56</f>
        <v>550</v>
      </c>
      <c r="DH56" s="94">
        <f>DG56*0.5</f>
        <v>275</v>
      </c>
      <c r="DI56" s="94">
        <f>DH56*0.5</f>
        <v>137.5</v>
      </c>
      <c r="DJ56" s="94">
        <f>DI56*0.5</f>
        <v>68.75</v>
      </c>
      <c r="DK56" s="94">
        <f>DJ56*0.5</f>
        <v>34.375</v>
      </c>
      <c r="DL56" s="94">
        <f>DK56*0.5</f>
        <v>17.1875</v>
      </c>
      <c r="DM56" s="94">
        <f t="shared" ref="DM56:DS56" si="104">DL56*0.5</f>
        <v>8.59375</v>
      </c>
      <c r="DN56" s="94">
        <f t="shared" si="104"/>
        <v>4.296875</v>
      </c>
      <c r="DO56" s="94">
        <f t="shared" si="104"/>
        <v>2.1484375</v>
      </c>
      <c r="DP56" s="94">
        <f t="shared" si="104"/>
        <v>1.07421875</v>
      </c>
      <c r="DQ56" s="94">
        <f t="shared" si="104"/>
        <v>0.537109375</v>
      </c>
      <c r="DR56" s="94">
        <f t="shared" si="104"/>
        <v>0.2685546875</v>
      </c>
      <c r="DS56" s="94">
        <f t="shared" si="104"/>
        <v>0.13427734375</v>
      </c>
      <c r="DU56" s="30"/>
    </row>
    <row r="57" spans="2:128" s="8" customFormat="1" ht="12.75" customHeight="1">
      <c r="B57" s="47" t="s">
        <v>442</v>
      </c>
      <c r="C57" s="94">
        <v>315.91790000000003</v>
      </c>
      <c r="D57" s="94">
        <v>315.91802000000001</v>
      </c>
      <c r="E57" s="94">
        <v>315.00424999999996</v>
      </c>
      <c r="F57" s="94">
        <v>324.61241835208943</v>
      </c>
      <c r="G57" s="94">
        <v>417</v>
      </c>
      <c r="H57" s="94">
        <v>222</v>
      </c>
      <c r="I57" s="94">
        <v>342</v>
      </c>
      <c r="J57" s="94">
        <v>508</v>
      </c>
      <c r="K57" s="94">
        <v>464</v>
      </c>
      <c r="L57" s="94">
        <v>422</v>
      </c>
      <c r="M57" s="94">
        <v>615.75</v>
      </c>
      <c r="N57" s="94">
        <v>507.74</v>
      </c>
      <c r="O57" s="94">
        <v>623</v>
      </c>
      <c r="P57" s="94">
        <v>643</v>
      </c>
      <c r="Q57" s="94">
        <v>626</v>
      </c>
      <c r="R57" s="94">
        <v>731</v>
      </c>
      <c r="S57" s="94">
        <v>735</v>
      </c>
      <c r="T57" s="94">
        <v>730</v>
      </c>
      <c r="U57" s="94">
        <v>692</v>
      </c>
      <c r="V57" s="94">
        <v>819</v>
      </c>
      <c r="W57" s="94">
        <v>801</v>
      </c>
      <c r="X57" s="94">
        <v>950</v>
      </c>
      <c r="Y57" s="94">
        <v>868</v>
      </c>
      <c r="Z57" s="94">
        <v>960</v>
      </c>
      <c r="AA57" s="94">
        <v>1002</v>
      </c>
      <c r="AB57" s="94">
        <v>1092</v>
      </c>
      <c r="AC57" s="94">
        <v>1018</v>
      </c>
      <c r="AD57" s="94">
        <v>1020</v>
      </c>
      <c r="AE57" s="94">
        <v>1104</v>
      </c>
      <c r="AF57" s="94">
        <v>1082</v>
      </c>
      <c r="AG57" s="94">
        <v>1029</v>
      </c>
      <c r="AH57" s="94">
        <v>1060</v>
      </c>
      <c r="AI57" s="94">
        <v>1057</v>
      </c>
      <c r="AJ57" s="94">
        <v>1257</v>
      </c>
      <c r="AK57" s="94">
        <v>1085</v>
      </c>
      <c r="AL57" s="94">
        <v>1260</v>
      </c>
      <c r="AM57" s="94">
        <f>728+437</f>
        <v>1165</v>
      </c>
      <c r="AN57" s="94">
        <v>1258</v>
      </c>
      <c r="AO57" s="94">
        <v>1215</v>
      </c>
      <c r="AP57" s="94">
        <v>1349</v>
      </c>
      <c r="AQ57" s="94">
        <v>1328</v>
      </c>
      <c r="AR57" s="94">
        <v>1354</v>
      </c>
      <c r="AS57" s="94">
        <v>1336</v>
      </c>
      <c r="AT57" s="94">
        <v>1461</v>
      </c>
      <c r="AU57" s="94">
        <v>1340</v>
      </c>
      <c r="AV57" s="94">
        <v>1431</v>
      </c>
      <c r="AW57" s="94">
        <v>602</v>
      </c>
      <c r="AX57" s="94">
        <v>480</v>
      </c>
      <c r="AY57" s="94" t="s">
        <v>443</v>
      </c>
      <c r="AZ57" s="94" t="s">
        <v>443</v>
      </c>
      <c r="BA57" s="94" t="s">
        <v>443</v>
      </c>
      <c r="BB57" s="94" t="s">
        <v>443</v>
      </c>
      <c r="BC57" s="94" t="s">
        <v>443</v>
      </c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>
        <v>191</v>
      </c>
      <c r="BX57" s="94">
        <v>160</v>
      </c>
      <c r="BY57" s="94">
        <v>152</v>
      </c>
      <c r="BZ57" s="94">
        <v>195</v>
      </c>
      <c r="CA57" s="94">
        <v>155</v>
      </c>
      <c r="CB57" s="94">
        <v>100</v>
      </c>
      <c r="CC57" s="96" t="s">
        <v>790</v>
      </c>
      <c r="CD57" s="94">
        <v>124</v>
      </c>
      <c r="CE57" s="94">
        <v>0</v>
      </c>
      <c r="CF57" s="94">
        <v>0</v>
      </c>
      <c r="CG57" s="94">
        <v>0</v>
      </c>
      <c r="CH57" s="94">
        <v>0</v>
      </c>
      <c r="CI57" s="94">
        <v>0</v>
      </c>
      <c r="CJ57" s="94">
        <v>0</v>
      </c>
      <c r="CK57" s="94">
        <v>0</v>
      </c>
      <c r="CL57" s="94">
        <v>0</v>
      </c>
      <c r="CM57" s="94">
        <v>0</v>
      </c>
      <c r="CN57" s="94">
        <v>0</v>
      </c>
      <c r="CO57" s="94">
        <v>0</v>
      </c>
      <c r="CP57" s="94">
        <v>0</v>
      </c>
      <c r="CQ57" s="94"/>
      <c r="CR57" s="94"/>
      <c r="CS57" s="49"/>
      <c r="CT57" s="94">
        <v>1271</v>
      </c>
      <c r="CU57" s="94">
        <v>1505</v>
      </c>
      <c r="CV57" s="94">
        <v>2025</v>
      </c>
      <c r="CW57" s="94">
        <f>SUM(O57:R57)</f>
        <v>2623</v>
      </c>
      <c r="CX57" s="94">
        <f>SUM(S57:V57)</f>
        <v>2976</v>
      </c>
      <c r="CY57" s="94">
        <f>SUM(W57:Z57)</f>
        <v>3579</v>
      </c>
      <c r="CZ57" s="94">
        <f>SUM(AA57:AD57)</f>
        <v>4132</v>
      </c>
      <c r="DA57" s="94">
        <f>SUM(AE57:AH57)</f>
        <v>4275</v>
      </c>
      <c r="DB57" s="94">
        <f>SUM(AI57:AL57)</f>
        <v>4659</v>
      </c>
      <c r="DC57" s="94">
        <f t="shared" si="95"/>
        <v>4987</v>
      </c>
      <c r="DD57" s="94">
        <f>SUM(AQ57:AT57)</f>
        <v>5479</v>
      </c>
      <c r="DE57" s="94">
        <f>DD57*0.8</f>
        <v>4383.2</v>
      </c>
      <c r="DF57" s="94">
        <f>DE57*0.3</f>
        <v>1314.9599999999998</v>
      </c>
      <c r="DG57" s="94">
        <f>DF57*0.9</f>
        <v>1183.4639999999999</v>
      </c>
      <c r="DH57" s="94">
        <f t="shared" ref="DH57:DS57" si="105">DG57*0.9</f>
        <v>1065.1176</v>
      </c>
      <c r="DI57" s="94">
        <f t="shared" si="105"/>
        <v>958.60584000000006</v>
      </c>
      <c r="DJ57" s="94">
        <f t="shared" si="105"/>
        <v>862.74525600000004</v>
      </c>
      <c r="DK57" s="94">
        <f t="shared" si="105"/>
        <v>776.47073040000009</v>
      </c>
      <c r="DL57" s="94">
        <f t="shared" si="105"/>
        <v>698.82365736000008</v>
      </c>
      <c r="DM57" s="94">
        <f t="shared" si="105"/>
        <v>628.94129162400009</v>
      </c>
      <c r="DN57" s="94">
        <f t="shared" si="105"/>
        <v>566.04716246160012</v>
      </c>
      <c r="DO57" s="94">
        <f t="shared" si="105"/>
        <v>509.4424462154401</v>
      </c>
      <c r="DP57" s="94">
        <f t="shared" si="105"/>
        <v>458.49820159389611</v>
      </c>
      <c r="DQ57" s="94">
        <f t="shared" si="105"/>
        <v>412.64838143450652</v>
      </c>
      <c r="DR57" s="94">
        <f t="shared" si="105"/>
        <v>371.3835432910559</v>
      </c>
      <c r="DS57" s="94">
        <f t="shared" si="105"/>
        <v>334.2451889619503</v>
      </c>
      <c r="DU57" s="87"/>
      <c r="DX57" s="83"/>
    </row>
    <row r="58" spans="2:128" s="8" customFormat="1" ht="12.75" customHeight="1">
      <c r="B58" s="47" t="s">
        <v>511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6" t="s">
        <v>547</v>
      </c>
      <c r="AE58" s="96" t="s">
        <v>548</v>
      </c>
      <c r="AF58" s="96" t="s">
        <v>562</v>
      </c>
      <c r="AG58" s="96" t="s">
        <v>555</v>
      </c>
      <c r="AH58" s="96" t="s">
        <v>546</v>
      </c>
      <c r="AI58" s="96" t="s">
        <v>527</v>
      </c>
      <c r="AJ58" s="96" t="s">
        <v>519</v>
      </c>
      <c r="AK58" s="96" t="s">
        <v>510</v>
      </c>
      <c r="AL58" s="94">
        <v>71</v>
      </c>
      <c r="AM58" s="94">
        <v>124</v>
      </c>
      <c r="AN58" s="94">
        <v>93</v>
      </c>
      <c r="AO58" s="94">
        <v>81</v>
      </c>
      <c r="AP58" s="94">
        <v>122</v>
      </c>
      <c r="AQ58" s="94">
        <v>120</v>
      </c>
      <c r="AR58" s="94">
        <v>65</v>
      </c>
      <c r="AS58" s="94">
        <v>55</v>
      </c>
      <c r="AT58" s="94">
        <v>74</v>
      </c>
      <c r="AU58" s="94">
        <v>87</v>
      </c>
      <c r="AV58" s="94">
        <v>48</v>
      </c>
      <c r="AW58" s="94">
        <v>47</v>
      </c>
      <c r="AX58" s="94">
        <v>63</v>
      </c>
      <c r="AY58" s="94" t="s">
        <v>443</v>
      </c>
      <c r="AZ58" s="94" t="s">
        <v>443</v>
      </c>
      <c r="BA58" s="94" t="s">
        <v>443</v>
      </c>
      <c r="BB58" s="94" t="s">
        <v>443</v>
      </c>
      <c r="BC58" s="94" t="s">
        <v>443</v>
      </c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49"/>
      <c r="CT58" s="94"/>
      <c r="CU58" s="94"/>
      <c r="CV58" s="94"/>
      <c r="CW58" s="94"/>
      <c r="CX58" s="94"/>
      <c r="CY58" s="94"/>
      <c r="CZ58" s="94"/>
      <c r="DA58" s="94"/>
      <c r="DB58" s="94"/>
      <c r="DC58" s="94">
        <f t="shared" si="95"/>
        <v>420</v>
      </c>
      <c r="DD58" s="94">
        <f>DC58*0.8</f>
        <v>336</v>
      </c>
      <c r="DE58" s="94">
        <f t="shared" ref="DE58:DK58" si="106">DD58*0.8</f>
        <v>268.8</v>
      </c>
      <c r="DF58" s="94">
        <f t="shared" si="106"/>
        <v>215.04000000000002</v>
      </c>
      <c r="DG58" s="94">
        <f t="shared" si="106"/>
        <v>172.03200000000004</v>
      </c>
      <c r="DH58" s="94">
        <f t="shared" si="106"/>
        <v>137.62560000000005</v>
      </c>
      <c r="DI58" s="94">
        <f t="shared" si="106"/>
        <v>110.10048000000005</v>
      </c>
      <c r="DJ58" s="94">
        <f t="shared" si="106"/>
        <v>88.080384000000038</v>
      </c>
      <c r="DK58" s="94">
        <f t="shared" si="106"/>
        <v>70.464307200000036</v>
      </c>
      <c r="DL58" s="94">
        <f t="shared" ref="DL58:DS58" si="107">+DK58*0.5</f>
        <v>35.232153600000018</v>
      </c>
      <c r="DM58" s="94">
        <f t="shared" si="107"/>
        <v>17.616076800000009</v>
      </c>
      <c r="DN58" s="94">
        <f t="shared" si="107"/>
        <v>8.8080384000000045</v>
      </c>
      <c r="DO58" s="94">
        <f t="shared" si="107"/>
        <v>4.4040192000000022</v>
      </c>
      <c r="DP58" s="94">
        <f t="shared" si="107"/>
        <v>2.2020096000000011</v>
      </c>
      <c r="DQ58" s="94">
        <f t="shared" si="107"/>
        <v>1.1010048000000006</v>
      </c>
      <c r="DR58" s="94">
        <f t="shared" si="107"/>
        <v>0.55050240000000028</v>
      </c>
      <c r="DS58" s="94">
        <f t="shared" si="107"/>
        <v>0.27525120000000014</v>
      </c>
      <c r="DU58" s="30"/>
    </row>
    <row r="59" spans="2:128" s="8" customFormat="1" ht="12.75" customHeight="1">
      <c r="B59" s="47" t="s">
        <v>164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173</v>
      </c>
      <c r="P59" s="94">
        <v>195</v>
      </c>
      <c r="Q59" s="94">
        <v>170</v>
      </c>
      <c r="R59" s="94">
        <v>182</v>
      </c>
      <c r="S59" s="94">
        <v>158</v>
      </c>
      <c r="T59" s="94">
        <v>164</v>
      </c>
      <c r="U59" s="94">
        <v>149</v>
      </c>
      <c r="V59" s="94">
        <v>152</v>
      </c>
      <c r="W59" s="94">
        <v>136</v>
      </c>
      <c r="X59" s="94">
        <v>140</v>
      </c>
      <c r="Y59" s="94">
        <v>134</v>
      </c>
      <c r="Z59" s="94">
        <v>136</v>
      </c>
      <c r="AA59" s="94">
        <v>122</v>
      </c>
      <c r="AB59" s="94">
        <v>127</v>
      </c>
      <c r="AC59" s="94">
        <v>119</v>
      </c>
      <c r="AD59" s="94">
        <f>AC59</f>
        <v>119</v>
      </c>
      <c r="AE59" s="94">
        <v>96</v>
      </c>
      <c r="AF59" s="94">
        <v>94</v>
      </c>
      <c r="AG59" s="94">
        <v>82</v>
      </c>
      <c r="AH59" s="94">
        <f>AG59-2</f>
        <v>80</v>
      </c>
      <c r="AI59" s="94">
        <v>77</v>
      </c>
      <c r="AJ59" s="94">
        <v>76</v>
      </c>
      <c r="AK59" s="94">
        <v>73</v>
      </c>
      <c r="AL59" s="94">
        <v>85</v>
      </c>
      <c r="AM59" s="94">
        <v>59</v>
      </c>
      <c r="AN59" s="94">
        <v>63</v>
      </c>
      <c r="AO59" s="94">
        <v>69</v>
      </c>
      <c r="AP59" s="94">
        <v>64</v>
      </c>
      <c r="AQ59" s="94">
        <v>57</v>
      </c>
      <c r="AR59" s="94">
        <v>59</v>
      </c>
      <c r="AS59" s="94">
        <v>57</v>
      </c>
      <c r="AT59" s="94">
        <v>58</v>
      </c>
      <c r="AU59" s="94">
        <v>53</v>
      </c>
      <c r="AV59" s="94">
        <v>49</v>
      </c>
      <c r="AW59" s="94">
        <v>42</v>
      </c>
      <c r="AX59" s="94">
        <v>48</v>
      </c>
      <c r="AY59" s="94" t="s">
        <v>443</v>
      </c>
      <c r="AZ59" s="94" t="s">
        <v>443</v>
      </c>
      <c r="BA59" s="94" t="s">
        <v>443</v>
      </c>
      <c r="BB59" s="94" t="s">
        <v>443</v>
      </c>
      <c r="BC59" s="94" t="s">
        <v>443</v>
      </c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49"/>
      <c r="CT59" s="9" t="s">
        <v>443</v>
      </c>
      <c r="CU59" s="94" t="s">
        <v>443</v>
      </c>
      <c r="CV59" s="94">
        <v>765</v>
      </c>
      <c r="CW59" s="94">
        <f>SUM(O59:R59)</f>
        <v>720</v>
      </c>
      <c r="CX59" s="94">
        <f>SUM(S59:V59)</f>
        <v>623</v>
      </c>
      <c r="CY59" s="94">
        <f>SUM(W59:Z59)</f>
        <v>546</v>
      </c>
      <c r="CZ59" s="94">
        <f>SUM(AA59:AD59)</f>
        <v>487</v>
      </c>
      <c r="DA59" s="94">
        <f>SUM(AE59:AH59)</f>
        <v>352</v>
      </c>
      <c r="DB59" s="94">
        <f>SUM(AI59:AL59)</f>
        <v>311</v>
      </c>
      <c r="DC59" s="94">
        <f t="shared" si="95"/>
        <v>255</v>
      </c>
      <c r="DD59" s="94">
        <f t="shared" si="97"/>
        <v>255</v>
      </c>
      <c r="DE59" s="94">
        <f t="shared" ref="DE59:DS59" si="108">DD59*0.7</f>
        <v>178.5</v>
      </c>
      <c r="DF59" s="94">
        <f t="shared" si="108"/>
        <v>124.94999999999999</v>
      </c>
      <c r="DG59" s="94">
        <f t="shared" si="108"/>
        <v>87.464999999999989</v>
      </c>
      <c r="DH59" s="94">
        <f t="shared" si="108"/>
        <v>61.22549999999999</v>
      </c>
      <c r="DI59" s="94">
        <f t="shared" si="108"/>
        <v>42.857849999999992</v>
      </c>
      <c r="DJ59" s="94">
        <f t="shared" si="108"/>
        <v>30.000494999999994</v>
      </c>
      <c r="DK59" s="94">
        <f t="shared" si="108"/>
        <v>21.000346499999996</v>
      </c>
      <c r="DL59" s="94">
        <f t="shared" si="108"/>
        <v>14.700242549999995</v>
      </c>
      <c r="DM59" s="94">
        <f t="shared" si="108"/>
        <v>10.290169784999996</v>
      </c>
      <c r="DN59" s="94">
        <f t="shared" si="108"/>
        <v>7.2031188494999965</v>
      </c>
      <c r="DO59" s="94">
        <f t="shared" si="108"/>
        <v>5.0421831946499971</v>
      </c>
      <c r="DP59" s="94">
        <f t="shared" si="108"/>
        <v>3.5295282362549978</v>
      </c>
      <c r="DQ59" s="94">
        <f t="shared" si="108"/>
        <v>2.4706697653784984</v>
      </c>
      <c r="DR59" s="94">
        <f t="shared" si="108"/>
        <v>1.7294688357649488</v>
      </c>
      <c r="DS59" s="94">
        <f t="shared" si="108"/>
        <v>1.2106281850354641</v>
      </c>
      <c r="DU59" s="30"/>
    </row>
    <row r="60" spans="2:128" s="8" customFormat="1" ht="12.75" customHeight="1">
      <c r="B60" s="47" t="s">
        <v>587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6" t="s">
        <v>631</v>
      </c>
      <c r="AJ60" s="94"/>
      <c r="AK60" s="94"/>
      <c r="AL60" s="94">
        <v>46</v>
      </c>
      <c r="AM60" s="94">
        <v>70</v>
      </c>
      <c r="AN60" s="94">
        <v>70</v>
      </c>
      <c r="AO60" s="94">
        <v>63</v>
      </c>
      <c r="AP60" s="94">
        <v>63</v>
      </c>
      <c r="AQ60" s="94">
        <v>64</v>
      </c>
      <c r="AR60" s="94">
        <v>56</v>
      </c>
      <c r="AS60" s="94">
        <v>53</v>
      </c>
      <c r="AT60" s="94">
        <v>57</v>
      </c>
      <c r="AU60" s="94">
        <v>53</v>
      </c>
      <c r="AV60" s="94">
        <v>60</v>
      </c>
      <c r="AW60" s="94">
        <v>48</v>
      </c>
      <c r="AX60" s="94">
        <v>51</v>
      </c>
      <c r="AY60" s="94" t="s">
        <v>443</v>
      </c>
      <c r="AZ60" s="94" t="s">
        <v>443</v>
      </c>
      <c r="BA60" s="94" t="s">
        <v>443</v>
      </c>
      <c r="BB60" s="94" t="s">
        <v>443</v>
      </c>
      <c r="BC60" s="94" t="s">
        <v>443</v>
      </c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49"/>
      <c r="CT60" s="9"/>
      <c r="CU60" s="94"/>
      <c r="CV60" s="94"/>
      <c r="CW60" s="94"/>
      <c r="CX60" s="94"/>
      <c r="CY60" s="94"/>
      <c r="CZ60" s="94"/>
      <c r="DA60" s="94"/>
      <c r="DB60" s="94"/>
      <c r="DC60" s="94">
        <f t="shared" si="95"/>
        <v>266</v>
      </c>
      <c r="DD60" s="94">
        <f t="shared" si="97"/>
        <v>266</v>
      </c>
      <c r="DE60" s="94">
        <f t="shared" ref="DE60:DL60" si="109">DD60</f>
        <v>266</v>
      </c>
      <c r="DF60" s="94">
        <f t="shared" si="109"/>
        <v>266</v>
      </c>
      <c r="DG60" s="94">
        <f t="shared" si="109"/>
        <v>266</v>
      </c>
      <c r="DH60" s="94">
        <f t="shared" si="109"/>
        <v>266</v>
      </c>
      <c r="DI60" s="94">
        <f t="shared" si="109"/>
        <v>266</v>
      </c>
      <c r="DJ60" s="94">
        <f t="shared" si="109"/>
        <v>266</v>
      </c>
      <c r="DK60" s="94">
        <f t="shared" si="109"/>
        <v>266</v>
      </c>
      <c r="DL60" s="94">
        <f t="shared" si="109"/>
        <v>266</v>
      </c>
      <c r="DM60" s="94">
        <f t="shared" ref="DM60:DS61" si="110">DL60</f>
        <v>266</v>
      </c>
      <c r="DN60" s="94">
        <f t="shared" si="110"/>
        <v>266</v>
      </c>
      <c r="DO60" s="94">
        <f t="shared" si="110"/>
        <v>266</v>
      </c>
      <c r="DP60" s="94">
        <f t="shared" si="110"/>
        <v>266</v>
      </c>
      <c r="DQ60" s="94">
        <f t="shared" si="110"/>
        <v>266</v>
      </c>
      <c r="DR60" s="94">
        <f t="shared" si="110"/>
        <v>266</v>
      </c>
      <c r="DS60" s="94">
        <f t="shared" si="110"/>
        <v>266</v>
      </c>
      <c r="DU60" s="30"/>
    </row>
    <row r="61" spans="2:128" s="8" customFormat="1" ht="12.75" customHeight="1">
      <c r="B61" s="47" t="s">
        <v>592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6" t="s">
        <v>627</v>
      </c>
      <c r="AJ61" s="94"/>
      <c r="AK61" s="94"/>
      <c r="AL61" s="94">
        <v>47</v>
      </c>
      <c r="AM61" s="94">
        <v>74</v>
      </c>
      <c r="AN61" s="94">
        <v>66</v>
      </c>
      <c r="AO61" s="94">
        <v>70</v>
      </c>
      <c r="AP61" s="94">
        <v>75</v>
      </c>
      <c r="AQ61" s="94"/>
      <c r="AR61" s="94"/>
      <c r="AS61" s="94"/>
      <c r="AT61" s="94"/>
      <c r="AU61" s="94"/>
      <c r="AV61" s="94"/>
      <c r="AW61" s="94"/>
      <c r="AX61" s="94"/>
      <c r="AY61" s="94" t="s">
        <v>443</v>
      </c>
      <c r="AZ61" s="94" t="s">
        <v>443</v>
      </c>
      <c r="BA61" s="94" t="s">
        <v>443</v>
      </c>
      <c r="BB61" s="94" t="s">
        <v>443</v>
      </c>
      <c r="BC61" s="94" t="s">
        <v>443</v>
      </c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49"/>
      <c r="CT61" s="9"/>
      <c r="CU61" s="94"/>
      <c r="CV61" s="94"/>
      <c r="CW61" s="94"/>
      <c r="CX61" s="94"/>
      <c r="CY61" s="94"/>
      <c r="CZ61" s="94"/>
      <c r="DA61" s="94"/>
      <c r="DB61" s="94"/>
      <c r="DC61" s="94">
        <f t="shared" si="95"/>
        <v>285</v>
      </c>
      <c r="DD61" s="94">
        <f t="shared" si="97"/>
        <v>285</v>
      </c>
      <c r="DE61" s="94">
        <f t="shared" ref="DE61:DL61" si="111">DD61</f>
        <v>285</v>
      </c>
      <c r="DF61" s="94">
        <f t="shared" si="111"/>
        <v>285</v>
      </c>
      <c r="DG61" s="94">
        <f t="shared" si="111"/>
        <v>285</v>
      </c>
      <c r="DH61" s="94">
        <f t="shared" si="111"/>
        <v>285</v>
      </c>
      <c r="DI61" s="94">
        <f t="shared" si="111"/>
        <v>285</v>
      </c>
      <c r="DJ61" s="94">
        <f t="shared" si="111"/>
        <v>285</v>
      </c>
      <c r="DK61" s="94">
        <f t="shared" si="111"/>
        <v>285</v>
      </c>
      <c r="DL61" s="94">
        <f t="shared" si="111"/>
        <v>285</v>
      </c>
      <c r="DM61" s="94">
        <f t="shared" si="110"/>
        <v>285</v>
      </c>
      <c r="DN61" s="94">
        <f t="shared" si="110"/>
        <v>285</v>
      </c>
      <c r="DO61" s="94">
        <f t="shared" si="110"/>
        <v>285</v>
      </c>
      <c r="DP61" s="94">
        <f t="shared" si="110"/>
        <v>285</v>
      </c>
      <c r="DQ61" s="94">
        <f t="shared" si="110"/>
        <v>285</v>
      </c>
      <c r="DR61" s="94">
        <f t="shared" si="110"/>
        <v>285</v>
      </c>
      <c r="DS61" s="94">
        <f t="shared" si="110"/>
        <v>285</v>
      </c>
      <c r="DU61" s="30"/>
    </row>
    <row r="62" spans="2:128" s="8" customFormat="1" ht="12.75" customHeight="1">
      <c r="B62" s="47" t="s">
        <v>591</v>
      </c>
      <c r="C62" s="9"/>
      <c r="D62" s="9"/>
      <c r="E62" s="9"/>
      <c r="F62" s="9"/>
      <c r="G62" s="7"/>
      <c r="H62" s="7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6" t="s">
        <v>626</v>
      </c>
      <c r="AJ62" s="94"/>
      <c r="AK62" s="94"/>
      <c r="AL62" s="94">
        <v>36</v>
      </c>
      <c r="AM62" s="94">
        <v>52</v>
      </c>
      <c r="AN62" s="94">
        <v>51</v>
      </c>
      <c r="AO62" s="94">
        <v>7</v>
      </c>
      <c r="AP62" s="94">
        <v>1</v>
      </c>
      <c r="AQ62" s="94"/>
      <c r="AR62" s="94"/>
      <c r="AS62" s="94"/>
      <c r="AT62" s="94"/>
      <c r="AU62" s="94"/>
      <c r="AV62" s="94"/>
      <c r="AW62" s="94"/>
      <c r="AX62" s="94"/>
      <c r="AY62" s="94" t="s">
        <v>443</v>
      </c>
      <c r="AZ62" s="94" t="s">
        <v>443</v>
      </c>
      <c r="BA62" s="94" t="s">
        <v>443</v>
      </c>
      <c r="BB62" s="94" t="s">
        <v>443</v>
      </c>
      <c r="BC62" s="94" t="s">
        <v>443</v>
      </c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49"/>
      <c r="CT62" s="9"/>
      <c r="CU62" s="94"/>
      <c r="CV62" s="94"/>
      <c r="CW62" s="94"/>
      <c r="CX62" s="94"/>
      <c r="CY62" s="94"/>
      <c r="CZ62" s="94"/>
      <c r="DA62" s="94"/>
      <c r="DB62" s="94"/>
      <c r="DC62" s="94">
        <f t="shared" si="95"/>
        <v>111</v>
      </c>
      <c r="DD62" s="94">
        <f t="shared" si="97"/>
        <v>111</v>
      </c>
      <c r="DE62" s="94">
        <f t="shared" ref="DE62:DL62" si="112">DD62</f>
        <v>111</v>
      </c>
      <c r="DF62" s="94">
        <f t="shared" si="112"/>
        <v>111</v>
      </c>
      <c r="DG62" s="94">
        <f t="shared" si="112"/>
        <v>111</v>
      </c>
      <c r="DH62" s="94">
        <f t="shared" si="112"/>
        <v>111</v>
      </c>
      <c r="DI62" s="94">
        <f t="shared" si="112"/>
        <v>111</v>
      </c>
      <c r="DJ62" s="94">
        <f t="shared" si="112"/>
        <v>111</v>
      </c>
      <c r="DK62" s="94">
        <f t="shared" si="112"/>
        <v>111</v>
      </c>
      <c r="DL62" s="94">
        <f t="shared" si="112"/>
        <v>111</v>
      </c>
      <c r="DM62" s="94">
        <f t="shared" ref="DM62:DS62" si="113">DL62</f>
        <v>111</v>
      </c>
      <c r="DN62" s="94">
        <f t="shared" si="113"/>
        <v>111</v>
      </c>
      <c r="DO62" s="94">
        <f t="shared" si="113"/>
        <v>111</v>
      </c>
      <c r="DP62" s="94">
        <f t="shared" si="113"/>
        <v>111</v>
      </c>
      <c r="DQ62" s="94">
        <f t="shared" si="113"/>
        <v>111</v>
      </c>
      <c r="DR62" s="94">
        <f t="shared" si="113"/>
        <v>111</v>
      </c>
      <c r="DS62" s="94">
        <f t="shared" si="113"/>
        <v>111</v>
      </c>
      <c r="DU62" s="30"/>
    </row>
    <row r="63" spans="2:128" s="8" customFormat="1" ht="12.75" customHeight="1">
      <c r="B63" s="47" t="s">
        <v>641</v>
      </c>
      <c r="C63" s="9"/>
      <c r="D63" s="9"/>
      <c r="E63" s="9"/>
      <c r="F63" s="9"/>
      <c r="G63" s="7"/>
      <c r="H63" s="7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6" t="s">
        <v>624</v>
      </c>
      <c r="AJ63" s="94"/>
      <c r="AK63" s="94"/>
      <c r="AL63" s="94">
        <v>37</v>
      </c>
      <c r="AM63" s="94">
        <f>49+2</f>
        <v>51</v>
      </c>
      <c r="AN63" s="94">
        <v>56</v>
      </c>
      <c r="AO63" s="94">
        <v>48</v>
      </c>
      <c r="AP63" s="94">
        <v>53</v>
      </c>
      <c r="AQ63" s="94">
        <v>60</v>
      </c>
      <c r="AR63" s="94">
        <v>47</v>
      </c>
      <c r="AS63" s="94">
        <v>42</v>
      </c>
      <c r="AT63" s="94">
        <v>57</v>
      </c>
      <c r="AU63" s="94">
        <v>48</v>
      </c>
      <c r="AV63" s="94">
        <v>51</v>
      </c>
      <c r="AW63" s="94">
        <v>42</v>
      </c>
      <c r="AX63" s="94">
        <v>44</v>
      </c>
      <c r="AY63" s="94" t="s">
        <v>443</v>
      </c>
      <c r="AZ63" s="94" t="s">
        <v>443</v>
      </c>
      <c r="BA63" s="94" t="s">
        <v>443</v>
      </c>
      <c r="BB63" s="94" t="s">
        <v>443</v>
      </c>
      <c r="BC63" s="94" t="s">
        <v>443</v>
      </c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49"/>
      <c r="CT63" s="9"/>
      <c r="CU63" s="94"/>
      <c r="CV63" s="94"/>
      <c r="CW63" s="94"/>
      <c r="CX63" s="94"/>
      <c r="CY63" s="94"/>
      <c r="CZ63" s="94"/>
      <c r="DA63" s="94"/>
      <c r="DB63" s="94"/>
      <c r="DC63" s="94">
        <f t="shared" si="95"/>
        <v>208</v>
      </c>
      <c r="DD63" s="94">
        <f>DC63*1.01</f>
        <v>210.08</v>
      </c>
      <c r="DE63" s="94">
        <f>DD63*1.01</f>
        <v>212.1808</v>
      </c>
      <c r="DF63" s="94">
        <f>DE63*1.01</f>
        <v>214.30260800000002</v>
      </c>
      <c r="DG63" s="94">
        <f>DF63*1.01</f>
        <v>216.44563408000002</v>
      </c>
      <c r="DH63" s="94">
        <f>DG63*0.9</f>
        <v>194.80107067200001</v>
      </c>
      <c r="DI63" s="94">
        <f>DH63*0.9</f>
        <v>175.3209636048</v>
      </c>
      <c r="DJ63" s="94">
        <f>DI63*0.9</f>
        <v>157.78886724432002</v>
      </c>
      <c r="DK63" s="94">
        <f>DJ63*0.9</f>
        <v>142.00998051988802</v>
      </c>
      <c r="DL63" s="94">
        <f>DK63*0.9</f>
        <v>127.80898246789921</v>
      </c>
      <c r="DM63" s="94">
        <f t="shared" ref="DM63:DS63" si="114">DL63*0.9</f>
        <v>115.0280842211093</v>
      </c>
      <c r="DN63" s="94">
        <f t="shared" si="114"/>
        <v>103.52527579899836</v>
      </c>
      <c r="DO63" s="94">
        <f t="shared" si="114"/>
        <v>93.172748219098537</v>
      </c>
      <c r="DP63" s="94">
        <f t="shared" si="114"/>
        <v>83.855473397188689</v>
      </c>
      <c r="DQ63" s="94">
        <f t="shared" si="114"/>
        <v>75.46992605746982</v>
      </c>
      <c r="DR63" s="94">
        <f t="shared" si="114"/>
        <v>67.922933451722841</v>
      </c>
      <c r="DS63" s="94">
        <f t="shared" si="114"/>
        <v>61.130640106550558</v>
      </c>
      <c r="DU63" s="30"/>
      <c r="DX63" s="83"/>
    </row>
    <row r="64" spans="2:128" s="8" customFormat="1" ht="12.75" customHeight="1">
      <c r="B64" s="47" t="s">
        <v>593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6" t="s">
        <v>625</v>
      </c>
      <c r="AJ64" s="94"/>
      <c r="AK64" s="94"/>
      <c r="AL64" s="94">
        <v>38</v>
      </c>
      <c r="AM64" s="94">
        <v>54</v>
      </c>
      <c r="AN64" s="94">
        <v>51</v>
      </c>
      <c r="AO64" s="94">
        <v>50</v>
      </c>
      <c r="AP64" s="94">
        <v>54</v>
      </c>
      <c r="AQ64" s="94">
        <v>49</v>
      </c>
      <c r="AR64" s="94"/>
      <c r="AS64" s="94"/>
      <c r="AT64" s="94"/>
      <c r="AU64" s="94"/>
      <c r="AV64" s="94"/>
      <c r="AW64" s="94"/>
      <c r="AX64" s="94"/>
      <c r="AY64" s="94" t="s">
        <v>443</v>
      </c>
      <c r="AZ64" s="94" t="s">
        <v>443</v>
      </c>
      <c r="BA64" s="94" t="s">
        <v>443</v>
      </c>
      <c r="BB64" s="94" t="s">
        <v>443</v>
      </c>
      <c r="BC64" s="94" t="s">
        <v>443</v>
      </c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49"/>
      <c r="CT64" s="9"/>
      <c r="CU64" s="94"/>
      <c r="CV64" s="94"/>
      <c r="CW64" s="94"/>
      <c r="CX64" s="94"/>
      <c r="CY64" s="94"/>
      <c r="CZ64" s="94"/>
      <c r="DA64" s="94"/>
      <c r="DB64" s="94"/>
      <c r="DC64" s="94">
        <f t="shared" si="95"/>
        <v>209</v>
      </c>
      <c r="DD64" s="94">
        <f t="shared" ref="DD64:DL65" si="115">DC64</f>
        <v>209</v>
      </c>
      <c r="DE64" s="94">
        <f t="shared" si="115"/>
        <v>209</v>
      </c>
      <c r="DF64" s="94">
        <f t="shared" si="115"/>
        <v>209</v>
      </c>
      <c r="DG64" s="94">
        <f t="shared" si="115"/>
        <v>209</v>
      </c>
      <c r="DH64" s="94">
        <f t="shared" si="115"/>
        <v>209</v>
      </c>
      <c r="DI64" s="94">
        <f t="shared" si="115"/>
        <v>209</v>
      </c>
      <c r="DJ64" s="94">
        <f t="shared" si="115"/>
        <v>209</v>
      </c>
      <c r="DK64" s="94">
        <f t="shared" si="115"/>
        <v>209</v>
      </c>
      <c r="DL64" s="94">
        <f t="shared" si="115"/>
        <v>209</v>
      </c>
      <c r="DM64" s="94">
        <f t="shared" ref="DM64:DS65" si="116">DL64</f>
        <v>209</v>
      </c>
      <c r="DN64" s="94">
        <f t="shared" si="116"/>
        <v>209</v>
      </c>
      <c r="DO64" s="94">
        <f t="shared" si="116"/>
        <v>209</v>
      </c>
      <c r="DP64" s="94">
        <f t="shared" si="116"/>
        <v>209</v>
      </c>
      <c r="DQ64" s="94">
        <f t="shared" si="116"/>
        <v>209</v>
      </c>
      <c r="DR64" s="94">
        <f t="shared" si="116"/>
        <v>209</v>
      </c>
      <c r="DS64" s="94">
        <f t="shared" si="116"/>
        <v>209</v>
      </c>
      <c r="DU64" s="30"/>
    </row>
    <row r="65" spans="2:125" s="8" customFormat="1" ht="12.75" customHeight="1">
      <c r="B65" s="47" t="s">
        <v>612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6" t="s">
        <v>629</v>
      </c>
      <c r="AJ65" s="94"/>
      <c r="AK65" s="94"/>
      <c r="AL65" s="94" t="s">
        <v>443</v>
      </c>
      <c r="AM65" s="94">
        <v>55</v>
      </c>
      <c r="AN65" s="94">
        <v>49</v>
      </c>
      <c r="AO65" s="94">
        <v>56</v>
      </c>
      <c r="AP65" s="94">
        <v>49</v>
      </c>
      <c r="AQ65" s="94">
        <v>59</v>
      </c>
      <c r="AR65" s="94">
        <v>66</v>
      </c>
      <c r="AS65" s="94">
        <v>74</v>
      </c>
      <c r="AT65" s="94">
        <v>69</v>
      </c>
      <c r="AU65" s="94">
        <v>67</v>
      </c>
      <c r="AV65" s="94">
        <v>72</v>
      </c>
      <c r="AW65" s="94">
        <v>64</v>
      </c>
      <c r="AX65" s="94">
        <v>68</v>
      </c>
      <c r="AY65" s="94" t="s">
        <v>443</v>
      </c>
      <c r="AZ65" s="94" t="s">
        <v>443</v>
      </c>
      <c r="BA65" s="94" t="s">
        <v>443</v>
      </c>
      <c r="BB65" s="94" t="s">
        <v>443</v>
      </c>
      <c r="BC65" s="94" t="s">
        <v>443</v>
      </c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49"/>
      <c r="CT65" s="9"/>
      <c r="CU65" s="94"/>
      <c r="CV65" s="94"/>
      <c r="CW65" s="94"/>
      <c r="CX65" s="94"/>
      <c r="CY65" s="94"/>
      <c r="CZ65" s="94"/>
      <c r="DA65" s="94"/>
      <c r="DB65" s="94"/>
      <c r="DC65" s="94">
        <f>SUM(AM65:AQ65)</f>
        <v>268</v>
      </c>
      <c r="DD65" s="94">
        <f t="shared" si="115"/>
        <v>268</v>
      </c>
      <c r="DE65" s="94">
        <f t="shared" si="115"/>
        <v>268</v>
      </c>
      <c r="DF65" s="94">
        <f t="shared" si="115"/>
        <v>268</v>
      </c>
      <c r="DG65" s="94">
        <f t="shared" si="115"/>
        <v>268</v>
      </c>
      <c r="DH65" s="94">
        <f t="shared" si="115"/>
        <v>268</v>
      </c>
      <c r="DI65" s="94">
        <f t="shared" si="115"/>
        <v>268</v>
      </c>
      <c r="DJ65" s="94">
        <f t="shared" si="115"/>
        <v>268</v>
      </c>
      <c r="DK65" s="94">
        <f t="shared" si="115"/>
        <v>268</v>
      </c>
      <c r="DL65" s="94">
        <f t="shared" si="115"/>
        <v>268</v>
      </c>
      <c r="DM65" s="94">
        <f t="shared" si="116"/>
        <v>268</v>
      </c>
      <c r="DN65" s="94">
        <f t="shared" si="116"/>
        <v>268</v>
      </c>
      <c r="DO65" s="94">
        <f t="shared" si="116"/>
        <v>268</v>
      </c>
      <c r="DP65" s="94">
        <f t="shared" si="116"/>
        <v>268</v>
      </c>
      <c r="DQ65" s="94">
        <f t="shared" si="116"/>
        <v>268</v>
      </c>
      <c r="DR65" s="94">
        <f t="shared" si="116"/>
        <v>268</v>
      </c>
      <c r="DS65" s="94">
        <f t="shared" si="116"/>
        <v>268</v>
      </c>
      <c r="DU65" s="30"/>
    </row>
    <row r="66" spans="2:125" s="8" customFormat="1" ht="12.75" customHeight="1">
      <c r="B66" s="47" t="s">
        <v>354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>
        <v>52</v>
      </c>
      <c r="P66" s="94">
        <v>46</v>
      </c>
      <c r="Q66" s="94">
        <v>82</v>
      </c>
      <c r="R66" s="94">
        <v>104</v>
      </c>
      <c r="S66" s="94">
        <v>55</v>
      </c>
      <c r="T66" s="94">
        <v>57</v>
      </c>
      <c r="U66" s="94">
        <v>88</v>
      </c>
      <c r="V66" s="94">
        <v>111</v>
      </c>
      <c r="W66" s="94">
        <v>56</v>
      </c>
      <c r="X66" s="94">
        <v>67</v>
      </c>
      <c r="Y66" s="94">
        <v>97</v>
      </c>
      <c r="Z66" s="94">
        <v>134</v>
      </c>
      <c r="AA66" s="94">
        <v>92</v>
      </c>
      <c r="AB66" s="94">
        <v>96</v>
      </c>
      <c r="AC66" s="93">
        <v>97</v>
      </c>
      <c r="AD66" s="94">
        <f>AC66</f>
        <v>97</v>
      </c>
      <c r="AE66" s="94">
        <v>73</v>
      </c>
      <c r="AF66" s="94">
        <v>69</v>
      </c>
      <c r="AG66" s="94">
        <v>81</v>
      </c>
      <c r="AH66" s="94">
        <f>AG66</f>
        <v>81</v>
      </c>
      <c r="AI66" s="94">
        <v>56</v>
      </c>
      <c r="AJ66" s="94">
        <v>53</v>
      </c>
      <c r="AK66" s="94">
        <v>138</v>
      </c>
      <c r="AL66" s="94" t="s">
        <v>443</v>
      </c>
      <c r="AM66" s="94" t="s">
        <v>443</v>
      </c>
      <c r="AN66" s="94"/>
      <c r="AO66" s="94">
        <v>0</v>
      </c>
      <c r="AP66" s="94">
        <v>0</v>
      </c>
      <c r="AQ66" s="94">
        <v>0</v>
      </c>
      <c r="AR66" s="94"/>
      <c r="AS66" s="94"/>
      <c r="AT66" s="94"/>
      <c r="AU66" s="94"/>
      <c r="AV66" s="94"/>
      <c r="AW66" s="94"/>
      <c r="AX66" s="94"/>
      <c r="AY66" s="94" t="s">
        <v>443</v>
      </c>
      <c r="AZ66" s="94" t="s">
        <v>443</v>
      </c>
      <c r="BA66" s="94" t="s">
        <v>443</v>
      </c>
      <c r="BB66" s="94" t="s">
        <v>443</v>
      </c>
      <c r="BC66" s="94" t="s">
        <v>443</v>
      </c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49"/>
      <c r="CT66" s="9" t="s">
        <v>443</v>
      </c>
      <c r="CU66" s="94" t="s">
        <v>443</v>
      </c>
      <c r="CV66" s="94">
        <v>281</v>
      </c>
      <c r="CW66" s="94">
        <f>SUM(O66:R66)</f>
        <v>284</v>
      </c>
      <c r="CX66" s="94">
        <f>SUM(S66:V66)</f>
        <v>311</v>
      </c>
      <c r="CY66" s="94">
        <f>SUM(W66:Z66)</f>
        <v>354</v>
      </c>
      <c r="CZ66" s="94">
        <f>SUM(AA66:AD66)</f>
        <v>382</v>
      </c>
      <c r="DA66" s="94">
        <f>SUM(AE66:AH66)</f>
        <v>304</v>
      </c>
      <c r="DB66" s="94">
        <f>SUM(AI66:AL66)</f>
        <v>247</v>
      </c>
      <c r="DC66" s="94"/>
      <c r="DD66" s="94"/>
      <c r="DE66" s="94"/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S66" s="94"/>
      <c r="DU66" s="30"/>
    </row>
    <row r="67" spans="2:125" s="8" customFormat="1" ht="12.75" customHeight="1">
      <c r="B67" s="47" t="s">
        <v>353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>
        <v>60</v>
      </c>
      <c r="P67" s="94">
        <v>43</v>
      </c>
      <c r="Q67" s="94">
        <v>48</v>
      </c>
      <c r="R67" s="94">
        <v>47</v>
      </c>
      <c r="S67" s="94">
        <v>36</v>
      </c>
      <c r="T67" s="94">
        <v>46</v>
      </c>
      <c r="U67" s="94">
        <v>65</v>
      </c>
      <c r="V67" s="94">
        <v>48</v>
      </c>
      <c r="W67" s="94">
        <v>54</v>
      </c>
      <c r="X67" s="94">
        <v>59</v>
      </c>
      <c r="Y67" s="94">
        <v>69</v>
      </c>
      <c r="Z67" s="94">
        <v>67</v>
      </c>
      <c r="AA67" s="94">
        <v>72</v>
      </c>
      <c r="AB67" s="94">
        <v>80</v>
      </c>
      <c r="AC67" s="93">
        <v>68</v>
      </c>
      <c r="AD67" s="94">
        <f>AC67</f>
        <v>68</v>
      </c>
      <c r="AE67" s="94">
        <v>34</v>
      </c>
      <c r="AF67" s="94">
        <v>38</v>
      </c>
      <c r="AG67" s="94">
        <v>36</v>
      </c>
      <c r="AH67" s="94">
        <f>AG67</f>
        <v>36</v>
      </c>
      <c r="AI67" s="94">
        <v>35</v>
      </c>
      <c r="AJ67" s="94">
        <v>29</v>
      </c>
      <c r="AK67" s="94">
        <v>46</v>
      </c>
      <c r="AL67" s="94" t="s">
        <v>443</v>
      </c>
      <c r="AM67" s="94" t="s">
        <v>443</v>
      </c>
      <c r="AN67" s="94"/>
      <c r="AO67" s="94">
        <v>0</v>
      </c>
      <c r="AP67" s="94">
        <v>0</v>
      </c>
      <c r="AQ67" s="94">
        <v>0</v>
      </c>
      <c r="AR67" s="94"/>
      <c r="AS67" s="94"/>
      <c r="AT67" s="94"/>
      <c r="AU67" s="94"/>
      <c r="AV67" s="94"/>
      <c r="AW67" s="94"/>
      <c r="AX67" s="94"/>
      <c r="AY67" s="94" t="s">
        <v>443</v>
      </c>
      <c r="AZ67" s="94" t="s">
        <v>443</v>
      </c>
      <c r="BA67" s="94" t="s">
        <v>443</v>
      </c>
      <c r="BB67" s="94" t="s">
        <v>443</v>
      </c>
      <c r="BC67" s="94" t="s">
        <v>443</v>
      </c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49"/>
      <c r="CT67" s="9" t="s">
        <v>443</v>
      </c>
      <c r="CU67" s="94" t="s">
        <v>443</v>
      </c>
      <c r="CV67" s="94">
        <v>241</v>
      </c>
      <c r="CW67" s="94">
        <f>SUM(O67:R67)</f>
        <v>198</v>
      </c>
      <c r="CX67" s="94">
        <f>SUM(S67:V67)</f>
        <v>195</v>
      </c>
      <c r="CY67" s="94">
        <f>SUM(W67:Z67)</f>
        <v>249</v>
      </c>
      <c r="CZ67" s="94">
        <f>SUM(AA67:AD67)</f>
        <v>288</v>
      </c>
      <c r="DA67" s="94">
        <f>SUM(AE67:AH67)</f>
        <v>144</v>
      </c>
      <c r="DB67" s="94">
        <f>SUM(AI67:AL67)</f>
        <v>110</v>
      </c>
      <c r="DC67" s="94"/>
      <c r="DD67" s="94"/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U67" s="30"/>
    </row>
    <row r="68" spans="2:125" s="8" customFormat="1" ht="12.75" customHeight="1">
      <c r="B68" s="47" t="s">
        <v>359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>
        <v>37</v>
      </c>
      <c r="P68" s="94">
        <v>39</v>
      </c>
      <c r="Q68" s="94">
        <v>38</v>
      </c>
      <c r="R68" s="94">
        <v>43</v>
      </c>
      <c r="S68" s="94">
        <v>32</v>
      </c>
      <c r="T68" s="94">
        <v>37</v>
      </c>
      <c r="U68" s="94">
        <v>35</v>
      </c>
      <c r="V68" s="94">
        <v>35</v>
      </c>
      <c r="W68" s="94">
        <v>30</v>
      </c>
      <c r="X68" s="94">
        <v>33</v>
      </c>
      <c r="Y68" s="94">
        <v>31</v>
      </c>
      <c r="Z68" s="94">
        <v>33</v>
      </c>
      <c r="AA68" s="94">
        <v>29</v>
      </c>
      <c r="AB68" s="94">
        <v>31</v>
      </c>
      <c r="AC68" s="93">
        <v>28</v>
      </c>
      <c r="AD68" s="94">
        <f>AC68</f>
        <v>28</v>
      </c>
      <c r="AE68" s="94">
        <v>29</v>
      </c>
      <c r="AF68" s="94">
        <v>32</v>
      </c>
      <c r="AG68" s="94">
        <v>30</v>
      </c>
      <c r="AH68" s="94">
        <f>AG68</f>
        <v>30</v>
      </c>
      <c r="AI68" s="94">
        <v>28</v>
      </c>
      <c r="AJ68" s="94">
        <v>27</v>
      </c>
      <c r="AK68" s="94">
        <v>28</v>
      </c>
      <c r="AL68" s="94" t="s">
        <v>443</v>
      </c>
      <c r="AM68" s="94" t="s">
        <v>443</v>
      </c>
      <c r="AN68" s="94"/>
      <c r="AO68" s="94">
        <v>0</v>
      </c>
      <c r="AP68" s="94">
        <v>0</v>
      </c>
      <c r="AQ68" s="94">
        <v>0</v>
      </c>
      <c r="AR68" s="94"/>
      <c r="AS68" s="94"/>
      <c r="AT68" s="94"/>
      <c r="AU68" s="94"/>
      <c r="AV68" s="94"/>
      <c r="AW68" s="94"/>
      <c r="AX68" s="94"/>
      <c r="AY68" s="94" t="s">
        <v>443</v>
      </c>
      <c r="AZ68" s="94" t="s">
        <v>443</v>
      </c>
      <c r="BA68" s="94" t="s">
        <v>443</v>
      </c>
      <c r="BB68" s="94" t="s">
        <v>443</v>
      </c>
      <c r="BC68" s="94" t="s">
        <v>443</v>
      </c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49"/>
      <c r="CT68" s="9" t="s">
        <v>443</v>
      </c>
      <c r="CU68" s="98" t="s">
        <v>443</v>
      </c>
      <c r="CV68" s="94">
        <v>160</v>
      </c>
      <c r="CW68" s="94">
        <f>SUM(O68:R68)</f>
        <v>157</v>
      </c>
      <c r="CX68" s="94">
        <f>SUM(S68:V68)</f>
        <v>139</v>
      </c>
      <c r="CY68" s="94">
        <f>SUM(W68:Z68)</f>
        <v>127</v>
      </c>
      <c r="CZ68" s="94">
        <f>SUM(AA68:AD68)</f>
        <v>116</v>
      </c>
      <c r="DA68" s="94">
        <f>SUM(AE68:AH68)</f>
        <v>121</v>
      </c>
      <c r="DB68" s="94">
        <f>SUM(AI68:AL68)</f>
        <v>83</v>
      </c>
      <c r="DC68" s="94"/>
      <c r="DD68" s="94"/>
      <c r="DE68" s="94"/>
      <c r="DF68" s="94"/>
      <c r="DG68" s="94"/>
      <c r="DH68" s="94"/>
      <c r="DI68" s="94"/>
      <c r="DJ68" s="94"/>
      <c r="DK68" s="94"/>
      <c r="DL68" s="94"/>
      <c r="DM68" s="94"/>
      <c r="DN68" s="94"/>
      <c r="DO68" s="94"/>
      <c r="DP68" s="94"/>
      <c r="DQ68" s="94"/>
      <c r="DR68" s="94"/>
      <c r="DS68" s="94"/>
      <c r="DU68" s="30"/>
    </row>
    <row r="69" spans="2:125" s="8" customFormat="1" ht="12.75" customHeight="1">
      <c r="B69" s="47" t="s">
        <v>589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3"/>
      <c r="AD69" s="94"/>
      <c r="AE69" s="94"/>
      <c r="AF69" s="94"/>
      <c r="AG69" s="94"/>
      <c r="AH69" s="94"/>
      <c r="AI69" s="96" t="s">
        <v>625</v>
      </c>
      <c r="AJ69" s="94"/>
      <c r="AK69" s="94"/>
      <c r="AL69" s="94">
        <v>26</v>
      </c>
      <c r="AM69" s="94">
        <v>57</v>
      </c>
      <c r="AN69" s="94">
        <v>55</v>
      </c>
      <c r="AO69" s="94">
        <v>43</v>
      </c>
      <c r="AP69" s="94">
        <v>55</v>
      </c>
      <c r="AQ69" s="94">
        <v>42</v>
      </c>
      <c r="AR69" s="94"/>
      <c r="AS69" s="94"/>
      <c r="AT69" s="94"/>
      <c r="AU69" s="94"/>
      <c r="AV69" s="94"/>
      <c r="AW69" s="94"/>
      <c r="AX69" s="94"/>
      <c r="AY69" s="94" t="s">
        <v>443</v>
      </c>
      <c r="AZ69" s="94" t="s">
        <v>443</v>
      </c>
      <c r="BA69" s="94" t="s">
        <v>443</v>
      </c>
      <c r="BB69" s="94" t="s">
        <v>443</v>
      </c>
      <c r="BC69" s="94" t="s">
        <v>443</v>
      </c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49"/>
      <c r="CT69" s="9"/>
      <c r="CU69" s="98"/>
      <c r="CV69" s="94"/>
      <c r="CW69" s="94"/>
      <c r="CX69" s="94"/>
      <c r="CY69" s="94"/>
      <c r="CZ69" s="94"/>
      <c r="DA69" s="94"/>
      <c r="DB69" s="94"/>
      <c r="DC69" s="94">
        <f>SUM(AM69:AP69)</f>
        <v>210</v>
      </c>
      <c r="DD69" s="94">
        <f>+DC69</f>
        <v>210</v>
      </c>
      <c r="DE69" s="94">
        <f t="shared" ref="DE69:DS69" si="117">+DD69</f>
        <v>210</v>
      </c>
      <c r="DF69" s="94">
        <f t="shared" si="117"/>
        <v>210</v>
      </c>
      <c r="DG69" s="94">
        <f t="shared" si="117"/>
        <v>210</v>
      </c>
      <c r="DH69" s="94">
        <f t="shared" si="117"/>
        <v>210</v>
      </c>
      <c r="DI69" s="94">
        <f t="shared" si="117"/>
        <v>210</v>
      </c>
      <c r="DJ69" s="94">
        <f t="shared" si="117"/>
        <v>210</v>
      </c>
      <c r="DK69" s="94">
        <f t="shared" si="117"/>
        <v>210</v>
      </c>
      <c r="DL69" s="94">
        <f t="shared" si="117"/>
        <v>210</v>
      </c>
      <c r="DM69" s="94">
        <f t="shared" si="117"/>
        <v>210</v>
      </c>
      <c r="DN69" s="94">
        <f t="shared" si="117"/>
        <v>210</v>
      </c>
      <c r="DO69" s="94">
        <f t="shared" si="117"/>
        <v>210</v>
      </c>
      <c r="DP69" s="94">
        <f t="shared" si="117"/>
        <v>210</v>
      </c>
      <c r="DQ69" s="94">
        <f t="shared" si="117"/>
        <v>210</v>
      </c>
      <c r="DR69" s="94">
        <f t="shared" si="117"/>
        <v>210</v>
      </c>
      <c r="DS69" s="94">
        <f t="shared" si="117"/>
        <v>210</v>
      </c>
      <c r="DU69" s="30"/>
    </row>
    <row r="70" spans="2:125" s="8" customFormat="1" ht="12.75" customHeight="1">
      <c r="B70" s="47" t="s">
        <v>100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>
        <v>22</v>
      </c>
      <c r="P70" s="94">
        <v>21</v>
      </c>
      <c r="Q70" s="94">
        <v>19</v>
      </c>
      <c r="R70" s="94">
        <v>22</v>
      </c>
      <c r="S70" s="94">
        <v>23</v>
      </c>
      <c r="T70" s="94">
        <v>23</v>
      </c>
      <c r="U70" s="94">
        <v>21</v>
      </c>
      <c r="V70" s="94">
        <v>21</v>
      </c>
      <c r="W70" s="94">
        <v>22</v>
      </c>
      <c r="X70" s="94">
        <v>23</v>
      </c>
      <c r="Y70" s="94">
        <v>22</v>
      </c>
      <c r="Z70" s="94">
        <v>19</v>
      </c>
      <c r="AA70" s="94">
        <v>24</v>
      </c>
      <c r="AB70" s="94">
        <v>20</v>
      </c>
      <c r="AC70" s="94">
        <v>21</v>
      </c>
      <c r="AD70" s="94">
        <f>AC70</f>
        <v>21</v>
      </c>
      <c r="AE70" s="94" t="s">
        <v>443</v>
      </c>
      <c r="AF70" s="94" t="s">
        <v>443</v>
      </c>
      <c r="AG70" s="94" t="s">
        <v>443</v>
      </c>
      <c r="AH70" s="94" t="s">
        <v>443</v>
      </c>
      <c r="AI70" s="94" t="s">
        <v>443</v>
      </c>
      <c r="AJ70" s="94" t="s">
        <v>443</v>
      </c>
      <c r="AK70" s="94" t="str">
        <f>AJ70</f>
        <v>-</v>
      </c>
      <c r="AL70" s="94" t="str">
        <f>AK70</f>
        <v>-</v>
      </c>
      <c r="AM70" s="94" t="s">
        <v>443</v>
      </c>
      <c r="AN70" s="94"/>
      <c r="AO70" s="94">
        <v>0</v>
      </c>
      <c r="AP70" s="94">
        <v>0</v>
      </c>
      <c r="AQ70" s="94"/>
      <c r="AR70" s="94"/>
      <c r="AS70" s="94"/>
      <c r="AT70" s="94"/>
      <c r="AU70" s="94"/>
      <c r="AV70" s="94"/>
      <c r="AW70" s="94"/>
      <c r="AX70" s="94"/>
      <c r="AY70" s="94" t="s">
        <v>443</v>
      </c>
      <c r="AZ70" s="94" t="s">
        <v>443</v>
      </c>
      <c r="BA70" s="94" t="s">
        <v>443</v>
      </c>
      <c r="BB70" s="94" t="s">
        <v>443</v>
      </c>
      <c r="BC70" s="94" t="s">
        <v>443</v>
      </c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49"/>
      <c r="CT70" s="9" t="s">
        <v>443</v>
      </c>
      <c r="CU70" s="94">
        <v>115</v>
      </c>
      <c r="CV70" s="94">
        <v>96</v>
      </c>
      <c r="CW70" s="94">
        <f>SUM(O70:R70)</f>
        <v>84</v>
      </c>
      <c r="CX70" s="94">
        <f>SUM(S70:V70)</f>
        <v>88</v>
      </c>
      <c r="CY70" s="94">
        <f>SUM(W70:Z70)</f>
        <v>86</v>
      </c>
      <c r="CZ70" s="94">
        <f>SUM(AA70:AD70)</f>
        <v>86</v>
      </c>
      <c r="DA70" s="94">
        <f>SUM(AE70:AH70)</f>
        <v>0</v>
      </c>
      <c r="DB70" s="94">
        <f>SUM(AI70:AL70)</f>
        <v>0</v>
      </c>
      <c r="DC70" s="94"/>
      <c r="DD70" s="94"/>
      <c r="DE70" s="94"/>
      <c r="DF70" s="94"/>
      <c r="DG70" s="94"/>
      <c r="DH70" s="94"/>
      <c r="DI70" s="94"/>
      <c r="DJ70" s="94"/>
      <c r="DK70" s="94"/>
      <c r="DL70" s="94"/>
      <c r="DM70" s="94"/>
      <c r="DN70" s="94"/>
      <c r="DO70" s="94"/>
      <c r="DP70" s="94"/>
      <c r="DQ70" s="94"/>
      <c r="DR70" s="94"/>
      <c r="DS70" s="94"/>
      <c r="DU70" s="30"/>
    </row>
    <row r="71" spans="2:125" s="8" customFormat="1" ht="12.75" customHeight="1">
      <c r="B71" s="47" t="s">
        <v>180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>
        <v>1</v>
      </c>
      <c r="AA71" s="94">
        <v>2</v>
      </c>
      <c r="AB71" s="94">
        <v>3</v>
      </c>
      <c r="AC71" s="94">
        <v>3</v>
      </c>
      <c r="AD71" s="94">
        <f>AC71</f>
        <v>3</v>
      </c>
      <c r="AE71" s="94">
        <v>4</v>
      </c>
      <c r="AF71" s="94">
        <v>3</v>
      </c>
      <c r="AG71" s="94">
        <v>4</v>
      </c>
      <c r="AH71" s="94">
        <f>AG71</f>
        <v>4</v>
      </c>
      <c r="AI71" s="94">
        <v>5</v>
      </c>
      <c r="AJ71" s="94">
        <v>4</v>
      </c>
      <c r="AK71" s="94">
        <v>5</v>
      </c>
      <c r="AL71" s="94" t="s">
        <v>443</v>
      </c>
      <c r="AM71" s="94" t="s">
        <v>443</v>
      </c>
      <c r="AN71" s="94"/>
      <c r="AO71" s="94">
        <v>0</v>
      </c>
      <c r="AP71" s="94">
        <v>0</v>
      </c>
      <c r="AQ71" s="94"/>
      <c r="AR71" s="94"/>
      <c r="AS71" s="94"/>
      <c r="AT71" s="94"/>
      <c r="AU71" s="94"/>
      <c r="AV71" s="94"/>
      <c r="AW71" s="94"/>
      <c r="AX71" s="94"/>
      <c r="AY71" s="94" t="s">
        <v>443</v>
      </c>
      <c r="AZ71" s="94" t="s">
        <v>443</v>
      </c>
      <c r="BA71" s="94" t="s">
        <v>443</v>
      </c>
      <c r="BB71" s="94" t="s">
        <v>443</v>
      </c>
      <c r="BC71" s="94" t="s">
        <v>443</v>
      </c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49"/>
      <c r="CT71" s="9" t="s">
        <v>443</v>
      </c>
      <c r="CU71" s="94" t="s">
        <v>443</v>
      </c>
      <c r="CV71" s="94" t="s">
        <v>443</v>
      </c>
      <c r="CW71" s="94" t="s">
        <v>443</v>
      </c>
      <c r="CX71" s="94">
        <f>SUM(S71:V71)</f>
        <v>0</v>
      </c>
      <c r="CY71" s="94">
        <f>SUM(W71:Z71)</f>
        <v>1</v>
      </c>
      <c r="CZ71" s="94">
        <f>SUM(AA71:AD71)</f>
        <v>11</v>
      </c>
      <c r="DA71" s="94">
        <f>SUM(AE71:AH71)</f>
        <v>15</v>
      </c>
      <c r="DB71" s="94">
        <f>SUM(AI71:AL71)</f>
        <v>14</v>
      </c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U71" s="30"/>
    </row>
    <row r="72" spans="2:125" s="8" customFormat="1" ht="12.75" customHeight="1">
      <c r="B72" s="47" t="s">
        <v>488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>
        <v>759</v>
      </c>
      <c r="AG72" s="94"/>
      <c r="AH72" s="94"/>
      <c r="AI72" s="96" t="s">
        <v>616</v>
      </c>
      <c r="AJ72" s="96" t="s">
        <v>651</v>
      </c>
      <c r="AK72" s="94"/>
      <c r="AL72" s="94">
        <v>494</v>
      </c>
      <c r="AM72" s="94">
        <v>709</v>
      </c>
      <c r="AN72" s="94">
        <v>731</v>
      </c>
      <c r="AO72" s="94">
        <v>687</v>
      </c>
      <c r="AP72" s="94">
        <v>815</v>
      </c>
      <c r="AQ72" s="94">
        <v>758</v>
      </c>
      <c r="AR72" s="94">
        <v>802</v>
      </c>
      <c r="AS72" s="94">
        <v>826</v>
      </c>
      <c r="AT72" s="94">
        <v>868</v>
      </c>
      <c r="AU72" s="94">
        <v>821</v>
      </c>
      <c r="AV72" s="94">
        <v>865</v>
      </c>
      <c r="AW72" s="94">
        <v>815</v>
      </c>
      <c r="AX72" s="94">
        <v>898</v>
      </c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>
        <v>1025</v>
      </c>
      <c r="BX72" s="94">
        <v>1124</v>
      </c>
      <c r="BY72" s="94">
        <v>1122</v>
      </c>
      <c r="BZ72" s="94">
        <v>1122</v>
      </c>
      <c r="CA72" s="94">
        <v>1214</v>
      </c>
      <c r="CB72" s="94">
        <v>1101</v>
      </c>
      <c r="CC72" s="94">
        <v>1220</v>
      </c>
      <c r="CD72" s="94">
        <v>1168</v>
      </c>
      <c r="CE72" s="94">
        <v>1418</v>
      </c>
      <c r="CF72" s="94">
        <v>1472</v>
      </c>
      <c r="CG72" s="94">
        <v>1417</v>
      </c>
      <c r="CH72" s="94">
        <v>1261</v>
      </c>
      <c r="CI72" s="94">
        <v>1482</v>
      </c>
      <c r="CJ72" s="94">
        <v>1467</v>
      </c>
      <c r="CK72" s="94">
        <v>1371</v>
      </c>
      <c r="CL72" s="94">
        <f t="shared" ref="CL72:CP72" si="118">+CH72*1.05</f>
        <v>1324.05</v>
      </c>
      <c r="CM72" s="94">
        <f t="shared" si="118"/>
        <v>1556.1000000000001</v>
      </c>
      <c r="CN72" s="94">
        <f t="shared" si="118"/>
        <v>1540.3500000000001</v>
      </c>
      <c r="CO72" s="94">
        <f t="shared" si="118"/>
        <v>1439.55</v>
      </c>
      <c r="CP72" s="94">
        <f t="shared" si="118"/>
        <v>1390.2525000000001</v>
      </c>
      <c r="CQ72" s="94"/>
      <c r="CR72" s="94"/>
      <c r="CS72" s="49"/>
      <c r="CT72" s="9"/>
      <c r="CU72" s="94"/>
      <c r="CV72" s="94"/>
      <c r="CW72" s="94"/>
      <c r="CX72" s="94"/>
      <c r="CY72" s="94"/>
      <c r="CZ72" s="94"/>
      <c r="DA72" s="94"/>
      <c r="DB72" s="94"/>
      <c r="DC72" s="94">
        <f>SUM(AM72:AP72)</f>
        <v>2942</v>
      </c>
      <c r="DD72" s="94">
        <f>DC72*1.02</f>
        <v>3000.84</v>
      </c>
      <c r="DE72" s="94">
        <f t="shared" ref="DE72:DL72" si="119">DD72*1.02</f>
        <v>3060.8568</v>
      </c>
      <c r="DF72" s="94">
        <f t="shared" si="119"/>
        <v>3122.0739360000002</v>
      </c>
      <c r="DG72" s="94">
        <f t="shared" si="119"/>
        <v>3184.5154147200001</v>
      </c>
      <c r="DH72" s="94">
        <f t="shared" si="119"/>
        <v>3248.2057230144001</v>
      </c>
      <c r="DI72" s="94">
        <f t="shared" si="119"/>
        <v>3313.1698374746879</v>
      </c>
      <c r="DJ72" s="94">
        <f t="shared" si="119"/>
        <v>3379.4332342241819</v>
      </c>
      <c r="DK72" s="94">
        <f t="shared" si="119"/>
        <v>3447.0218989086657</v>
      </c>
      <c r="DL72" s="94">
        <f t="shared" si="119"/>
        <v>3515.9623368868392</v>
      </c>
      <c r="DM72" s="94">
        <f t="shared" ref="DM72:DS73" si="120">DL72*1.02</f>
        <v>3586.2815836245759</v>
      </c>
      <c r="DN72" s="94">
        <f t="shared" si="120"/>
        <v>3658.0072152970674</v>
      </c>
      <c r="DO72" s="94">
        <f t="shared" si="120"/>
        <v>3731.1673596030087</v>
      </c>
      <c r="DP72" s="94">
        <f t="shared" si="120"/>
        <v>3805.7907067950691</v>
      </c>
      <c r="DQ72" s="94">
        <f t="shared" si="120"/>
        <v>3881.9065209309706</v>
      </c>
      <c r="DR72" s="94">
        <f t="shared" si="120"/>
        <v>3959.5446513495899</v>
      </c>
      <c r="DS72" s="94">
        <f t="shared" si="120"/>
        <v>4038.7355443765819</v>
      </c>
      <c r="DU72" s="30"/>
    </row>
    <row r="73" spans="2:125" s="8" customFormat="1" ht="12.75" customHeight="1">
      <c r="B73" s="47" t="s">
        <v>489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6" t="s">
        <v>632</v>
      </c>
      <c r="AJ73" s="94"/>
      <c r="AK73" s="94"/>
      <c r="AL73" s="94">
        <v>149</v>
      </c>
      <c r="AM73" s="94">
        <v>379</v>
      </c>
      <c r="AN73" s="94">
        <v>422</v>
      </c>
      <c r="AO73" s="94">
        <v>291</v>
      </c>
      <c r="AP73" s="94">
        <v>251</v>
      </c>
      <c r="AQ73" s="94">
        <v>517</v>
      </c>
      <c r="AR73" s="94">
        <v>541</v>
      </c>
      <c r="AS73" s="94">
        <v>421</v>
      </c>
      <c r="AT73" s="94">
        <v>361</v>
      </c>
      <c r="AU73" s="94">
        <v>554</v>
      </c>
      <c r="AV73" s="94">
        <v>552</v>
      </c>
      <c r="AW73" s="94">
        <v>451</v>
      </c>
      <c r="AX73" s="94">
        <v>395</v>
      </c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49"/>
      <c r="CT73" s="9"/>
      <c r="CU73" s="94"/>
      <c r="CV73" s="94"/>
      <c r="CW73" s="94"/>
      <c r="CX73" s="94"/>
      <c r="CY73" s="94"/>
      <c r="CZ73" s="94"/>
      <c r="DA73" s="94"/>
      <c r="DB73" s="94"/>
      <c r="DC73" s="94">
        <f>SUM(AM73:AP73)</f>
        <v>1343</v>
      </c>
      <c r="DD73" s="94">
        <f t="shared" ref="DD73:DL73" si="121">DC73*1.02</f>
        <v>1369.8600000000001</v>
      </c>
      <c r="DE73" s="94">
        <f t="shared" si="121"/>
        <v>1397.2572000000002</v>
      </c>
      <c r="DF73" s="94">
        <f t="shared" si="121"/>
        <v>1425.2023440000003</v>
      </c>
      <c r="DG73" s="94">
        <f t="shared" si="121"/>
        <v>1453.7063908800003</v>
      </c>
      <c r="DH73" s="94">
        <f t="shared" si="121"/>
        <v>1482.7805186976004</v>
      </c>
      <c r="DI73" s="94">
        <f t="shared" si="121"/>
        <v>1512.4361290715524</v>
      </c>
      <c r="DJ73" s="94">
        <f t="shared" si="121"/>
        <v>1542.6848516529835</v>
      </c>
      <c r="DK73" s="94">
        <f t="shared" si="121"/>
        <v>1573.5385486860432</v>
      </c>
      <c r="DL73" s="94">
        <f t="shared" si="121"/>
        <v>1605.0093196597641</v>
      </c>
      <c r="DM73" s="94">
        <f t="shared" si="120"/>
        <v>1637.1095060529594</v>
      </c>
      <c r="DN73" s="94">
        <f t="shared" si="120"/>
        <v>1669.8516961740186</v>
      </c>
      <c r="DO73" s="94">
        <f t="shared" si="120"/>
        <v>1703.248730097499</v>
      </c>
      <c r="DP73" s="94">
        <f t="shared" si="120"/>
        <v>1737.3137046994491</v>
      </c>
      <c r="DQ73" s="94">
        <f t="shared" si="120"/>
        <v>1772.0599787934382</v>
      </c>
      <c r="DR73" s="94">
        <f t="shared" si="120"/>
        <v>1807.5011783693069</v>
      </c>
      <c r="DS73" s="94">
        <f t="shared" si="120"/>
        <v>1843.651201936693</v>
      </c>
      <c r="DU73" s="30"/>
    </row>
    <row r="74" spans="2:125" s="8" customFormat="1" ht="12.75" customHeight="1">
      <c r="B74" s="47" t="s">
        <v>98</v>
      </c>
      <c r="C74" s="9"/>
      <c r="D74" s="9"/>
      <c r="E74" s="9"/>
      <c r="F74" s="9"/>
      <c r="G74" s="7"/>
      <c r="H74" s="7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94"/>
      <c r="Z74" s="33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49"/>
      <c r="CT74" s="25"/>
      <c r="CU74" s="94">
        <v>480</v>
      </c>
      <c r="CV74" s="94">
        <v>115</v>
      </c>
      <c r="CW74" s="94">
        <v>47</v>
      </c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  <c r="DS74" s="84"/>
      <c r="DU74" s="30"/>
    </row>
    <row r="75" spans="2:125" s="8" customFormat="1" ht="12.75" customHeight="1">
      <c r="B75" s="47" t="s">
        <v>614</v>
      </c>
      <c r="C75" s="9"/>
      <c r="D75" s="9"/>
      <c r="E75" s="9"/>
      <c r="F75" s="9"/>
      <c r="G75" s="7"/>
      <c r="H75" s="7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94"/>
      <c r="Z75" s="33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49"/>
      <c r="CT75" s="25"/>
      <c r="CU75" s="94"/>
      <c r="CV75" s="94"/>
      <c r="CW75" s="94"/>
      <c r="CX75" s="94"/>
      <c r="CY75" s="94"/>
      <c r="CZ75" s="94"/>
      <c r="DA75" s="94"/>
      <c r="DB75" s="94"/>
      <c r="DC75" s="94"/>
      <c r="DD75" s="94">
        <v>50</v>
      </c>
      <c r="DE75" s="94">
        <v>75</v>
      </c>
      <c r="DF75" s="94">
        <v>100</v>
      </c>
      <c r="DG75" s="94">
        <v>125</v>
      </c>
      <c r="DH75" s="84">
        <v>150</v>
      </c>
      <c r="DI75" s="84">
        <v>175</v>
      </c>
      <c r="DJ75" s="84">
        <v>200</v>
      </c>
      <c r="DK75" s="84">
        <v>225</v>
      </c>
      <c r="DL75" s="84">
        <v>250</v>
      </c>
      <c r="DM75" s="84">
        <v>250</v>
      </c>
      <c r="DN75" s="84">
        <v>250</v>
      </c>
      <c r="DO75" s="84">
        <v>250</v>
      </c>
      <c r="DP75" s="84">
        <v>250</v>
      </c>
      <c r="DQ75" s="84">
        <v>250</v>
      </c>
      <c r="DR75" s="84">
        <v>250</v>
      </c>
      <c r="DS75" s="84">
        <v>250</v>
      </c>
      <c r="DU75" s="30"/>
    </row>
    <row r="76" spans="2:125" s="8" customFormat="1" ht="12.75" customHeight="1">
      <c r="B76" s="47" t="s">
        <v>104</v>
      </c>
      <c r="C76" s="9"/>
      <c r="D76" s="9"/>
      <c r="E76" s="9"/>
      <c r="F76" s="9"/>
      <c r="G76" s="7"/>
      <c r="H76" s="7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94"/>
      <c r="Z76" s="33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49"/>
      <c r="CT76" s="25"/>
      <c r="CU76" s="94">
        <v>55</v>
      </c>
      <c r="CV76" s="94">
        <v>37</v>
      </c>
      <c r="CW76" s="94"/>
      <c r="CX76" s="94"/>
      <c r="CY76" s="94"/>
      <c r="CZ76" s="94"/>
      <c r="DA76" s="94"/>
      <c r="DB76" s="94"/>
      <c r="DC76" s="94"/>
      <c r="DD76" s="94"/>
      <c r="DE76" s="94"/>
      <c r="DF76" s="94"/>
      <c r="DG76" s="94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U76" s="30"/>
    </row>
    <row r="77" spans="2:125" s="8" customFormat="1" ht="12.75" customHeight="1">
      <c r="B77" s="47" t="s">
        <v>99</v>
      </c>
      <c r="C77" s="9"/>
      <c r="D77" s="9"/>
      <c r="E77" s="9"/>
      <c r="F77" s="9"/>
      <c r="G77" s="7"/>
      <c r="H77" s="7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94"/>
      <c r="Z77" s="33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49"/>
      <c r="CT77" s="25"/>
      <c r="CU77" s="94">
        <v>110</v>
      </c>
      <c r="CV77" s="94">
        <v>56</v>
      </c>
      <c r="CW77" s="94"/>
      <c r="CX77" s="94"/>
      <c r="CY77" s="94"/>
      <c r="CZ77" s="94"/>
      <c r="DA77" s="94"/>
      <c r="DB77" s="94"/>
      <c r="DC77" s="94"/>
      <c r="DD77" s="94"/>
      <c r="DE77" s="94"/>
      <c r="DF77" s="94"/>
      <c r="DG77" s="94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U77" s="30"/>
    </row>
    <row r="78" spans="2:125" s="8" customFormat="1" ht="12.75" customHeight="1">
      <c r="B78" s="47" t="s">
        <v>97</v>
      </c>
      <c r="C78" s="94">
        <v>554.31479999999999</v>
      </c>
      <c r="D78" s="94">
        <v>554.31549999999993</v>
      </c>
      <c r="E78" s="94">
        <v>731.20980000000009</v>
      </c>
      <c r="F78" s="94">
        <v>510.72115509097432</v>
      </c>
      <c r="G78" s="94">
        <v>598</v>
      </c>
      <c r="H78" s="94">
        <v>788</v>
      </c>
      <c r="I78" s="94">
        <v>756</v>
      </c>
      <c r="J78" s="94">
        <v>386</v>
      </c>
      <c r="K78" s="94">
        <v>521</v>
      </c>
      <c r="L78" s="94">
        <v>814</v>
      </c>
      <c r="M78" s="94">
        <v>529.25</v>
      </c>
      <c r="N78" s="94">
        <v>754.25</v>
      </c>
      <c r="O78" s="94">
        <v>661</v>
      </c>
      <c r="P78" s="94">
        <v>653</v>
      </c>
      <c r="Q78" s="94">
        <v>175</v>
      </c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49"/>
      <c r="CT78" s="94">
        <v>2350.5626944231763</v>
      </c>
      <c r="CU78" s="94">
        <v>2530</v>
      </c>
      <c r="CV78" s="94">
        <v>2569</v>
      </c>
      <c r="CW78" s="94">
        <f>SUM(O78:R78)</f>
        <v>1489</v>
      </c>
      <c r="CX78" s="94"/>
      <c r="CY78" s="94"/>
      <c r="CZ78" s="94"/>
      <c r="DA78" s="94"/>
      <c r="DB78" s="94"/>
      <c r="DC78" s="94"/>
      <c r="DD78" s="94"/>
      <c r="DE78" s="94"/>
      <c r="DF78" s="94"/>
      <c r="DG78" s="94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U78" s="30"/>
    </row>
    <row r="79" spans="2:125" s="8" customFormat="1" ht="12.75" customHeight="1">
      <c r="B79" s="47" t="s">
        <v>165</v>
      </c>
      <c r="C79" s="26"/>
      <c r="D79" s="26"/>
      <c r="E79" s="26"/>
      <c r="F79" s="26"/>
      <c r="G79" s="26"/>
      <c r="H79" s="2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4"/>
      <c r="Z79" s="9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49"/>
      <c r="CT79" s="27"/>
      <c r="CU79" s="94"/>
      <c r="CV79" s="94"/>
      <c r="CW79" s="94"/>
      <c r="CX79" s="94"/>
      <c r="CY79" s="94"/>
      <c r="CZ79" s="94"/>
      <c r="DA79" s="94"/>
      <c r="DB79" s="94"/>
      <c r="DC79" s="94"/>
      <c r="DD79" s="94">
        <v>200</v>
      </c>
      <c r="DE79" s="94">
        <f t="shared" ref="DE79:DL79" si="122">DD79*1.05</f>
        <v>210</v>
      </c>
      <c r="DF79" s="94">
        <f t="shared" si="122"/>
        <v>220.5</v>
      </c>
      <c r="DG79" s="94">
        <f t="shared" si="122"/>
        <v>231.52500000000001</v>
      </c>
      <c r="DH79" s="94">
        <f t="shared" si="122"/>
        <v>243.10125000000002</v>
      </c>
      <c r="DI79" s="94">
        <f t="shared" si="122"/>
        <v>255.25631250000004</v>
      </c>
      <c r="DJ79" s="94">
        <f t="shared" si="122"/>
        <v>268.01912812500007</v>
      </c>
      <c r="DK79" s="94">
        <f t="shared" si="122"/>
        <v>281.4200845312501</v>
      </c>
      <c r="DL79" s="94">
        <f t="shared" si="122"/>
        <v>295.49108875781263</v>
      </c>
      <c r="DM79" s="94">
        <f t="shared" ref="DM79:DS79" si="123">DL79*1.05</f>
        <v>310.26564319570326</v>
      </c>
      <c r="DN79" s="94">
        <f t="shared" si="123"/>
        <v>325.77892535548841</v>
      </c>
      <c r="DO79" s="94">
        <f t="shared" si="123"/>
        <v>342.06787162326287</v>
      </c>
      <c r="DP79" s="94">
        <f t="shared" si="123"/>
        <v>359.17126520442605</v>
      </c>
      <c r="DQ79" s="94">
        <f t="shared" si="123"/>
        <v>377.12982846464735</v>
      </c>
      <c r="DR79" s="94">
        <f t="shared" si="123"/>
        <v>395.98631988787974</v>
      </c>
      <c r="DS79" s="94">
        <f t="shared" si="123"/>
        <v>415.78563588227377</v>
      </c>
      <c r="DU79" s="30"/>
    </row>
    <row r="80" spans="2:125" s="8" customFormat="1" ht="12.75" customHeight="1">
      <c r="B80" s="47" t="s">
        <v>490</v>
      </c>
      <c r="C80" s="26"/>
      <c r="D80" s="26"/>
      <c r="E80" s="26"/>
      <c r="F80" s="26"/>
      <c r="G80" s="26"/>
      <c r="H80" s="2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4"/>
      <c r="Z80" s="9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49"/>
      <c r="CT80" s="27"/>
      <c r="CU80" s="94"/>
      <c r="CV80" s="94"/>
      <c r="CW80" s="94"/>
      <c r="CX80" s="94"/>
      <c r="CY80" s="94"/>
      <c r="CZ80" s="94"/>
      <c r="DA80" s="94"/>
      <c r="DB80" s="94"/>
      <c r="DC80" s="94"/>
      <c r="DD80" s="94">
        <v>250</v>
      </c>
      <c r="DE80" s="94">
        <f t="shared" ref="DE80:DL80" si="124">DD80*1.1</f>
        <v>275</v>
      </c>
      <c r="DF80" s="94">
        <f t="shared" si="124"/>
        <v>302.5</v>
      </c>
      <c r="DG80" s="94">
        <f t="shared" si="124"/>
        <v>332.75</v>
      </c>
      <c r="DH80" s="94">
        <f t="shared" si="124"/>
        <v>366.02500000000003</v>
      </c>
      <c r="DI80" s="94">
        <f t="shared" si="124"/>
        <v>402.62750000000005</v>
      </c>
      <c r="DJ80" s="94">
        <f t="shared" si="124"/>
        <v>442.89025000000009</v>
      </c>
      <c r="DK80" s="94">
        <f t="shared" si="124"/>
        <v>487.17927500000013</v>
      </c>
      <c r="DL80" s="94">
        <f t="shared" si="124"/>
        <v>535.89720250000016</v>
      </c>
      <c r="DM80" s="94">
        <f t="shared" ref="DM80:DS80" si="125">DL80*1.1</f>
        <v>589.48692275000019</v>
      </c>
      <c r="DN80" s="94">
        <f t="shared" si="125"/>
        <v>648.43561502500029</v>
      </c>
      <c r="DO80" s="94">
        <f t="shared" si="125"/>
        <v>713.27917652750034</v>
      </c>
      <c r="DP80" s="94">
        <f t="shared" si="125"/>
        <v>784.60709418025044</v>
      </c>
      <c r="DQ80" s="94">
        <f t="shared" si="125"/>
        <v>863.06780359827553</v>
      </c>
      <c r="DR80" s="94">
        <f t="shared" si="125"/>
        <v>949.37458395810313</v>
      </c>
      <c r="DS80" s="94">
        <f t="shared" si="125"/>
        <v>1044.3120423539135</v>
      </c>
      <c r="DU80" s="30"/>
    </row>
    <row r="81" spans="2:186" s="8" customFormat="1" ht="12.75" customHeight="1">
      <c r="B81" s="47" t="s">
        <v>79</v>
      </c>
      <c r="C81" s="26"/>
      <c r="D81" s="26"/>
      <c r="E81" s="26"/>
      <c r="F81" s="26"/>
      <c r="G81" s="26"/>
      <c r="H81" s="26"/>
      <c r="I81" s="94"/>
      <c r="J81" s="94"/>
      <c r="K81" s="94"/>
      <c r="L81" s="94"/>
      <c r="M81" s="94"/>
      <c r="N81" s="94"/>
      <c r="O81" s="94">
        <f>5631-SUM(O13:O28,O8:O78)</f>
        <v>-1459</v>
      </c>
      <c r="P81" s="94">
        <f>6022-SUM(P13:P28,P8:P78)</f>
        <v>-1681</v>
      </c>
      <c r="Q81" s="94">
        <f>5538-SUM(Q13:Q28,Q8:Q78)</f>
        <v>-1732</v>
      </c>
      <c r="R81" s="94">
        <f>5748-SUM(R13:R28,R8:R77)</f>
        <v>-2036</v>
      </c>
      <c r="S81" s="94">
        <f>5362-SUM(S13:S28,S8:S77)</f>
        <v>-2058</v>
      </c>
      <c r="T81" s="94">
        <f>5468-SUM(T13:T28,T8:T77)</f>
        <v>-2359</v>
      </c>
      <c r="U81" s="94">
        <f>5416-SUM(U13:U28,U8:U77)</f>
        <v>-2403</v>
      </c>
      <c r="V81" s="94">
        <f>5766-SUM(V13:V28,V8:V77)</f>
        <v>-2561</v>
      </c>
      <c r="W81" s="94">
        <f>5410-SUM(W13:W28,W8:W77)</f>
        <v>-2630.3999999999996</v>
      </c>
      <c r="X81" s="94">
        <f>5772-SUM(X13:X28,X8:X77)</f>
        <v>-3133.7999999999993</v>
      </c>
      <c r="Y81" s="94">
        <f>5410-SUM((Y8:Y71,Y13:Y20))</f>
        <v>-2074</v>
      </c>
      <c r="Z81" s="94">
        <f>6044-SUM((Z9:Z71,Z13:Z20))</f>
        <v>-1818</v>
      </c>
      <c r="AA81" s="94">
        <f>5769-SUM((AA9:AA71,AA13:AA20))</f>
        <v>-2061.6000000000004</v>
      </c>
      <c r="AB81" s="94">
        <f>6111-SUM((AB9:AB71,AB13:AB20))</f>
        <v>-2279.7999999999993</v>
      </c>
      <c r="AC81" s="94">
        <f>6074-SUM((AC9:AC71,AC13:AC20))</f>
        <v>-2394</v>
      </c>
      <c r="AD81" s="94"/>
      <c r="AE81" s="94">
        <f>5822-SUM((AE9:AE71,AE13:AE20))</f>
        <v>-2388.7999999999993</v>
      </c>
      <c r="AF81" s="94">
        <f>6052-SUM((AF9:AF71,AF13:AF20))</f>
        <v>-2385</v>
      </c>
      <c r="AG81" s="94">
        <f>5944-SUM((AG9:AG71,AG13:AG20))</f>
        <v>-2252</v>
      </c>
      <c r="AH81" s="94">
        <f>6032-SUM((AH9:AH71,AH13:AH20))</f>
        <v>-780.99999999999909</v>
      </c>
      <c r="AI81" s="94">
        <f>5385-SUM((AI9:AI71,AI13:AI20))</f>
        <v>-2129</v>
      </c>
      <c r="AJ81" s="94">
        <f>5899.9-SUM((AJ9:AJ71,AJ13:AJ20))</f>
        <v>-2345.8999999999996</v>
      </c>
      <c r="AK81" s="94">
        <f>6049.7-SUM((AK9:AK71,AK13:AK20))</f>
        <v>-2312.5000000000009</v>
      </c>
      <c r="AL81" s="94">
        <f>781+379-1</f>
        <v>1159</v>
      </c>
      <c r="AM81" s="94">
        <f>975+542</f>
        <v>1517</v>
      </c>
      <c r="AN81" s="94">
        <f>417+986</f>
        <v>1403</v>
      </c>
      <c r="AO81" s="94">
        <f>1049+487</f>
        <v>1536</v>
      </c>
      <c r="AP81" s="94">
        <f>1160+447</f>
        <v>1607</v>
      </c>
      <c r="AQ81" s="94">
        <f>486+745</f>
        <v>1231</v>
      </c>
      <c r="AR81" s="94">
        <f>448+1064</f>
        <v>1512</v>
      </c>
      <c r="AS81" s="94">
        <f>1015+421</f>
        <v>1436</v>
      </c>
      <c r="AT81" s="94">
        <f>1064+310</f>
        <v>1374</v>
      </c>
      <c r="AU81" s="94">
        <f>274+1013</f>
        <v>1287</v>
      </c>
      <c r="AV81" s="94">
        <f>985+333</f>
        <v>1318</v>
      </c>
      <c r="AW81" s="94">
        <f>1023+347</f>
        <v>1370</v>
      </c>
      <c r="AX81" s="94">
        <f>1113+360</f>
        <v>1473</v>
      </c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>
        <f>1082+128</f>
        <v>1210</v>
      </c>
      <c r="BX81" s="94">
        <f>1203+176</f>
        <v>1379</v>
      </c>
      <c r="BY81" s="94">
        <f>1149+180</f>
        <v>1329</v>
      </c>
      <c r="BZ81" s="94">
        <f>1183+213</f>
        <v>1396</v>
      </c>
      <c r="CA81" s="94">
        <f>1194+188</f>
        <v>1382</v>
      </c>
      <c r="CB81" s="94">
        <f>1103+92</f>
        <v>1195</v>
      </c>
      <c r="CC81" s="94">
        <f>-5+526</f>
        <v>521</v>
      </c>
      <c r="CD81" s="94">
        <f>1228-21</f>
        <v>1207</v>
      </c>
      <c r="CE81" s="94">
        <f>554-29</f>
        <v>525</v>
      </c>
      <c r="CF81" s="94">
        <f>512-50</f>
        <v>462</v>
      </c>
      <c r="CG81" s="94">
        <f>518+241</f>
        <v>759</v>
      </c>
      <c r="CH81" s="94">
        <f>533+221</f>
        <v>754</v>
      </c>
      <c r="CI81" s="94">
        <f>520+312</f>
        <v>832</v>
      </c>
      <c r="CJ81" s="94">
        <f>370+479</f>
        <v>849</v>
      </c>
      <c r="CK81" s="94">
        <f>625+564</f>
        <v>1189</v>
      </c>
      <c r="CL81" s="94">
        <f t="shared" ref="CL81:CP81" si="126">AVERAGE(CH81:CK81)</f>
        <v>906</v>
      </c>
      <c r="CM81" s="94">
        <f t="shared" si="126"/>
        <v>944</v>
      </c>
      <c r="CN81" s="94">
        <f t="shared" si="126"/>
        <v>972</v>
      </c>
      <c r="CO81" s="94">
        <f t="shared" si="126"/>
        <v>1002.75</v>
      </c>
      <c r="CP81" s="94">
        <f t="shared" si="126"/>
        <v>956.1875</v>
      </c>
      <c r="CQ81" s="94"/>
      <c r="CR81" s="94"/>
      <c r="CS81" s="49"/>
      <c r="CT81" s="27"/>
      <c r="CU81" s="94"/>
      <c r="CV81" s="94"/>
      <c r="CW81" s="94">
        <f>SUM(O81:R81)</f>
        <v>-6908</v>
      </c>
      <c r="CX81" s="94">
        <f>SUM(S81:V81)</f>
        <v>-9381</v>
      </c>
      <c r="CY81" s="94">
        <f>SUM(W81:Z81)</f>
        <v>-9656.1999999999989</v>
      </c>
      <c r="CZ81" s="94">
        <f>SUM(AA81:AD81)</f>
        <v>-6735.4</v>
      </c>
      <c r="DA81" s="94">
        <f>SUM(AE81:AH81)</f>
        <v>-7806.7999999999984</v>
      </c>
      <c r="DB81" s="94">
        <f>SUM(AI81:AL81)</f>
        <v>-5628.4000000000005</v>
      </c>
      <c r="DC81" s="94">
        <f>SUM(AM81:AP81)</f>
        <v>6063</v>
      </c>
      <c r="DD81" s="94">
        <f>DC81*0.9</f>
        <v>5456.7</v>
      </c>
      <c r="DE81" s="94">
        <f t="shared" ref="DE81:DL81" si="127">DD81*0.9</f>
        <v>4911.03</v>
      </c>
      <c r="DF81" s="94">
        <f t="shared" si="127"/>
        <v>4419.9269999999997</v>
      </c>
      <c r="DG81" s="94">
        <f t="shared" si="127"/>
        <v>3977.9342999999999</v>
      </c>
      <c r="DH81" s="94">
        <f t="shared" si="127"/>
        <v>3580.1408700000002</v>
      </c>
      <c r="DI81" s="94">
        <f t="shared" si="127"/>
        <v>3222.1267830000002</v>
      </c>
      <c r="DJ81" s="94">
        <f t="shared" si="127"/>
        <v>2899.9141047000003</v>
      </c>
      <c r="DK81" s="94">
        <f t="shared" si="127"/>
        <v>2609.9226942300002</v>
      </c>
      <c r="DL81" s="94">
        <f t="shared" si="127"/>
        <v>2348.9304248070002</v>
      </c>
      <c r="DM81" s="94">
        <f t="shared" ref="DM81:DS81" si="128">DL81*0.9</f>
        <v>2114.0373823263003</v>
      </c>
      <c r="DN81" s="94">
        <f t="shared" si="128"/>
        <v>1902.6336440936702</v>
      </c>
      <c r="DO81" s="94">
        <f t="shared" si="128"/>
        <v>1712.3702796843033</v>
      </c>
      <c r="DP81" s="94">
        <f t="shared" si="128"/>
        <v>1541.133251715873</v>
      </c>
      <c r="DQ81" s="94">
        <f t="shared" si="128"/>
        <v>1387.0199265442857</v>
      </c>
      <c r="DR81" s="94">
        <f t="shared" si="128"/>
        <v>1248.3179338898572</v>
      </c>
      <c r="DS81" s="94">
        <f t="shared" si="128"/>
        <v>1123.4861405008714</v>
      </c>
      <c r="DU81" s="30"/>
    </row>
    <row r="82" spans="2:186" s="41" customFormat="1" ht="12.75" customHeight="1">
      <c r="B82" s="36" t="s">
        <v>705</v>
      </c>
      <c r="C82" s="28">
        <v>4895.8</v>
      </c>
      <c r="D82" s="28">
        <v>5287.8</v>
      </c>
      <c r="E82" s="28">
        <v>5443.7</v>
      </c>
      <c r="F82" s="28">
        <v>5571.6</v>
      </c>
      <c r="G82" s="28"/>
      <c r="H82" s="28"/>
      <c r="I82" s="28"/>
      <c r="J82" s="28"/>
      <c r="K82" s="28"/>
      <c r="L82" s="28"/>
      <c r="M82" s="28"/>
      <c r="N82" s="28"/>
      <c r="O82" s="28">
        <f t="shared" ref="O82:AK82" si="129">SUM(O13:O79)+O81</f>
        <v>3818</v>
      </c>
      <c r="P82" s="28">
        <f t="shared" si="129"/>
        <v>3960</v>
      </c>
      <c r="Q82" s="28">
        <f t="shared" si="129"/>
        <v>3372</v>
      </c>
      <c r="R82" s="28">
        <f t="shared" si="129"/>
        <v>3405</v>
      </c>
      <c r="S82" s="28">
        <f t="shared" si="129"/>
        <v>3040</v>
      </c>
      <c r="T82" s="28">
        <f t="shared" si="129"/>
        <v>2989</v>
      </c>
      <c r="U82" s="28">
        <f t="shared" si="129"/>
        <v>2874</v>
      </c>
      <c r="V82" s="28">
        <f t="shared" si="129"/>
        <v>3103</v>
      </c>
      <c r="W82" s="28">
        <f t="shared" si="129"/>
        <v>2795.8</v>
      </c>
      <c r="X82" s="28">
        <f t="shared" si="129"/>
        <v>2780.6000000000004</v>
      </c>
      <c r="Y82" s="28">
        <f t="shared" si="129"/>
        <v>3250.5</v>
      </c>
      <c r="Z82" s="28">
        <f t="shared" si="129"/>
        <v>3817</v>
      </c>
      <c r="AA82" s="28">
        <f t="shared" si="129"/>
        <v>3470.2</v>
      </c>
      <c r="AB82" s="28">
        <f t="shared" si="129"/>
        <v>3488.1000000000004</v>
      </c>
      <c r="AC82" s="28">
        <f t="shared" si="129"/>
        <v>3328</v>
      </c>
      <c r="AD82" s="28">
        <f t="shared" si="129"/>
        <v>5640</v>
      </c>
      <c r="AE82" s="28">
        <f t="shared" si="129"/>
        <v>3139.1000000000004</v>
      </c>
      <c r="AF82" s="28">
        <f t="shared" si="129"/>
        <v>3916.5</v>
      </c>
      <c r="AG82" s="28">
        <f t="shared" si="129"/>
        <v>2937.5</v>
      </c>
      <c r="AH82" s="28">
        <f t="shared" si="129"/>
        <v>4014.8</v>
      </c>
      <c r="AI82" s="28">
        <f t="shared" si="129"/>
        <v>2662</v>
      </c>
      <c r="AJ82" s="28">
        <f t="shared" si="129"/>
        <v>2849.5</v>
      </c>
      <c r="AK82" s="28">
        <f t="shared" si="129"/>
        <v>2837.0999999999995</v>
      </c>
      <c r="AL82" s="94"/>
      <c r="AM82" s="94"/>
      <c r="AN82" s="30" t="s">
        <v>443</v>
      </c>
      <c r="AO82" s="30" t="s">
        <v>443</v>
      </c>
      <c r="AP82" s="30" t="s">
        <v>443</v>
      </c>
      <c r="BB82" s="41">
        <f t="shared" ref="BB82:CP82" si="130">SUM(BB3:BB81)</f>
        <v>8027</v>
      </c>
      <c r="BC82" s="41">
        <f t="shared" si="130"/>
        <v>6964</v>
      </c>
      <c r="BD82" s="41">
        <f t="shared" si="130"/>
        <v>0</v>
      </c>
      <c r="BE82" s="41">
        <f t="shared" si="130"/>
        <v>0</v>
      </c>
      <c r="BF82" s="41">
        <f t="shared" si="130"/>
        <v>0</v>
      </c>
      <c r="BG82" s="41">
        <f t="shared" si="130"/>
        <v>0</v>
      </c>
      <c r="BH82" s="41">
        <f t="shared" si="130"/>
        <v>0</v>
      </c>
      <c r="BI82" s="41">
        <f t="shared" si="130"/>
        <v>0</v>
      </c>
      <c r="BJ82" s="41">
        <f t="shared" si="130"/>
        <v>0</v>
      </c>
      <c r="BK82" s="41">
        <f t="shared" si="130"/>
        <v>0</v>
      </c>
      <c r="BL82" s="41">
        <f t="shared" si="130"/>
        <v>0</v>
      </c>
      <c r="BM82" s="41">
        <f t="shared" si="130"/>
        <v>0</v>
      </c>
      <c r="BN82" s="41">
        <f t="shared" si="130"/>
        <v>0</v>
      </c>
      <c r="BO82" s="41">
        <f t="shared" si="130"/>
        <v>0</v>
      </c>
      <c r="BP82" s="41">
        <f t="shared" si="130"/>
        <v>0</v>
      </c>
      <c r="BQ82" s="41">
        <f t="shared" si="130"/>
        <v>0</v>
      </c>
      <c r="BR82" s="41">
        <f t="shared" si="130"/>
        <v>0</v>
      </c>
      <c r="BS82" s="41">
        <f t="shared" si="130"/>
        <v>0</v>
      </c>
      <c r="BT82" s="41">
        <f t="shared" si="130"/>
        <v>0</v>
      </c>
      <c r="BU82" s="41">
        <f t="shared" si="130"/>
        <v>0</v>
      </c>
      <c r="BV82" s="41">
        <f t="shared" si="130"/>
        <v>0</v>
      </c>
      <c r="BW82" s="41">
        <f t="shared" si="130"/>
        <v>10816</v>
      </c>
      <c r="BX82" s="41">
        <f t="shared" si="130"/>
        <v>11760</v>
      </c>
      <c r="BY82" s="41">
        <f t="shared" si="130"/>
        <v>12397</v>
      </c>
      <c r="BZ82" s="41">
        <f t="shared" si="130"/>
        <v>11868</v>
      </c>
      <c r="CA82" s="41">
        <f>SUM(CA3:CA81)</f>
        <v>12057</v>
      </c>
      <c r="CB82" s="41">
        <f t="shared" si="130"/>
        <v>10872</v>
      </c>
      <c r="CC82" s="41">
        <f>SUM(CC3:CC81)</f>
        <v>10929</v>
      </c>
      <c r="CD82" s="41">
        <f t="shared" si="130"/>
        <v>12514</v>
      </c>
      <c r="CE82" s="41">
        <f t="shared" si="130"/>
        <v>10627</v>
      </c>
      <c r="CF82" s="41">
        <f t="shared" si="130"/>
        <v>11402</v>
      </c>
      <c r="CG82" s="41">
        <f t="shared" si="130"/>
        <v>13154</v>
      </c>
      <c r="CH82" s="41">
        <f t="shared" si="130"/>
        <v>13521</v>
      </c>
      <c r="CI82" s="41">
        <f t="shared" si="130"/>
        <v>15901</v>
      </c>
      <c r="CJ82" s="41">
        <f t="shared" si="130"/>
        <v>14593</v>
      </c>
      <c r="CK82" s="41">
        <f t="shared" si="130"/>
        <v>14959</v>
      </c>
      <c r="CL82" s="41">
        <f t="shared" si="130"/>
        <v>13802.949999999999</v>
      </c>
      <c r="CM82" s="41">
        <f t="shared" si="130"/>
        <v>14037.140000000005</v>
      </c>
      <c r="CN82" s="41">
        <f t="shared" si="130"/>
        <v>14803.6175</v>
      </c>
      <c r="CO82" s="41">
        <f t="shared" si="130"/>
        <v>15703.782174999998</v>
      </c>
      <c r="CP82" s="41">
        <f t="shared" si="130"/>
        <v>14854.93471125</v>
      </c>
      <c r="CS82" s="48"/>
      <c r="CT82" s="94">
        <f>SUM(C82:F82)+0.1</f>
        <v>21199</v>
      </c>
      <c r="CU82" s="28">
        <f>SUM(G82:J82)</f>
        <v>0</v>
      </c>
      <c r="CV82" s="28">
        <f>SUM(K82:N82)</f>
        <v>0</v>
      </c>
      <c r="CW82" s="28">
        <f>SUM(CW13:CW79)+CW81</f>
        <v>14602</v>
      </c>
      <c r="CX82" s="28">
        <f>SUM(CX13:CX79)+CX81</f>
        <v>12006</v>
      </c>
      <c r="CY82" s="28">
        <f>SUM(CY13:CY79)+CY81</f>
        <v>12643.9</v>
      </c>
      <c r="CZ82" s="28">
        <f>SUM(CZ13:CZ79)+CZ81</f>
        <v>15926.300000000001</v>
      </c>
      <c r="DA82" s="28">
        <f>SUM(DA13:DA79)+DA81</f>
        <v>13248.900000000001</v>
      </c>
      <c r="DB82" s="28">
        <f>SUM(DB13:DB80)+DB81</f>
        <v>14641.599999999999</v>
      </c>
      <c r="DC82" s="94">
        <f t="shared" ref="DC82:DS82" si="131">SUM(DC13:DC81)</f>
        <v>40342</v>
      </c>
      <c r="DD82" s="94">
        <f t="shared" si="131"/>
        <v>39892.46</v>
      </c>
      <c r="DE82" s="94">
        <f t="shared" si="131"/>
        <v>37269.079599999997</v>
      </c>
      <c r="DF82" s="94">
        <f t="shared" si="131"/>
        <v>33043.273449</v>
      </c>
      <c r="DG82" s="94">
        <f t="shared" si="131"/>
        <v>31667.454367900005</v>
      </c>
      <c r="DH82" s="94">
        <f t="shared" si="131"/>
        <v>30234.274112950203</v>
      </c>
      <c r="DI82" s="94">
        <f t="shared" si="131"/>
        <v>29438.943860270563</v>
      </c>
      <c r="DJ82" s="94">
        <f t="shared" si="131"/>
        <v>28876.544195327246</v>
      </c>
      <c r="DK82" s="94">
        <f t="shared" si="131"/>
        <v>25974.579680048966</v>
      </c>
      <c r="DL82" s="94">
        <f t="shared" si="131"/>
        <v>22352.091551313089</v>
      </c>
      <c r="DM82" s="94">
        <f t="shared" si="131"/>
        <v>20574.12333260963</v>
      </c>
      <c r="DN82" s="94">
        <f t="shared" si="131"/>
        <v>19650.241347236915</v>
      </c>
      <c r="DO82" s="94">
        <f t="shared" si="131"/>
        <v>19146.021946204091</v>
      </c>
      <c r="DP82" s="94">
        <f t="shared" si="131"/>
        <v>18892.555513905118</v>
      </c>
      <c r="DQ82" s="94">
        <f t="shared" si="131"/>
        <v>18787.243807928342</v>
      </c>
      <c r="DR82" s="94">
        <f t="shared" si="131"/>
        <v>18777.405045003674</v>
      </c>
      <c r="DS82" s="94">
        <f t="shared" si="131"/>
        <v>18835.596933805133</v>
      </c>
      <c r="DU82" s="30"/>
    </row>
    <row r="83" spans="2:186" s="92" customFormat="1" ht="12.75" customHeight="1">
      <c r="B83" s="100" t="s">
        <v>784</v>
      </c>
      <c r="C83" s="93">
        <v>862.8</v>
      </c>
      <c r="D83" s="93">
        <v>886</v>
      </c>
      <c r="E83" s="93">
        <v>917.3</v>
      </c>
      <c r="F83" s="93">
        <v>958.7</v>
      </c>
      <c r="G83" s="94">
        <v>864.2</v>
      </c>
      <c r="H83" s="94">
        <f>942.1</f>
        <v>942.1</v>
      </c>
      <c r="I83" s="94">
        <f>973.2</f>
        <v>973.2</v>
      </c>
      <c r="J83" s="94">
        <f>1125.7</f>
        <v>1125.7</v>
      </c>
      <c r="K83" s="94">
        <f>1046.8</f>
        <v>1046.8</v>
      </c>
      <c r="L83" s="94">
        <f>988.5</f>
        <v>988.5</v>
      </c>
      <c r="M83" s="94">
        <v>1083.4000000000001</v>
      </c>
      <c r="N83" s="94">
        <v>1228.3</v>
      </c>
      <c r="O83" s="94">
        <f>1115.8+32</f>
        <v>1147.8</v>
      </c>
      <c r="P83" s="94">
        <f>1131.3+32.9</f>
        <v>1164.2</v>
      </c>
      <c r="Q83" s="94">
        <v>1364.2</v>
      </c>
      <c r="R83" s="94">
        <v>1283.5999999999999</v>
      </c>
      <c r="S83" s="94">
        <v>1271.4000000000001</v>
      </c>
      <c r="T83" s="94">
        <v>1160.5999999999999</v>
      </c>
      <c r="U83" s="94">
        <v>1238.8</v>
      </c>
      <c r="V83" s="94">
        <f>1478.8-177</f>
        <v>1301.8</v>
      </c>
      <c r="W83" s="94">
        <f>1342.7-205</f>
        <v>1137.7</v>
      </c>
      <c r="X83" s="94">
        <f>1445.2-167.5</f>
        <v>1277.7</v>
      </c>
      <c r="Y83" s="94">
        <v>1544.1</v>
      </c>
      <c r="Z83" s="94">
        <f>1669.1-164.3</f>
        <v>1504.8</v>
      </c>
      <c r="AA83" s="94">
        <v>1525.8</v>
      </c>
      <c r="AB83" s="94">
        <v>1552.3</v>
      </c>
      <c r="AC83" s="94">
        <v>1517.7</v>
      </c>
      <c r="AD83" s="94"/>
      <c r="AE83" s="94">
        <f>1238.1-14.9</f>
        <v>1223.1999999999998</v>
      </c>
      <c r="AF83" s="94">
        <v>1396.5</v>
      </c>
      <c r="AG83" s="94">
        <v>1477.9</v>
      </c>
      <c r="AH83" s="94">
        <v>1470</v>
      </c>
      <c r="AI83" s="94">
        <f>1333.8-22</f>
        <v>1311.8</v>
      </c>
      <c r="AJ83" s="94">
        <f>1353.9-47</f>
        <v>1306.9000000000001</v>
      </c>
      <c r="AK83" s="94">
        <v>1430.3</v>
      </c>
      <c r="AL83" s="94">
        <v>2595.8000000000002</v>
      </c>
      <c r="AM83" s="94">
        <v>2811.7</v>
      </c>
      <c r="AN83" s="94">
        <v>2662.5</v>
      </c>
      <c r="AO83" s="94">
        <v>2796.2</v>
      </c>
      <c r="AP83" s="94">
        <v>3129</v>
      </c>
      <c r="AQ83" s="94">
        <v>2690</v>
      </c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>
        <v>2572</v>
      </c>
      <c r="CD83" s="94">
        <v>2739</v>
      </c>
      <c r="CE83" s="94">
        <v>2487</v>
      </c>
      <c r="CF83" s="94">
        <v>2684</v>
      </c>
      <c r="CG83" s="94">
        <v>3056</v>
      </c>
      <c r="CH83" s="94">
        <v>3411</v>
      </c>
      <c r="CI83" s="94">
        <v>4654</v>
      </c>
      <c r="CJ83" s="94">
        <v>3698</v>
      </c>
      <c r="CK83" s="94">
        <v>3434</v>
      </c>
      <c r="CL83" s="94">
        <f t="shared" ref="CL83:CP83" si="132">+CL82-CL84</f>
        <v>3450.7374999999993</v>
      </c>
      <c r="CM83" s="94">
        <f t="shared" si="132"/>
        <v>3509.2850000000017</v>
      </c>
      <c r="CN83" s="94">
        <f t="shared" si="132"/>
        <v>3700.9043750000001</v>
      </c>
      <c r="CO83" s="94">
        <f t="shared" si="132"/>
        <v>3925.9455437500001</v>
      </c>
      <c r="CP83" s="94">
        <f t="shared" si="132"/>
        <v>3713.7336778124991</v>
      </c>
      <c r="CQ83" s="94"/>
      <c r="CR83" s="94"/>
      <c r="CS83" s="95"/>
      <c r="CT83" s="94">
        <f>SUM(C83:F83)</f>
        <v>3624.8</v>
      </c>
      <c r="CU83" s="93">
        <f>SUM(G83:J83)+1.9</f>
        <v>3907.1</v>
      </c>
      <c r="CV83" s="94">
        <f>SUM(K83:N83)</f>
        <v>4347</v>
      </c>
      <c r="CW83" s="94">
        <f>SUM(O83:R83)</f>
        <v>4959.7999999999993</v>
      </c>
      <c r="CX83" s="94">
        <f>SUM(S83:V83)</f>
        <v>4972.6000000000004</v>
      </c>
      <c r="CY83" s="94">
        <f>SUM(W83:Z83)</f>
        <v>5464.3</v>
      </c>
      <c r="CZ83" s="94">
        <f>SUM(AA83:AD83)</f>
        <v>4595.8</v>
      </c>
      <c r="DA83" s="94">
        <f>SUM(AE83:AH83)</f>
        <v>5567.6</v>
      </c>
      <c r="DB83" s="94" t="e">
        <f>#REF!-DB84</f>
        <v>#REF!</v>
      </c>
      <c r="DC83" s="94" t="e">
        <f t="shared" ref="DC83:DS83" si="133">DC82-DC84</f>
        <v>#REF!</v>
      </c>
      <c r="DD83" s="94">
        <f t="shared" si="133"/>
        <v>10013.007460000001</v>
      </c>
      <c r="DE83" s="94">
        <f t="shared" si="133"/>
        <v>9354.5389795999981</v>
      </c>
      <c r="DF83" s="94">
        <f t="shared" si="133"/>
        <v>8326.904909148001</v>
      </c>
      <c r="DG83" s="94">
        <f t="shared" si="133"/>
        <v>7980.1985007108015</v>
      </c>
      <c r="DH83" s="94">
        <f t="shared" si="133"/>
        <v>7649.2713505764004</v>
      </c>
      <c r="DI83" s="94">
        <f t="shared" si="133"/>
        <v>7448.0527966484515</v>
      </c>
      <c r="DJ83" s="94">
        <f t="shared" si="133"/>
        <v>7334.6422256131191</v>
      </c>
      <c r="DK83" s="94">
        <f t="shared" si="133"/>
        <v>6597.5432387324363</v>
      </c>
      <c r="DL83" s="94">
        <f t="shared" si="133"/>
        <v>5699.7833455848377</v>
      </c>
      <c r="DM83" s="94">
        <f t="shared" si="133"/>
        <v>5246.4014498154556</v>
      </c>
      <c r="DN83" s="94">
        <f t="shared" si="133"/>
        <v>5030.46178489265</v>
      </c>
      <c r="DO83" s="94">
        <f t="shared" si="133"/>
        <v>4901.381618228248</v>
      </c>
      <c r="DP83" s="94">
        <f t="shared" si="133"/>
        <v>4855.3867670736145</v>
      </c>
      <c r="DQ83" s="94">
        <f t="shared" si="133"/>
        <v>4828.3216586375838</v>
      </c>
      <c r="DR83" s="94">
        <f t="shared" si="133"/>
        <v>4844.5705016109478</v>
      </c>
      <c r="DS83" s="94">
        <f t="shared" si="133"/>
        <v>4859.5840089217236</v>
      </c>
      <c r="DU83" s="87"/>
    </row>
    <row r="84" spans="2:186" s="92" customFormat="1" ht="12.75" customHeight="1">
      <c r="B84" s="100" t="s">
        <v>379</v>
      </c>
      <c r="C84" s="93"/>
      <c r="D84" s="93"/>
      <c r="E84" s="93"/>
      <c r="F84" s="93"/>
      <c r="G84" s="94"/>
      <c r="H84" s="94"/>
      <c r="I84" s="94"/>
      <c r="J84" s="94"/>
      <c r="K84" s="94"/>
      <c r="L84" s="94"/>
      <c r="M84" s="94"/>
      <c r="N84" s="94"/>
      <c r="O84" s="94" t="e">
        <f>#REF!-O83</f>
        <v>#REF!</v>
      </c>
      <c r="P84" s="94" t="e">
        <f>#REF!-P83</f>
        <v>#REF!</v>
      </c>
      <c r="Q84" s="94" t="e">
        <f>#REF!-Q83</f>
        <v>#REF!</v>
      </c>
      <c r="R84" s="94" t="e">
        <f>#REF!-R83</f>
        <v>#REF!</v>
      </c>
      <c r="S84" s="94" t="e">
        <f>#REF!-S83</f>
        <v>#REF!</v>
      </c>
      <c r="T84" s="94" t="e">
        <f>#REF!-T83</f>
        <v>#REF!</v>
      </c>
      <c r="U84" s="94" t="e">
        <f>#REF!-U83</f>
        <v>#REF!</v>
      </c>
      <c r="V84" s="94" t="e">
        <f>#REF!-V83</f>
        <v>#REF!</v>
      </c>
      <c r="W84" s="94" t="e">
        <f>#REF!-W83</f>
        <v>#REF!</v>
      </c>
      <c r="X84" s="94" t="e">
        <f>#REF!-X83</f>
        <v>#REF!</v>
      </c>
      <c r="Y84" s="94" t="e">
        <f>#REF!-Y83</f>
        <v>#REF!</v>
      </c>
      <c r="Z84" s="94" t="e">
        <f>#REF!-Z83</f>
        <v>#REF!</v>
      </c>
      <c r="AA84" s="94" t="e">
        <f>#REF!-AA83</f>
        <v>#REF!</v>
      </c>
      <c r="AB84" s="94" t="e">
        <f>#REF!-AB83</f>
        <v>#REF!</v>
      </c>
      <c r="AC84" s="94" t="e">
        <f>#REF!-AC83</f>
        <v>#REF!</v>
      </c>
      <c r="AD84" s="94"/>
      <c r="AE84" s="94" t="e">
        <f>#REF!-AE83</f>
        <v>#REF!</v>
      </c>
      <c r="AF84" s="94" t="e">
        <f>#REF!-AF83</f>
        <v>#REF!</v>
      </c>
      <c r="AG84" s="94" t="e">
        <f>#REF!-AG83</f>
        <v>#REF!</v>
      </c>
      <c r="AH84" s="94" t="e">
        <f>+#REF!-AH83</f>
        <v>#REF!</v>
      </c>
      <c r="AI84" s="94" t="e">
        <f>#REF!-AI83</f>
        <v>#REF!</v>
      </c>
      <c r="AJ84" s="94" t="e">
        <f>#REF!-AJ83</f>
        <v>#REF!</v>
      </c>
      <c r="AK84" s="94" t="e">
        <f>#REF!-AK83</f>
        <v>#REF!</v>
      </c>
      <c r="AL84" s="94">
        <f>+AL82-AL83</f>
        <v>-2595.8000000000002</v>
      </c>
      <c r="AM84" s="94">
        <f>AM82-AM83</f>
        <v>-2811.7</v>
      </c>
      <c r="AN84" s="94" t="e">
        <f>#REF!-AN83</f>
        <v>#REF!</v>
      </c>
      <c r="AO84" s="94" t="e">
        <f>#REF!-AO83</f>
        <v>#REF!</v>
      </c>
      <c r="AP84" s="94" t="e">
        <f>#REF!-AP83</f>
        <v>#REF!</v>
      </c>
      <c r="AQ84" s="94" t="e">
        <f>+#REF!-AQ83</f>
        <v>#REF!</v>
      </c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>
        <f t="shared" ref="CC84:CJ84" si="134">+CC82-CC83</f>
        <v>8357</v>
      </c>
      <c r="CD84" s="94">
        <f t="shared" si="134"/>
        <v>9775</v>
      </c>
      <c r="CE84" s="94">
        <f t="shared" si="134"/>
        <v>8140</v>
      </c>
      <c r="CF84" s="94">
        <f t="shared" si="134"/>
        <v>8718</v>
      </c>
      <c r="CG84" s="94">
        <f t="shared" si="134"/>
        <v>10098</v>
      </c>
      <c r="CH84" s="94">
        <f t="shared" si="134"/>
        <v>10110</v>
      </c>
      <c r="CI84" s="94">
        <f t="shared" si="134"/>
        <v>11247</v>
      </c>
      <c r="CJ84" s="94">
        <f t="shared" si="134"/>
        <v>10895</v>
      </c>
      <c r="CK84" s="94">
        <f>+CK82-CK83</f>
        <v>11525</v>
      </c>
      <c r="CL84" s="94">
        <f t="shared" ref="CL84:CP84" si="135">+CL82*0.75</f>
        <v>10352.2125</v>
      </c>
      <c r="CM84" s="94">
        <f t="shared" si="135"/>
        <v>10527.855000000003</v>
      </c>
      <c r="CN84" s="94">
        <f t="shared" si="135"/>
        <v>11102.713125</v>
      </c>
      <c r="CO84" s="94">
        <f t="shared" si="135"/>
        <v>11777.836631249998</v>
      </c>
      <c r="CP84" s="94">
        <f t="shared" si="135"/>
        <v>11141.201033437501</v>
      </c>
      <c r="CQ84" s="94"/>
      <c r="CR84" s="94"/>
      <c r="CS84" s="95"/>
      <c r="CT84" s="94">
        <f>+CT82-CT83</f>
        <v>17574.2</v>
      </c>
      <c r="CU84" s="94" t="e">
        <f>#REF!-CU83</f>
        <v>#REF!</v>
      </c>
      <c r="CV84" s="94" t="e">
        <f>#REF!-CV83</f>
        <v>#REF!</v>
      </c>
      <c r="CW84" s="94" t="e">
        <f>#REF!-CW83</f>
        <v>#REF!</v>
      </c>
      <c r="CX84" s="94" t="e">
        <f>#REF!-CX83</f>
        <v>#REF!</v>
      </c>
      <c r="CY84" s="94" t="e">
        <f>#REF!-CY83</f>
        <v>#REF!</v>
      </c>
      <c r="CZ84" s="94" t="e">
        <f>#REF!-CZ83</f>
        <v>#REF!</v>
      </c>
      <c r="DA84" s="94" t="e">
        <f>#REF!-DA83</f>
        <v>#REF!</v>
      </c>
      <c r="DB84" s="94" t="e">
        <f>#REF!*DB104</f>
        <v>#REF!</v>
      </c>
      <c r="DC84" s="94" t="e">
        <f>SUM(AM84:AP84)</f>
        <v>#REF!</v>
      </c>
      <c r="DD84" s="94">
        <f t="shared" ref="DD84:DS84" si="136">DD82*DD104</f>
        <v>29879.452539999998</v>
      </c>
      <c r="DE84" s="94">
        <f t="shared" si="136"/>
        <v>27914.540620399999</v>
      </c>
      <c r="DF84" s="94">
        <f t="shared" si="136"/>
        <v>24716.368539851999</v>
      </c>
      <c r="DG84" s="94">
        <f t="shared" si="136"/>
        <v>23687.255867189204</v>
      </c>
      <c r="DH84" s="94">
        <f t="shared" si="136"/>
        <v>22585.002762373802</v>
      </c>
      <c r="DI84" s="94">
        <f t="shared" si="136"/>
        <v>21990.891063622112</v>
      </c>
      <c r="DJ84" s="94">
        <f t="shared" si="136"/>
        <v>21541.901969714127</v>
      </c>
      <c r="DK84" s="94">
        <f t="shared" si="136"/>
        <v>19377.03644131653</v>
      </c>
      <c r="DL84" s="94">
        <f t="shared" si="136"/>
        <v>16652.308205728252</v>
      </c>
      <c r="DM84" s="94">
        <f t="shared" si="136"/>
        <v>15327.721882794174</v>
      </c>
      <c r="DN84" s="94">
        <f t="shared" si="136"/>
        <v>14619.779562344265</v>
      </c>
      <c r="DO84" s="94">
        <f t="shared" si="136"/>
        <v>14244.640327975843</v>
      </c>
      <c r="DP84" s="94">
        <f t="shared" si="136"/>
        <v>14037.168746831503</v>
      </c>
      <c r="DQ84" s="94">
        <f t="shared" si="136"/>
        <v>13958.922149290758</v>
      </c>
      <c r="DR84" s="94">
        <f t="shared" si="136"/>
        <v>13932.834543392726</v>
      </c>
      <c r="DS84" s="94">
        <f t="shared" si="136"/>
        <v>13976.012924883409</v>
      </c>
      <c r="DU84" s="87"/>
    </row>
    <row r="85" spans="2:186" s="92" customFormat="1" ht="12.75" customHeight="1">
      <c r="B85" s="100" t="s">
        <v>380</v>
      </c>
      <c r="C85" s="93">
        <v>1362.53</v>
      </c>
      <c r="D85" s="93">
        <v>1478.33</v>
      </c>
      <c r="E85" s="93">
        <v>1438.64</v>
      </c>
      <c r="F85" s="93">
        <v>1421.1</v>
      </c>
      <c r="G85" s="93">
        <v>1343.3</v>
      </c>
      <c r="H85" s="93">
        <v>1362.9</v>
      </c>
      <c r="I85" s="93">
        <f>1317.6+90</f>
        <v>1407.6</v>
      </c>
      <c r="J85" s="93">
        <v>1538.4</v>
      </c>
      <c r="K85" s="93">
        <v>1547.3</v>
      </c>
      <c r="L85" s="93">
        <v>1589.9</v>
      </c>
      <c r="M85" s="93">
        <v>1463.6</v>
      </c>
      <c r="N85" s="93">
        <v>1794.1</v>
      </c>
      <c r="O85" s="93">
        <f>1611.4-34</f>
        <v>1577.4</v>
      </c>
      <c r="P85" s="93">
        <f>1616.2-21</f>
        <v>1595.2</v>
      </c>
      <c r="Q85" s="93">
        <v>1752.9</v>
      </c>
      <c r="R85" s="93">
        <f>2365.8-604</f>
        <v>1761.8000000000002</v>
      </c>
      <c r="S85" s="93">
        <v>1613.3</v>
      </c>
      <c r="T85" s="93">
        <v>1755.3</v>
      </c>
      <c r="U85" s="93">
        <f>1741.2-80</f>
        <v>1661.2</v>
      </c>
      <c r="V85" s="93">
        <f>2139-295</f>
        <v>1844</v>
      </c>
      <c r="W85" s="93">
        <v>1715</v>
      </c>
      <c r="X85" s="93">
        <v>1734</v>
      </c>
      <c r="Y85" s="93">
        <v>2370.6</v>
      </c>
      <c r="Z85" s="93">
        <f>2345.8-75-48</f>
        <v>2222.8000000000002</v>
      </c>
      <c r="AA85" s="94">
        <v>1802</v>
      </c>
      <c r="AB85" s="93">
        <v>2083.6999999999998</v>
      </c>
      <c r="AC85" s="93">
        <v>1951.4</v>
      </c>
      <c r="AD85" s="93"/>
      <c r="AE85" s="93">
        <f>1854.4-40</f>
        <v>1814.4</v>
      </c>
      <c r="AF85" s="93">
        <v>1930.2</v>
      </c>
      <c r="AG85" s="93">
        <v>1730.3</v>
      </c>
      <c r="AH85" s="93">
        <v>1862.1</v>
      </c>
      <c r="AI85" s="93">
        <f>1632.9-7</f>
        <v>1625.9</v>
      </c>
      <c r="AJ85" s="93">
        <f>1729.5-44-25</f>
        <v>1660.5</v>
      </c>
      <c r="AK85" s="93">
        <v>1725.5</v>
      </c>
      <c r="AL85" s="93">
        <v>3190.2</v>
      </c>
      <c r="AM85" s="93">
        <v>3166.7</v>
      </c>
      <c r="AN85" s="93">
        <v>3127.9</v>
      </c>
      <c r="AO85" s="93">
        <v>3023.7</v>
      </c>
      <c r="AP85" s="93">
        <v>3406</v>
      </c>
      <c r="AQ85" s="93">
        <v>3083</v>
      </c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>
        <v>2020</v>
      </c>
      <c r="CD85" s="93">
        <v>2567</v>
      </c>
      <c r="CE85" s="93">
        <v>2174</v>
      </c>
      <c r="CF85" s="93">
        <v>2254</v>
      </c>
      <c r="CG85" s="93">
        <v>2270</v>
      </c>
      <c r="CH85" s="93">
        <v>2594</v>
      </c>
      <c r="CI85" s="93">
        <v>2252</v>
      </c>
      <c r="CJ85" s="93">
        <v>2420</v>
      </c>
      <c r="CK85" s="93">
        <v>2472</v>
      </c>
      <c r="CL85" s="93">
        <f t="shared" ref="CL85:CL86" si="137">+CH85*1.01</f>
        <v>2619.94</v>
      </c>
      <c r="CM85" s="93">
        <f t="shared" ref="CM85:CM86" si="138">+CI85*1.01</f>
        <v>2274.52</v>
      </c>
      <c r="CN85" s="93">
        <f t="shared" ref="CN85:CN86" si="139">+CJ85*1.01</f>
        <v>2444.1999999999998</v>
      </c>
      <c r="CO85" s="93">
        <f t="shared" ref="CO85:CO86" si="140">+CK85*1.01</f>
        <v>2496.7199999999998</v>
      </c>
      <c r="CP85" s="93">
        <f t="shared" ref="CP85:CP86" si="141">+CL85*1.01</f>
        <v>2646.1394</v>
      </c>
      <c r="CQ85" s="93"/>
      <c r="CR85" s="93"/>
      <c r="CS85" s="95"/>
      <c r="CT85" s="93">
        <f>SUM(C85:F85)</f>
        <v>5700.6</v>
      </c>
      <c r="CU85" s="93">
        <f>SUM(G85:J85)</f>
        <v>5652.1999999999989</v>
      </c>
      <c r="CV85" s="93">
        <f>SUM(K85:N85)</f>
        <v>6394.9</v>
      </c>
      <c r="CW85" s="93">
        <f>SUM(O85:R85)</f>
        <v>6687.3</v>
      </c>
      <c r="CX85" s="93">
        <f>SUM(S85:V85)</f>
        <v>6873.8</v>
      </c>
      <c r="CY85" s="93">
        <f>SUM(W85:Z85)</f>
        <v>8042.4000000000005</v>
      </c>
      <c r="CZ85" s="93">
        <f>SUM(AA85:AD85)</f>
        <v>5837.1</v>
      </c>
      <c r="DA85" s="93">
        <f>SUM(AE85:AH85)</f>
        <v>7337</v>
      </c>
      <c r="DB85" s="93">
        <f>SUM(AI85:AL85)</f>
        <v>8202.0999999999985</v>
      </c>
      <c r="DC85" s="94">
        <f>SUM(AM85:AP85)</f>
        <v>12724.3</v>
      </c>
      <c r="DD85" s="93">
        <f t="shared" ref="DD85:DL85" si="142">DD82*DD105</f>
        <v>11050.211420000001</v>
      </c>
      <c r="DE85" s="93">
        <f t="shared" si="142"/>
        <v>10248.99689</v>
      </c>
      <c r="DF85" s="93">
        <f t="shared" si="142"/>
        <v>8987.7703781280015</v>
      </c>
      <c r="DG85" s="93">
        <f t="shared" si="142"/>
        <v>8550.2126793330026</v>
      </c>
      <c r="DH85" s="93">
        <f t="shared" si="142"/>
        <v>8163.2540104965556</v>
      </c>
      <c r="DI85" s="93">
        <f t="shared" si="142"/>
        <v>7948.5148422730526</v>
      </c>
      <c r="DJ85" s="93">
        <f t="shared" si="142"/>
        <v>7796.666932738357</v>
      </c>
      <c r="DK85" s="93">
        <f t="shared" si="142"/>
        <v>7013.1365136132217</v>
      </c>
      <c r="DL85" s="93">
        <f t="shared" si="142"/>
        <v>6035.0647188545345</v>
      </c>
      <c r="DM85" s="93">
        <f t="shared" ref="DM85:DS85" si="143">+DL85</f>
        <v>6035.0647188545345</v>
      </c>
      <c r="DN85" s="93">
        <f t="shared" si="143"/>
        <v>6035.0647188545345</v>
      </c>
      <c r="DO85" s="93">
        <f t="shared" si="143"/>
        <v>6035.0647188545345</v>
      </c>
      <c r="DP85" s="93">
        <f t="shared" si="143"/>
        <v>6035.0647188545345</v>
      </c>
      <c r="DQ85" s="93">
        <f t="shared" si="143"/>
        <v>6035.0647188545345</v>
      </c>
      <c r="DR85" s="93">
        <f t="shared" si="143"/>
        <v>6035.0647188545345</v>
      </c>
      <c r="DS85" s="93">
        <f t="shared" si="143"/>
        <v>6035.0647188545345</v>
      </c>
      <c r="DU85" s="87"/>
    </row>
    <row r="86" spans="2:186" s="83" customFormat="1" ht="12.75" customHeight="1">
      <c r="B86" s="100" t="s">
        <v>381</v>
      </c>
      <c r="C86" s="93">
        <v>547.4</v>
      </c>
      <c r="D86" s="93">
        <v>602.4</v>
      </c>
      <c r="E86" s="93">
        <v>590.29999999999995</v>
      </c>
      <c r="F86" s="93">
        <v>716.4</v>
      </c>
      <c r="G86" s="93">
        <v>530.29999999999995</v>
      </c>
      <c r="H86" s="93">
        <v>631.20000000000005</v>
      </c>
      <c r="I86" s="93">
        <v>676.9</v>
      </c>
      <c r="J86" s="93">
        <v>838.8</v>
      </c>
      <c r="K86" s="93">
        <v>720.3</v>
      </c>
      <c r="L86" s="93">
        <v>786.4</v>
      </c>
      <c r="M86" s="93">
        <v>776.5</v>
      </c>
      <c r="N86" s="93">
        <v>894.9</v>
      </c>
      <c r="O86" s="93">
        <f>996.3-125</f>
        <v>871.3</v>
      </c>
      <c r="P86" s="93">
        <f>986-120</f>
        <v>866</v>
      </c>
      <c r="Q86" s="93">
        <f>919.3-35</f>
        <v>884.3</v>
      </c>
      <c r="R86" s="93">
        <v>1108.5999999999999</v>
      </c>
      <c r="S86" s="93">
        <v>846.6</v>
      </c>
      <c r="T86" s="93">
        <v>946.8</v>
      </c>
      <c r="U86" s="93">
        <v>942.6</v>
      </c>
      <c r="V86" s="93">
        <f>1112-19</f>
        <v>1093</v>
      </c>
      <c r="W86" s="93">
        <f>942-55</f>
        <v>887</v>
      </c>
      <c r="X86" s="93">
        <f>1173-296.3</f>
        <v>876.7</v>
      </c>
      <c r="Y86" s="93">
        <v>945.4</v>
      </c>
      <c r="Z86" s="93">
        <f>1722.9-466.2</f>
        <v>1256.7</v>
      </c>
      <c r="AA86" s="94">
        <v>1030</v>
      </c>
      <c r="AB86" s="93">
        <v>1030.5</v>
      </c>
      <c r="AC86" s="93">
        <f>1440.5-325.1</f>
        <v>1115.4000000000001</v>
      </c>
      <c r="AD86" s="93"/>
      <c r="AE86" s="93">
        <v>1078.3</v>
      </c>
      <c r="AF86" s="93">
        <v>1169.3</v>
      </c>
      <c r="AG86" s="93">
        <v>1171.0999999999999</v>
      </c>
      <c r="AH86" s="93">
        <v>1386.6</v>
      </c>
      <c r="AI86" s="93">
        <f>1224.2-88</f>
        <v>1136.2</v>
      </c>
      <c r="AJ86" s="93">
        <f>1395.3-108</f>
        <v>1287.3</v>
      </c>
      <c r="AK86" s="93">
        <v>1254</v>
      </c>
      <c r="AL86" s="93">
        <v>1984</v>
      </c>
      <c r="AM86" s="93">
        <v>1993.8</v>
      </c>
      <c r="AN86" s="93">
        <v>2007.2</v>
      </c>
      <c r="AO86" s="93">
        <v>1944.1</v>
      </c>
      <c r="AP86" s="93">
        <v>2177</v>
      </c>
      <c r="AQ86" s="93">
        <v>1811</v>
      </c>
      <c r="AR86" s="93">
        <f>AN86</f>
        <v>2007.2</v>
      </c>
      <c r="AS86" s="93">
        <f>AO86</f>
        <v>1944.1</v>
      </c>
      <c r="AT86" s="93">
        <f>AP86</f>
        <v>2177</v>
      </c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>
        <v>2229</v>
      </c>
      <c r="CD86" s="93">
        <v>2595</v>
      </c>
      <c r="CE86" s="93">
        <v>2387</v>
      </c>
      <c r="CF86" s="93">
        <v>4299</v>
      </c>
      <c r="CG86" s="93">
        <v>2476</v>
      </c>
      <c r="CH86" s="93">
        <v>2681</v>
      </c>
      <c r="CI86" s="93">
        <v>2547</v>
      </c>
      <c r="CJ86" s="93">
        <v>2764</v>
      </c>
      <c r="CK86" s="93">
        <v>3496</v>
      </c>
      <c r="CL86" s="93">
        <f t="shared" si="137"/>
        <v>2707.81</v>
      </c>
      <c r="CM86" s="93">
        <f t="shared" si="138"/>
        <v>2572.4699999999998</v>
      </c>
      <c r="CN86" s="93">
        <f t="shared" si="139"/>
        <v>2791.64</v>
      </c>
      <c r="CO86" s="93">
        <f t="shared" si="140"/>
        <v>3530.96</v>
      </c>
      <c r="CP86" s="93">
        <f t="shared" si="141"/>
        <v>2734.8881000000001</v>
      </c>
      <c r="CQ86" s="93"/>
      <c r="CR86" s="93"/>
      <c r="CS86" s="75"/>
      <c r="CT86" s="93">
        <f>SUM(C86:F86)-0.1</f>
        <v>2456.4</v>
      </c>
      <c r="CU86" s="93">
        <f>SUM(G86:J86)</f>
        <v>2677.2</v>
      </c>
      <c r="CV86" s="93">
        <f>SUM(K86:N86)</f>
        <v>3178.1</v>
      </c>
      <c r="CW86" s="93">
        <f>SUM(O86:R86)</f>
        <v>3730.2</v>
      </c>
      <c r="CX86" s="93">
        <f>SUM(S86:V86)</f>
        <v>3829</v>
      </c>
      <c r="CY86" s="93">
        <f>SUM(W86:Z86)</f>
        <v>3965.8</v>
      </c>
      <c r="CZ86" s="93">
        <f>SUM(AA86:AD86)</f>
        <v>3175.9</v>
      </c>
      <c r="DA86" s="93">
        <f>SUM(AE86:AH86)</f>
        <v>4805.2999999999993</v>
      </c>
      <c r="DB86" s="93">
        <f>SUM(AI86:AL86)</f>
        <v>5661.5</v>
      </c>
      <c r="DC86" s="93">
        <f>SUM(AM86:AP86)</f>
        <v>8122.1</v>
      </c>
      <c r="DD86" s="93">
        <f>SUM(AQ86:AT86)</f>
        <v>7939.2999999999993</v>
      </c>
      <c r="DE86" s="93">
        <v>500</v>
      </c>
      <c r="DF86" s="93">
        <v>500</v>
      </c>
      <c r="DG86" s="93">
        <v>500</v>
      </c>
      <c r="DH86" s="93">
        <v>500</v>
      </c>
      <c r="DI86" s="93">
        <v>500</v>
      </c>
      <c r="DJ86" s="93">
        <v>500</v>
      </c>
      <c r="DK86" s="93">
        <v>500</v>
      </c>
      <c r="DL86" s="93">
        <v>500</v>
      </c>
      <c r="DM86" s="93">
        <v>500</v>
      </c>
      <c r="DN86" s="93">
        <v>500</v>
      </c>
      <c r="DO86" s="93">
        <v>500</v>
      </c>
      <c r="DP86" s="93">
        <v>500</v>
      </c>
      <c r="DQ86" s="93">
        <v>500</v>
      </c>
      <c r="DR86" s="93">
        <v>500</v>
      </c>
      <c r="DS86" s="93">
        <v>500</v>
      </c>
      <c r="DU86" s="87"/>
    </row>
    <row r="87" spans="2:186" s="92" customFormat="1" ht="12.75" customHeight="1">
      <c r="B87" s="100" t="s">
        <v>62</v>
      </c>
      <c r="C87" s="93">
        <f t="shared" ref="C87:N87" si="144">SUM(C83:C86)</f>
        <v>2772.73</v>
      </c>
      <c r="D87" s="93">
        <f t="shared" si="144"/>
        <v>2966.73</v>
      </c>
      <c r="E87" s="93">
        <f t="shared" si="144"/>
        <v>2946.24</v>
      </c>
      <c r="F87" s="93">
        <f t="shared" si="144"/>
        <v>3096.2000000000003</v>
      </c>
      <c r="G87" s="93">
        <f t="shared" si="144"/>
        <v>2737.8</v>
      </c>
      <c r="H87" s="93">
        <f t="shared" si="144"/>
        <v>2936.2</v>
      </c>
      <c r="I87" s="93">
        <f t="shared" si="144"/>
        <v>3057.7000000000003</v>
      </c>
      <c r="J87" s="93">
        <f t="shared" si="144"/>
        <v>3502.9000000000005</v>
      </c>
      <c r="K87" s="94">
        <f t="shared" si="144"/>
        <v>3314.3999999999996</v>
      </c>
      <c r="L87" s="94">
        <f t="shared" si="144"/>
        <v>3364.8</v>
      </c>
      <c r="M87" s="94">
        <f t="shared" si="144"/>
        <v>3323.5</v>
      </c>
      <c r="N87" s="94">
        <f t="shared" si="144"/>
        <v>3917.2999999999997</v>
      </c>
      <c r="O87" s="94">
        <f t="shared" ref="O87:AH87" si="145">O86+O85</f>
        <v>2448.6999999999998</v>
      </c>
      <c r="P87" s="94">
        <f t="shared" si="145"/>
        <v>2461.1999999999998</v>
      </c>
      <c r="Q87" s="94">
        <f t="shared" si="145"/>
        <v>2637.2</v>
      </c>
      <c r="R87" s="94">
        <f t="shared" si="145"/>
        <v>2870.4</v>
      </c>
      <c r="S87" s="94">
        <f t="shared" si="145"/>
        <v>2459.9</v>
      </c>
      <c r="T87" s="94">
        <f t="shared" si="145"/>
        <v>2702.1</v>
      </c>
      <c r="U87" s="94">
        <f t="shared" si="145"/>
        <v>2603.8000000000002</v>
      </c>
      <c r="V87" s="94">
        <f t="shared" si="145"/>
        <v>2937</v>
      </c>
      <c r="W87" s="94">
        <f t="shared" si="145"/>
        <v>2602</v>
      </c>
      <c r="X87" s="94">
        <f t="shared" si="145"/>
        <v>2610.6999999999998</v>
      </c>
      <c r="Y87" s="94">
        <f t="shared" si="145"/>
        <v>3316</v>
      </c>
      <c r="Z87" s="94">
        <f t="shared" si="145"/>
        <v>3479.5</v>
      </c>
      <c r="AA87" s="94">
        <f t="shared" si="145"/>
        <v>2832</v>
      </c>
      <c r="AB87" s="94">
        <f t="shared" si="145"/>
        <v>3114.2</v>
      </c>
      <c r="AC87" s="94">
        <f t="shared" si="145"/>
        <v>3066.8</v>
      </c>
      <c r="AD87" s="94"/>
      <c r="AE87" s="94">
        <f>AE86+AE85</f>
        <v>2892.7</v>
      </c>
      <c r="AF87" s="94">
        <f t="shared" si="145"/>
        <v>3099.5</v>
      </c>
      <c r="AG87" s="94">
        <f>AG86+AG85</f>
        <v>2901.3999999999996</v>
      </c>
      <c r="AH87" s="94">
        <f t="shared" si="145"/>
        <v>3248.7</v>
      </c>
      <c r="AI87" s="94">
        <f t="shared" ref="AI87:AN87" si="146">AI86+AI85</f>
        <v>2762.1000000000004</v>
      </c>
      <c r="AJ87" s="94">
        <f t="shared" si="146"/>
        <v>2947.8</v>
      </c>
      <c r="AK87" s="94">
        <f t="shared" si="146"/>
        <v>2979.5</v>
      </c>
      <c r="AL87" s="94">
        <f>AL86+AL85</f>
        <v>5174.2</v>
      </c>
      <c r="AM87" s="94">
        <f t="shared" si="146"/>
        <v>5160.5</v>
      </c>
      <c r="AN87" s="94">
        <f t="shared" si="146"/>
        <v>5135.1000000000004</v>
      </c>
      <c r="AO87" s="94">
        <f>AO86+AO85</f>
        <v>4967.7999999999993</v>
      </c>
      <c r="AP87" s="94">
        <f>AP86+AP85</f>
        <v>5583</v>
      </c>
      <c r="AQ87" s="94">
        <f>AQ86+AQ85</f>
        <v>4894</v>
      </c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>
        <f>+CC85+CC86</f>
        <v>4249</v>
      </c>
      <c r="CD87" s="94">
        <f>+CD85+CD86</f>
        <v>5162</v>
      </c>
      <c r="CE87" s="94">
        <f>+CE85+CE86</f>
        <v>4561</v>
      </c>
      <c r="CF87" s="94">
        <f>+CF85+CF86</f>
        <v>6553</v>
      </c>
      <c r="CG87" s="94">
        <f t="shared" ref="CG87" si="147">+CG85+CG86</f>
        <v>4746</v>
      </c>
      <c r="CH87" s="94">
        <f>+CH85+CH86</f>
        <v>5275</v>
      </c>
      <c r="CI87" s="94">
        <f>+CI85+CI86</f>
        <v>4799</v>
      </c>
      <c r="CJ87" s="94">
        <f>+CJ85+CJ86</f>
        <v>5184</v>
      </c>
      <c r="CK87" s="94">
        <f t="shared" ref="CK87:CP87" si="148">+CK85+CK86</f>
        <v>5968</v>
      </c>
      <c r="CL87" s="94">
        <f t="shared" si="148"/>
        <v>5327.75</v>
      </c>
      <c r="CM87" s="94">
        <f t="shared" si="148"/>
        <v>4846.99</v>
      </c>
      <c r="CN87" s="94">
        <f t="shared" si="148"/>
        <v>5235.84</v>
      </c>
      <c r="CO87" s="94">
        <f t="shared" si="148"/>
        <v>6027.68</v>
      </c>
      <c r="CP87" s="94">
        <f t="shared" si="148"/>
        <v>5381.0275000000001</v>
      </c>
      <c r="CQ87" s="94"/>
      <c r="CR87" s="94"/>
      <c r="CS87" s="95"/>
      <c r="CT87" s="94">
        <f t="shared" ref="CT87:DB87" si="149">CT86+CT85</f>
        <v>8157</v>
      </c>
      <c r="CU87" s="94">
        <f t="shared" si="149"/>
        <v>8329.3999999999978</v>
      </c>
      <c r="CV87" s="94">
        <f t="shared" si="149"/>
        <v>9573</v>
      </c>
      <c r="CW87" s="94">
        <f t="shared" si="149"/>
        <v>10417.5</v>
      </c>
      <c r="CX87" s="94">
        <f t="shared" si="149"/>
        <v>10702.8</v>
      </c>
      <c r="CY87" s="94">
        <f t="shared" si="149"/>
        <v>12008.2</v>
      </c>
      <c r="CZ87" s="94">
        <f t="shared" si="149"/>
        <v>9013</v>
      </c>
      <c r="DA87" s="94">
        <f t="shared" si="149"/>
        <v>12142.3</v>
      </c>
      <c r="DB87" s="94">
        <f t="shared" si="149"/>
        <v>13863.599999999999</v>
      </c>
      <c r="DC87" s="94">
        <f>DC86+DC85</f>
        <v>20846.400000000001</v>
      </c>
      <c r="DD87" s="94">
        <f>DD86+DD85</f>
        <v>18989.511420000003</v>
      </c>
      <c r="DE87" s="94">
        <f t="shared" ref="DE87:DL87" si="150">DE86+DE85</f>
        <v>10748.99689</v>
      </c>
      <c r="DF87" s="94">
        <f t="shared" si="150"/>
        <v>9487.7703781280015</v>
      </c>
      <c r="DG87" s="94">
        <f t="shared" si="150"/>
        <v>9050.2126793330026</v>
      </c>
      <c r="DH87" s="94">
        <f t="shared" si="150"/>
        <v>8663.2540104965556</v>
      </c>
      <c r="DI87" s="94">
        <f t="shared" si="150"/>
        <v>8448.5148422730526</v>
      </c>
      <c r="DJ87" s="94">
        <f t="shared" si="150"/>
        <v>8296.666932738357</v>
      </c>
      <c r="DK87" s="94">
        <f t="shared" si="150"/>
        <v>7513.1365136132217</v>
      </c>
      <c r="DL87" s="94">
        <f t="shared" si="150"/>
        <v>6535.0647188545345</v>
      </c>
      <c r="DM87" s="94">
        <f t="shared" ref="DM87:DS87" si="151">DM86+DM85</f>
        <v>6535.0647188545345</v>
      </c>
      <c r="DN87" s="94">
        <f t="shared" si="151"/>
        <v>6535.0647188545345</v>
      </c>
      <c r="DO87" s="94">
        <f t="shared" si="151"/>
        <v>6535.0647188545345</v>
      </c>
      <c r="DP87" s="94">
        <f t="shared" si="151"/>
        <v>6535.0647188545345</v>
      </c>
      <c r="DQ87" s="94">
        <f t="shared" si="151"/>
        <v>6535.0647188545345</v>
      </c>
      <c r="DR87" s="94">
        <f t="shared" si="151"/>
        <v>6535.0647188545345</v>
      </c>
      <c r="DS87" s="94">
        <f t="shared" si="151"/>
        <v>6535.0647188545345</v>
      </c>
      <c r="DU87" s="87"/>
    </row>
    <row r="88" spans="2:186" s="92" customFormat="1" ht="12.75" customHeight="1">
      <c r="B88" s="100" t="s">
        <v>63</v>
      </c>
      <c r="C88" s="93">
        <f t="shared" ref="C88:N88" si="152">C82-C87</f>
        <v>2123.0700000000002</v>
      </c>
      <c r="D88" s="93">
        <f t="shared" si="152"/>
        <v>2321.0700000000002</v>
      </c>
      <c r="E88" s="93">
        <f t="shared" si="152"/>
        <v>2497.46</v>
      </c>
      <c r="F88" s="93">
        <f t="shared" si="152"/>
        <v>2475.4</v>
      </c>
      <c r="G88" s="93">
        <f t="shared" si="152"/>
        <v>-2737.8</v>
      </c>
      <c r="H88" s="93">
        <f t="shared" si="152"/>
        <v>-2936.2</v>
      </c>
      <c r="I88" s="93">
        <f t="shared" si="152"/>
        <v>-3057.7000000000003</v>
      </c>
      <c r="J88" s="93">
        <f t="shared" si="152"/>
        <v>-3502.9000000000005</v>
      </c>
      <c r="K88" s="93">
        <f t="shared" si="152"/>
        <v>-3314.3999999999996</v>
      </c>
      <c r="L88" s="93">
        <f t="shared" si="152"/>
        <v>-3364.8</v>
      </c>
      <c r="M88" s="93">
        <f t="shared" si="152"/>
        <v>-3323.5</v>
      </c>
      <c r="N88" s="93">
        <f t="shared" si="152"/>
        <v>-3917.2999999999997</v>
      </c>
      <c r="O88" s="93" t="e">
        <f t="shared" ref="O88:AH88" si="153">O84-O87</f>
        <v>#REF!</v>
      </c>
      <c r="P88" s="93" t="e">
        <f t="shared" si="153"/>
        <v>#REF!</v>
      </c>
      <c r="Q88" s="93" t="e">
        <f t="shared" si="153"/>
        <v>#REF!</v>
      </c>
      <c r="R88" s="93" t="e">
        <f t="shared" si="153"/>
        <v>#REF!</v>
      </c>
      <c r="S88" s="93" t="e">
        <f t="shared" si="153"/>
        <v>#REF!</v>
      </c>
      <c r="T88" s="93" t="e">
        <f t="shared" si="153"/>
        <v>#REF!</v>
      </c>
      <c r="U88" s="93" t="e">
        <f t="shared" si="153"/>
        <v>#REF!</v>
      </c>
      <c r="V88" s="93" t="e">
        <f t="shared" si="153"/>
        <v>#REF!</v>
      </c>
      <c r="W88" s="93" t="e">
        <f t="shared" si="153"/>
        <v>#REF!</v>
      </c>
      <c r="X88" s="93" t="e">
        <f t="shared" si="153"/>
        <v>#REF!</v>
      </c>
      <c r="Y88" s="93" t="e">
        <f t="shared" si="153"/>
        <v>#REF!</v>
      </c>
      <c r="Z88" s="93" t="e">
        <f t="shared" si="153"/>
        <v>#REF!</v>
      </c>
      <c r="AA88" s="93" t="e">
        <f t="shared" si="153"/>
        <v>#REF!</v>
      </c>
      <c r="AB88" s="93" t="e">
        <f t="shared" si="153"/>
        <v>#REF!</v>
      </c>
      <c r="AC88" s="94" t="e">
        <f t="shared" si="153"/>
        <v>#REF!</v>
      </c>
      <c r="AD88" s="94"/>
      <c r="AE88" s="94" t="e">
        <f>AE84-AE87</f>
        <v>#REF!</v>
      </c>
      <c r="AF88" s="94" t="e">
        <f t="shared" si="153"/>
        <v>#REF!</v>
      </c>
      <c r="AG88" s="94" t="e">
        <f>AG84-AG87</f>
        <v>#REF!</v>
      </c>
      <c r="AH88" s="94" t="e">
        <f t="shared" si="153"/>
        <v>#REF!</v>
      </c>
      <c r="AI88" s="94" t="e">
        <f t="shared" ref="AI88:AN88" si="154">AI84-AI87</f>
        <v>#REF!</v>
      </c>
      <c r="AJ88" s="94" t="e">
        <f t="shared" si="154"/>
        <v>#REF!</v>
      </c>
      <c r="AK88" s="94" t="e">
        <f t="shared" si="154"/>
        <v>#REF!</v>
      </c>
      <c r="AL88" s="94">
        <f t="shared" si="154"/>
        <v>-7770</v>
      </c>
      <c r="AM88" s="94">
        <f t="shared" si="154"/>
        <v>-7972.2</v>
      </c>
      <c r="AN88" s="94" t="e">
        <f t="shared" si="154"/>
        <v>#REF!</v>
      </c>
      <c r="AO88" s="94" t="e">
        <f>AO84-AO87</f>
        <v>#REF!</v>
      </c>
      <c r="AP88" s="94" t="e">
        <f>AP84-AP87</f>
        <v>#REF!</v>
      </c>
      <c r="AQ88" s="94" t="e">
        <f>AQ84-AQ87</f>
        <v>#REF!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f>+CC84-CC87</f>
        <v>4108</v>
      </c>
      <c r="CD88" s="94">
        <f>+CD84-CD87</f>
        <v>4613</v>
      </c>
      <c r="CE88" s="94">
        <f>+CE84-CE87</f>
        <v>3579</v>
      </c>
      <c r="CF88" s="94">
        <f>+CF84-CF87</f>
        <v>2165</v>
      </c>
      <c r="CG88" s="94">
        <f t="shared" ref="CG88" si="155">+CG84-CG87</f>
        <v>5352</v>
      </c>
      <c r="CH88" s="94">
        <f>+CH84-CH87</f>
        <v>4835</v>
      </c>
      <c r="CI88" s="94">
        <f>+CI84-CI87</f>
        <v>6448</v>
      </c>
      <c r="CJ88" s="94">
        <f>+CJ84-CJ87</f>
        <v>5711</v>
      </c>
      <c r="CK88" s="94">
        <f t="shared" ref="CK88:CP88" si="156">+CK84-CK87</f>
        <v>5557</v>
      </c>
      <c r="CL88" s="94">
        <f t="shared" si="156"/>
        <v>5024.4624999999996</v>
      </c>
      <c r="CM88" s="94">
        <f t="shared" si="156"/>
        <v>5680.8650000000034</v>
      </c>
      <c r="CN88" s="94">
        <f t="shared" si="156"/>
        <v>5866.8731250000001</v>
      </c>
      <c r="CO88" s="94">
        <f t="shared" si="156"/>
        <v>5750.1566312499981</v>
      </c>
      <c r="CP88" s="94">
        <f t="shared" si="156"/>
        <v>5760.1735334375007</v>
      </c>
      <c r="CQ88" s="94"/>
      <c r="CR88" s="94"/>
      <c r="CS88" s="95"/>
      <c r="CT88" s="94">
        <f t="shared" ref="CT88:DB88" si="157">CT84-CT87</f>
        <v>9417.2000000000007</v>
      </c>
      <c r="CU88" s="94" t="e">
        <f t="shared" si="157"/>
        <v>#REF!</v>
      </c>
      <c r="CV88" s="94" t="e">
        <f t="shared" si="157"/>
        <v>#REF!</v>
      </c>
      <c r="CW88" s="94" t="e">
        <f t="shared" si="157"/>
        <v>#REF!</v>
      </c>
      <c r="CX88" s="94" t="e">
        <f t="shared" si="157"/>
        <v>#REF!</v>
      </c>
      <c r="CY88" s="94" t="e">
        <f t="shared" si="157"/>
        <v>#REF!</v>
      </c>
      <c r="CZ88" s="94" t="e">
        <f t="shared" si="157"/>
        <v>#REF!</v>
      </c>
      <c r="DA88" s="94" t="e">
        <f t="shared" si="157"/>
        <v>#REF!</v>
      </c>
      <c r="DB88" s="94" t="e">
        <f t="shared" si="157"/>
        <v>#REF!</v>
      </c>
      <c r="DC88" s="94" t="e">
        <f>DC84-DC87</f>
        <v>#REF!</v>
      </c>
      <c r="DD88" s="94">
        <f>DD84-DD87</f>
        <v>10889.941119999996</v>
      </c>
      <c r="DE88" s="94">
        <f t="shared" ref="DE88:DL88" si="158">DE84-DE87</f>
        <v>17165.543730400001</v>
      </c>
      <c r="DF88" s="94">
        <f t="shared" si="158"/>
        <v>15228.598161723998</v>
      </c>
      <c r="DG88" s="94">
        <f t="shared" si="158"/>
        <v>14637.043187856201</v>
      </c>
      <c r="DH88" s="94">
        <f t="shared" si="158"/>
        <v>13921.748751877247</v>
      </c>
      <c r="DI88" s="94">
        <f t="shared" si="158"/>
        <v>13542.376221349059</v>
      </c>
      <c r="DJ88" s="94">
        <f t="shared" si="158"/>
        <v>13245.23503697577</v>
      </c>
      <c r="DK88" s="94">
        <f t="shared" si="158"/>
        <v>11863.899927703307</v>
      </c>
      <c r="DL88" s="94">
        <f t="shared" si="158"/>
        <v>10117.243486873718</v>
      </c>
      <c r="DM88" s="94">
        <f t="shared" ref="DM88:DS88" si="159">DM84-DM87</f>
        <v>8792.6571639396388</v>
      </c>
      <c r="DN88" s="94">
        <f t="shared" si="159"/>
        <v>8084.7148434897308</v>
      </c>
      <c r="DO88" s="94">
        <f t="shared" si="159"/>
        <v>7709.5756091213088</v>
      </c>
      <c r="DP88" s="94">
        <f t="shared" si="159"/>
        <v>7502.1040279769686</v>
      </c>
      <c r="DQ88" s="94">
        <f t="shared" si="159"/>
        <v>7423.8574304362237</v>
      </c>
      <c r="DR88" s="94">
        <f t="shared" si="159"/>
        <v>7397.7698245381916</v>
      </c>
      <c r="DS88" s="94">
        <f t="shared" si="159"/>
        <v>7440.9482060288747</v>
      </c>
      <c r="DU88" s="87"/>
    </row>
    <row r="89" spans="2:186" s="83" customFormat="1" ht="12.75" customHeight="1">
      <c r="B89" s="100" t="s">
        <v>64</v>
      </c>
      <c r="C89" s="93"/>
      <c r="D89" s="93"/>
      <c r="E89" s="93"/>
      <c r="F89" s="93"/>
      <c r="G89" s="93">
        <f>-203.9-H89+2</f>
        <v>-96.4</v>
      </c>
      <c r="H89" s="93">
        <v>-105.5</v>
      </c>
      <c r="I89" s="93">
        <v>-106.5</v>
      </c>
      <c r="J89" s="93">
        <v>-107.3</v>
      </c>
      <c r="K89" s="94">
        <v>-87.5</v>
      </c>
      <c r="L89" s="94">
        <v>-82.1</v>
      </c>
      <c r="M89" s="94">
        <v>-66.900000000000006</v>
      </c>
      <c r="N89" s="94">
        <v>-72.2</v>
      </c>
      <c r="O89" s="94">
        <v>65.7</v>
      </c>
      <c r="P89" s="94">
        <v>68.5</v>
      </c>
      <c r="Q89" s="94">
        <v>75.7</v>
      </c>
      <c r="R89" s="94">
        <v>90.2</v>
      </c>
      <c r="S89" s="94">
        <v>93.8</v>
      </c>
      <c r="T89" s="94">
        <v>98.7</v>
      </c>
      <c r="U89" s="94">
        <v>122.3</v>
      </c>
      <c r="V89" s="94">
        <v>166</v>
      </c>
      <c r="W89" s="94">
        <v>181.7</v>
      </c>
      <c r="X89" s="94">
        <v>187.9</v>
      </c>
      <c r="Y89" s="94">
        <v>195</v>
      </c>
      <c r="Z89" s="94">
        <v>199.7</v>
      </c>
      <c r="AA89" s="94">
        <v>181.7</v>
      </c>
      <c r="AB89" s="93">
        <v>172.3</v>
      </c>
      <c r="AC89" s="94">
        <v>186.9</v>
      </c>
      <c r="AD89" s="94"/>
      <c r="AE89" s="94"/>
      <c r="AF89" s="94">
        <v>81.900000000000006</v>
      </c>
      <c r="AG89" s="94">
        <v>61.8</v>
      </c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4"/>
      <c r="CQ89" s="94"/>
      <c r="CR89" s="94"/>
      <c r="CS89" s="75"/>
      <c r="CT89" s="94"/>
      <c r="CU89" s="94">
        <f t="shared" ref="CU89:CU94" si="160">SUM(G89:J89)</f>
        <v>-415.7</v>
      </c>
      <c r="CV89" s="94">
        <f t="shared" ref="CV89:CV94" si="161">SUM(K89:N89)</f>
        <v>-308.7</v>
      </c>
      <c r="CW89" s="94">
        <f t="shared" ref="CW89:CW94" si="162">SUM(O89:R89)</f>
        <v>300.09999999999997</v>
      </c>
      <c r="CX89" s="94">
        <f t="shared" ref="CX89:CX94" si="163">SUM(S89:V89)</f>
        <v>480.8</v>
      </c>
      <c r="CY89" s="93">
        <f t="shared" ref="CY89:CY94" si="164">SUM(W89:Z89)</f>
        <v>764.3</v>
      </c>
      <c r="CZ89" s="93">
        <f t="shared" ref="CZ89:CZ94" si="165">SUM(AA89:AD89)</f>
        <v>540.9</v>
      </c>
      <c r="DA89" s="93">
        <f>SUM(AE89:AH89)</f>
        <v>143.69999999999999</v>
      </c>
      <c r="DB89" s="94"/>
      <c r="DC89" s="94"/>
      <c r="DD89" s="94">
        <f t="shared" ref="DD89:DS89" si="166">+DC112*$DY$103</f>
        <v>-350</v>
      </c>
      <c r="DE89" s="94">
        <f t="shared" si="166"/>
        <v>45.247791999999848</v>
      </c>
      <c r="DF89" s="94">
        <f t="shared" si="166"/>
        <v>690.65247408999983</v>
      </c>
      <c r="DG89" s="94">
        <f t="shared" si="166"/>
        <v>1287.6243729330247</v>
      </c>
      <c r="DH89" s="94">
        <f t="shared" si="166"/>
        <v>1884.7994064626209</v>
      </c>
      <c r="DI89" s="94">
        <f t="shared" si="166"/>
        <v>2477.5449624003663</v>
      </c>
      <c r="DJ89" s="94">
        <f t="shared" si="166"/>
        <v>3078.2920067909699</v>
      </c>
      <c r="DK89" s="94">
        <f t="shared" si="166"/>
        <v>3690.4242709322225</v>
      </c>
      <c r="DL89" s="94">
        <f t="shared" si="166"/>
        <v>4273.7114283810542</v>
      </c>
      <c r="DM89" s="94">
        <f t="shared" si="166"/>
        <v>4813.3722377031081</v>
      </c>
      <c r="DN89" s="94">
        <f t="shared" si="166"/>
        <v>5323.5983402647107</v>
      </c>
      <c r="DO89" s="94">
        <f t="shared" si="166"/>
        <v>5826.4100846555029</v>
      </c>
      <c r="DP89" s="94">
        <f t="shared" si="166"/>
        <v>6334.0095481721328</v>
      </c>
      <c r="DQ89" s="94">
        <f t="shared" si="166"/>
        <v>6852.8638072777248</v>
      </c>
      <c r="DR89" s="94">
        <f t="shared" si="166"/>
        <v>7388.2408536919975</v>
      </c>
      <c r="DS89" s="94">
        <f t="shared" si="166"/>
        <v>7942.7162541256303</v>
      </c>
      <c r="DU89" s="87"/>
    </row>
    <row r="90" spans="2:186" s="83" customFormat="1" ht="12.75" customHeight="1">
      <c r="B90" s="100" t="s">
        <v>65</v>
      </c>
      <c r="C90" s="93"/>
      <c r="D90" s="93"/>
      <c r="E90" s="93"/>
      <c r="F90" s="93"/>
      <c r="G90" s="93">
        <f>192.8-H90</f>
        <v>95.300000000000011</v>
      </c>
      <c r="H90" s="93">
        <v>97.5</v>
      </c>
      <c r="I90" s="93">
        <v>99.9</v>
      </c>
      <c r="J90" s="93">
        <v>98.1</v>
      </c>
      <c r="K90" s="94">
        <v>94.9</v>
      </c>
      <c r="L90" s="94">
        <v>94.9</v>
      </c>
      <c r="M90" s="94">
        <v>81.099999999999994</v>
      </c>
      <c r="N90" s="94">
        <v>80</v>
      </c>
      <c r="O90" s="94">
        <v>72.8</v>
      </c>
      <c r="P90" s="94">
        <v>71.599999999999994</v>
      </c>
      <c r="Q90" s="94">
        <v>72.400000000000006</v>
      </c>
      <c r="R90" s="94">
        <v>77</v>
      </c>
      <c r="S90" s="94">
        <v>84.5</v>
      </c>
      <c r="T90" s="94">
        <v>93.1</v>
      </c>
      <c r="U90" s="94">
        <v>99.6</v>
      </c>
      <c r="V90" s="94">
        <v>108.2</v>
      </c>
      <c r="W90" s="94">
        <v>98.2</v>
      </c>
      <c r="X90" s="94">
        <v>91.9</v>
      </c>
      <c r="Y90" s="94">
        <v>87.7</v>
      </c>
      <c r="Z90" s="94">
        <v>97.2</v>
      </c>
      <c r="AA90" s="94">
        <v>102.4</v>
      </c>
      <c r="AB90" s="93">
        <v>103.3</v>
      </c>
      <c r="AC90" s="93">
        <v>91.5</v>
      </c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>
        <v>-35</v>
      </c>
      <c r="CD90" s="94">
        <v>-100</v>
      </c>
      <c r="CE90" s="94">
        <v>-134</v>
      </c>
      <c r="CF90" s="94">
        <v>-38</v>
      </c>
      <c r="CG90" s="94">
        <v>-244</v>
      </c>
      <c r="CH90" s="94">
        <v>-51</v>
      </c>
      <c r="CI90" s="94">
        <v>-139</v>
      </c>
      <c r="CJ90" s="94">
        <v>-202</v>
      </c>
      <c r="CK90" s="94">
        <v>-105</v>
      </c>
      <c r="CL90" s="94">
        <f t="shared" ref="CL90:CP90" si="167">AVERAGE(CH90:CK90)</f>
        <v>-124.25</v>
      </c>
      <c r="CM90" s="94">
        <f t="shared" si="167"/>
        <v>-142.5625</v>
      </c>
      <c r="CN90" s="94">
        <f t="shared" si="167"/>
        <v>-143.453125</v>
      </c>
      <c r="CO90" s="94">
        <f t="shared" si="167"/>
        <v>-128.81640625</v>
      </c>
      <c r="CP90" s="94">
        <f t="shared" si="167"/>
        <v>-134.7705078125</v>
      </c>
      <c r="CQ90" s="94"/>
      <c r="CR90" s="94"/>
      <c r="CS90" s="75"/>
      <c r="CT90" s="94"/>
      <c r="CU90" s="94">
        <f t="shared" si="160"/>
        <v>390.80000000000007</v>
      </c>
      <c r="CV90" s="94">
        <f t="shared" si="161"/>
        <v>350.9</v>
      </c>
      <c r="CW90" s="94">
        <f t="shared" si="162"/>
        <v>293.79999999999995</v>
      </c>
      <c r="CX90" s="94">
        <f t="shared" si="163"/>
        <v>385.4</v>
      </c>
      <c r="CY90" s="93">
        <f t="shared" si="164"/>
        <v>375</v>
      </c>
      <c r="CZ90" s="93">
        <f t="shared" si="165"/>
        <v>297.2</v>
      </c>
      <c r="DA90" s="94"/>
      <c r="DB90" s="98"/>
      <c r="DC90" s="98"/>
      <c r="DD90" s="98"/>
      <c r="DE90" s="98"/>
      <c r="DF90" s="98"/>
      <c r="DG90" s="98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U90" s="87"/>
    </row>
    <row r="91" spans="2:186" s="83" customFormat="1" ht="12.75" customHeight="1">
      <c r="B91" s="100" t="s">
        <v>66</v>
      </c>
      <c r="C91" s="93"/>
      <c r="D91" s="93"/>
      <c r="E91" s="93"/>
      <c r="F91" s="93"/>
      <c r="G91" s="93">
        <f>2.6-H91</f>
        <v>-2.6999999999999997</v>
      </c>
      <c r="H91" s="93">
        <v>5.3</v>
      </c>
      <c r="I91" s="93">
        <v>8.3000000000000007</v>
      </c>
      <c r="J91" s="93">
        <v>-18.7</v>
      </c>
      <c r="K91" s="94">
        <v>-7.2</v>
      </c>
      <c r="L91" s="94">
        <v>-16.2</v>
      </c>
      <c r="M91" s="94">
        <v>-1.7</v>
      </c>
      <c r="N91" s="94">
        <v>-3.3</v>
      </c>
      <c r="O91" s="94">
        <v>-7.8</v>
      </c>
      <c r="P91" s="94">
        <v>-14.9</v>
      </c>
      <c r="Q91" s="94">
        <v>-2.8</v>
      </c>
      <c r="R91" s="94">
        <v>28.3</v>
      </c>
      <c r="S91" s="94">
        <v>0.7</v>
      </c>
      <c r="T91" s="94">
        <v>8.4</v>
      </c>
      <c r="U91" s="94">
        <v>7.4</v>
      </c>
      <c r="V91" s="94">
        <v>-0.4</v>
      </c>
      <c r="W91" s="94">
        <v>0.4</v>
      </c>
      <c r="X91" s="94">
        <v>-7.4</v>
      </c>
      <c r="Y91" s="94">
        <v>11.5</v>
      </c>
      <c r="Z91" s="94">
        <v>20.5</v>
      </c>
      <c r="AA91" s="94">
        <v>19.600000000000001</v>
      </c>
      <c r="AB91" s="93">
        <v>12</v>
      </c>
      <c r="AC91" s="93">
        <v>8.3000000000000007</v>
      </c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75"/>
      <c r="CT91" s="94"/>
      <c r="CU91" s="94">
        <f t="shared" si="160"/>
        <v>-7.7999999999999989</v>
      </c>
      <c r="CV91" s="94">
        <f t="shared" si="161"/>
        <v>-28.4</v>
      </c>
      <c r="CW91" s="94">
        <f t="shared" si="162"/>
        <v>2.8000000000000007</v>
      </c>
      <c r="CX91" s="94">
        <f t="shared" si="163"/>
        <v>16.100000000000001</v>
      </c>
      <c r="CY91" s="93">
        <f t="shared" si="164"/>
        <v>25</v>
      </c>
      <c r="CZ91" s="93">
        <f t="shared" si="165"/>
        <v>39.900000000000006</v>
      </c>
      <c r="DA91" s="94"/>
      <c r="DB91" s="98"/>
      <c r="DC91" s="98"/>
      <c r="DD91" s="98"/>
      <c r="DE91" s="98"/>
      <c r="DF91" s="98"/>
      <c r="DG91" s="98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U91" s="87"/>
    </row>
    <row r="92" spans="2:186" s="83" customFormat="1" ht="12.75" customHeight="1">
      <c r="B92" s="100" t="s">
        <v>67</v>
      </c>
      <c r="C92" s="93"/>
      <c r="D92" s="93"/>
      <c r="E92" s="93"/>
      <c r="F92" s="93"/>
      <c r="G92" s="93">
        <f>110.6-H92</f>
        <v>50.699999999999996</v>
      </c>
      <c r="H92" s="93">
        <v>59.9</v>
      </c>
      <c r="I92" s="93">
        <v>59.1</v>
      </c>
      <c r="J92" s="93">
        <v>44.5</v>
      </c>
      <c r="K92" s="94">
        <v>51.7</v>
      </c>
      <c r="L92" s="94">
        <v>40.700000000000003</v>
      </c>
      <c r="M92" s="94">
        <v>39.1</v>
      </c>
      <c r="N92" s="94">
        <v>37.200000000000003</v>
      </c>
      <c r="O92" s="94">
        <v>-39.6</v>
      </c>
      <c r="P92" s="94">
        <v>-36.799999999999997</v>
      </c>
      <c r="Q92" s="94">
        <v>-37.6</v>
      </c>
      <c r="R92" s="94">
        <v>-40.299999999999997</v>
      </c>
      <c r="S92" s="94">
        <v>-30.4</v>
      </c>
      <c r="T92" s="94">
        <v>-30.3</v>
      </c>
      <c r="U92" s="94">
        <v>-30.9</v>
      </c>
      <c r="V92" s="94">
        <v>-30.2</v>
      </c>
      <c r="W92" s="94">
        <v>-29.9</v>
      </c>
      <c r="X92" s="94">
        <v>-30</v>
      </c>
      <c r="Y92" s="94">
        <v>-30.7</v>
      </c>
      <c r="Z92" s="94">
        <v>-29.9</v>
      </c>
      <c r="AA92" s="94">
        <v>-30.6</v>
      </c>
      <c r="AB92" s="93">
        <v>-30.8</v>
      </c>
      <c r="AC92" s="93">
        <v>-30.6</v>
      </c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75"/>
      <c r="CT92" s="94"/>
      <c r="CU92" s="94">
        <f t="shared" si="160"/>
        <v>214.2</v>
      </c>
      <c r="CV92" s="94">
        <f t="shared" si="161"/>
        <v>168.7</v>
      </c>
      <c r="CW92" s="94">
        <f t="shared" si="162"/>
        <v>-154.30000000000001</v>
      </c>
      <c r="CX92" s="94">
        <f t="shared" si="163"/>
        <v>-121.8</v>
      </c>
      <c r="CY92" s="93">
        <f t="shared" si="164"/>
        <v>-120.5</v>
      </c>
      <c r="CZ92" s="93">
        <f t="shared" si="165"/>
        <v>-92</v>
      </c>
      <c r="DA92" s="94"/>
      <c r="DB92" s="98"/>
      <c r="DC92" s="98"/>
      <c r="DD92" s="98"/>
      <c r="DE92" s="98"/>
      <c r="DF92" s="98"/>
      <c r="DG92" s="98"/>
      <c r="DH92" s="84"/>
      <c r="DI92" s="84"/>
      <c r="DJ92" s="84"/>
      <c r="DK92" s="84"/>
      <c r="DL92" s="84"/>
      <c r="DM92" s="84"/>
      <c r="DN92" s="84"/>
      <c r="DO92" s="84"/>
      <c r="DP92" s="84"/>
      <c r="DQ92" s="84"/>
      <c r="DR92" s="84"/>
      <c r="DS92" s="84"/>
      <c r="DU92" s="87"/>
    </row>
    <row r="93" spans="2:186" s="83" customFormat="1" ht="12.75" customHeight="1">
      <c r="B93" s="100" t="s">
        <v>68</v>
      </c>
      <c r="C93" s="93">
        <v>-185.9</v>
      </c>
      <c r="D93" s="93">
        <v>-185.9</v>
      </c>
      <c r="E93" s="93">
        <v>-185.9</v>
      </c>
      <c r="F93" s="93">
        <v>-128.19999999999999</v>
      </c>
      <c r="G93" s="93">
        <v>-171.8</v>
      </c>
      <c r="H93" s="93">
        <v>-190.2</v>
      </c>
      <c r="I93" s="93">
        <v>-188.7</v>
      </c>
      <c r="J93" s="93">
        <v>-94</v>
      </c>
      <c r="K93" s="94">
        <v>-97.3</v>
      </c>
      <c r="L93" s="94">
        <v>-187.4</v>
      </c>
      <c r="M93" s="94">
        <v>-183.4</v>
      </c>
      <c r="N93" s="94">
        <v>-6</v>
      </c>
      <c r="O93" s="94">
        <v>194.7</v>
      </c>
      <c r="P93" s="94">
        <v>220.5</v>
      </c>
      <c r="Q93" s="94">
        <v>307.10000000000002</v>
      </c>
      <c r="R93" s="94">
        <v>285.89999999999998</v>
      </c>
      <c r="S93" s="94">
        <v>316.3</v>
      </c>
      <c r="T93" s="94">
        <v>334.1</v>
      </c>
      <c r="U93" s="94">
        <v>480.1</v>
      </c>
      <c r="V93" s="94">
        <v>586.6</v>
      </c>
      <c r="W93" s="94">
        <v>503.4</v>
      </c>
      <c r="X93" s="94">
        <v>611.29999999999995</v>
      </c>
      <c r="Y93" s="94">
        <v>595</v>
      </c>
      <c r="Z93" s="94">
        <v>584.20000000000005</v>
      </c>
      <c r="AA93" s="94">
        <v>652.6</v>
      </c>
      <c r="AB93" s="93">
        <v>759.1</v>
      </c>
      <c r="AC93" s="93">
        <v>768.5</v>
      </c>
      <c r="AD93" s="94"/>
      <c r="AE93" s="94">
        <v>652.1</v>
      </c>
      <c r="AF93" s="94">
        <v>523</v>
      </c>
      <c r="AG93" s="94">
        <v>665.6</v>
      </c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4"/>
      <c r="CR93" s="94"/>
      <c r="CS93" s="75"/>
      <c r="CT93" s="94">
        <f>SUM(C93:F93)</f>
        <v>-685.90000000000009</v>
      </c>
      <c r="CU93" s="94">
        <f t="shared" si="160"/>
        <v>-644.70000000000005</v>
      </c>
      <c r="CV93" s="94">
        <f t="shared" si="161"/>
        <v>-474.1</v>
      </c>
      <c r="CW93" s="94">
        <f t="shared" si="162"/>
        <v>1008.1999999999999</v>
      </c>
      <c r="CX93" s="94">
        <f t="shared" si="163"/>
        <v>1717.1</v>
      </c>
      <c r="CY93" s="93">
        <f t="shared" si="164"/>
        <v>2293.8999999999996</v>
      </c>
      <c r="CZ93" s="93">
        <f>SUM(AA93:AD93)</f>
        <v>2180.1999999999998</v>
      </c>
      <c r="DA93" s="93">
        <f>SUM(AE93:AH93)</f>
        <v>1840.6999999999998</v>
      </c>
      <c r="DB93" s="94">
        <f>SUM(AI93:AL93)</f>
        <v>0</v>
      </c>
      <c r="DC93" s="94"/>
      <c r="DD93" s="94"/>
      <c r="DE93" s="94"/>
      <c r="DF93" s="94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U93" s="87"/>
    </row>
    <row r="94" spans="2:186" s="83" customFormat="1" ht="12.75" customHeight="1">
      <c r="B94" s="100" t="s">
        <v>70</v>
      </c>
      <c r="C94" s="93">
        <v>29.47</v>
      </c>
      <c r="D94" s="93">
        <v>29.47</v>
      </c>
      <c r="E94" s="93">
        <v>29.47</v>
      </c>
      <c r="F94" s="93">
        <v>66.599999999999994</v>
      </c>
      <c r="G94" s="93">
        <f>23.4-SUM(G89:G92)</f>
        <v>-23.5</v>
      </c>
      <c r="H94" s="93">
        <f>61.8-SUM(H89:H92)</f>
        <v>4.6000000000000014</v>
      </c>
      <c r="I94" s="93">
        <f>46.8-SUM(I89:I92)</f>
        <v>-14.000000000000014</v>
      </c>
      <c r="J94" s="93">
        <f>70.3-SUM(J89:J92)</f>
        <v>53.7</v>
      </c>
      <c r="K94" s="94">
        <f>47.8+90.4-SUM(K89:K92)</f>
        <v>86.299999999999983</v>
      </c>
      <c r="L94" s="94">
        <f>-121.8-SUM(L89:L92)</f>
        <v>-159.10000000000002</v>
      </c>
      <c r="M94" s="94">
        <v>-38.9</v>
      </c>
      <c r="N94" s="94">
        <f>-56.5-SUM(N89:N92)+11.4</f>
        <v>-86.8</v>
      </c>
      <c r="O94" s="94">
        <v>0</v>
      </c>
      <c r="P94" s="94">
        <v>22.1</v>
      </c>
      <c r="Q94" s="94">
        <v>45.9</v>
      </c>
      <c r="R94" s="94">
        <v>107.1</v>
      </c>
      <c r="S94" s="94">
        <v>-6.1</v>
      </c>
      <c r="T94" s="94">
        <v>2.2999999999999998</v>
      </c>
      <c r="U94" s="94">
        <v>25.5</v>
      </c>
      <c r="V94" s="94">
        <v>99.1</v>
      </c>
      <c r="W94" s="94">
        <v>46.6</v>
      </c>
      <c r="X94" s="94">
        <v>11.5</v>
      </c>
      <c r="Y94" s="94">
        <v>46.6</v>
      </c>
      <c r="Z94" s="94">
        <v>-16</v>
      </c>
      <c r="AA94" s="94">
        <v>187.7</v>
      </c>
      <c r="AB94" s="93">
        <v>33.799999999999997</v>
      </c>
      <c r="AC94" s="93">
        <v>107.8</v>
      </c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75"/>
      <c r="CT94" s="94">
        <f>SUM(C94:F94)</f>
        <v>155.01</v>
      </c>
      <c r="CU94" s="94">
        <f t="shared" si="160"/>
        <v>20.79999999999999</v>
      </c>
      <c r="CV94" s="94">
        <f t="shared" si="161"/>
        <v>-198.50000000000006</v>
      </c>
      <c r="CW94" s="94">
        <f t="shared" si="162"/>
        <v>175.1</v>
      </c>
      <c r="CX94" s="94">
        <f t="shared" si="163"/>
        <v>120.8</v>
      </c>
      <c r="CY94" s="93">
        <f t="shared" si="164"/>
        <v>88.7</v>
      </c>
      <c r="CZ94" s="93">
        <f t="shared" si="165"/>
        <v>329.3</v>
      </c>
      <c r="DA94" s="98"/>
      <c r="DB94" s="98"/>
      <c r="DC94" s="98"/>
      <c r="DD94" s="98"/>
      <c r="DE94" s="98"/>
      <c r="DF94" s="98"/>
      <c r="DG94" s="98"/>
      <c r="DH94" s="84"/>
      <c r="DI94" s="84"/>
      <c r="DJ94" s="84"/>
      <c r="DK94" s="84"/>
      <c r="DL94" s="84"/>
      <c r="DM94" s="84"/>
      <c r="DN94" s="84"/>
      <c r="DO94" s="84"/>
      <c r="DP94" s="84"/>
      <c r="DQ94" s="84"/>
      <c r="DR94" s="84"/>
      <c r="DS94" s="84"/>
      <c r="DU94" s="87"/>
    </row>
    <row r="95" spans="2:186" s="83" customFormat="1" ht="12.75" customHeight="1">
      <c r="B95" s="100" t="s">
        <v>71</v>
      </c>
      <c r="C95" s="93">
        <f>SUM(C93:C94)</f>
        <v>-156.43</v>
      </c>
      <c r="D95" s="93">
        <f>SUM(D93:D94)</f>
        <v>-156.43</v>
      </c>
      <c r="E95" s="93">
        <f>SUM(E93:E94)</f>
        <v>-156.43</v>
      </c>
      <c r="F95" s="93">
        <f>SUM(F93:F94)</f>
        <v>-61.599999999999994</v>
      </c>
      <c r="G95" s="93">
        <f t="shared" ref="G95:N95" si="168">SUM(G89:G94)</f>
        <v>-148.4</v>
      </c>
      <c r="H95" s="93">
        <f t="shared" si="168"/>
        <v>-128.4</v>
      </c>
      <c r="I95" s="93">
        <f t="shared" si="168"/>
        <v>-141.89999999999998</v>
      </c>
      <c r="J95" s="93">
        <f t="shared" si="168"/>
        <v>-23.700000000000003</v>
      </c>
      <c r="K95" s="93">
        <f t="shared" si="168"/>
        <v>40.899999999999991</v>
      </c>
      <c r="L95" s="93">
        <f t="shared" si="168"/>
        <v>-309.20000000000005</v>
      </c>
      <c r="M95" s="93">
        <f t="shared" si="168"/>
        <v>-170.70000000000002</v>
      </c>
      <c r="N95" s="93">
        <f t="shared" si="168"/>
        <v>-51.099999999999994</v>
      </c>
      <c r="O95" s="93">
        <f t="shared" ref="O95:Y95" si="169">O89-O90+O91+O92+O93+O94</f>
        <v>140.19999999999999</v>
      </c>
      <c r="P95" s="93">
        <f t="shared" si="169"/>
        <v>187.8</v>
      </c>
      <c r="Q95" s="93">
        <f t="shared" si="169"/>
        <v>315.89999999999998</v>
      </c>
      <c r="R95" s="93">
        <f t="shared" si="169"/>
        <v>394.19999999999993</v>
      </c>
      <c r="S95" s="93">
        <f t="shared" si="169"/>
        <v>289.8</v>
      </c>
      <c r="T95" s="93">
        <f t="shared" si="169"/>
        <v>320.10000000000002</v>
      </c>
      <c r="U95" s="93">
        <f t="shared" si="169"/>
        <v>504.8</v>
      </c>
      <c r="V95" s="93">
        <f t="shared" si="169"/>
        <v>712.90000000000009</v>
      </c>
      <c r="W95" s="93">
        <f t="shared" si="169"/>
        <v>604</v>
      </c>
      <c r="X95" s="93">
        <f t="shared" si="169"/>
        <v>681.4</v>
      </c>
      <c r="Y95" s="93">
        <f t="shared" si="169"/>
        <v>729.7</v>
      </c>
      <c r="Z95" s="93">
        <f>Z89-Z90+Z91+Z92+Z93+Z94</f>
        <v>661.30000000000007</v>
      </c>
      <c r="AA95" s="93">
        <f>AA89-AA90+AA91+AA92+AA93+AA94</f>
        <v>908.59999999999991</v>
      </c>
      <c r="AB95" s="93">
        <f>AB89-AB90+AB91+AB92+AB93+AB94</f>
        <v>843.1</v>
      </c>
      <c r="AC95" s="93">
        <f>AC89-AC90+AC91+AC92+AC93+AC94</f>
        <v>949.4</v>
      </c>
      <c r="AD95" s="93"/>
      <c r="AE95" s="93">
        <f>AE89-AE90+AE91+AE92+AE93+AE94</f>
        <v>652.1</v>
      </c>
      <c r="AF95" s="93">
        <f>AF89-AF90+AF91+AF92+AF93+AF94</f>
        <v>604.9</v>
      </c>
      <c r="AG95" s="93">
        <f>AG89-AG90+AG91+AG92+AG93+AG94</f>
        <v>727.4</v>
      </c>
      <c r="AH95" s="93">
        <f>720+26.8</f>
        <v>746.8</v>
      </c>
      <c r="AI95" s="93">
        <v>665</v>
      </c>
      <c r="AJ95" s="93">
        <v>633.5</v>
      </c>
      <c r="AK95" s="93">
        <v>688.2</v>
      </c>
      <c r="AL95" s="93">
        <f>373.8-92</f>
        <v>281.8</v>
      </c>
      <c r="AM95" s="93">
        <v>-22.9</v>
      </c>
      <c r="AN95" s="93">
        <f>42.9-152.8</f>
        <v>-109.9</v>
      </c>
      <c r="AO95" s="93">
        <f>236.4-158.3</f>
        <v>78.099999999999994</v>
      </c>
      <c r="AP95" s="93">
        <f>171-309</f>
        <v>-138</v>
      </c>
      <c r="AQ95" s="93">
        <f>138-256</f>
        <v>-118</v>
      </c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75"/>
      <c r="CT95" s="93">
        <f t="shared" ref="CT95:DB95" si="170">CT89-CT90+CT91+CT92+CT93+CT94</f>
        <v>-530.8900000000001</v>
      </c>
      <c r="CU95" s="93">
        <f t="shared" si="170"/>
        <v>-1224</v>
      </c>
      <c r="CV95" s="93">
        <f t="shared" si="170"/>
        <v>-1191.9000000000001</v>
      </c>
      <c r="CW95" s="93">
        <f t="shared" si="170"/>
        <v>1038.0999999999999</v>
      </c>
      <c r="CX95" s="93">
        <f t="shared" si="170"/>
        <v>1827.6</v>
      </c>
      <c r="CY95" s="93">
        <f t="shared" si="170"/>
        <v>2676.3999999999996</v>
      </c>
      <c r="CZ95" s="93">
        <f t="shared" si="170"/>
        <v>2701.1</v>
      </c>
      <c r="DA95" s="93">
        <f t="shared" si="170"/>
        <v>1984.3999999999999</v>
      </c>
      <c r="DB95" s="93">
        <f t="shared" si="170"/>
        <v>0</v>
      </c>
      <c r="DC95" s="93">
        <f>SUM(AM95:AP95)</f>
        <v>-192.70000000000002</v>
      </c>
      <c r="DD95" s="93">
        <f>DD89-DD90+DD91+DD92+DD93+DD94</f>
        <v>-350</v>
      </c>
      <c r="DE95" s="93">
        <f>DE89-DE90+DE91+DE92+DE93+DE94</f>
        <v>45.247791999999848</v>
      </c>
      <c r="DF95" s="93">
        <f t="shared" ref="DF95:DL95" si="171">DF89-DF90+DF91+DF92+DF93+DF94</f>
        <v>690.65247408999983</v>
      </c>
      <c r="DG95" s="93">
        <f t="shared" si="171"/>
        <v>1287.6243729330247</v>
      </c>
      <c r="DH95" s="93">
        <f t="shared" si="171"/>
        <v>1884.7994064626209</v>
      </c>
      <c r="DI95" s="93">
        <f t="shared" si="171"/>
        <v>2477.5449624003663</v>
      </c>
      <c r="DJ95" s="93">
        <f t="shared" si="171"/>
        <v>3078.2920067909699</v>
      </c>
      <c r="DK95" s="93">
        <f t="shared" si="171"/>
        <v>3690.4242709322225</v>
      </c>
      <c r="DL95" s="93">
        <f t="shared" si="171"/>
        <v>4273.7114283810542</v>
      </c>
      <c r="DM95" s="93">
        <f t="shared" ref="DM95:DS95" si="172">DM89-DM90+DM91+DM92+DM93+DM94</f>
        <v>4813.3722377031081</v>
      </c>
      <c r="DN95" s="93">
        <f t="shared" si="172"/>
        <v>5323.5983402647107</v>
      </c>
      <c r="DO95" s="93">
        <f t="shared" si="172"/>
        <v>5826.4100846555029</v>
      </c>
      <c r="DP95" s="93">
        <f t="shared" si="172"/>
        <v>6334.0095481721328</v>
      </c>
      <c r="DQ95" s="93">
        <f t="shared" si="172"/>
        <v>6852.8638072777248</v>
      </c>
      <c r="DR95" s="93">
        <f t="shared" si="172"/>
        <v>7388.2408536919975</v>
      </c>
      <c r="DS95" s="93">
        <f t="shared" si="172"/>
        <v>7942.7162541256303</v>
      </c>
      <c r="DT95" s="92"/>
      <c r="DU95" s="87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92"/>
      <c r="EL95" s="92"/>
      <c r="EM95" s="92"/>
      <c r="EN95" s="92"/>
      <c r="EO95" s="92"/>
      <c r="EP95" s="92"/>
      <c r="EQ95" s="92"/>
      <c r="ER95" s="92"/>
      <c r="ES95" s="92"/>
      <c r="ET95" s="92"/>
      <c r="EU95" s="92"/>
      <c r="EV95" s="92"/>
      <c r="EW95" s="92"/>
      <c r="EX95" s="92"/>
      <c r="EY95" s="92"/>
      <c r="EZ95" s="92"/>
      <c r="FA95" s="92"/>
      <c r="FB95" s="92"/>
      <c r="FC95" s="92"/>
      <c r="FD95" s="92"/>
      <c r="FE95" s="92"/>
      <c r="FF95" s="92"/>
      <c r="FG95" s="92"/>
      <c r="FH95" s="92"/>
      <c r="FI95" s="92"/>
      <c r="FJ95" s="92"/>
      <c r="FK95" s="92"/>
      <c r="FL95" s="92"/>
      <c r="FM95" s="92"/>
      <c r="FN95" s="92"/>
      <c r="FO95" s="92"/>
      <c r="FP95" s="92"/>
      <c r="FQ95" s="92"/>
      <c r="FR95" s="92"/>
      <c r="FS95" s="92"/>
      <c r="FT95" s="92"/>
      <c r="FU95" s="92"/>
      <c r="FV95" s="92"/>
      <c r="FW95" s="92"/>
      <c r="FX95" s="92"/>
      <c r="FY95" s="92"/>
      <c r="FZ95" s="92"/>
      <c r="GA95" s="92"/>
      <c r="GB95" s="92"/>
      <c r="GC95" s="92"/>
      <c r="GD95" s="92"/>
    </row>
    <row r="96" spans="2:186" s="83" customFormat="1" ht="12.75" customHeight="1">
      <c r="B96" s="100" t="s">
        <v>72</v>
      </c>
      <c r="C96" s="93">
        <f t="shared" ref="C96:N96" si="173">C88-C95</f>
        <v>2279.5</v>
      </c>
      <c r="D96" s="93">
        <f t="shared" si="173"/>
        <v>2477.5</v>
      </c>
      <c r="E96" s="93">
        <f t="shared" si="173"/>
        <v>2653.89</v>
      </c>
      <c r="F96" s="93">
        <f t="shared" si="173"/>
        <v>2537</v>
      </c>
      <c r="G96" s="93">
        <f t="shared" si="173"/>
        <v>-2589.4</v>
      </c>
      <c r="H96" s="93">
        <f t="shared" si="173"/>
        <v>-2807.7999999999997</v>
      </c>
      <c r="I96" s="93">
        <f t="shared" si="173"/>
        <v>-2915.8</v>
      </c>
      <c r="J96" s="93">
        <f t="shared" si="173"/>
        <v>-3479.2000000000007</v>
      </c>
      <c r="K96" s="93">
        <f t="shared" si="173"/>
        <v>-3355.2999999999997</v>
      </c>
      <c r="L96" s="93">
        <f t="shared" si="173"/>
        <v>-3055.6000000000004</v>
      </c>
      <c r="M96" s="93">
        <f t="shared" si="173"/>
        <v>-3152.8</v>
      </c>
      <c r="N96" s="93">
        <f t="shared" si="173"/>
        <v>-3866.2</v>
      </c>
      <c r="O96" s="93" t="e">
        <f t="shared" ref="O96:X96" si="174">O88+O95</f>
        <v>#REF!</v>
      </c>
      <c r="P96" s="93" t="e">
        <f t="shared" si="174"/>
        <v>#REF!</v>
      </c>
      <c r="Q96" s="93" t="e">
        <f t="shared" si="174"/>
        <v>#REF!</v>
      </c>
      <c r="R96" s="93" t="e">
        <f t="shared" si="174"/>
        <v>#REF!</v>
      </c>
      <c r="S96" s="93" t="e">
        <f t="shared" si="174"/>
        <v>#REF!</v>
      </c>
      <c r="T96" s="93" t="e">
        <f t="shared" si="174"/>
        <v>#REF!</v>
      </c>
      <c r="U96" s="93" t="e">
        <f t="shared" si="174"/>
        <v>#REF!</v>
      </c>
      <c r="V96" s="93" t="e">
        <f t="shared" si="174"/>
        <v>#REF!</v>
      </c>
      <c r="W96" s="93" t="e">
        <f t="shared" si="174"/>
        <v>#REF!</v>
      </c>
      <c r="X96" s="93" t="e">
        <f t="shared" si="174"/>
        <v>#REF!</v>
      </c>
      <c r="Y96" s="93" t="e">
        <f t="shared" ref="Y96:AJ96" si="175">Y95+Y88</f>
        <v>#REF!</v>
      </c>
      <c r="Z96" s="93" t="e">
        <f t="shared" si="175"/>
        <v>#REF!</v>
      </c>
      <c r="AA96" s="93" t="e">
        <f t="shared" si="175"/>
        <v>#REF!</v>
      </c>
      <c r="AB96" s="93" t="e">
        <f t="shared" si="175"/>
        <v>#REF!</v>
      </c>
      <c r="AC96" s="93" t="e">
        <f t="shared" si="175"/>
        <v>#REF!</v>
      </c>
      <c r="AD96" s="93"/>
      <c r="AE96" s="93" t="e">
        <f>AE95+AE88</f>
        <v>#REF!</v>
      </c>
      <c r="AF96" s="93" t="e">
        <f>AF95+AF88</f>
        <v>#REF!</v>
      </c>
      <c r="AG96" s="93" t="e">
        <f>AG95+AG88</f>
        <v>#REF!</v>
      </c>
      <c r="AH96" s="93" t="e">
        <f t="shared" si="175"/>
        <v>#REF!</v>
      </c>
      <c r="AI96" s="93" t="e">
        <f t="shared" si="175"/>
        <v>#REF!</v>
      </c>
      <c r="AJ96" s="93" t="e">
        <f t="shared" si="175"/>
        <v>#REF!</v>
      </c>
      <c r="AK96" s="93" t="e">
        <f t="shared" ref="AK96:AQ96" si="176">AK95+AK88</f>
        <v>#REF!</v>
      </c>
      <c r="AL96" s="93">
        <f t="shared" si="176"/>
        <v>-7488.2</v>
      </c>
      <c r="AM96" s="93">
        <f t="shared" si="176"/>
        <v>-7995.0999999999995</v>
      </c>
      <c r="AN96" s="93" t="e">
        <f t="shared" si="176"/>
        <v>#REF!</v>
      </c>
      <c r="AO96" s="93" t="e">
        <f t="shared" si="176"/>
        <v>#REF!</v>
      </c>
      <c r="AP96" s="93" t="e">
        <f t="shared" si="176"/>
        <v>#REF!</v>
      </c>
      <c r="AQ96" s="93" t="e">
        <f t="shared" si="176"/>
        <v>#REF!</v>
      </c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>
        <f t="shared" ref="CC96:CJ96" si="177">+CC88+CC90</f>
        <v>4073</v>
      </c>
      <c r="CD96" s="93">
        <f t="shared" si="177"/>
        <v>4513</v>
      </c>
      <c r="CE96" s="93">
        <f t="shared" si="177"/>
        <v>3445</v>
      </c>
      <c r="CF96" s="93">
        <f t="shared" si="177"/>
        <v>2127</v>
      </c>
      <c r="CG96" s="93">
        <f t="shared" si="177"/>
        <v>5108</v>
      </c>
      <c r="CH96" s="93">
        <f t="shared" si="177"/>
        <v>4784</v>
      </c>
      <c r="CI96" s="93">
        <f t="shared" si="177"/>
        <v>6309</v>
      </c>
      <c r="CJ96" s="93">
        <f t="shared" si="177"/>
        <v>5509</v>
      </c>
      <c r="CK96" s="93">
        <f t="shared" ref="CK96:CP96" si="178">+CK88+CK90</f>
        <v>5452</v>
      </c>
      <c r="CL96" s="93">
        <f t="shared" si="178"/>
        <v>4900.2124999999996</v>
      </c>
      <c r="CM96" s="93">
        <f t="shared" si="178"/>
        <v>5538.3025000000034</v>
      </c>
      <c r="CN96" s="93">
        <f t="shared" si="178"/>
        <v>5723.42</v>
      </c>
      <c r="CO96" s="93">
        <f t="shared" si="178"/>
        <v>5621.3402249999981</v>
      </c>
      <c r="CP96" s="93">
        <f t="shared" si="178"/>
        <v>5625.4030256250007</v>
      </c>
      <c r="CQ96" s="93"/>
      <c r="CR96" s="93"/>
      <c r="CS96" s="75"/>
      <c r="CT96" s="93">
        <f t="shared" ref="CT96:DB96" si="179">CT95+CT88</f>
        <v>8886.3100000000013</v>
      </c>
      <c r="CU96" s="93" t="e">
        <f t="shared" si="179"/>
        <v>#REF!</v>
      </c>
      <c r="CV96" s="93" t="e">
        <f t="shared" si="179"/>
        <v>#REF!</v>
      </c>
      <c r="CW96" s="93" t="e">
        <f t="shared" si="179"/>
        <v>#REF!</v>
      </c>
      <c r="CX96" s="93" t="e">
        <f t="shared" si="179"/>
        <v>#REF!</v>
      </c>
      <c r="CY96" s="93" t="e">
        <f t="shared" si="179"/>
        <v>#REF!</v>
      </c>
      <c r="CZ96" s="93" t="e">
        <f t="shared" si="179"/>
        <v>#REF!</v>
      </c>
      <c r="DA96" s="93" t="e">
        <f t="shared" si="179"/>
        <v>#REF!</v>
      </c>
      <c r="DB96" s="93" t="e">
        <f t="shared" si="179"/>
        <v>#REF!</v>
      </c>
      <c r="DC96" s="93" t="e">
        <f>DC95+DC88</f>
        <v>#REF!</v>
      </c>
      <c r="DD96" s="93">
        <f>DD95+DD88</f>
        <v>10539.941119999996</v>
      </c>
      <c r="DE96" s="93">
        <f>DE95+DE88</f>
        <v>17210.791522399999</v>
      </c>
      <c r="DF96" s="93">
        <f t="shared" ref="DF96:DL96" si="180">DF95+DF88</f>
        <v>15919.250635813998</v>
      </c>
      <c r="DG96" s="93">
        <f t="shared" si="180"/>
        <v>15924.667560789227</v>
      </c>
      <c r="DH96" s="93">
        <f t="shared" si="180"/>
        <v>15806.548158339869</v>
      </c>
      <c r="DI96" s="93">
        <f t="shared" si="180"/>
        <v>16019.921183749426</v>
      </c>
      <c r="DJ96" s="93">
        <f t="shared" si="180"/>
        <v>16323.527043766739</v>
      </c>
      <c r="DK96" s="93">
        <f t="shared" si="180"/>
        <v>15554.32419863553</v>
      </c>
      <c r="DL96" s="93">
        <f t="shared" si="180"/>
        <v>14390.954915254773</v>
      </c>
      <c r="DM96" s="93">
        <f t="shared" ref="DM96:DS96" si="181">DM95+DM88</f>
        <v>13606.029401642747</v>
      </c>
      <c r="DN96" s="93">
        <f t="shared" si="181"/>
        <v>13408.313183754442</v>
      </c>
      <c r="DO96" s="93">
        <f t="shared" si="181"/>
        <v>13535.985693776813</v>
      </c>
      <c r="DP96" s="93">
        <f t="shared" si="181"/>
        <v>13836.113576149102</v>
      </c>
      <c r="DQ96" s="93">
        <f t="shared" si="181"/>
        <v>14276.721237713948</v>
      </c>
      <c r="DR96" s="93">
        <f t="shared" si="181"/>
        <v>14786.010678230188</v>
      </c>
      <c r="DS96" s="93">
        <f t="shared" si="181"/>
        <v>15383.664460154505</v>
      </c>
      <c r="DT96" s="92"/>
      <c r="DU96" s="87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2"/>
      <c r="EN96" s="92"/>
      <c r="EO96" s="92"/>
      <c r="EP96" s="92"/>
      <c r="EQ96" s="92"/>
      <c r="ER96" s="92"/>
      <c r="ES96" s="92"/>
      <c r="ET96" s="92"/>
      <c r="EU96" s="92"/>
      <c r="EV96" s="92"/>
      <c r="EW96" s="92"/>
      <c r="EX96" s="92"/>
      <c r="EY96" s="92"/>
      <c r="EZ96" s="92"/>
      <c r="FA96" s="92"/>
      <c r="FB96" s="92"/>
      <c r="FC96" s="92"/>
      <c r="FD96" s="92"/>
      <c r="FE96" s="92"/>
      <c r="FF96" s="92"/>
      <c r="FG96" s="92"/>
      <c r="FH96" s="92"/>
      <c r="FI96" s="92"/>
      <c r="FJ96" s="92"/>
      <c r="FK96" s="92"/>
      <c r="FL96" s="92"/>
      <c r="FM96" s="92"/>
      <c r="FN96" s="92"/>
      <c r="FO96" s="92"/>
      <c r="FP96" s="92"/>
      <c r="FQ96" s="92"/>
      <c r="FR96" s="92"/>
      <c r="FS96" s="92"/>
      <c r="FT96" s="92"/>
      <c r="FU96" s="92"/>
      <c r="FV96" s="92"/>
      <c r="FW96" s="92"/>
      <c r="FX96" s="92"/>
      <c r="FY96" s="92"/>
      <c r="FZ96" s="92"/>
      <c r="GA96" s="92"/>
      <c r="GB96" s="92"/>
      <c r="GC96" s="92"/>
      <c r="GD96" s="92"/>
    </row>
    <row r="97" spans="2:186" s="83" customFormat="1" ht="12.75" customHeight="1">
      <c r="B97" s="100" t="s">
        <v>474</v>
      </c>
      <c r="C97" s="93">
        <v>663.3</v>
      </c>
      <c r="D97" s="93">
        <v>721</v>
      </c>
      <c r="E97" s="93">
        <v>772.3</v>
      </c>
      <c r="F97" s="93">
        <f>783.3-45</f>
        <v>738.3</v>
      </c>
      <c r="G97" s="93">
        <v>655.1</v>
      </c>
      <c r="H97" s="93">
        <v>696.1</v>
      </c>
      <c r="I97" s="93">
        <v>743</v>
      </c>
      <c r="J97" s="93">
        <v>763.3</v>
      </c>
      <c r="K97" s="94">
        <v>671.2</v>
      </c>
      <c r="L97" s="94">
        <v>685.3</v>
      </c>
      <c r="M97" s="94">
        <v>739.8</v>
      </c>
      <c r="N97" s="94">
        <v>365.7</v>
      </c>
      <c r="O97" s="94">
        <v>724.3</v>
      </c>
      <c r="P97" s="94">
        <v>670.7</v>
      </c>
      <c r="Q97" s="94">
        <v>487.4</v>
      </c>
      <c r="R97" s="94">
        <v>278.7</v>
      </c>
      <c r="S97" s="94">
        <v>550.6</v>
      </c>
      <c r="T97" s="94">
        <f>1204-640</f>
        <v>564</v>
      </c>
      <c r="U97" s="94">
        <v>577.5</v>
      </c>
      <c r="V97" s="94">
        <v>400.3</v>
      </c>
      <c r="W97" s="94">
        <v>450.4</v>
      </c>
      <c r="X97" s="94">
        <v>609</v>
      </c>
      <c r="Y97" s="94">
        <v>290.2</v>
      </c>
      <c r="Z97" s="94">
        <v>438</v>
      </c>
      <c r="AA97" s="94">
        <v>550.1</v>
      </c>
      <c r="AB97" s="93">
        <v>555.79999999999995</v>
      </c>
      <c r="AC97" s="93">
        <v>539.1</v>
      </c>
      <c r="AD97" s="93"/>
      <c r="AE97" s="93" t="e">
        <f>AE96*0.25</f>
        <v>#REF!</v>
      </c>
      <c r="AF97" s="93">
        <v>290.2</v>
      </c>
      <c r="AG97" s="93">
        <v>318.2</v>
      </c>
      <c r="AH97" s="93">
        <f>282.6+30</f>
        <v>312.60000000000002</v>
      </c>
      <c r="AI97" s="93">
        <f>327.2+30.8</f>
        <v>358</v>
      </c>
      <c r="AJ97" s="93">
        <f>379+32+80</f>
        <v>491</v>
      </c>
      <c r="AK97" s="93" t="e">
        <f>+AK96*0.319</f>
        <v>#REF!</v>
      </c>
      <c r="AL97" s="93">
        <f>398.4+29.1+2.1</f>
        <v>429.6</v>
      </c>
      <c r="AM97" s="93">
        <f>788.3+31.4</f>
        <v>819.69999999999993</v>
      </c>
      <c r="AN97" s="93">
        <f>703.3+27.8</f>
        <v>731.09999999999991</v>
      </c>
      <c r="AO97" s="93">
        <f>764.3+30.1</f>
        <v>794.4</v>
      </c>
      <c r="AP97" s="93">
        <f>457+31</f>
        <v>488</v>
      </c>
      <c r="AQ97" s="93">
        <v>989</v>
      </c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>
        <v>585</v>
      </c>
      <c r="CD97" s="93">
        <v>452</v>
      </c>
      <c r="CE97" s="93">
        <v>494</v>
      </c>
      <c r="CF97" s="93">
        <v>567</v>
      </c>
      <c r="CG97" s="93">
        <v>665</v>
      </c>
      <c r="CH97" s="93">
        <v>205</v>
      </c>
      <c r="CI97" s="93">
        <v>883</v>
      </c>
      <c r="CJ97" s="93">
        <v>761</v>
      </c>
      <c r="CK97" s="93">
        <f>744+5</f>
        <v>749</v>
      </c>
      <c r="CL97" s="93">
        <f t="shared" ref="CL97:CP97" si="182">+CL96*0.15</f>
        <v>735.0318749999999</v>
      </c>
      <c r="CM97" s="93">
        <f t="shared" si="182"/>
        <v>830.74537500000054</v>
      </c>
      <c r="CN97" s="93">
        <f t="shared" si="182"/>
        <v>858.51300000000003</v>
      </c>
      <c r="CO97" s="93">
        <f t="shared" si="182"/>
        <v>843.20103374999974</v>
      </c>
      <c r="CP97" s="93">
        <f t="shared" si="182"/>
        <v>843.81045384375011</v>
      </c>
      <c r="CQ97" s="93"/>
      <c r="CR97" s="93"/>
      <c r="CS97" s="75"/>
      <c r="CT97" s="93">
        <f>SUM(C97:F97)</f>
        <v>2894.8999999999996</v>
      </c>
      <c r="CU97" s="93">
        <f>SUM(G97:J97)-0.6</f>
        <v>2856.9</v>
      </c>
      <c r="CV97" s="93">
        <f>SUM(K97:N97)</f>
        <v>2462</v>
      </c>
      <c r="CW97" s="93">
        <f>SUM(O97:R97)</f>
        <v>2161.1</v>
      </c>
      <c r="CX97" s="93">
        <f>SUM(S97:V97)</f>
        <v>2092.4</v>
      </c>
      <c r="CY97" s="93">
        <f>SUM(W97:Z97)</f>
        <v>1787.6000000000001</v>
      </c>
      <c r="CZ97" s="93">
        <f>SUM(AA97:AD97)</f>
        <v>1645</v>
      </c>
      <c r="DA97" s="93" t="e">
        <f t="shared" ref="DA97:DL97" si="183">DA96*0.25</f>
        <v>#REF!</v>
      </c>
      <c r="DB97" s="93" t="e">
        <f t="shared" si="183"/>
        <v>#REF!</v>
      </c>
      <c r="DC97" s="93">
        <f>SUM(AM97:AP97)</f>
        <v>2833.2</v>
      </c>
      <c r="DD97" s="93">
        <f>DD96*0.25</f>
        <v>2634.985279999999</v>
      </c>
      <c r="DE97" s="93">
        <f t="shared" si="183"/>
        <v>4302.6978805999997</v>
      </c>
      <c r="DF97" s="93">
        <f t="shared" si="183"/>
        <v>3979.8126589534995</v>
      </c>
      <c r="DG97" s="93">
        <f t="shared" si="183"/>
        <v>3981.1668901973067</v>
      </c>
      <c r="DH97" s="93">
        <f t="shared" si="183"/>
        <v>3951.6370395849672</v>
      </c>
      <c r="DI97" s="93">
        <f t="shared" si="183"/>
        <v>4004.9802959373565</v>
      </c>
      <c r="DJ97" s="93">
        <f t="shared" si="183"/>
        <v>4080.8817609416847</v>
      </c>
      <c r="DK97" s="93">
        <f t="shared" si="183"/>
        <v>3888.5810496588824</v>
      </c>
      <c r="DL97" s="93">
        <f t="shared" si="183"/>
        <v>3597.7387288136933</v>
      </c>
      <c r="DM97" s="93">
        <f t="shared" ref="DM97:DS97" si="184">DM96*0.25</f>
        <v>3401.5073504106867</v>
      </c>
      <c r="DN97" s="93">
        <f t="shared" si="184"/>
        <v>3352.0782959386106</v>
      </c>
      <c r="DO97" s="93">
        <f t="shared" si="184"/>
        <v>3383.9964234442032</v>
      </c>
      <c r="DP97" s="93">
        <f t="shared" si="184"/>
        <v>3459.0283940372756</v>
      </c>
      <c r="DQ97" s="93">
        <f t="shared" si="184"/>
        <v>3569.1803094284869</v>
      </c>
      <c r="DR97" s="93">
        <f t="shared" si="184"/>
        <v>3696.5026695575471</v>
      </c>
      <c r="DS97" s="93">
        <f t="shared" si="184"/>
        <v>3845.9161150386262</v>
      </c>
      <c r="DT97" s="92"/>
      <c r="DU97" s="87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92"/>
      <c r="EL97" s="92"/>
      <c r="EM97" s="92"/>
      <c r="EN97" s="92"/>
      <c r="EO97" s="92"/>
      <c r="EP97" s="92"/>
      <c r="EQ97" s="92"/>
      <c r="ER97" s="92"/>
      <c r="ES97" s="92"/>
      <c r="ET97" s="92"/>
      <c r="EU97" s="92"/>
      <c r="EV97" s="92"/>
      <c r="EW97" s="92"/>
      <c r="EX97" s="92"/>
      <c r="EY97" s="92"/>
      <c r="EZ97" s="92"/>
      <c r="FA97" s="92"/>
      <c r="FB97" s="92"/>
      <c r="FC97" s="92"/>
      <c r="FD97" s="92"/>
      <c r="FE97" s="92"/>
      <c r="FF97" s="92"/>
      <c r="FG97" s="92"/>
      <c r="FH97" s="92"/>
      <c r="FI97" s="92"/>
      <c r="FJ97" s="92"/>
      <c r="FK97" s="92"/>
      <c r="FL97" s="92"/>
      <c r="FM97" s="92"/>
      <c r="FN97" s="92"/>
      <c r="FO97" s="92"/>
      <c r="FP97" s="92"/>
      <c r="FQ97" s="92"/>
      <c r="FR97" s="92"/>
      <c r="FS97" s="92"/>
      <c r="FT97" s="92"/>
      <c r="FU97" s="92"/>
      <c r="FV97" s="92"/>
      <c r="FW97" s="92"/>
      <c r="FX97" s="92"/>
      <c r="FY97" s="92"/>
      <c r="FZ97" s="92"/>
      <c r="GA97" s="92"/>
      <c r="GB97" s="92"/>
      <c r="GC97" s="92"/>
      <c r="GD97" s="92"/>
    </row>
    <row r="98" spans="2:186" s="83" customFormat="1" ht="12.75" customHeight="1">
      <c r="B98" s="100" t="s">
        <v>73</v>
      </c>
      <c r="C98" s="93">
        <f t="shared" ref="C98:W98" si="185">C96-C97</f>
        <v>1616.2</v>
      </c>
      <c r="D98" s="93">
        <f t="shared" si="185"/>
        <v>1756.5</v>
      </c>
      <c r="E98" s="93">
        <f t="shared" si="185"/>
        <v>1881.59</v>
      </c>
      <c r="F98" s="93">
        <f t="shared" si="185"/>
        <v>1798.7</v>
      </c>
      <c r="G98" s="93">
        <f t="shared" si="185"/>
        <v>-3244.5</v>
      </c>
      <c r="H98" s="93">
        <f t="shared" si="185"/>
        <v>-3503.8999999999996</v>
      </c>
      <c r="I98" s="93">
        <f t="shared" si="185"/>
        <v>-3658.8</v>
      </c>
      <c r="J98" s="93">
        <f t="shared" si="185"/>
        <v>-4242.5000000000009</v>
      </c>
      <c r="K98" s="93">
        <f t="shared" si="185"/>
        <v>-4026.5</v>
      </c>
      <c r="L98" s="93">
        <f t="shared" si="185"/>
        <v>-3740.9000000000005</v>
      </c>
      <c r="M98" s="93">
        <f t="shared" si="185"/>
        <v>-3892.6000000000004</v>
      </c>
      <c r="N98" s="93">
        <f t="shared" si="185"/>
        <v>-4231.8999999999996</v>
      </c>
      <c r="O98" s="93" t="e">
        <f t="shared" si="185"/>
        <v>#REF!</v>
      </c>
      <c r="P98" s="93" t="e">
        <f>P96-P97</f>
        <v>#REF!</v>
      </c>
      <c r="Q98" s="93" t="e">
        <f t="shared" si="185"/>
        <v>#REF!</v>
      </c>
      <c r="R98" s="93" t="e">
        <f t="shared" si="185"/>
        <v>#REF!</v>
      </c>
      <c r="S98" s="93" t="e">
        <f t="shared" si="185"/>
        <v>#REF!</v>
      </c>
      <c r="T98" s="93" t="e">
        <f t="shared" si="185"/>
        <v>#REF!</v>
      </c>
      <c r="U98" s="93" t="e">
        <f t="shared" si="185"/>
        <v>#REF!</v>
      </c>
      <c r="V98" s="93" t="e">
        <f>V96-V97</f>
        <v>#REF!</v>
      </c>
      <c r="W98" s="93" t="e">
        <f t="shared" si="185"/>
        <v>#REF!</v>
      </c>
      <c r="X98" s="93" t="e">
        <f>X96-X97</f>
        <v>#REF!</v>
      </c>
      <c r="Y98" s="93" t="e">
        <f t="shared" ref="Y98:AH98" si="186">Y96-Y97</f>
        <v>#REF!</v>
      </c>
      <c r="Z98" s="93" t="e">
        <f t="shared" si="186"/>
        <v>#REF!</v>
      </c>
      <c r="AA98" s="93" t="e">
        <f t="shared" si="186"/>
        <v>#REF!</v>
      </c>
      <c r="AB98" s="93" t="e">
        <f t="shared" si="186"/>
        <v>#REF!</v>
      </c>
      <c r="AC98" s="93" t="e">
        <f t="shared" si="186"/>
        <v>#REF!</v>
      </c>
      <c r="AD98" s="93"/>
      <c r="AE98" s="93" t="e">
        <f t="shared" si="186"/>
        <v>#REF!</v>
      </c>
      <c r="AF98" s="93" t="e">
        <f t="shared" si="186"/>
        <v>#REF!</v>
      </c>
      <c r="AG98" s="93" t="e">
        <f>AG96-AG97</f>
        <v>#REF!</v>
      </c>
      <c r="AH98" s="93" t="e">
        <f t="shared" si="186"/>
        <v>#REF!</v>
      </c>
      <c r="AI98" s="93" t="e">
        <f t="shared" ref="AI98:AP98" si="187">AI96-AI97</f>
        <v>#REF!</v>
      </c>
      <c r="AJ98" s="93" t="e">
        <f t="shared" si="187"/>
        <v>#REF!</v>
      </c>
      <c r="AK98" s="93" t="e">
        <f t="shared" si="187"/>
        <v>#REF!</v>
      </c>
      <c r="AL98" s="93">
        <f t="shared" si="187"/>
        <v>-7917.8</v>
      </c>
      <c r="AM98" s="93">
        <f t="shared" si="187"/>
        <v>-8814.7999999999993</v>
      </c>
      <c r="AN98" s="93" t="e">
        <f t="shared" si="187"/>
        <v>#REF!</v>
      </c>
      <c r="AO98" s="93" t="e">
        <f t="shared" si="187"/>
        <v>#REF!</v>
      </c>
      <c r="AP98" s="93" t="e">
        <f t="shared" si="187"/>
        <v>#REF!</v>
      </c>
      <c r="AQ98" s="93" t="e">
        <f>AQ96-AQ97</f>
        <v>#REF!</v>
      </c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>
        <f t="shared" ref="CC98:CJ98" si="188">+CC96-CC97</f>
        <v>3488</v>
      </c>
      <c r="CD98" s="93">
        <f t="shared" si="188"/>
        <v>4061</v>
      </c>
      <c r="CE98" s="93">
        <f t="shared" si="188"/>
        <v>2951</v>
      </c>
      <c r="CF98" s="93">
        <f t="shared" si="188"/>
        <v>1560</v>
      </c>
      <c r="CG98" s="93">
        <f t="shared" si="188"/>
        <v>4443</v>
      </c>
      <c r="CH98" s="93">
        <f t="shared" si="188"/>
        <v>4579</v>
      </c>
      <c r="CI98" s="93">
        <f t="shared" si="188"/>
        <v>5426</v>
      </c>
      <c r="CJ98" s="93">
        <f t="shared" si="188"/>
        <v>4748</v>
      </c>
      <c r="CK98" s="93">
        <f t="shared" ref="CK98:CP98" si="189">+CK96-CK97</f>
        <v>4703</v>
      </c>
      <c r="CL98" s="93">
        <f t="shared" si="189"/>
        <v>4165.180625</v>
      </c>
      <c r="CM98" s="93">
        <f t="shared" si="189"/>
        <v>4707.557125000003</v>
      </c>
      <c r="CN98" s="93">
        <f t="shared" si="189"/>
        <v>4864.9070000000002</v>
      </c>
      <c r="CO98" s="93">
        <f t="shared" si="189"/>
        <v>4778.1391912499985</v>
      </c>
      <c r="CP98" s="93">
        <f t="shared" si="189"/>
        <v>4781.5925717812506</v>
      </c>
      <c r="CQ98" s="93"/>
      <c r="CR98" s="93"/>
      <c r="CS98" s="75"/>
      <c r="CT98" s="94">
        <f t="shared" ref="CT98:DB98" si="190">CT96-CT97</f>
        <v>5991.4100000000017</v>
      </c>
      <c r="CU98" s="94" t="e">
        <f t="shared" si="190"/>
        <v>#REF!</v>
      </c>
      <c r="CV98" s="94" t="e">
        <f t="shared" si="190"/>
        <v>#REF!</v>
      </c>
      <c r="CW98" s="94" t="e">
        <f t="shared" si="190"/>
        <v>#REF!</v>
      </c>
      <c r="CX98" s="94" t="e">
        <f t="shared" si="190"/>
        <v>#REF!</v>
      </c>
      <c r="CY98" s="94" t="e">
        <f t="shared" si="190"/>
        <v>#REF!</v>
      </c>
      <c r="CZ98" s="94" t="e">
        <f t="shared" si="190"/>
        <v>#REF!</v>
      </c>
      <c r="DA98" s="94" t="e">
        <f t="shared" si="190"/>
        <v>#REF!</v>
      </c>
      <c r="DB98" s="94" t="e">
        <f t="shared" si="190"/>
        <v>#REF!</v>
      </c>
      <c r="DC98" s="94" t="e">
        <f>DC96-DC97</f>
        <v>#REF!</v>
      </c>
      <c r="DD98" s="94">
        <f>DD96-DD97</f>
        <v>7904.9558399999969</v>
      </c>
      <c r="DE98" s="94">
        <f t="shared" ref="DE98:DL98" si="191">DE96-DE97</f>
        <v>12908.093641799998</v>
      </c>
      <c r="DF98" s="94">
        <f t="shared" si="191"/>
        <v>11939.437976860499</v>
      </c>
      <c r="DG98" s="94">
        <f t="shared" si="191"/>
        <v>11943.50067059192</v>
      </c>
      <c r="DH98" s="94">
        <f t="shared" si="191"/>
        <v>11854.911118754902</v>
      </c>
      <c r="DI98" s="94">
        <f t="shared" si="191"/>
        <v>12014.94088781207</v>
      </c>
      <c r="DJ98" s="94">
        <f t="shared" si="191"/>
        <v>12242.645282825055</v>
      </c>
      <c r="DK98" s="94">
        <f t="shared" si="191"/>
        <v>11665.743148976648</v>
      </c>
      <c r="DL98" s="94">
        <f t="shared" si="191"/>
        <v>10793.216186441081</v>
      </c>
      <c r="DM98" s="94">
        <f t="shared" ref="DM98:DS98" si="192">DM96-DM97</f>
        <v>10204.522051232059</v>
      </c>
      <c r="DN98" s="94">
        <f t="shared" si="192"/>
        <v>10056.234887815832</v>
      </c>
      <c r="DO98" s="94">
        <f t="shared" si="192"/>
        <v>10151.98927033261</v>
      </c>
      <c r="DP98" s="94">
        <f t="shared" si="192"/>
        <v>10377.085182111827</v>
      </c>
      <c r="DQ98" s="94">
        <f t="shared" si="192"/>
        <v>10707.54092828546</v>
      </c>
      <c r="DR98" s="94">
        <f t="shared" si="192"/>
        <v>11089.508008672641</v>
      </c>
      <c r="DS98" s="94">
        <f t="shared" si="192"/>
        <v>11537.748345115879</v>
      </c>
      <c r="DT98" s="97">
        <f>DL98*(1+$DY$104)</f>
        <v>10685.284024576669</v>
      </c>
      <c r="DU98" s="97">
        <f t="shared" ref="DU98:EZ98" si="193">DT98*(1+$DY$104)</f>
        <v>10578.431184330902</v>
      </c>
      <c r="DV98" s="97">
        <f t="shared" si="193"/>
        <v>10472.646872487594</v>
      </c>
      <c r="DW98" s="97">
        <f t="shared" si="193"/>
        <v>10367.920403762719</v>
      </c>
      <c r="DX98" s="97">
        <f t="shared" si="193"/>
        <v>10264.241199725091</v>
      </c>
      <c r="DY98" s="97">
        <f t="shared" si="193"/>
        <v>10161.59878772784</v>
      </c>
      <c r="DZ98" s="97">
        <f t="shared" si="193"/>
        <v>10059.982799850563</v>
      </c>
      <c r="EA98" s="97">
        <f t="shared" si="193"/>
        <v>9959.3829718520574</v>
      </c>
      <c r="EB98" s="97">
        <f t="shared" si="193"/>
        <v>9859.7891421335371</v>
      </c>
      <c r="EC98" s="97">
        <f t="shared" si="193"/>
        <v>9761.1912507122015</v>
      </c>
      <c r="ED98" s="97">
        <f t="shared" si="193"/>
        <v>9663.5793382050797</v>
      </c>
      <c r="EE98" s="97">
        <f t="shared" si="193"/>
        <v>9566.9435448230288</v>
      </c>
      <c r="EF98" s="97">
        <f t="shared" si="193"/>
        <v>9471.2741093747991</v>
      </c>
      <c r="EG98" s="97">
        <f t="shared" si="193"/>
        <v>9376.5613682810508</v>
      </c>
      <c r="EH98" s="97">
        <f t="shared" si="193"/>
        <v>9282.7957545982408</v>
      </c>
      <c r="EI98" s="97">
        <f t="shared" si="193"/>
        <v>9189.9677970522589</v>
      </c>
      <c r="EJ98" s="97">
        <f t="shared" si="193"/>
        <v>9098.0681190817359</v>
      </c>
      <c r="EK98" s="97">
        <f t="shared" si="193"/>
        <v>9007.0874378909193</v>
      </c>
      <c r="EL98" s="97">
        <f t="shared" si="193"/>
        <v>8917.0165635120102</v>
      </c>
      <c r="EM98" s="97">
        <f t="shared" si="193"/>
        <v>8827.8463978768905</v>
      </c>
      <c r="EN98" s="97">
        <f t="shared" si="193"/>
        <v>8739.5679338981208</v>
      </c>
      <c r="EO98" s="97">
        <f t="shared" si="193"/>
        <v>8652.1722545591401</v>
      </c>
      <c r="EP98" s="97">
        <f t="shared" si="193"/>
        <v>8565.6505320135493</v>
      </c>
      <c r="EQ98" s="97">
        <f t="shared" si="193"/>
        <v>8479.9940266934136</v>
      </c>
      <c r="ER98" s="97">
        <f t="shared" si="193"/>
        <v>8395.1940864264798</v>
      </c>
      <c r="ES98" s="97">
        <f t="shared" si="193"/>
        <v>8311.2421455622152</v>
      </c>
      <c r="ET98" s="97">
        <f t="shared" si="193"/>
        <v>8228.1297241065931</v>
      </c>
      <c r="EU98" s="97">
        <f t="shared" si="193"/>
        <v>8145.8484268655275</v>
      </c>
      <c r="EV98" s="97">
        <f t="shared" si="193"/>
        <v>8064.3899425968721</v>
      </c>
      <c r="EW98" s="97">
        <f t="shared" si="193"/>
        <v>7983.7460431709032</v>
      </c>
      <c r="EX98" s="97">
        <f t="shared" si="193"/>
        <v>7903.9085827391946</v>
      </c>
      <c r="EY98" s="97">
        <f t="shared" si="193"/>
        <v>7824.8694969118023</v>
      </c>
      <c r="EZ98" s="97">
        <f t="shared" si="193"/>
        <v>7746.620801942684</v>
      </c>
      <c r="FA98" s="97">
        <f t="shared" ref="FA98:GA98" si="194">EZ98*(1+$DY$104)</f>
        <v>7669.1545939232574</v>
      </c>
      <c r="FB98" s="97">
        <f t="shared" si="194"/>
        <v>7592.4630479840243</v>
      </c>
      <c r="FC98" s="97">
        <f t="shared" si="194"/>
        <v>7516.5384175041836</v>
      </c>
      <c r="FD98" s="97">
        <f t="shared" si="194"/>
        <v>7441.3730333291414</v>
      </c>
      <c r="FE98" s="97">
        <f t="shared" si="194"/>
        <v>7366.9593029958496</v>
      </c>
      <c r="FF98" s="97">
        <f t="shared" si="194"/>
        <v>7293.2897099658912</v>
      </c>
      <c r="FG98" s="97">
        <f t="shared" si="194"/>
        <v>7220.3568128662318</v>
      </c>
      <c r="FH98" s="97">
        <f t="shared" si="194"/>
        <v>7148.1532447375694</v>
      </c>
      <c r="FI98" s="97">
        <f t="shared" si="194"/>
        <v>7076.6717122901937</v>
      </c>
      <c r="FJ98" s="97">
        <f t="shared" si="194"/>
        <v>7005.9049951672914</v>
      </c>
      <c r="FK98" s="97">
        <f t="shared" si="194"/>
        <v>6935.8459452156185</v>
      </c>
      <c r="FL98" s="97">
        <f t="shared" si="194"/>
        <v>6866.4874857634622</v>
      </c>
      <c r="FM98" s="97">
        <f t="shared" si="194"/>
        <v>6797.8226109058278</v>
      </c>
      <c r="FN98" s="97">
        <f t="shared" si="194"/>
        <v>6729.8443847967692</v>
      </c>
      <c r="FO98" s="97">
        <f t="shared" si="194"/>
        <v>6662.5459409488012</v>
      </c>
      <c r="FP98" s="97">
        <f t="shared" si="194"/>
        <v>6595.9204815393132</v>
      </c>
      <c r="FQ98" s="97">
        <f t="shared" si="194"/>
        <v>6529.9612767239196</v>
      </c>
      <c r="FR98" s="97">
        <f t="shared" si="194"/>
        <v>6464.6616639566801</v>
      </c>
      <c r="FS98" s="97">
        <f t="shared" si="194"/>
        <v>6400.0150473171134</v>
      </c>
      <c r="FT98" s="97">
        <f t="shared" si="194"/>
        <v>6336.0148968439426</v>
      </c>
      <c r="FU98" s="97">
        <f t="shared" si="194"/>
        <v>6272.6547478755028</v>
      </c>
      <c r="FV98" s="97">
        <f t="shared" si="194"/>
        <v>6209.9282003967473</v>
      </c>
      <c r="FW98" s="97">
        <f t="shared" si="194"/>
        <v>6147.82891839278</v>
      </c>
      <c r="FX98" s="97">
        <f t="shared" si="194"/>
        <v>6086.3506292088523</v>
      </c>
      <c r="FY98" s="97">
        <f t="shared" si="194"/>
        <v>6025.4871229167638</v>
      </c>
      <c r="FZ98" s="97">
        <f t="shared" si="194"/>
        <v>5965.2322516875965</v>
      </c>
      <c r="GA98" s="97">
        <f t="shared" si="194"/>
        <v>5905.5799291707208</v>
      </c>
    </row>
    <row r="99" spans="2:186" s="8" customFormat="1" ht="12.75" customHeight="1">
      <c r="B99" s="36" t="s">
        <v>383</v>
      </c>
      <c r="C99" s="34">
        <f>C98/C100</f>
        <v>0.68894667291870926</v>
      </c>
      <c r="D99" s="34">
        <f>D98/D100</f>
        <v>0.75444549437333563</v>
      </c>
      <c r="E99" s="34">
        <f>E98/E100</f>
        <v>0.81369572738280571</v>
      </c>
      <c r="F99" s="34">
        <f>F98/F100</f>
        <v>0.781703607127336</v>
      </c>
      <c r="G99" s="34">
        <f t="shared" ref="G99:W99" si="195">ROUND(G98/G100,2)</f>
        <v>-1.41</v>
      </c>
      <c r="H99" s="34">
        <f t="shared" si="195"/>
        <v>-1.53</v>
      </c>
      <c r="I99" s="34">
        <f t="shared" si="195"/>
        <v>-1.61</v>
      </c>
      <c r="J99" s="34">
        <f t="shared" si="195"/>
        <v>-1.87</v>
      </c>
      <c r="K99" s="34">
        <f t="shared" si="195"/>
        <v>-1.78</v>
      </c>
      <c r="L99" s="34">
        <f t="shared" si="195"/>
        <v>-1.65</v>
      </c>
      <c r="M99" s="34">
        <f t="shared" si="195"/>
        <v>-1.73</v>
      </c>
      <c r="N99" s="34">
        <f t="shared" si="195"/>
        <v>-1.89</v>
      </c>
      <c r="O99" s="34" t="e">
        <f t="shared" si="195"/>
        <v>#REF!</v>
      </c>
      <c r="P99" s="34" t="e">
        <f t="shared" si="195"/>
        <v>#REF!</v>
      </c>
      <c r="Q99" s="34" t="e">
        <f t="shared" si="195"/>
        <v>#REF!</v>
      </c>
      <c r="R99" s="34" t="e">
        <f t="shared" si="195"/>
        <v>#REF!</v>
      </c>
      <c r="S99" s="34" t="e">
        <f t="shared" si="195"/>
        <v>#REF!</v>
      </c>
      <c r="T99" s="34" t="e">
        <f t="shared" si="195"/>
        <v>#REF!</v>
      </c>
      <c r="U99" s="34" t="e">
        <f t="shared" si="195"/>
        <v>#REF!</v>
      </c>
      <c r="V99" s="34" t="e">
        <f t="shared" si="195"/>
        <v>#REF!</v>
      </c>
      <c r="W99" s="34" t="e">
        <f t="shared" si="195"/>
        <v>#REF!</v>
      </c>
      <c r="X99" s="34" t="e">
        <f>ROUND(X98/X100,2)</f>
        <v>#REF!</v>
      </c>
      <c r="Y99" s="34" t="e">
        <f t="shared" ref="Y99:AH99" si="196">Y98/Y100</f>
        <v>#REF!</v>
      </c>
      <c r="Z99" s="34" t="e">
        <f t="shared" si="196"/>
        <v>#REF!</v>
      </c>
      <c r="AA99" s="34" t="e">
        <f t="shared" si="196"/>
        <v>#REF!</v>
      </c>
      <c r="AB99" s="34" t="e">
        <f t="shared" si="196"/>
        <v>#REF!</v>
      </c>
      <c r="AC99" s="34" t="e">
        <f t="shared" si="196"/>
        <v>#REF!</v>
      </c>
      <c r="AD99" s="29"/>
      <c r="AE99" s="29" t="e">
        <f t="shared" si="196"/>
        <v>#REF!</v>
      </c>
      <c r="AF99" s="29" t="e">
        <f t="shared" si="196"/>
        <v>#REF!</v>
      </c>
      <c r="AG99" s="29" t="e">
        <f>AG98/AG100</f>
        <v>#REF!</v>
      </c>
      <c r="AH99" s="29" t="e">
        <f t="shared" si="196"/>
        <v>#REF!</v>
      </c>
      <c r="AI99" s="29" t="e">
        <f t="shared" ref="AI99:AP99" si="197">AI98/AI100</f>
        <v>#REF!</v>
      </c>
      <c r="AJ99" s="29" t="e">
        <f t="shared" si="197"/>
        <v>#REF!</v>
      </c>
      <c r="AK99" s="29" t="e">
        <f t="shared" si="197"/>
        <v>#REF!</v>
      </c>
      <c r="AL99" s="29">
        <f t="shared" si="197"/>
        <v>-2.8762714327230454</v>
      </c>
      <c r="AM99" s="29">
        <f t="shared" si="197"/>
        <v>-2.8063673989175419</v>
      </c>
      <c r="AN99" s="29" t="e">
        <f t="shared" si="197"/>
        <v>#REF!</v>
      </c>
      <c r="AO99" s="29" t="e">
        <f t="shared" si="197"/>
        <v>#REF!</v>
      </c>
      <c r="AP99" s="29" t="e">
        <f t="shared" si="197"/>
        <v>#REF!</v>
      </c>
      <c r="AQ99" s="29" t="e">
        <f>AQ98/AQ100</f>
        <v>#REF!</v>
      </c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>
        <f t="shared" ref="CC99:CJ99" si="198">+CC98/CC100</f>
        <v>1.3743104806934594</v>
      </c>
      <c r="CD99" s="29">
        <f t="shared" si="198"/>
        <v>1.5981896890987799</v>
      </c>
      <c r="CE99" s="29">
        <f t="shared" si="198"/>
        <v>1.1613537977174342</v>
      </c>
      <c r="CF99" s="29">
        <f t="shared" si="198"/>
        <v>0.61417322834645671</v>
      </c>
      <c r="CG99" s="29">
        <f t="shared" si="198"/>
        <v>1.7519716088328077</v>
      </c>
      <c r="CH99" s="29">
        <f t="shared" si="198"/>
        <v>1.8063116370808678</v>
      </c>
      <c r="CI99" s="29">
        <f t="shared" si="198"/>
        <v>2.1387465510445409</v>
      </c>
      <c r="CJ99" s="29">
        <f t="shared" si="198"/>
        <v>1.8692913385826773</v>
      </c>
      <c r="CK99" s="29">
        <f t="shared" ref="CK99:CP99" si="199">+CK98/CK100</f>
        <v>1.8501180173092053</v>
      </c>
      <c r="CL99" s="29">
        <f t="shared" si="199"/>
        <v>1.6385446990558614</v>
      </c>
      <c r="CM99" s="29">
        <f t="shared" si="199"/>
        <v>1.8519107494099147</v>
      </c>
      <c r="CN99" s="29">
        <f t="shared" si="199"/>
        <v>1.9138107789142409</v>
      </c>
      <c r="CO99" s="29">
        <f t="shared" si="199"/>
        <v>1.8796771011998421</v>
      </c>
      <c r="CP99" s="29">
        <f t="shared" si="199"/>
        <v>1.8810356301263771</v>
      </c>
      <c r="CQ99" s="29"/>
      <c r="CR99" s="29"/>
      <c r="CS99" s="49"/>
      <c r="CT99" s="29">
        <f>SUM(C99:F99)</f>
        <v>3.0387915018021863</v>
      </c>
      <c r="CU99" s="29" t="e">
        <f t="shared" ref="CU99:DB99" si="200">ROUND(CU98/CU100,2)</f>
        <v>#REF!</v>
      </c>
      <c r="CV99" s="29" t="e">
        <f t="shared" si="200"/>
        <v>#REF!</v>
      </c>
      <c r="CW99" s="29" t="e">
        <f t="shared" si="200"/>
        <v>#REF!</v>
      </c>
      <c r="CX99" s="29" t="e">
        <f t="shared" si="200"/>
        <v>#REF!</v>
      </c>
      <c r="CY99" s="29" t="e">
        <f t="shared" si="200"/>
        <v>#REF!</v>
      </c>
      <c r="CZ99" s="29" t="e">
        <f t="shared" si="200"/>
        <v>#REF!</v>
      </c>
      <c r="DA99" s="29" t="e">
        <f t="shared" si="200"/>
        <v>#REF!</v>
      </c>
      <c r="DB99" s="29" t="e">
        <f t="shared" si="200"/>
        <v>#REF!</v>
      </c>
      <c r="DC99" s="29" t="e">
        <f>ROUND(DC98/DC100,2)</f>
        <v>#REF!</v>
      </c>
      <c r="DD99" s="29">
        <f>ROUND(DD98/DD100,2)</f>
        <v>2.5299999999999998</v>
      </c>
      <c r="DE99" s="29">
        <f t="shared" ref="DE99:DS99" si="201">ROUND(DE98/DE100,2)</f>
        <v>4.1399999999999997</v>
      </c>
      <c r="DF99" s="29">
        <f t="shared" si="201"/>
        <v>3.83</v>
      </c>
      <c r="DG99" s="29">
        <f t="shared" si="201"/>
        <v>3.83</v>
      </c>
      <c r="DH99" s="29">
        <f t="shared" si="201"/>
        <v>3.8</v>
      </c>
      <c r="DI99" s="29">
        <f t="shared" si="201"/>
        <v>3.85</v>
      </c>
      <c r="DJ99" s="29">
        <f t="shared" si="201"/>
        <v>3.93</v>
      </c>
      <c r="DK99" s="29">
        <f t="shared" si="201"/>
        <v>3.74</v>
      </c>
      <c r="DL99" s="29">
        <f t="shared" si="201"/>
        <v>3.46</v>
      </c>
      <c r="DM99" s="29">
        <f t="shared" si="201"/>
        <v>3.27</v>
      </c>
      <c r="DN99" s="29">
        <f t="shared" si="201"/>
        <v>3.22</v>
      </c>
      <c r="DO99" s="29">
        <f t="shared" si="201"/>
        <v>3.26</v>
      </c>
      <c r="DP99" s="29">
        <f t="shared" si="201"/>
        <v>3.33</v>
      </c>
      <c r="DQ99" s="29">
        <f t="shared" si="201"/>
        <v>3.43</v>
      </c>
      <c r="DR99" s="29">
        <f t="shared" si="201"/>
        <v>3.56</v>
      </c>
      <c r="DS99" s="29">
        <f t="shared" si="201"/>
        <v>3.7</v>
      </c>
      <c r="DU99" s="30"/>
    </row>
    <row r="100" spans="2:186" s="83" customFormat="1" ht="12.75" customHeight="1">
      <c r="B100" s="100" t="s">
        <v>328</v>
      </c>
      <c r="C100" s="93">
        <v>2345.9</v>
      </c>
      <c r="D100" s="93">
        <v>2328.1999999999998</v>
      </c>
      <c r="E100" s="93">
        <v>2312.4</v>
      </c>
      <c r="F100" s="93">
        <v>2301</v>
      </c>
      <c r="G100" s="93">
        <v>2294.8000000000002</v>
      </c>
      <c r="H100" s="93">
        <v>2282.8000000000002</v>
      </c>
      <c r="I100" s="93">
        <v>2265.9</v>
      </c>
      <c r="J100" s="93">
        <v>2264.1</v>
      </c>
      <c r="K100" s="93">
        <v>2262.1</v>
      </c>
      <c r="L100" s="93">
        <v>2261.1</v>
      </c>
      <c r="M100" s="93">
        <v>2253.9</v>
      </c>
      <c r="N100" s="93">
        <v>2236.6</v>
      </c>
      <c r="O100" s="93">
        <v>2232.5</v>
      </c>
      <c r="P100" s="93">
        <v>2230.1</v>
      </c>
      <c r="Q100" s="93">
        <v>2226.1999999999998</v>
      </c>
      <c r="R100" s="93">
        <v>2217.5</v>
      </c>
      <c r="S100" s="93">
        <v>2210.4</v>
      </c>
      <c r="T100" s="93">
        <v>2206.1</v>
      </c>
      <c r="U100" s="93">
        <v>2197</v>
      </c>
      <c r="V100" s="93">
        <v>2188.6999999999998</v>
      </c>
      <c r="W100" s="93">
        <v>2190.5</v>
      </c>
      <c r="X100" s="93">
        <v>2187.6999999999998</v>
      </c>
      <c r="Y100" s="93">
        <v>2185.6999999999998</v>
      </c>
      <c r="Z100" s="93">
        <v>2184.6</v>
      </c>
      <c r="AA100" s="93">
        <v>2180</v>
      </c>
      <c r="AB100" s="93">
        <v>2189.1999999999998</v>
      </c>
      <c r="AC100" s="93">
        <v>2192.8000000000002</v>
      </c>
      <c r="AD100" s="93"/>
      <c r="AE100" s="93">
        <v>2174.6999999999998</v>
      </c>
      <c r="AF100" s="93">
        <v>2154.3000000000002</v>
      </c>
      <c r="AG100" s="93">
        <v>2135.6</v>
      </c>
      <c r="AH100" s="93">
        <v>2110.9</v>
      </c>
      <c r="AI100" s="93">
        <v>2109.1999999999998</v>
      </c>
      <c r="AJ100" s="93">
        <v>2110</v>
      </c>
      <c r="AK100" s="93">
        <v>2113.6999999999998</v>
      </c>
      <c r="AL100" s="93">
        <v>2752.8</v>
      </c>
      <c r="AM100" s="93">
        <v>3141</v>
      </c>
      <c r="AN100" s="93">
        <v>3125.5</v>
      </c>
      <c r="AO100" s="93">
        <v>3101.6</v>
      </c>
      <c r="AP100" s="93">
        <v>3106</v>
      </c>
      <c r="AQ100" s="93">
        <v>3104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>
        <v>2538</v>
      </c>
      <c r="CD100" s="93">
        <v>2541</v>
      </c>
      <c r="CE100" s="93">
        <v>2541</v>
      </c>
      <c r="CF100" s="93">
        <v>2540</v>
      </c>
      <c r="CG100" s="93">
        <v>2536</v>
      </c>
      <c r="CH100" s="93">
        <v>2535</v>
      </c>
      <c r="CI100" s="93">
        <v>2537</v>
      </c>
      <c r="CJ100" s="93">
        <v>2540</v>
      </c>
      <c r="CK100" s="93">
        <v>2542</v>
      </c>
      <c r="CL100" s="93">
        <f t="shared" ref="CL100:CP100" si="202">+CK100</f>
        <v>2542</v>
      </c>
      <c r="CM100" s="93">
        <f t="shared" si="202"/>
        <v>2542</v>
      </c>
      <c r="CN100" s="93">
        <f t="shared" si="202"/>
        <v>2542</v>
      </c>
      <c r="CO100" s="93">
        <f t="shared" si="202"/>
        <v>2542</v>
      </c>
      <c r="CP100" s="93">
        <f t="shared" si="202"/>
        <v>2542</v>
      </c>
      <c r="CQ100" s="93"/>
      <c r="CR100" s="93"/>
      <c r="CS100" s="75"/>
      <c r="CT100" s="94">
        <v>2321.875</v>
      </c>
      <c r="CU100" s="94">
        <v>2277</v>
      </c>
      <c r="CV100" s="94">
        <f>SUM(K100:N100)/4-0.3</f>
        <v>2253.125</v>
      </c>
      <c r="CW100" s="94">
        <f>SUM(O100:R100)/4</f>
        <v>2226.5749999999998</v>
      </c>
      <c r="CX100" s="94">
        <f>SUM(S100:V100)/4</f>
        <v>2200.5500000000002</v>
      </c>
      <c r="CY100" s="94">
        <f>AVERAGE(W100:Z100)</f>
        <v>2187.125</v>
      </c>
      <c r="CZ100" s="94">
        <f>AVERAGE(AA100:AD100)</f>
        <v>2187.3333333333335</v>
      </c>
      <c r="DA100" s="94">
        <f t="shared" ref="DA100:DG100" si="203">CZ100</f>
        <v>2187.3333333333335</v>
      </c>
      <c r="DB100" s="94">
        <f>DA100</f>
        <v>2187.3333333333335</v>
      </c>
      <c r="DC100" s="94">
        <f>AVERAGE(AM100:AP100)</f>
        <v>3118.5250000000001</v>
      </c>
      <c r="DD100" s="94">
        <f t="shared" si="203"/>
        <v>3118.5250000000001</v>
      </c>
      <c r="DE100" s="94">
        <f t="shared" si="203"/>
        <v>3118.5250000000001</v>
      </c>
      <c r="DF100" s="94">
        <f t="shared" si="203"/>
        <v>3118.5250000000001</v>
      </c>
      <c r="DG100" s="94">
        <f t="shared" si="203"/>
        <v>3118.5250000000001</v>
      </c>
      <c r="DH100" s="94">
        <f>DG100</f>
        <v>3118.5250000000001</v>
      </c>
      <c r="DI100" s="94">
        <f>DH100</f>
        <v>3118.5250000000001</v>
      </c>
      <c r="DJ100" s="94">
        <f>DI100</f>
        <v>3118.5250000000001</v>
      </c>
      <c r="DK100" s="94">
        <f>DJ100</f>
        <v>3118.5250000000001</v>
      </c>
      <c r="DL100" s="94">
        <f>DK100</f>
        <v>3118.5250000000001</v>
      </c>
      <c r="DM100" s="94">
        <f>+DL100</f>
        <v>3118.5250000000001</v>
      </c>
      <c r="DN100" s="94">
        <f t="shared" ref="DN100:DS100" si="204">+DM100</f>
        <v>3118.5250000000001</v>
      </c>
      <c r="DO100" s="94">
        <f t="shared" si="204"/>
        <v>3118.5250000000001</v>
      </c>
      <c r="DP100" s="94">
        <f t="shared" si="204"/>
        <v>3118.5250000000001</v>
      </c>
      <c r="DQ100" s="94">
        <f t="shared" si="204"/>
        <v>3118.5250000000001</v>
      </c>
      <c r="DR100" s="94">
        <f t="shared" si="204"/>
        <v>3118.5250000000001</v>
      </c>
      <c r="DS100" s="94">
        <f t="shared" si="204"/>
        <v>3118.5250000000001</v>
      </c>
      <c r="DU100" s="87"/>
    </row>
    <row r="101" spans="2:186" s="83" customFormat="1" ht="12.75" customHeight="1">
      <c r="B101" s="36"/>
      <c r="C101" s="9"/>
      <c r="D101" s="9"/>
      <c r="E101" s="9"/>
      <c r="F101" s="9"/>
      <c r="G101" s="35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94"/>
      <c r="Z101" s="26"/>
      <c r="AA101" s="94"/>
      <c r="AB101" s="26"/>
      <c r="AC101" s="30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75"/>
      <c r="CT101" s="9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U101" s="87"/>
    </row>
    <row r="102" spans="2:186" s="83" customFormat="1" ht="12.75" customHeight="1">
      <c r="B102" s="100" t="s">
        <v>650</v>
      </c>
      <c r="C102" s="101"/>
      <c r="D102" s="101"/>
      <c r="E102" s="101"/>
      <c r="F102" s="101"/>
      <c r="G102" s="86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94"/>
      <c r="Z102" s="84"/>
      <c r="AA102" s="94"/>
      <c r="AB102" s="84"/>
      <c r="AC102" s="87"/>
      <c r="AD102" s="84"/>
      <c r="AE102" s="87">
        <v>5822.1</v>
      </c>
      <c r="AF102" s="84"/>
      <c r="AG102" s="87">
        <v>5943.9</v>
      </c>
      <c r="AH102" s="87">
        <v>6032.4</v>
      </c>
      <c r="AI102" s="87">
        <v>5385.2</v>
      </c>
      <c r="AJ102" s="87">
        <v>5899.9</v>
      </c>
      <c r="AK102" s="87">
        <v>6049.7</v>
      </c>
      <c r="AL102" s="87">
        <v>10093</v>
      </c>
      <c r="AM102" s="87">
        <v>11422.2</v>
      </c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75"/>
      <c r="CT102" s="101"/>
      <c r="CU102" s="84"/>
      <c r="CV102" s="84"/>
      <c r="CW102" s="84"/>
      <c r="CX102" s="84"/>
      <c r="CY102" s="84"/>
      <c r="CZ102" s="84"/>
      <c r="DA102" s="84"/>
      <c r="DB102" s="84"/>
      <c r="DC102" s="84"/>
      <c r="DD102" s="87">
        <v>46136</v>
      </c>
      <c r="DE102" s="87">
        <v>44967</v>
      </c>
      <c r="DF102" s="87">
        <v>43298</v>
      </c>
      <c r="DG102" s="87">
        <v>43906</v>
      </c>
      <c r="DH102" s="87">
        <v>45007</v>
      </c>
      <c r="DI102" s="87">
        <v>50091</v>
      </c>
      <c r="DJ102" s="84"/>
      <c r="DK102" s="84"/>
      <c r="DL102" s="84"/>
      <c r="DM102" s="84"/>
      <c r="DN102" s="84"/>
      <c r="DO102" s="84"/>
      <c r="DP102" s="84"/>
      <c r="DQ102" s="84"/>
      <c r="DR102" s="84"/>
      <c r="DS102" s="84"/>
      <c r="DU102" s="87"/>
      <c r="DY102" s="102"/>
    </row>
    <row r="103" spans="2:186" s="83" customFormat="1" ht="12.75" customHeight="1">
      <c r="B103" s="36"/>
      <c r="C103" s="9"/>
      <c r="D103" s="9"/>
      <c r="E103" s="9"/>
      <c r="F103" s="9"/>
      <c r="G103" s="35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94"/>
      <c r="Z103" s="26"/>
      <c r="AA103" s="94"/>
      <c r="AB103" s="26"/>
      <c r="AC103" s="30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75"/>
      <c r="CT103" s="9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84"/>
      <c r="DI103" s="84"/>
      <c r="DJ103" s="84"/>
      <c r="DK103" s="84"/>
      <c r="DL103" s="84"/>
      <c r="DM103" s="84"/>
      <c r="DN103" s="84"/>
      <c r="DO103" s="84"/>
      <c r="DP103" s="84"/>
      <c r="DQ103" s="84"/>
      <c r="DR103" s="84"/>
      <c r="DS103" s="84"/>
      <c r="DU103" s="87"/>
      <c r="DX103" s="83" t="s">
        <v>649</v>
      </c>
      <c r="DY103" s="102">
        <v>0.05</v>
      </c>
    </row>
    <row r="104" spans="2:186" s="103" customFormat="1" ht="12.75" customHeight="1">
      <c r="B104" s="104" t="s">
        <v>382</v>
      </c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6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  <c r="BQ104" s="105"/>
      <c r="BR104" s="105"/>
      <c r="BS104" s="105"/>
      <c r="BT104" s="105"/>
      <c r="BU104" s="105"/>
      <c r="BV104" s="105"/>
      <c r="BW104" s="105"/>
      <c r="BX104" s="105"/>
      <c r="BY104" s="105"/>
      <c r="BZ104" s="105"/>
      <c r="CA104" s="105"/>
      <c r="CB104" s="105"/>
      <c r="CC104" s="105">
        <f>+CC84/CC82</f>
        <v>0.76466282368011707</v>
      </c>
      <c r="CD104" s="105">
        <f t="shared" ref="CD104:CP104" si="205">+CD84/CD82</f>
        <v>0.78112513984337539</v>
      </c>
      <c r="CE104" s="105">
        <f t="shared" si="205"/>
        <v>0.76597346381857534</v>
      </c>
      <c r="CF104" s="105">
        <f t="shared" si="205"/>
        <v>0.76460270128047714</v>
      </c>
      <c r="CG104" s="105">
        <f t="shared" si="205"/>
        <v>0.76767523186863307</v>
      </c>
      <c r="CH104" s="105">
        <f t="shared" si="205"/>
        <v>0.74772575992899937</v>
      </c>
      <c r="CI104" s="105">
        <f t="shared" si="205"/>
        <v>0.7073140054084649</v>
      </c>
      <c r="CJ104" s="105">
        <f t="shared" si="205"/>
        <v>0.74659083122044811</v>
      </c>
      <c r="CK104" s="105">
        <f t="shared" si="205"/>
        <v>0.77043920048131564</v>
      </c>
      <c r="CL104" s="105">
        <f t="shared" si="205"/>
        <v>0.75</v>
      </c>
      <c r="CM104" s="105">
        <f t="shared" si="205"/>
        <v>0.75</v>
      </c>
      <c r="CN104" s="105">
        <f t="shared" si="205"/>
        <v>0.75</v>
      </c>
      <c r="CO104" s="105">
        <f t="shared" si="205"/>
        <v>0.75</v>
      </c>
      <c r="CP104" s="105">
        <f t="shared" si="205"/>
        <v>0.75000000000000011</v>
      </c>
      <c r="CQ104" s="105"/>
      <c r="CR104" s="105"/>
      <c r="CS104" s="107"/>
      <c r="CT104" s="105"/>
      <c r="CU104" s="105"/>
      <c r="CV104" s="105"/>
      <c r="CW104" s="105"/>
      <c r="CX104" s="105" t="e">
        <f>CX84/#REF!</f>
        <v>#REF!</v>
      </c>
      <c r="CY104" s="105" t="e">
        <f>CY84/#REF!</f>
        <v>#REF!</v>
      </c>
      <c r="CZ104" s="105" t="e">
        <f>CZ84/#REF!</f>
        <v>#REF!</v>
      </c>
      <c r="DA104" s="105" t="e">
        <f>DA84/#REF!</f>
        <v>#REF!</v>
      </c>
      <c r="DB104" s="105"/>
      <c r="DC104" s="105" t="e">
        <f>DC84/DC82</f>
        <v>#REF!</v>
      </c>
      <c r="DD104" s="105">
        <v>0.749</v>
      </c>
      <c r="DE104" s="105">
        <v>0.749</v>
      </c>
      <c r="DF104" s="105">
        <v>0.748</v>
      </c>
      <c r="DG104" s="105">
        <v>0.748</v>
      </c>
      <c r="DH104" s="105">
        <v>0.747</v>
      </c>
      <c r="DI104" s="105">
        <v>0.747</v>
      </c>
      <c r="DJ104" s="105">
        <v>0.746</v>
      </c>
      <c r="DK104" s="105">
        <v>0.746</v>
      </c>
      <c r="DL104" s="105">
        <v>0.745</v>
      </c>
      <c r="DM104" s="105">
        <v>0.745</v>
      </c>
      <c r="DN104" s="105">
        <v>0.74399999999999999</v>
      </c>
      <c r="DO104" s="105">
        <v>0.74399999999999999</v>
      </c>
      <c r="DP104" s="105">
        <v>0.74299999999999999</v>
      </c>
      <c r="DQ104" s="105">
        <v>0.74299999999999999</v>
      </c>
      <c r="DR104" s="105">
        <v>0.74199999999999999</v>
      </c>
      <c r="DS104" s="105">
        <v>0.74199999999999999</v>
      </c>
      <c r="DU104" s="108"/>
      <c r="DX104" s="103" t="s">
        <v>438</v>
      </c>
      <c r="DY104" s="108">
        <v>-0.01</v>
      </c>
    </row>
    <row r="105" spans="2:186" s="103" customFormat="1" ht="12.75" customHeight="1">
      <c r="B105" s="104" t="s">
        <v>380</v>
      </c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6"/>
      <c r="Z105" s="105" t="e">
        <f>Z85/#REF!</f>
        <v>#REF!</v>
      </c>
      <c r="AA105" s="105" t="e">
        <f>AA85/#REF!</f>
        <v>#REF!</v>
      </c>
      <c r="AB105" s="105" t="e">
        <f>AB85/#REF!</f>
        <v>#REF!</v>
      </c>
      <c r="AC105" s="105" t="e">
        <f>AC85/#REF!</f>
        <v>#REF!</v>
      </c>
      <c r="AD105" s="105"/>
      <c r="AE105" s="105" t="e">
        <f>AE85/#REF!</f>
        <v>#REF!</v>
      </c>
      <c r="AF105" s="105" t="e">
        <f>AF85/#REF!</f>
        <v>#REF!</v>
      </c>
      <c r="AG105" s="105" t="e">
        <f>AG85/#REF!</f>
        <v>#REF!</v>
      </c>
      <c r="AH105" s="105" t="e">
        <f>AH85/#REF!</f>
        <v>#REF!</v>
      </c>
      <c r="AI105" s="105" t="e">
        <f>AI85/#REF!</f>
        <v>#REF!</v>
      </c>
      <c r="AJ105" s="105" t="e">
        <f>AJ85/#REF!</f>
        <v>#REF!</v>
      </c>
      <c r="AK105" s="105" t="e">
        <f>AK85/#REF!</f>
        <v>#REF!</v>
      </c>
      <c r="AL105" s="105" t="e">
        <f>AL85/AL82</f>
        <v>#DIV/0!</v>
      </c>
      <c r="AM105" s="105" t="e">
        <f>AM85/AM82</f>
        <v>#DIV/0!</v>
      </c>
      <c r="AN105" s="105" t="e">
        <f>AN85/#REF!</f>
        <v>#REF!</v>
      </c>
      <c r="AO105" s="105" t="e">
        <f>AO85/#REF!</f>
        <v>#REF!</v>
      </c>
      <c r="AP105" s="105" t="e">
        <f>AP85/#REF!</f>
        <v>#REF!</v>
      </c>
      <c r="AQ105" s="105" t="e">
        <f>AQ85/#REF!</f>
        <v>#REF!</v>
      </c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5"/>
      <c r="CB105" s="105"/>
      <c r="CC105" s="105">
        <f>+CC85/CC82</f>
        <v>0.18482935309726417</v>
      </c>
      <c r="CD105" s="105">
        <f t="shared" ref="CD105:CP105" si="206">+CD85/CD82</f>
        <v>0.20513025411539076</v>
      </c>
      <c r="CE105" s="105">
        <f t="shared" si="206"/>
        <v>0.20457325679872024</v>
      </c>
      <c r="CF105" s="105">
        <f t="shared" si="206"/>
        <v>0.19768461673390633</v>
      </c>
      <c r="CG105" s="105">
        <f t="shared" si="206"/>
        <v>0.17257108103998783</v>
      </c>
      <c r="CH105" s="105">
        <f t="shared" si="206"/>
        <v>0.19184971525774722</v>
      </c>
      <c r="CI105" s="105">
        <f t="shared" si="206"/>
        <v>0.14162631281051505</v>
      </c>
      <c r="CJ105" s="105">
        <f t="shared" si="206"/>
        <v>0.16583293359830056</v>
      </c>
      <c r="CK105" s="105">
        <f t="shared" si="206"/>
        <v>0.16525168794705528</v>
      </c>
      <c r="CL105" s="105">
        <f t="shared" si="206"/>
        <v>0.18981014927968298</v>
      </c>
      <c r="CM105" s="105">
        <f t="shared" si="206"/>
        <v>0.16203585630691147</v>
      </c>
      <c r="CN105" s="105">
        <f t="shared" si="206"/>
        <v>0.16510829194283086</v>
      </c>
      <c r="CO105" s="105">
        <f t="shared" si="206"/>
        <v>0.15898845081885504</v>
      </c>
      <c r="CP105" s="105">
        <f t="shared" si="206"/>
        <v>0.17813201144505972</v>
      </c>
      <c r="CQ105" s="105"/>
      <c r="CR105" s="105"/>
      <c r="CS105" s="107"/>
      <c r="CT105" s="105">
        <f>CT85/CT$82</f>
        <v>0.26890891079767915</v>
      </c>
      <c r="CU105" s="105"/>
      <c r="CV105" s="105"/>
      <c r="CW105" s="105">
        <f>CW85/CW$82</f>
        <v>0.4579715107519518</v>
      </c>
      <c r="CX105" s="105" t="e">
        <f>CX85/#REF!</f>
        <v>#REF!</v>
      </c>
      <c r="CY105" s="105" t="e">
        <f>CY85/#REF!</f>
        <v>#REF!</v>
      </c>
      <c r="CZ105" s="105" t="e">
        <f>CZ85/#REF!</f>
        <v>#REF!</v>
      </c>
      <c r="DA105" s="105" t="e">
        <f>DA85/#REF!</f>
        <v>#REF!</v>
      </c>
      <c r="DB105" s="105" t="e">
        <f>DB85/#REF!</f>
        <v>#REF!</v>
      </c>
      <c r="DC105" s="105">
        <f>DC85/DC82</f>
        <v>0.31541073818848842</v>
      </c>
      <c r="DD105" s="105">
        <v>0.27700000000000002</v>
      </c>
      <c r="DE105" s="105">
        <v>0.27500000000000002</v>
      </c>
      <c r="DF105" s="105">
        <v>0.27200000000000002</v>
      </c>
      <c r="DG105" s="105">
        <v>0.27</v>
      </c>
      <c r="DH105" s="105">
        <v>0.27</v>
      </c>
      <c r="DI105" s="105">
        <v>0.27</v>
      </c>
      <c r="DJ105" s="105">
        <v>0.27</v>
      </c>
      <c r="DK105" s="105">
        <v>0.27</v>
      </c>
      <c r="DL105" s="105">
        <v>0.27</v>
      </c>
      <c r="DM105" s="105"/>
      <c r="DN105" s="105"/>
      <c r="DO105" s="105"/>
      <c r="DP105" s="105"/>
      <c r="DQ105" s="105"/>
      <c r="DR105" s="105"/>
      <c r="DS105" s="105"/>
      <c r="DU105" s="108"/>
      <c r="DX105" s="103" t="s">
        <v>439</v>
      </c>
      <c r="DY105" s="108">
        <v>0.12</v>
      </c>
    </row>
    <row r="106" spans="2:186" s="103" customFormat="1" ht="12.75" customHeight="1">
      <c r="B106" s="104" t="s">
        <v>381</v>
      </c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6"/>
      <c r="Z106" s="105" t="e">
        <f>Z86/#REF!</f>
        <v>#REF!</v>
      </c>
      <c r="AA106" s="105" t="e">
        <f>AA86/#REF!</f>
        <v>#REF!</v>
      </c>
      <c r="AB106" s="105" t="e">
        <f>AB86/#REF!</f>
        <v>#REF!</v>
      </c>
      <c r="AC106" s="105" t="e">
        <f>AC86/#REF!</f>
        <v>#REF!</v>
      </c>
      <c r="AD106" s="105"/>
      <c r="AE106" s="105" t="e">
        <f>AE86/#REF!</f>
        <v>#REF!</v>
      </c>
      <c r="AF106" s="105" t="e">
        <f>AF86/#REF!</f>
        <v>#REF!</v>
      </c>
      <c r="AG106" s="105" t="e">
        <f>AG86/#REF!</f>
        <v>#REF!</v>
      </c>
      <c r="AH106" s="105" t="e">
        <f>AH86/#REF!</f>
        <v>#REF!</v>
      </c>
      <c r="AI106" s="105" t="e">
        <f>AI86/#REF!</f>
        <v>#REF!</v>
      </c>
      <c r="AJ106" s="105" t="e">
        <f>AJ86/#REF!</f>
        <v>#REF!</v>
      </c>
      <c r="AK106" s="105" t="e">
        <f>AK86/#REF!</f>
        <v>#REF!</v>
      </c>
      <c r="AL106" s="105" t="e">
        <f>AL86/AL82</f>
        <v>#DIV/0!</v>
      </c>
      <c r="AM106" s="105" t="e">
        <f>AM86/AM82</f>
        <v>#DIV/0!</v>
      </c>
      <c r="AN106" s="105" t="e">
        <f>AN86/#REF!</f>
        <v>#REF!</v>
      </c>
      <c r="AO106" s="105" t="e">
        <f>AO86/#REF!</f>
        <v>#REF!</v>
      </c>
      <c r="AP106" s="105" t="e">
        <f>AP86/#REF!</f>
        <v>#REF!</v>
      </c>
      <c r="AQ106" s="105" t="e">
        <f>AQ86/#REF!</f>
        <v>#REF!</v>
      </c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  <c r="BT106" s="105"/>
      <c r="BU106" s="105"/>
      <c r="BV106" s="105"/>
      <c r="BW106" s="105"/>
      <c r="BX106" s="105"/>
      <c r="BY106" s="105"/>
      <c r="BZ106" s="105"/>
      <c r="CA106" s="105"/>
      <c r="CB106" s="105"/>
      <c r="CC106" s="105">
        <f>+CC86/CC82</f>
        <v>0.20395278616524842</v>
      </c>
      <c r="CD106" s="105">
        <f t="shared" ref="CD106:CP106" si="207">+CD86/CD82</f>
        <v>0.20736774812210323</v>
      </c>
      <c r="CE106" s="105">
        <f t="shared" si="207"/>
        <v>0.22461654276842005</v>
      </c>
      <c r="CF106" s="105">
        <f t="shared" si="207"/>
        <v>0.37703911594457112</v>
      </c>
      <c r="CG106" s="105">
        <f t="shared" si="207"/>
        <v>0.18823171658811008</v>
      </c>
      <c r="CH106" s="105">
        <f t="shared" si="207"/>
        <v>0.19828415058057836</v>
      </c>
      <c r="CI106" s="105">
        <f t="shared" si="207"/>
        <v>0.16017860511917489</v>
      </c>
      <c r="CJ106" s="105">
        <f t="shared" si="207"/>
        <v>0.18940587953128213</v>
      </c>
      <c r="CK106" s="105">
        <f t="shared" si="207"/>
        <v>0.23370546159502639</v>
      </c>
      <c r="CL106" s="105">
        <f t="shared" si="207"/>
        <v>0.19617617972969548</v>
      </c>
      <c r="CM106" s="105">
        <f t="shared" si="207"/>
        <v>0.18326169005937099</v>
      </c>
      <c r="CN106" s="105">
        <f t="shared" si="207"/>
        <v>0.18857823096280352</v>
      </c>
      <c r="CO106" s="105">
        <f t="shared" si="207"/>
        <v>0.22484774436194066</v>
      </c>
      <c r="CP106" s="105">
        <f t="shared" si="207"/>
        <v>0.1841063695775656</v>
      </c>
      <c r="CQ106" s="105"/>
      <c r="CR106" s="105"/>
      <c r="CS106" s="107"/>
      <c r="CT106" s="105">
        <f>CT86/CT$82</f>
        <v>0.11587339025425727</v>
      </c>
      <c r="CU106" s="105"/>
      <c r="CV106" s="105"/>
      <c r="CW106" s="105">
        <f>CW86/CW$82</f>
        <v>0.25545815641692915</v>
      </c>
      <c r="CX106" s="105" t="e">
        <f>CX86/#REF!</f>
        <v>#REF!</v>
      </c>
      <c r="CY106" s="105" t="e">
        <f>CY86/#REF!</f>
        <v>#REF!</v>
      </c>
      <c r="CZ106" s="105" t="e">
        <f>CZ86/#REF!</f>
        <v>#REF!</v>
      </c>
      <c r="DA106" s="105" t="e">
        <f>DA86/#REF!</f>
        <v>#REF!</v>
      </c>
      <c r="DB106" s="105" t="e">
        <f>DB86/#REF!</f>
        <v>#REF!</v>
      </c>
      <c r="DC106" s="105">
        <f>DC86/DC82</f>
        <v>0.20133111893312181</v>
      </c>
      <c r="DD106" s="105">
        <v>0.19</v>
      </c>
      <c r="DE106" s="105">
        <v>0.185</v>
      </c>
      <c r="DF106" s="105">
        <v>0.18</v>
      </c>
      <c r="DG106" s="105">
        <v>0.18</v>
      </c>
      <c r="DH106" s="105">
        <v>0.17499999999999999</v>
      </c>
      <c r="DI106" s="105">
        <v>0.17499999999999999</v>
      </c>
      <c r="DJ106" s="105">
        <v>0.17</v>
      </c>
      <c r="DK106" s="105">
        <v>0.17</v>
      </c>
      <c r="DL106" s="105">
        <v>0.17</v>
      </c>
      <c r="DM106" s="105"/>
      <c r="DN106" s="105"/>
      <c r="DO106" s="105"/>
      <c r="DP106" s="105"/>
      <c r="DQ106" s="105"/>
      <c r="DR106" s="105"/>
      <c r="DS106" s="105"/>
      <c r="DU106" s="108"/>
      <c r="DX106" s="103" t="s">
        <v>440</v>
      </c>
      <c r="DY106" s="87">
        <f>NPV($DY$105,DE98:GG98)+Main!J5-Main!J6+DD98</f>
        <v>80680.624775672084</v>
      </c>
    </row>
    <row r="107" spans="2:186" s="103" customFormat="1" ht="12.75" customHeight="1">
      <c r="B107" s="104" t="s">
        <v>74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 t="e">
        <f>Z88/#REF!</f>
        <v>#REF!</v>
      </c>
      <c r="AA107" s="105" t="e">
        <f>AA88/#REF!</f>
        <v>#REF!</v>
      </c>
      <c r="AB107" s="105" t="e">
        <f>AB88/#REF!</f>
        <v>#REF!</v>
      </c>
      <c r="AC107" s="105" t="e">
        <f>AC88/#REF!</f>
        <v>#REF!</v>
      </c>
      <c r="AD107" s="105"/>
      <c r="AE107" s="105" t="e">
        <f>AE88/#REF!</f>
        <v>#REF!</v>
      </c>
      <c r="AF107" s="105" t="e">
        <f>AF88/#REF!</f>
        <v>#REF!</v>
      </c>
      <c r="AG107" s="105" t="e">
        <f>AG88/#REF!</f>
        <v>#REF!</v>
      </c>
      <c r="AH107" s="105" t="e">
        <f>AH88/#REF!</f>
        <v>#REF!</v>
      </c>
      <c r="AI107" s="105" t="e">
        <f>AI88/#REF!</f>
        <v>#REF!</v>
      </c>
      <c r="AJ107" s="105" t="e">
        <f>AJ88/#REF!</f>
        <v>#REF!</v>
      </c>
      <c r="AK107" s="105" t="e">
        <f>AK88/#REF!</f>
        <v>#REF!</v>
      </c>
      <c r="AL107" s="105" t="e">
        <f>AL88/AL82</f>
        <v>#DIV/0!</v>
      </c>
      <c r="AM107" s="105" t="e">
        <f>AM88/AM82</f>
        <v>#DIV/0!</v>
      </c>
      <c r="AN107" s="105" t="e">
        <f>AN88/#REF!</f>
        <v>#REF!</v>
      </c>
      <c r="AO107" s="105" t="e">
        <f>AO88/#REF!</f>
        <v>#REF!</v>
      </c>
      <c r="AP107" s="105" t="e">
        <f>AP88/#REF!</f>
        <v>#REF!</v>
      </c>
      <c r="AQ107" s="105" t="e">
        <f>AQ88/#REF!</f>
        <v>#REF!</v>
      </c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>+CC88/CC82</f>
        <v>0.37588068441760453</v>
      </c>
      <c r="CD107" s="105">
        <f t="shared" ref="CD107:CP107" si="208">+CD88/CD82</f>
        <v>0.36862713760588139</v>
      </c>
      <c r="CE107" s="105">
        <f t="shared" si="208"/>
        <v>0.33678366425143502</v>
      </c>
      <c r="CF107" s="105">
        <f t="shared" si="208"/>
        <v>0.18987896860199965</v>
      </c>
      <c r="CG107" s="105">
        <f t="shared" si="208"/>
        <v>0.40687243424053521</v>
      </c>
      <c r="CH107" s="105">
        <f t="shared" si="208"/>
        <v>0.35759189409067377</v>
      </c>
      <c r="CI107" s="105">
        <f t="shared" si="208"/>
        <v>0.4055090874787749</v>
      </c>
      <c r="CJ107" s="105">
        <f t="shared" si="208"/>
        <v>0.39135201809086551</v>
      </c>
      <c r="CK107" s="105">
        <f t="shared" si="208"/>
        <v>0.37148205093923392</v>
      </c>
      <c r="CL107" s="105">
        <f t="shared" si="208"/>
        <v>0.3640136709906216</v>
      </c>
      <c r="CM107" s="105">
        <f t="shared" si="208"/>
        <v>0.40470245363371754</v>
      </c>
      <c r="CN107" s="105">
        <f t="shared" si="208"/>
        <v>0.3963134770943656</v>
      </c>
      <c r="CO107" s="105">
        <f t="shared" si="208"/>
        <v>0.36616380481920424</v>
      </c>
      <c r="CP107" s="105">
        <f t="shared" si="208"/>
        <v>0.38776161897737477</v>
      </c>
      <c r="CQ107" s="105"/>
      <c r="CR107" s="105"/>
      <c r="CS107" s="107"/>
      <c r="CT107" s="105">
        <f>CT88/CT$82</f>
        <v>0.44422850134440306</v>
      </c>
      <c r="CU107" s="105"/>
      <c r="CV107" s="105"/>
      <c r="CW107" s="105" t="e">
        <f>CW88/CW$82</f>
        <v>#REF!</v>
      </c>
      <c r="CX107" s="105" t="e">
        <f>CX88/CX$82</f>
        <v>#REF!</v>
      </c>
      <c r="CY107" s="105" t="e">
        <f>CY88/#REF!</f>
        <v>#REF!</v>
      </c>
      <c r="CZ107" s="105" t="e">
        <f>CZ88/#REF!</f>
        <v>#REF!</v>
      </c>
      <c r="DA107" s="105" t="e">
        <f>DA88/#REF!</f>
        <v>#REF!</v>
      </c>
      <c r="DB107" s="105" t="e">
        <f>DB88/#REF!</f>
        <v>#REF!</v>
      </c>
      <c r="DC107" s="105" t="e">
        <f t="shared" ref="DC107:DL107" si="209">DC88/DC82</f>
        <v>#REF!</v>
      </c>
      <c r="DD107" s="105">
        <f t="shared" si="209"/>
        <v>0.27298244129341726</v>
      </c>
      <c r="DE107" s="105">
        <f t="shared" si="209"/>
        <v>0.46058405291017712</v>
      </c>
      <c r="DF107" s="105">
        <f t="shared" si="209"/>
        <v>0.46086832726268123</v>
      </c>
      <c r="DG107" s="105">
        <f t="shared" si="209"/>
        <v>0.4622109190656376</v>
      </c>
      <c r="DH107" s="105">
        <f t="shared" si="209"/>
        <v>0.46046247711679522</v>
      </c>
      <c r="DI107" s="105">
        <f t="shared" si="209"/>
        <v>0.46001569504758028</v>
      </c>
      <c r="DJ107" s="105">
        <f t="shared" si="209"/>
        <v>0.45868490867127693</v>
      </c>
      <c r="DK107" s="105">
        <f t="shared" si="209"/>
        <v>0.45675041035662839</v>
      </c>
      <c r="DL107" s="105">
        <f t="shared" si="209"/>
        <v>0.45263072870151044</v>
      </c>
      <c r="DM107" s="105"/>
      <c r="DN107" s="105"/>
      <c r="DO107" s="105"/>
      <c r="DP107" s="105"/>
      <c r="DQ107" s="105"/>
      <c r="DR107" s="105"/>
      <c r="DS107" s="105"/>
      <c r="DU107" s="108"/>
      <c r="DX107" s="103" t="s">
        <v>783</v>
      </c>
      <c r="DY107" s="109">
        <f>DY106/Main!J3</f>
        <v>31.739034136771078</v>
      </c>
    </row>
    <row r="108" spans="2:186" s="103" customFormat="1" ht="12.75" customHeight="1">
      <c r="B108" s="104" t="s">
        <v>75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Z96/#REF!</f>
        <v>#REF!</v>
      </c>
      <c r="AA108" s="105" t="e">
        <f>AA96/#REF!</f>
        <v>#REF!</v>
      </c>
      <c r="AB108" s="105" t="e">
        <f>AB96/#REF!</f>
        <v>#REF!</v>
      </c>
      <c r="AC108" s="105" t="e">
        <f>AC96/#REF!</f>
        <v>#REF!</v>
      </c>
      <c r="AD108" s="105"/>
      <c r="AE108" s="105" t="e">
        <f>AE96/#REF!</f>
        <v>#REF!</v>
      </c>
      <c r="AF108" s="105" t="e">
        <f>AF96/#REF!</f>
        <v>#REF!</v>
      </c>
      <c r="AG108" s="105" t="e">
        <f>AG96/#REF!</f>
        <v>#REF!</v>
      </c>
      <c r="AH108" s="105" t="e">
        <f>AH96/#REF!</f>
        <v>#REF!</v>
      </c>
      <c r="AI108" s="105" t="e">
        <f>AI96/#REF!</f>
        <v>#REF!</v>
      </c>
      <c r="AJ108" s="105" t="e">
        <f>AJ96/#REF!</f>
        <v>#REF!</v>
      </c>
      <c r="AK108" s="105" t="e">
        <f>AK96/#REF!</f>
        <v>#REF!</v>
      </c>
      <c r="AL108" s="105" t="e">
        <f>AL96/AL82</f>
        <v>#DIV/0!</v>
      </c>
      <c r="AM108" s="105" t="e">
        <f>AM96/AM82</f>
        <v>#DIV/0!</v>
      </c>
      <c r="AN108" s="105" t="e">
        <f>AN96/#REF!</f>
        <v>#REF!</v>
      </c>
      <c r="AO108" s="105" t="e">
        <f>AO96/#REF!</f>
        <v>#REF!</v>
      </c>
      <c r="AP108" s="105" t="e">
        <f>AP96/#REF!</f>
        <v>#REF!</v>
      </c>
      <c r="AQ108" s="105" t="e">
        <f>AQ96/#REF!</f>
        <v>#REF!</v>
      </c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5"/>
      <c r="CG108" s="105"/>
      <c r="CH108" s="105"/>
      <c r="CI108" s="105"/>
      <c r="CJ108" s="105"/>
      <c r="CK108" s="105"/>
      <c r="CL108" s="105"/>
      <c r="CM108" s="105"/>
      <c r="CN108" s="105"/>
      <c r="CO108" s="105"/>
      <c r="CP108" s="105"/>
      <c r="CQ108" s="105"/>
      <c r="CR108" s="105"/>
      <c r="CS108" s="107"/>
      <c r="CT108" s="105">
        <f>CT96/CT$82</f>
        <v>0.41918533893108173</v>
      </c>
      <c r="CU108" s="105"/>
      <c r="CV108" s="105"/>
      <c r="CW108" s="105" t="e">
        <f>CW96/CW$82</f>
        <v>#REF!</v>
      </c>
      <c r="CX108" s="105" t="e">
        <f>CX96/#REF!</f>
        <v>#REF!</v>
      </c>
      <c r="CY108" s="105" t="e">
        <f>CY96/#REF!</f>
        <v>#REF!</v>
      </c>
      <c r="CZ108" s="105" t="e">
        <f>CZ96/#REF!</f>
        <v>#REF!</v>
      </c>
      <c r="DA108" s="105" t="e">
        <f>DA96/#REF!</f>
        <v>#REF!</v>
      </c>
      <c r="DB108" s="105" t="e">
        <f>DB96/#REF!</f>
        <v>#REF!</v>
      </c>
      <c r="DC108" s="105" t="e">
        <f>DC96/DC82</f>
        <v>#REF!</v>
      </c>
      <c r="DD108" s="105">
        <f t="shared" ref="DD108:DL108" si="210">DD96/DD$82</f>
        <v>0.26420885350264173</v>
      </c>
      <c r="DE108" s="105">
        <f t="shared" si="210"/>
        <v>0.46179813687698368</v>
      </c>
      <c r="DF108" s="105">
        <f t="shared" si="210"/>
        <v>0.48176978168897994</v>
      </c>
      <c r="DG108" s="105">
        <f t="shared" si="210"/>
        <v>0.50287172994023188</v>
      </c>
      <c r="DH108" s="105">
        <f t="shared" si="210"/>
        <v>0.52280230374604808</v>
      </c>
      <c r="DI108" s="105">
        <f t="shared" si="210"/>
        <v>0.5441744533970585</v>
      </c>
      <c r="DJ108" s="105">
        <f t="shared" si="210"/>
        <v>0.56528672313940476</v>
      </c>
      <c r="DK108" s="105">
        <f t="shared" si="210"/>
        <v>0.59882871600739629</v>
      </c>
      <c r="DL108" s="105">
        <f t="shared" si="210"/>
        <v>0.6438303494873332</v>
      </c>
      <c r="DM108" s="105"/>
      <c r="DN108" s="105"/>
      <c r="DO108" s="105"/>
      <c r="DP108" s="105"/>
      <c r="DQ108" s="105"/>
      <c r="DR108" s="105"/>
      <c r="DS108" s="105"/>
      <c r="DU108" s="108"/>
    </row>
    <row r="109" spans="2:186" s="103" customFormat="1" ht="12.75" customHeight="1">
      <c r="B109" s="104" t="s">
        <v>76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Z98/#REF!</f>
        <v>#REF!</v>
      </c>
      <c r="AA109" s="105" t="e">
        <f>AA98/#REF!</f>
        <v>#REF!</v>
      </c>
      <c r="AB109" s="105" t="e">
        <f>AB98/#REF!</f>
        <v>#REF!</v>
      </c>
      <c r="AC109" s="105" t="e">
        <f>AC98/#REF!</f>
        <v>#REF!</v>
      </c>
      <c r="AD109" s="105"/>
      <c r="AE109" s="105" t="e">
        <f>AE98/#REF!</f>
        <v>#REF!</v>
      </c>
      <c r="AF109" s="105" t="e">
        <f>AF98/#REF!</f>
        <v>#REF!</v>
      </c>
      <c r="AG109" s="105" t="e">
        <f>AG98/#REF!</f>
        <v>#REF!</v>
      </c>
      <c r="AH109" s="105" t="e">
        <f>AH98/#REF!</f>
        <v>#REF!</v>
      </c>
      <c r="AI109" s="105" t="e">
        <f>AI98/#REF!</f>
        <v>#REF!</v>
      </c>
      <c r="AJ109" s="105" t="e">
        <f>AJ98/#REF!</f>
        <v>#REF!</v>
      </c>
      <c r="AK109" s="105" t="e">
        <f>AK98/#REF!</f>
        <v>#REF!</v>
      </c>
      <c r="AL109" s="105" t="e">
        <f>AL98/AL82</f>
        <v>#DIV/0!</v>
      </c>
      <c r="AM109" s="105" t="e">
        <f>AM98/AM82</f>
        <v>#DIV/0!</v>
      </c>
      <c r="AN109" s="105" t="e">
        <f>AN98/#REF!</f>
        <v>#REF!</v>
      </c>
      <c r="AO109" s="105" t="e">
        <f>AO98/#REF!</f>
        <v>#REF!</v>
      </c>
      <c r="AP109" s="105" t="e">
        <f>AP98/#REF!</f>
        <v>#REF!</v>
      </c>
      <c r="AQ109" s="105" t="e">
        <f>AQ98/#REF!</f>
        <v>#REF!</v>
      </c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>+CC98/CC82</f>
        <v>0.31915088297190958</v>
      </c>
      <c r="CD109" s="105">
        <f t="shared" ref="CD109:CP109" si="211">+CD98/CD82</f>
        <v>0.32451654147354964</v>
      </c>
      <c r="CE109" s="105">
        <f t="shared" si="211"/>
        <v>0.27768890561776605</v>
      </c>
      <c r="CF109" s="105">
        <f t="shared" si="211"/>
        <v>0.13681810208735309</v>
      </c>
      <c r="CG109" s="105">
        <f t="shared" si="211"/>
        <v>0.3377679793218793</v>
      </c>
      <c r="CH109" s="105">
        <f t="shared" si="211"/>
        <v>0.33865838325567638</v>
      </c>
      <c r="CI109" s="105">
        <f t="shared" si="211"/>
        <v>0.34123640022640084</v>
      </c>
      <c r="CJ109" s="105">
        <f t="shared" si="211"/>
        <v>0.32536147467964094</v>
      </c>
      <c r="CK109" s="105">
        <f t="shared" si="211"/>
        <v>0.31439267330703924</v>
      </c>
      <c r="CL109" s="105">
        <f t="shared" si="211"/>
        <v>0.30176017626666768</v>
      </c>
      <c r="CM109" s="105">
        <f t="shared" si="211"/>
        <v>0.33536440649591021</v>
      </c>
      <c r="CN109" s="105">
        <f t="shared" si="211"/>
        <v>0.32862960691871429</v>
      </c>
      <c r="CO109" s="105">
        <f t="shared" si="211"/>
        <v>0.30426677713708156</v>
      </c>
      <c r="CP109" s="105">
        <f t="shared" si="211"/>
        <v>0.32188580190527766</v>
      </c>
      <c r="CQ109" s="105"/>
      <c r="CR109" s="105"/>
      <c r="CS109" s="107"/>
      <c r="CT109" s="105">
        <f>CT98/CT$82</f>
        <v>0.28262701070805235</v>
      </c>
      <c r="CU109" s="105"/>
      <c r="CV109" s="105"/>
      <c r="CW109" s="105" t="e">
        <f>CW98/CW$82</f>
        <v>#REF!</v>
      </c>
      <c r="CX109" s="105" t="e">
        <f>CX98/#REF!</f>
        <v>#REF!</v>
      </c>
      <c r="CY109" s="105" t="e">
        <f>CY98/#REF!</f>
        <v>#REF!</v>
      </c>
      <c r="CZ109" s="105" t="e">
        <f>CZ98/#REF!</f>
        <v>#REF!</v>
      </c>
      <c r="DA109" s="105" t="e">
        <f>DA98/#REF!</f>
        <v>#REF!</v>
      </c>
      <c r="DB109" s="105" t="e">
        <f>DB98/#REF!</f>
        <v>#REF!</v>
      </c>
      <c r="DC109" s="105" t="e">
        <f>DC98/DC82</f>
        <v>#REF!</v>
      </c>
      <c r="DD109" s="105">
        <f t="shared" ref="DD109:DL109" si="212">DD98/DD$82</f>
        <v>0.19815664012698131</v>
      </c>
      <c r="DE109" s="105">
        <f t="shared" si="212"/>
        <v>0.34634860265773776</v>
      </c>
      <c r="DF109" s="105">
        <f t="shared" si="212"/>
        <v>0.36132733626673502</v>
      </c>
      <c r="DG109" s="105">
        <f t="shared" si="212"/>
        <v>0.37715379745517391</v>
      </c>
      <c r="DH109" s="105">
        <f t="shared" si="212"/>
        <v>0.39210172780953606</v>
      </c>
      <c r="DI109" s="105">
        <f t="shared" si="212"/>
        <v>0.40813084004779393</v>
      </c>
      <c r="DJ109" s="105">
        <f t="shared" si="212"/>
        <v>0.42396504235455362</v>
      </c>
      <c r="DK109" s="105">
        <f t="shared" si="212"/>
        <v>0.44912153700554724</v>
      </c>
      <c r="DL109" s="105">
        <f t="shared" si="212"/>
        <v>0.4828727621154999</v>
      </c>
      <c r="DM109" s="105"/>
      <c r="DN109" s="105"/>
      <c r="DO109" s="105"/>
      <c r="DP109" s="105"/>
      <c r="DQ109" s="105"/>
      <c r="DR109" s="105"/>
      <c r="DS109" s="105"/>
      <c r="DU109" s="108"/>
    </row>
    <row r="110" spans="2:186" s="103" customFormat="1" ht="12.75" customHeight="1">
      <c r="B110" s="104" t="s">
        <v>77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Z97/Z96</f>
        <v>#REF!</v>
      </c>
      <c r="AA110" s="105" t="e">
        <f>AA97/AA96</f>
        <v>#REF!</v>
      </c>
      <c r="AB110" s="105" t="e">
        <f>AB97/AB96</f>
        <v>#REF!</v>
      </c>
      <c r="AC110" s="105" t="e">
        <f>AC97/AC96</f>
        <v>#REF!</v>
      </c>
      <c r="AD110" s="105"/>
      <c r="AE110" s="105" t="e">
        <f>AE97/AE96</f>
        <v>#REF!</v>
      </c>
      <c r="AF110" s="105" t="e">
        <f>AF97/AF96</f>
        <v>#REF!</v>
      </c>
      <c r="AG110" s="105" t="e">
        <f>AG97/AG96</f>
        <v>#REF!</v>
      </c>
      <c r="AH110" s="105">
        <v>0.26</v>
      </c>
      <c r="AI110" s="105" t="e">
        <f t="shared" ref="AI110:AQ110" si="213">AI97/AI96</f>
        <v>#REF!</v>
      </c>
      <c r="AJ110" s="105" t="e">
        <f t="shared" si="213"/>
        <v>#REF!</v>
      </c>
      <c r="AK110" s="105" t="e">
        <f t="shared" si="213"/>
        <v>#REF!</v>
      </c>
      <c r="AL110" s="105">
        <f t="shared" si="213"/>
        <v>-5.7370262546406349E-2</v>
      </c>
      <c r="AM110" s="105">
        <f t="shared" si="213"/>
        <v>-0.10252529674425585</v>
      </c>
      <c r="AN110" s="105" t="e">
        <f t="shared" si="213"/>
        <v>#REF!</v>
      </c>
      <c r="AO110" s="105" t="e">
        <f t="shared" si="213"/>
        <v>#REF!</v>
      </c>
      <c r="AP110" s="105" t="e">
        <f t="shared" si="213"/>
        <v>#REF!</v>
      </c>
      <c r="AQ110" s="105" t="e">
        <f t="shared" si="213"/>
        <v>#REF!</v>
      </c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>+CC97/CC96</f>
        <v>0.14362877485882641</v>
      </c>
      <c r="CD110" s="105">
        <f t="shared" ref="CD110:CP110" si="214">+CD97/CD96</f>
        <v>0.10015510746731664</v>
      </c>
      <c r="CE110" s="105">
        <f t="shared" si="214"/>
        <v>0.14339622641509434</v>
      </c>
      <c r="CF110" s="105">
        <f t="shared" si="214"/>
        <v>0.26657263751763044</v>
      </c>
      <c r="CG110" s="105">
        <f t="shared" si="214"/>
        <v>0.13018794048551291</v>
      </c>
      <c r="CH110" s="105">
        <f t="shared" si="214"/>
        <v>4.2851170568561872E-2</v>
      </c>
      <c r="CI110" s="105">
        <f t="shared" si="214"/>
        <v>0.13995878903154224</v>
      </c>
      <c r="CJ110" s="105">
        <f t="shared" si="214"/>
        <v>0.13813759302958795</v>
      </c>
      <c r="CK110" s="105">
        <f t="shared" si="214"/>
        <v>0.13738077769625825</v>
      </c>
      <c r="CL110" s="105">
        <f t="shared" si="214"/>
        <v>0.15</v>
      </c>
      <c r="CM110" s="105">
        <f t="shared" si="214"/>
        <v>0.15</v>
      </c>
      <c r="CN110" s="105">
        <f t="shared" si="214"/>
        <v>0.15</v>
      </c>
      <c r="CO110" s="105">
        <f t="shared" si="214"/>
        <v>0.15</v>
      </c>
      <c r="CP110" s="105">
        <f t="shared" si="214"/>
        <v>0.15</v>
      </c>
      <c r="CQ110" s="105"/>
      <c r="CR110" s="105"/>
      <c r="CS110" s="107"/>
      <c r="CT110" s="105">
        <f t="shared" ref="CT110:DL110" si="215">CT97/CT96</f>
        <v>0.32577076424297591</v>
      </c>
      <c r="CU110" s="105" t="e">
        <f t="shared" si="215"/>
        <v>#REF!</v>
      </c>
      <c r="CV110" s="105" t="e">
        <f t="shared" si="215"/>
        <v>#REF!</v>
      </c>
      <c r="CW110" s="105" t="e">
        <f t="shared" si="215"/>
        <v>#REF!</v>
      </c>
      <c r="CX110" s="105" t="e">
        <f t="shared" si="215"/>
        <v>#REF!</v>
      </c>
      <c r="CY110" s="105" t="e">
        <f t="shared" si="215"/>
        <v>#REF!</v>
      </c>
      <c r="CZ110" s="105" t="e">
        <f t="shared" si="215"/>
        <v>#REF!</v>
      </c>
      <c r="DA110" s="105" t="e">
        <f t="shared" si="215"/>
        <v>#REF!</v>
      </c>
      <c r="DB110" s="105" t="e">
        <f t="shared" si="215"/>
        <v>#REF!</v>
      </c>
      <c r="DC110" s="105" t="e">
        <f t="shared" si="215"/>
        <v>#REF!</v>
      </c>
      <c r="DD110" s="105">
        <f t="shared" si="215"/>
        <v>0.25</v>
      </c>
      <c r="DE110" s="105">
        <f t="shared" si="215"/>
        <v>0.25</v>
      </c>
      <c r="DF110" s="105">
        <f t="shared" si="215"/>
        <v>0.25</v>
      </c>
      <c r="DG110" s="105">
        <f t="shared" si="215"/>
        <v>0.25</v>
      </c>
      <c r="DH110" s="105">
        <f t="shared" si="215"/>
        <v>0.25</v>
      </c>
      <c r="DI110" s="105">
        <f t="shared" si="215"/>
        <v>0.25</v>
      </c>
      <c r="DJ110" s="105">
        <f t="shared" si="215"/>
        <v>0.25</v>
      </c>
      <c r="DK110" s="105">
        <f t="shared" si="215"/>
        <v>0.25</v>
      </c>
      <c r="DL110" s="105">
        <f t="shared" si="215"/>
        <v>0.25</v>
      </c>
      <c r="DM110" s="105"/>
      <c r="DN110" s="105"/>
      <c r="DO110" s="105"/>
      <c r="DP110" s="105"/>
      <c r="DQ110" s="105"/>
      <c r="DR110" s="105"/>
      <c r="DS110" s="105"/>
      <c r="DU110" s="108"/>
    </row>
    <row r="111" spans="2:186" s="83" customFormat="1" ht="12.75" customHeight="1">
      <c r="B111" s="100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94"/>
      <c r="Z111" s="84"/>
      <c r="AA111" s="94"/>
      <c r="AB111" s="84"/>
      <c r="AC111" s="87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75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DR111" s="84"/>
      <c r="DS111" s="84"/>
      <c r="DU111" s="87"/>
    </row>
    <row r="112" spans="2:186" s="83" customFormat="1" ht="12.75" customHeight="1">
      <c r="B112" s="100" t="s">
        <v>330</v>
      </c>
      <c r="C112" s="101"/>
      <c r="D112" s="101"/>
      <c r="E112" s="101"/>
      <c r="F112" s="101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94"/>
      <c r="Z112" s="84"/>
      <c r="AA112" s="94"/>
      <c r="AB112" s="84"/>
      <c r="AC112" s="87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75"/>
      <c r="CT112" s="101"/>
      <c r="CU112" s="84"/>
      <c r="CV112" s="84"/>
      <c r="CW112" s="84"/>
      <c r="CX112" s="84"/>
      <c r="CY112" s="84"/>
      <c r="CZ112" s="84"/>
      <c r="DA112" s="84"/>
      <c r="DB112" s="87">
        <v>-7000</v>
      </c>
      <c r="DC112" s="87">
        <v>-7000</v>
      </c>
      <c r="DD112" s="87">
        <f t="shared" ref="DD112:DS112" si="216">+DC112+DD98</f>
        <v>904.9558399999969</v>
      </c>
      <c r="DE112" s="87">
        <f t="shared" si="216"/>
        <v>13813.049481799995</v>
      </c>
      <c r="DF112" s="87">
        <f t="shared" si="216"/>
        <v>25752.487458660493</v>
      </c>
      <c r="DG112" s="87">
        <f t="shared" si="216"/>
        <v>37695.988129252415</v>
      </c>
      <c r="DH112" s="87">
        <f t="shared" si="216"/>
        <v>49550.899248007321</v>
      </c>
      <c r="DI112" s="87">
        <f t="shared" si="216"/>
        <v>61565.840135819395</v>
      </c>
      <c r="DJ112" s="87">
        <f t="shared" si="216"/>
        <v>73808.485418644443</v>
      </c>
      <c r="DK112" s="87">
        <f t="shared" si="216"/>
        <v>85474.228567621089</v>
      </c>
      <c r="DL112" s="87">
        <f t="shared" si="216"/>
        <v>96267.444754062162</v>
      </c>
      <c r="DM112" s="87">
        <f t="shared" si="216"/>
        <v>106471.96680529421</v>
      </c>
      <c r="DN112" s="87">
        <f t="shared" si="216"/>
        <v>116528.20169311005</v>
      </c>
      <c r="DO112" s="87">
        <f t="shared" si="216"/>
        <v>126680.19096344266</v>
      </c>
      <c r="DP112" s="87">
        <f t="shared" si="216"/>
        <v>137057.2761455545</v>
      </c>
      <c r="DQ112" s="87">
        <f t="shared" si="216"/>
        <v>147764.81707383995</v>
      </c>
      <c r="DR112" s="87">
        <f t="shared" si="216"/>
        <v>158854.3250825126</v>
      </c>
      <c r="DS112" s="87">
        <f t="shared" si="216"/>
        <v>170392.07342762849</v>
      </c>
      <c r="DU112" s="87"/>
    </row>
    <row r="113" spans="2:125" s="83" customFormat="1" ht="12.75" customHeight="1">
      <c r="B113" s="110"/>
      <c r="C113" s="101"/>
      <c r="D113" s="101"/>
      <c r="E113" s="101"/>
      <c r="F113" s="101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94"/>
      <c r="Z113" s="84"/>
      <c r="AA113" s="94"/>
      <c r="AB113" s="84"/>
      <c r="AC113" s="87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75"/>
      <c r="CT113" s="101"/>
      <c r="CU113" s="111"/>
      <c r="CV113" s="111"/>
      <c r="CW113" s="111"/>
      <c r="CX113" s="111"/>
      <c r="CY113" s="111"/>
      <c r="CZ113" s="111"/>
      <c r="DA113" s="111"/>
      <c r="DB113" s="111"/>
      <c r="DC113" s="111"/>
      <c r="DD113" s="111"/>
      <c r="DE113" s="111"/>
      <c r="DF113" s="111"/>
      <c r="DG113" s="111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  <c r="DS113" s="84"/>
      <c r="DU113" s="87"/>
    </row>
    <row r="114" spans="2:125" s="8" customFormat="1" ht="12.75" customHeight="1">
      <c r="B114" s="36" t="s">
        <v>647</v>
      </c>
      <c r="C114" s="9"/>
      <c r="D114" s="9"/>
      <c r="E114" s="9"/>
      <c r="F114" s="9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8"/>
      <c r="Z114" s="26"/>
      <c r="AA114" s="28"/>
      <c r="AB114" s="26"/>
      <c r="AC114" s="30"/>
      <c r="AD114" s="26"/>
      <c r="AE114" s="26"/>
      <c r="AF114" s="26"/>
      <c r="AG114" s="26"/>
      <c r="AH114" s="26"/>
      <c r="AI114" s="26"/>
      <c r="AJ114" s="26"/>
      <c r="AK114" s="26"/>
      <c r="AL114" s="44">
        <f>+AL82/AH82-1</f>
        <v>-1</v>
      </c>
      <c r="AM114" s="44">
        <f>+AM82/AI82-1</f>
        <v>-1</v>
      </c>
      <c r="AN114" s="44" t="e">
        <f>+#REF!/AJ82-1</f>
        <v>#REF!</v>
      </c>
      <c r="AO114" s="44" t="e">
        <f>+#REF!/AK82-1</f>
        <v>#REF!</v>
      </c>
      <c r="AP114" s="44" t="e">
        <f>+#REF!/AL82-1</f>
        <v>#REF!</v>
      </c>
      <c r="AQ114" s="44" t="e">
        <f>+#REF!/AM82-1</f>
        <v>#REF!</v>
      </c>
      <c r="AR114" s="44" t="e">
        <f>+#REF!/#REF!-1</f>
        <v>#REF!</v>
      </c>
      <c r="AS114" s="44" t="e">
        <f>+#REF!/#REF!-1</f>
        <v>#REF!</v>
      </c>
      <c r="AT114" s="44" t="e">
        <f>+#REF!/#REF!-1</f>
        <v>#REF!</v>
      </c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>
        <f t="shared" ref="CA114:CP114" si="217">+CA82/BW82-1</f>
        <v>0.11473742603550297</v>
      </c>
      <c r="CB114" s="44">
        <f t="shared" si="217"/>
        <v>-7.551020408163267E-2</v>
      </c>
      <c r="CC114" s="44">
        <f t="shared" si="217"/>
        <v>-0.11841574574493829</v>
      </c>
      <c r="CD114" s="44">
        <f t="shared" si="217"/>
        <v>5.4432086282440117E-2</v>
      </c>
      <c r="CE114" s="44">
        <f t="shared" si="217"/>
        <v>-0.11860330098697847</v>
      </c>
      <c r="CF114" s="44">
        <f t="shared" si="217"/>
        <v>4.8749080206033746E-2</v>
      </c>
      <c r="CG114" s="44">
        <f t="shared" si="217"/>
        <v>0.20358678744624403</v>
      </c>
      <c r="CH114" s="44">
        <f t="shared" si="217"/>
        <v>8.046987374140957E-2</v>
      </c>
      <c r="CI114" s="44">
        <f t="shared" si="217"/>
        <v>0.49628305260186312</v>
      </c>
      <c r="CJ114" s="44">
        <f t="shared" si="217"/>
        <v>0.27986318189791271</v>
      </c>
      <c r="CK114" s="44">
        <f>+CK82/CG82-1</f>
        <v>0.1372206173027215</v>
      </c>
      <c r="CL114" s="44">
        <f t="shared" si="217"/>
        <v>2.0852747577841724E-2</v>
      </c>
      <c r="CM114" s="44">
        <f t="shared" si="217"/>
        <v>-0.11721652726243603</v>
      </c>
      <c r="CN114" s="44">
        <f t="shared" si="217"/>
        <v>1.4432775988487689E-2</v>
      </c>
      <c r="CO114" s="44">
        <f t="shared" si="217"/>
        <v>4.9788232836419422E-2</v>
      </c>
      <c r="CP114" s="44">
        <f t="shared" si="217"/>
        <v>7.6214483950894696E-2</v>
      </c>
      <c r="CQ114" s="44"/>
      <c r="CR114" s="44"/>
      <c r="CS114" s="49"/>
      <c r="CT114" s="9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U114" s="30"/>
    </row>
    <row r="115" spans="2:125" s="83" customFormat="1" ht="12.75" customHeight="1">
      <c r="B115" s="100" t="s">
        <v>757</v>
      </c>
      <c r="C115" s="101"/>
      <c r="D115" s="101"/>
      <c r="E115" s="101"/>
      <c r="F115" s="101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94"/>
      <c r="Z115" s="84"/>
      <c r="AA115" s="94"/>
      <c r="AB115" s="84"/>
      <c r="AC115" s="87"/>
      <c r="AD115" s="84"/>
      <c r="AE115" s="84"/>
      <c r="AF115" s="84"/>
      <c r="AG115" s="84"/>
      <c r="AH115" s="84"/>
      <c r="AI115" s="84"/>
      <c r="AJ115" s="84"/>
      <c r="AK115" s="84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>
        <f t="shared" ref="CA115:CP115" si="218">+CA3/BW3-1</f>
        <v>0.44733362714852354</v>
      </c>
      <c r="CB115" s="112">
        <f t="shared" si="218"/>
        <v>0.28625664388762329</v>
      </c>
      <c r="CC115" s="112">
        <f t="shared" si="218"/>
        <v>0.21009771986970693</v>
      </c>
      <c r="CD115" s="112">
        <f t="shared" si="218"/>
        <v>0.28351012536162012</v>
      </c>
      <c r="CE115" s="112">
        <f t="shared" si="218"/>
        <v>0.18727161997563946</v>
      </c>
      <c r="CF115" s="112">
        <f t="shared" si="218"/>
        <v>0.23258559622195984</v>
      </c>
      <c r="CG115" s="112">
        <f t="shared" si="218"/>
        <v>0.22045760430686401</v>
      </c>
      <c r="CH115" s="112">
        <f t="shared" si="218"/>
        <v>0.14625594790884056</v>
      </c>
      <c r="CI115" s="112">
        <f t="shared" si="218"/>
        <v>0.23339317773788149</v>
      </c>
      <c r="CJ115" s="112">
        <f t="shared" si="218"/>
        <v>0.25766283524904221</v>
      </c>
      <c r="CK115" s="112">
        <f t="shared" si="218"/>
        <v>0.19673577415086019</v>
      </c>
      <c r="CL115" s="112">
        <f t="shared" si="218"/>
        <v>0.19999999999999996</v>
      </c>
      <c r="CM115" s="112">
        <f t="shared" si="218"/>
        <v>0.19999999999999996</v>
      </c>
      <c r="CN115" s="112">
        <f t="shared" si="218"/>
        <v>0.19999999999999996</v>
      </c>
      <c r="CO115" s="112">
        <f t="shared" si="218"/>
        <v>0.19999999999999996</v>
      </c>
      <c r="CP115" s="112">
        <f t="shared" si="218"/>
        <v>0.19999999999999996</v>
      </c>
      <c r="CQ115" s="112"/>
      <c r="CR115" s="112"/>
      <c r="CS115" s="75"/>
      <c r="CT115" s="101"/>
      <c r="CU115" s="111"/>
      <c r="CV115" s="111"/>
      <c r="CW115" s="111"/>
      <c r="CX115" s="111"/>
      <c r="CY115" s="111"/>
      <c r="CZ115" s="111"/>
      <c r="DA115" s="111"/>
      <c r="DB115" s="111"/>
      <c r="DC115" s="111"/>
      <c r="DD115" s="111"/>
      <c r="DE115" s="111"/>
      <c r="DF115" s="111"/>
      <c r="DG115" s="111"/>
      <c r="DH115" s="84"/>
      <c r="DI115" s="84"/>
      <c r="DJ115" s="84"/>
      <c r="DK115" s="84"/>
      <c r="DL115" s="84"/>
      <c r="DM115" s="84"/>
      <c r="DN115" s="84"/>
      <c r="DO115" s="84"/>
      <c r="DP115" s="84"/>
      <c r="DQ115" s="84"/>
      <c r="DR115" s="84"/>
      <c r="DS115" s="84"/>
      <c r="DU115" s="87"/>
    </row>
    <row r="116" spans="2:125" s="83" customFormat="1" ht="12.75" customHeight="1">
      <c r="B116" s="100" t="s">
        <v>648</v>
      </c>
      <c r="C116" s="101"/>
      <c r="D116" s="101"/>
      <c r="E116" s="101"/>
      <c r="F116" s="101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94"/>
      <c r="Z116" s="84"/>
      <c r="AA116" s="112" t="s">
        <v>443</v>
      </c>
      <c r="AB116" s="112" t="s">
        <v>443</v>
      </c>
      <c r="AC116" s="112" t="s">
        <v>443</v>
      </c>
      <c r="AD116" s="112">
        <f t="shared" ref="AD116:AT116" si="219">+AD9/Z9-1</f>
        <v>3.7619047619047619</v>
      </c>
      <c r="AE116" s="112">
        <f t="shared" si="219"/>
        <v>2.1264367816091956</v>
      </c>
      <c r="AF116" s="112">
        <f t="shared" si="219"/>
        <v>1.3194444444444446</v>
      </c>
      <c r="AG116" s="112">
        <f t="shared" si="219"/>
        <v>1.0486486486486486</v>
      </c>
      <c r="AH116" s="112">
        <f t="shared" si="219"/>
        <v>-1</v>
      </c>
      <c r="AI116" s="112">
        <f t="shared" si="219"/>
        <v>0.51102941176470584</v>
      </c>
      <c r="AJ116" s="112">
        <f t="shared" si="219"/>
        <v>0.38323353293413165</v>
      </c>
      <c r="AK116" s="112">
        <f t="shared" si="219"/>
        <v>0.29551451187335087</v>
      </c>
      <c r="AL116" s="112" t="e">
        <f t="shared" si="219"/>
        <v>#DIV/0!</v>
      </c>
      <c r="AM116" s="112">
        <f t="shared" si="219"/>
        <v>0.24330900243308995</v>
      </c>
      <c r="AN116" s="112">
        <f t="shared" si="219"/>
        <v>0.29870129870129869</v>
      </c>
      <c r="AO116" s="112">
        <f t="shared" si="219"/>
        <v>0.22199592668024448</v>
      </c>
      <c r="AP116" s="112">
        <f t="shared" si="219"/>
        <v>0.20967741935483875</v>
      </c>
      <c r="AQ116" s="112">
        <f t="shared" si="219"/>
        <v>0.44618395303326808</v>
      </c>
      <c r="AR116" s="112">
        <f t="shared" si="219"/>
        <v>0.29833333333333334</v>
      </c>
      <c r="AS116" s="112">
        <f t="shared" si="219"/>
        <v>0.40999999999999992</v>
      </c>
      <c r="AT116" s="112">
        <f t="shared" si="219"/>
        <v>0.42222222222222228</v>
      </c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>
        <f t="shared" ref="CA116:CP117" si="220">+CA9/BW9-1</f>
        <v>-6.067961165048541E-2</v>
      </c>
      <c r="CB116" s="112">
        <f t="shared" si="220"/>
        <v>-5.9471365638766538E-2</v>
      </c>
      <c r="CC116" s="112">
        <f t="shared" si="220"/>
        <v>1.7348203221809078E-2</v>
      </c>
      <c r="CD116" s="112">
        <f t="shared" si="220"/>
        <v>-9.1198303287380655E-2</v>
      </c>
      <c r="CE116" s="112">
        <f t="shared" si="220"/>
        <v>4.5219638242893989E-2</v>
      </c>
      <c r="CF116" s="112">
        <f t="shared" si="220"/>
        <v>-8.1967213114754078E-2</v>
      </c>
      <c r="CG116" s="112">
        <f t="shared" si="220"/>
        <v>3.7758830694275325E-2</v>
      </c>
      <c r="CH116" s="112">
        <f t="shared" si="220"/>
        <v>2.4504084014002281E-2</v>
      </c>
      <c r="CI116" s="112">
        <f t="shared" si="220"/>
        <v>-3.7082818294190356E-2</v>
      </c>
      <c r="CJ116" s="112">
        <f t="shared" si="220"/>
        <v>-3.5714285714285698E-2</v>
      </c>
      <c r="CK116" s="112">
        <f t="shared" si="220"/>
        <v>-0.15845070422535212</v>
      </c>
      <c r="CL116" s="112">
        <f t="shared" si="220"/>
        <v>-0.22420273348519359</v>
      </c>
      <c r="CM116" s="112">
        <f t="shared" si="220"/>
        <v>-0.16932926829268291</v>
      </c>
      <c r="CN116" s="112">
        <f t="shared" si="220"/>
        <v>-0.18685466269841278</v>
      </c>
      <c r="CO116" s="112">
        <f t="shared" si="220"/>
        <v>-0.18549375000000012</v>
      </c>
      <c r="CP116" s="112">
        <f t="shared" si="220"/>
        <v>-0.18549375000000023</v>
      </c>
      <c r="CQ116" s="112"/>
      <c r="CR116" s="112"/>
      <c r="CS116" s="75"/>
      <c r="CT116" s="101"/>
      <c r="CU116" s="111"/>
      <c r="CV116" s="111"/>
      <c r="CW116" s="111"/>
      <c r="CX116" s="111"/>
      <c r="CY116" s="111"/>
      <c r="CZ116" s="111"/>
      <c r="DA116" s="111"/>
      <c r="DB116" s="111"/>
      <c r="DC116" s="111"/>
      <c r="DD116" s="111"/>
      <c r="DE116" s="111"/>
      <c r="DF116" s="111"/>
      <c r="DG116" s="111"/>
      <c r="DH116" s="84"/>
      <c r="DI116" s="84"/>
      <c r="DJ116" s="84"/>
      <c r="DK116" s="84"/>
      <c r="DL116" s="84"/>
      <c r="DM116" s="84"/>
      <c r="DN116" s="84"/>
      <c r="DO116" s="84"/>
      <c r="DP116" s="84"/>
      <c r="DQ116" s="84"/>
      <c r="DR116" s="84"/>
      <c r="DS116" s="84"/>
      <c r="DU116" s="87"/>
    </row>
    <row r="117" spans="2:125" s="83" customFormat="1" ht="12.75" customHeight="1">
      <c r="B117" s="100" t="s">
        <v>667</v>
      </c>
      <c r="C117" s="101"/>
      <c r="D117" s="101"/>
      <c r="E117" s="101"/>
      <c r="F117" s="101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94"/>
      <c r="Z117" s="84"/>
      <c r="AA117" s="112" t="s">
        <v>443</v>
      </c>
      <c r="AB117" s="112" t="s">
        <v>443</v>
      </c>
      <c r="AC117" s="112" t="s">
        <v>443</v>
      </c>
      <c r="AD117" s="112" t="s">
        <v>443</v>
      </c>
      <c r="AE117" s="112" t="s">
        <v>443</v>
      </c>
      <c r="AF117" s="112">
        <f t="shared" ref="AF117:AT117" si="221">+AF10/AB10-1</f>
        <v>2</v>
      </c>
      <c r="AG117" s="112">
        <f t="shared" si="221"/>
        <v>4.3157894736842106</v>
      </c>
      <c r="AH117" s="112">
        <f t="shared" si="221"/>
        <v>-1</v>
      </c>
      <c r="AI117" s="112">
        <f t="shared" si="221"/>
        <v>1.2068965517241379</v>
      </c>
      <c r="AJ117" s="112">
        <f t="shared" si="221"/>
        <v>1.1527777777777777</v>
      </c>
      <c r="AK117" s="112">
        <f t="shared" si="221"/>
        <v>0.71287128712871284</v>
      </c>
      <c r="AL117" s="112" t="e">
        <f t="shared" si="221"/>
        <v>#DIV/0!</v>
      </c>
      <c r="AM117" s="112">
        <f t="shared" si="221"/>
        <v>0.5703125</v>
      </c>
      <c r="AN117" s="112">
        <f t="shared" si="221"/>
        <v>0.40645161290322585</v>
      </c>
      <c r="AO117" s="112">
        <f t="shared" si="221"/>
        <v>0.42774566473988429</v>
      </c>
      <c r="AP117" s="112">
        <f t="shared" si="221"/>
        <v>0.42574257425742568</v>
      </c>
      <c r="AQ117" s="112">
        <f t="shared" si="221"/>
        <v>0.51741293532338317</v>
      </c>
      <c r="AR117" s="112">
        <f t="shared" si="221"/>
        <v>0.47247706422018343</v>
      </c>
      <c r="AS117" s="112">
        <f t="shared" si="221"/>
        <v>0.417004048582996</v>
      </c>
      <c r="AT117" s="112">
        <f t="shared" si="221"/>
        <v>0.34027777777777768</v>
      </c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>
        <f t="shared" si="220"/>
        <v>-5.0943396226415083E-2</v>
      </c>
      <c r="CB117" s="112">
        <f t="shared" si="220"/>
        <v>-8.0675422138836828E-2</v>
      </c>
      <c r="CC117" s="112">
        <f t="shared" si="220"/>
        <v>5.9642147117295874E-3</v>
      </c>
      <c r="CD117" s="112">
        <f t="shared" si="220"/>
        <v>-6.3157894736841635E-3</v>
      </c>
      <c r="CE117" s="112">
        <f t="shared" si="220"/>
        <v>-3.379721669980118E-2</v>
      </c>
      <c r="CF117" s="112">
        <f t="shared" si="220"/>
        <v>-2.6530612244897944E-2</v>
      </c>
      <c r="CG117" s="112">
        <f t="shared" si="220"/>
        <v>-3.7549407114624511E-2</v>
      </c>
      <c r="CH117" s="112">
        <f t="shared" si="220"/>
        <v>8.8983050847457612E-2</v>
      </c>
      <c r="CI117" s="112">
        <f t="shared" si="220"/>
        <v>-6.5843621399176988E-2</v>
      </c>
      <c r="CJ117" s="112">
        <f t="shared" si="220"/>
        <v>-2.0964360587002462E-3</v>
      </c>
      <c r="CK117" s="112">
        <f t="shared" si="220"/>
        <v>-0.14373716632443534</v>
      </c>
      <c r="CL117" s="112">
        <f t="shared" si="220"/>
        <v>-0.22928015564202342</v>
      </c>
      <c r="CM117" s="112">
        <f t="shared" si="220"/>
        <v>-0.17105176211453754</v>
      </c>
      <c r="CN117" s="112">
        <f t="shared" si="220"/>
        <v>-0.2488962710084035</v>
      </c>
      <c r="CO117" s="112">
        <f t="shared" si="220"/>
        <v>-0.18549375000000012</v>
      </c>
      <c r="CP117" s="112">
        <f t="shared" si="220"/>
        <v>-0.18549375000000012</v>
      </c>
      <c r="CQ117" s="112"/>
      <c r="CR117" s="112"/>
      <c r="CS117" s="75"/>
      <c r="CT117" s="101"/>
      <c r="CU117" s="111"/>
      <c r="CV117" s="111"/>
      <c r="CW117" s="111"/>
      <c r="CX117" s="111"/>
      <c r="CY117" s="111"/>
      <c r="CZ117" s="111"/>
      <c r="DA117" s="111"/>
      <c r="DB117" s="111"/>
      <c r="DC117" s="111"/>
      <c r="DD117" s="111"/>
      <c r="DE117" s="111"/>
      <c r="DF117" s="111"/>
      <c r="DG117" s="111"/>
      <c r="DH117" s="84"/>
      <c r="DI117" s="84"/>
      <c r="DJ117" s="84"/>
      <c r="DK117" s="84"/>
      <c r="DL117" s="84"/>
      <c r="DM117" s="84"/>
      <c r="DN117" s="84"/>
      <c r="DO117" s="84"/>
      <c r="DP117" s="84"/>
      <c r="DQ117" s="84"/>
      <c r="DR117" s="84"/>
      <c r="DS117" s="84"/>
      <c r="DU117" s="87"/>
    </row>
    <row r="118" spans="2:125" s="83" customFormat="1" ht="12.75" customHeight="1">
      <c r="B118" s="100" t="s">
        <v>664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112"/>
      <c r="AB118" s="112"/>
      <c r="AC118" s="112"/>
      <c r="AD118" s="112" t="s">
        <v>443</v>
      </c>
      <c r="AE118" s="112" t="s">
        <v>443</v>
      </c>
      <c r="AF118" s="112" t="s">
        <v>443</v>
      </c>
      <c r="AG118" s="112" t="s">
        <v>443</v>
      </c>
      <c r="AH118" s="112">
        <f t="shared" ref="AH118:AT118" si="222">+AH13/AD13-1</f>
        <v>7.9120879120879062E-2</v>
      </c>
      <c r="AI118" s="112">
        <f t="shared" si="222"/>
        <v>2.1696252465483346E-2</v>
      </c>
      <c r="AJ118" s="112">
        <f t="shared" si="222"/>
        <v>1.4362657091562037E-2</v>
      </c>
      <c r="AK118" s="112">
        <f t="shared" si="222"/>
        <v>7.8014184397163122E-2</v>
      </c>
      <c r="AL118" s="112">
        <f t="shared" si="222"/>
        <v>-0.12219959266802449</v>
      </c>
      <c r="AM118" s="112">
        <f t="shared" si="222"/>
        <v>0.30115830115830122</v>
      </c>
      <c r="AN118" s="112">
        <f t="shared" si="222"/>
        <v>0.1840707964601771</v>
      </c>
      <c r="AO118" s="112">
        <f t="shared" si="222"/>
        <v>8.7171052631578982E-2</v>
      </c>
      <c r="AP118" s="112">
        <f t="shared" si="222"/>
        <v>0.64733178654292334</v>
      </c>
      <c r="AQ118" s="112">
        <f t="shared" si="222"/>
        <v>0.1172106824925816</v>
      </c>
      <c r="AR118" s="112">
        <f t="shared" si="222"/>
        <v>0.25859491778774291</v>
      </c>
      <c r="AS118" s="112">
        <f t="shared" si="222"/>
        <v>-0.15128593040847205</v>
      </c>
      <c r="AT118" s="112">
        <f t="shared" si="222"/>
        <v>-0.28028169014084503</v>
      </c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  <c r="CS118" s="75"/>
      <c r="CT118" s="101"/>
      <c r="CU118" s="111"/>
      <c r="CV118" s="111"/>
      <c r="CW118" s="111"/>
      <c r="CX118" s="111"/>
      <c r="CY118" s="111"/>
      <c r="CZ118" s="111"/>
      <c r="DA118" s="111"/>
      <c r="DB118" s="111"/>
      <c r="DC118" s="111"/>
      <c r="DD118" s="111"/>
      <c r="DE118" s="111"/>
      <c r="DF118" s="111"/>
      <c r="DG118" s="111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U118" s="87"/>
    </row>
    <row r="119" spans="2:125" s="83" customFormat="1" ht="12.75" customHeight="1">
      <c r="B119" s="100" t="s">
        <v>665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>
        <f t="shared" ref="AD119:AT119" si="223">+AD15/Z15-1</f>
        <v>8.5187194791101595E-2</v>
      </c>
      <c r="AE119" s="112">
        <f t="shared" si="223"/>
        <v>4.3924334722667657E-2</v>
      </c>
      <c r="AF119" s="112">
        <f t="shared" si="223"/>
        <v>-0.13738344988344986</v>
      </c>
      <c r="AG119" s="112">
        <f t="shared" si="223"/>
        <v>-0.18152958152958143</v>
      </c>
      <c r="AH119" s="112">
        <f t="shared" si="223"/>
        <v>-3.7999999999999923E-2</v>
      </c>
      <c r="AI119" s="112">
        <f t="shared" si="223"/>
        <v>-0.28439803439803446</v>
      </c>
      <c r="AJ119" s="112">
        <f t="shared" si="223"/>
        <v>-0.12193886167877055</v>
      </c>
      <c r="AK119" s="112">
        <f t="shared" si="223"/>
        <v>-9.3617771509167835E-2</v>
      </c>
      <c r="AL119" s="112">
        <f t="shared" si="223"/>
        <v>-0.33471933471933479</v>
      </c>
      <c r="AM119" s="112">
        <f t="shared" si="223"/>
        <v>2.3605150214592197E-2</v>
      </c>
      <c r="AN119" s="112">
        <f t="shared" si="223"/>
        <v>-5.7511059819195909E-2</v>
      </c>
      <c r="AO119" s="112">
        <f t="shared" si="223"/>
        <v>-5.6603773584905648E-2</v>
      </c>
      <c r="AP119" s="112">
        <f t="shared" si="223"/>
        <v>0.46354166666666674</v>
      </c>
      <c r="AQ119" s="112">
        <f t="shared" si="223"/>
        <v>6.2893081761006275E-3</v>
      </c>
      <c r="AR119" s="112">
        <f t="shared" si="223"/>
        <v>-6.3265306122448961E-2</v>
      </c>
      <c r="AS119" s="112">
        <f t="shared" si="223"/>
        <v>-3.2989690721649478E-2</v>
      </c>
      <c r="AT119" s="112">
        <f t="shared" si="223"/>
        <v>-0.15480427046263345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  <c r="CS119" s="75"/>
      <c r="CT119" s="101"/>
      <c r="CU119" s="111"/>
      <c r="CV119" s="111"/>
      <c r="CW119" s="111"/>
      <c r="CX119" s="111"/>
      <c r="CY119" s="111"/>
      <c r="CZ119" s="111"/>
      <c r="DA119" s="111"/>
      <c r="DB119" s="111"/>
      <c r="DC119" s="111"/>
      <c r="DD119" s="111"/>
      <c r="DE119" s="111"/>
      <c r="DF119" s="111"/>
      <c r="DG119" s="111"/>
      <c r="DH119" s="84"/>
      <c r="DI119" s="84"/>
      <c r="DJ119" s="84"/>
      <c r="DK119" s="84"/>
      <c r="DL119" s="84"/>
      <c r="DM119" s="84"/>
      <c r="DN119" s="84"/>
      <c r="DO119" s="84"/>
      <c r="DP119" s="84"/>
      <c r="DQ119" s="84"/>
      <c r="DR119" s="84"/>
      <c r="DS119" s="84"/>
      <c r="DU119" s="87"/>
    </row>
    <row r="120" spans="2:125" s="83" customFormat="1" ht="12.75" customHeight="1">
      <c r="B120" s="100" t="s">
        <v>666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 t="shared" ref="AD120:AT120" si="224">+AD14/Z14-1</f>
        <v>0.13784741652676735</v>
      </c>
      <c r="AE120" s="112">
        <f t="shared" si="224"/>
        <v>6.9301470588235325E-2</v>
      </c>
      <c r="AF120" s="112">
        <f t="shared" si="224"/>
        <v>-2.9610389610389642E-2</v>
      </c>
      <c r="AG120" s="112">
        <f t="shared" si="224"/>
        <v>-0.11976935749588147</v>
      </c>
      <c r="AH120" s="112">
        <f t="shared" si="224"/>
        <v>-1</v>
      </c>
      <c r="AI120" s="112">
        <f t="shared" si="224"/>
        <v>-0.17655148702080115</v>
      </c>
      <c r="AJ120" s="112">
        <f t="shared" si="224"/>
        <v>-8.3690221270521059E-2</v>
      </c>
      <c r="AK120" s="112">
        <f t="shared" si="224"/>
        <v>-3.7057832678270564E-2</v>
      </c>
      <c r="AL120" s="112" t="e">
        <f t="shared" si="224"/>
        <v>#DIV/0!</v>
      </c>
      <c r="AM120" s="112">
        <f t="shared" si="224"/>
        <v>0.1148225469728601</v>
      </c>
      <c r="AN120" s="112">
        <f t="shared" si="224"/>
        <v>9.8344693281402051E-2</v>
      </c>
      <c r="AO120" s="112">
        <f t="shared" si="224"/>
        <v>0.10981535471331383</v>
      </c>
      <c r="AP120" s="112">
        <f t="shared" si="224"/>
        <v>0.57644110275689231</v>
      </c>
      <c r="AQ120" s="112">
        <f t="shared" si="224"/>
        <v>8.98876404494382E-2</v>
      </c>
      <c r="AR120" s="112">
        <f t="shared" si="224"/>
        <v>4.9645390070921946E-2</v>
      </c>
      <c r="AS120" s="112">
        <f t="shared" si="224"/>
        <v>7.5306479859895026E-2</v>
      </c>
      <c r="AT120" s="112">
        <f t="shared" si="224"/>
        <v>1.7488076311605649E-2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75"/>
      <c r="CT120" s="101"/>
      <c r="CU120" s="111"/>
      <c r="CV120" s="111"/>
      <c r="CW120" s="111"/>
      <c r="CX120" s="111"/>
      <c r="CY120" s="111"/>
      <c r="CZ120" s="111"/>
      <c r="DA120" s="111"/>
      <c r="DB120" s="111"/>
      <c r="DC120" s="111"/>
      <c r="DD120" s="111"/>
      <c r="DE120" s="111"/>
      <c r="DF120" s="111"/>
      <c r="DG120" s="111"/>
      <c r="DH120" s="84"/>
      <c r="DI120" s="84"/>
      <c r="DJ120" s="84"/>
      <c r="DK120" s="84"/>
      <c r="DL120" s="84"/>
      <c r="DM120" s="84"/>
      <c r="DN120" s="84"/>
      <c r="DO120" s="84"/>
      <c r="DP120" s="84"/>
      <c r="DQ120" s="84"/>
      <c r="DR120" s="84"/>
      <c r="DS120" s="84"/>
      <c r="DU120" s="87"/>
    </row>
    <row r="121" spans="2:125" s="83" customFormat="1" ht="12.75" customHeight="1">
      <c r="B121" s="100" t="s">
        <v>668</v>
      </c>
      <c r="C121" s="101"/>
      <c r="D121" s="101"/>
      <c r="E121" s="101"/>
      <c r="F121" s="101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94"/>
      <c r="Z121" s="84"/>
      <c r="AA121" s="112"/>
      <c r="AB121" s="112"/>
      <c r="AC121" s="112"/>
      <c r="AD121" s="112">
        <f t="shared" ref="AD121:AT121" si="225">+AD8/Z8-1</f>
        <v>1.903225806451613</v>
      </c>
      <c r="AE121" s="112">
        <f t="shared" si="225"/>
        <v>6.8493150684931559E-2</v>
      </c>
      <c r="AF121" s="112">
        <f t="shared" si="225"/>
        <v>-8.9385474860335212E-2</v>
      </c>
      <c r="AG121" s="112">
        <f t="shared" si="225"/>
        <v>-4.0669856459330189E-2</v>
      </c>
      <c r="AH121" s="112">
        <f t="shared" si="225"/>
        <v>-8.666666666666667E-2</v>
      </c>
      <c r="AI121" s="112">
        <f t="shared" si="225"/>
        <v>-0.32820512820512826</v>
      </c>
      <c r="AJ121" s="112">
        <f t="shared" si="225"/>
        <v>-0.17791411042944782</v>
      </c>
      <c r="AK121" s="112">
        <f t="shared" si="225"/>
        <v>-0.22443890274314215</v>
      </c>
      <c r="AL121" s="112">
        <f t="shared" si="225"/>
        <v>-0.32603406326034068</v>
      </c>
      <c r="AM121" s="112">
        <f t="shared" si="225"/>
        <v>-0.11068702290076338</v>
      </c>
      <c r="AN121" s="112">
        <f t="shared" si="225"/>
        <v>-0.18283582089552242</v>
      </c>
      <c r="AO121" s="112">
        <f t="shared" si="225"/>
        <v>1.6077170418006492E-2</v>
      </c>
      <c r="AP121" s="112">
        <f t="shared" si="225"/>
        <v>-0.20216606498194944</v>
      </c>
      <c r="AQ121" s="112">
        <f t="shared" si="225"/>
        <v>-8.1545064377682386E-2</v>
      </c>
      <c r="AR121" s="112">
        <f t="shared" si="225"/>
        <v>0.26484018264840192</v>
      </c>
      <c r="AS121" s="112">
        <f t="shared" si="225"/>
        <v>0.40822784810126578</v>
      </c>
      <c r="AT121" s="112">
        <f t="shared" si="225"/>
        <v>0.23981900452488691</v>
      </c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>
        <f t="shared" ref="CA121:CP121" si="226">+CA8/BW8-1</f>
        <v>0.30906921241050123</v>
      </c>
      <c r="CB121" s="112">
        <f t="shared" si="226"/>
        <v>-0.2595936794582393</v>
      </c>
      <c r="CC121" s="112">
        <f t="shared" si="226"/>
        <v>-0.10075757575757571</v>
      </c>
      <c r="CD121" s="112">
        <f t="shared" si="226"/>
        <v>0.44011544011544013</v>
      </c>
      <c r="CE121" s="112">
        <f t="shared" si="226"/>
        <v>-0.16408386508659978</v>
      </c>
      <c r="CF121" s="112">
        <f t="shared" si="226"/>
        <v>0.88109756097560976</v>
      </c>
      <c r="CG121" s="112">
        <f t="shared" si="226"/>
        <v>0.67902274641954508</v>
      </c>
      <c r="CH121" s="112">
        <f t="shared" si="226"/>
        <v>0.53106212424849697</v>
      </c>
      <c r="CI121" s="112">
        <f t="shared" si="226"/>
        <v>0.59214830970556154</v>
      </c>
      <c r="CJ121" s="112">
        <f t="shared" si="226"/>
        <v>0.35656401944894656</v>
      </c>
      <c r="CK121" s="112">
        <f t="shared" si="226"/>
        <v>0.15102860010035113</v>
      </c>
      <c r="CL121" s="112">
        <f t="shared" si="226"/>
        <v>0.10000000000000009</v>
      </c>
      <c r="CM121" s="112">
        <f t="shared" si="226"/>
        <v>0.10000000000000009</v>
      </c>
      <c r="CN121" s="112">
        <f t="shared" si="226"/>
        <v>0.10000000000000009</v>
      </c>
      <c r="CO121" s="112">
        <f t="shared" si="226"/>
        <v>0.10000000000000009</v>
      </c>
      <c r="CP121" s="112">
        <f t="shared" si="226"/>
        <v>0.10000000000000009</v>
      </c>
      <c r="CQ121" s="112"/>
      <c r="CR121" s="112"/>
      <c r="CS121" s="75"/>
      <c r="CT121" s="101"/>
      <c r="CU121" s="111"/>
      <c r="CV121" s="111"/>
      <c r="CW121" s="111"/>
      <c r="CX121" s="111"/>
      <c r="CY121" s="111"/>
      <c r="CZ121" s="111"/>
      <c r="DA121" s="111"/>
      <c r="DB121" s="111"/>
      <c r="DC121" s="111"/>
      <c r="DD121" s="111"/>
      <c r="DE121" s="111"/>
      <c r="DF121" s="111"/>
      <c r="DG121" s="111"/>
      <c r="DH121" s="84"/>
      <c r="DI121" s="84"/>
      <c r="DJ121" s="84"/>
      <c r="DK121" s="84"/>
      <c r="DL121" s="84"/>
      <c r="DM121" s="84"/>
      <c r="DN121" s="84"/>
      <c r="DO121" s="84"/>
      <c r="DP121" s="84"/>
      <c r="DQ121" s="84"/>
      <c r="DR121" s="84"/>
      <c r="DS121" s="84"/>
      <c r="DU121" s="87"/>
    </row>
    <row r="122" spans="2:125" s="83" customFormat="1" ht="12.75" customHeight="1">
      <c r="B122" s="100" t="s">
        <v>669</v>
      </c>
      <c r="C122" s="101"/>
      <c r="D122" s="101"/>
      <c r="E122" s="101"/>
      <c r="F122" s="101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94"/>
      <c r="Z122" s="84"/>
      <c r="AA122" s="112"/>
      <c r="AB122" s="112"/>
      <c r="AC122" s="112"/>
      <c r="AD122" s="112">
        <f t="shared" ref="AD122:AT122" si="227">+AD11/Z11-1</f>
        <v>0.85281385281385291</v>
      </c>
      <c r="AE122" s="112">
        <f t="shared" si="227"/>
        <v>-8.1300813008130079E-2</v>
      </c>
      <c r="AF122" s="112">
        <f t="shared" si="227"/>
        <v>-7.5581395348837233E-2</v>
      </c>
      <c r="AG122" s="112">
        <f t="shared" si="227"/>
        <v>4.6728971962617383E-3</v>
      </c>
      <c r="AH122" s="112">
        <f t="shared" si="227"/>
        <v>4.6728971962617383E-3</v>
      </c>
      <c r="AI122" s="112">
        <f t="shared" si="227"/>
        <v>0.11504424778761058</v>
      </c>
      <c r="AJ122" s="112">
        <f t="shared" si="227"/>
        <v>1.2578616352201255E-2</v>
      </c>
      <c r="AK122" s="112">
        <f t="shared" si="227"/>
        <v>7.441860465116279E-2</v>
      </c>
      <c r="AL122" s="112">
        <f t="shared" si="227"/>
        <v>-0.22558139534883725</v>
      </c>
      <c r="AM122" s="112">
        <f t="shared" si="227"/>
        <v>0.26587301587301582</v>
      </c>
      <c r="AN122" s="112">
        <f t="shared" si="227"/>
        <v>5.5900621118012417E-2</v>
      </c>
      <c r="AO122" s="112">
        <f t="shared" si="227"/>
        <v>-6.0606060606060552E-2</v>
      </c>
      <c r="AP122" s="112">
        <f t="shared" si="227"/>
        <v>-0.14414414414414412</v>
      </c>
      <c r="AQ122" s="112">
        <f t="shared" si="227"/>
        <v>-0.23510971786833856</v>
      </c>
      <c r="AR122" s="112">
        <f t="shared" si="227"/>
        <v>-0.14411764705882357</v>
      </c>
      <c r="AS122" s="112">
        <f t="shared" si="227"/>
        <v>-9.9078341013824844E-2</v>
      </c>
      <c r="AT122" s="112">
        <f t="shared" si="227"/>
        <v>-3.157894736842104E-2</v>
      </c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  <c r="CE122" s="112"/>
      <c r="CF122" s="112"/>
      <c r="CG122" s="112"/>
      <c r="CH122" s="112"/>
      <c r="CI122" s="112"/>
      <c r="CJ122" s="112"/>
      <c r="CK122" s="112"/>
      <c r="CL122" s="112"/>
      <c r="CM122" s="112"/>
      <c r="CN122" s="112"/>
      <c r="CO122" s="112"/>
      <c r="CP122" s="112"/>
      <c r="CQ122" s="112"/>
      <c r="CR122" s="112"/>
      <c r="CS122" s="75"/>
      <c r="CT122" s="10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84"/>
      <c r="DI122" s="84"/>
      <c r="DJ122" s="84"/>
      <c r="DK122" s="84"/>
      <c r="DL122" s="84"/>
      <c r="DM122" s="84"/>
      <c r="DN122" s="84"/>
      <c r="DO122" s="84"/>
      <c r="DP122" s="84"/>
      <c r="DQ122" s="84"/>
      <c r="DR122" s="84"/>
      <c r="DS122" s="84"/>
      <c r="DU122" s="87"/>
    </row>
    <row r="123" spans="2:125" s="83" customFormat="1" ht="12.75" customHeight="1">
      <c r="B123" s="110"/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75"/>
      <c r="CT123" s="101"/>
      <c r="CU123" s="84"/>
      <c r="CV123" s="84"/>
      <c r="CW123" s="84"/>
      <c r="CX123" s="84"/>
      <c r="CY123" s="84"/>
      <c r="CZ123" s="84"/>
      <c r="DA123" s="84"/>
      <c r="DB123" s="84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U123" s="87"/>
    </row>
    <row r="124" spans="2:125" s="92" customFormat="1" ht="12.75" customHeight="1">
      <c r="B124" s="113" t="s">
        <v>69</v>
      </c>
      <c r="C124" s="93"/>
      <c r="D124" s="93"/>
      <c r="E124" s="93"/>
      <c r="F124" s="93"/>
      <c r="G124" s="87"/>
      <c r="H124" s="87"/>
      <c r="I124" s="93"/>
      <c r="J124" s="93"/>
      <c r="K124" s="93"/>
      <c r="L124" s="93"/>
      <c r="M124" s="93"/>
      <c r="N124" s="93"/>
      <c r="O124" s="93">
        <v>65.5</v>
      </c>
      <c r="P124" s="93">
        <v>64.5</v>
      </c>
      <c r="Q124" s="93">
        <v>82.5</v>
      </c>
      <c r="R124" s="93">
        <v>85.5</v>
      </c>
      <c r="S124" s="93">
        <v>116</v>
      </c>
      <c r="T124" s="93">
        <v>135.1</v>
      </c>
      <c r="U124" s="93">
        <v>180.22499999999999</v>
      </c>
      <c r="V124" s="93">
        <v>211.60499999999999</v>
      </c>
      <c r="W124" s="93"/>
      <c r="X124" s="93"/>
      <c r="Y124" s="94"/>
      <c r="Z124" s="93"/>
      <c r="AA124" s="94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5"/>
      <c r="CT124" s="93"/>
      <c r="CU124" s="87"/>
      <c r="CV124" s="87"/>
      <c r="CW124" s="93">
        <f>SUM(O124:R124)</f>
        <v>298</v>
      </c>
      <c r="CX124" s="93">
        <f>SUM(S124:V124)</f>
        <v>642.92999999999995</v>
      </c>
      <c r="CY124" s="93"/>
      <c r="CZ124" s="93"/>
      <c r="DA124" s="93"/>
      <c r="DB124" s="93"/>
      <c r="DC124" s="93"/>
      <c r="DD124" s="93"/>
      <c r="DE124" s="93"/>
      <c r="DF124" s="93"/>
      <c r="DG124" s="93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U124" s="87"/>
    </row>
    <row r="125" spans="2:125" s="92" customFormat="1" ht="12.75" customHeight="1">
      <c r="B125" s="113" t="s">
        <v>81</v>
      </c>
      <c r="C125" s="93"/>
      <c r="D125" s="93"/>
      <c r="E125" s="93"/>
      <c r="F125" s="93"/>
      <c r="G125" s="87"/>
      <c r="H125" s="87"/>
      <c r="I125" s="93"/>
      <c r="J125" s="93"/>
      <c r="K125" s="93"/>
      <c r="L125" s="93"/>
      <c r="M125" s="93"/>
      <c r="N125" s="93"/>
      <c r="O125" s="93">
        <f>O126-O124</f>
        <v>-260.2</v>
      </c>
      <c r="P125" s="93">
        <f>P126-P124</f>
        <v>-285</v>
      </c>
      <c r="Q125" s="93">
        <f>Q126-Q124</f>
        <v>-389.6</v>
      </c>
      <c r="R125" s="93">
        <f>R126-R124</f>
        <v>-371.4</v>
      </c>
      <c r="S125" s="93">
        <v>200</v>
      </c>
      <c r="T125" s="93">
        <v>195</v>
      </c>
      <c r="U125" s="93">
        <v>195</v>
      </c>
      <c r="V125" s="93">
        <v>195</v>
      </c>
      <c r="W125" s="93"/>
      <c r="X125" s="93"/>
      <c r="Y125" s="94"/>
      <c r="Z125" s="93"/>
      <c r="AA125" s="94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5"/>
      <c r="CT125" s="93"/>
      <c r="CU125" s="87"/>
      <c r="CV125" s="87"/>
      <c r="CW125" s="93">
        <f>SUM(O125:R125)</f>
        <v>-1306.2</v>
      </c>
      <c r="CX125" s="93">
        <f>SUM(S125:V125)</f>
        <v>785</v>
      </c>
      <c r="CY125" s="93"/>
      <c r="CZ125" s="93"/>
      <c r="DA125" s="93"/>
      <c r="DB125" s="93"/>
      <c r="DC125" s="93"/>
      <c r="DD125" s="93"/>
      <c r="DE125" s="93"/>
      <c r="DF125" s="93"/>
      <c r="DG125" s="93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U125" s="87"/>
    </row>
    <row r="126" spans="2:125" s="92" customFormat="1" ht="12.75" customHeight="1">
      <c r="B126" s="113" t="s">
        <v>68</v>
      </c>
      <c r="C126" s="93"/>
      <c r="D126" s="93"/>
      <c r="E126" s="93"/>
      <c r="F126" s="93"/>
      <c r="G126" s="87"/>
      <c r="H126" s="87"/>
      <c r="I126" s="93"/>
      <c r="J126" s="93"/>
      <c r="K126" s="93"/>
      <c r="L126" s="93"/>
      <c r="M126" s="93"/>
      <c r="N126" s="93"/>
      <c r="O126" s="93">
        <f>-O93</f>
        <v>-194.7</v>
      </c>
      <c r="P126" s="93">
        <f>-P93</f>
        <v>-220.5</v>
      </c>
      <c r="Q126" s="93">
        <f>-Q93</f>
        <v>-307.10000000000002</v>
      </c>
      <c r="R126" s="93">
        <f>-R93</f>
        <v>-285.89999999999998</v>
      </c>
      <c r="S126" s="93">
        <f>-S93</f>
        <v>-316.3</v>
      </c>
      <c r="T126" s="93">
        <f>SUM(T124:T125)</f>
        <v>330.1</v>
      </c>
      <c r="U126" s="93">
        <f>SUM(U124:U125)</f>
        <v>375.22500000000002</v>
      </c>
      <c r="V126" s="93">
        <f>SUM(V124:V125)</f>
        <v>406.60500000000002</v>
      </c>
      <c r="W126" s="93"/>
      <c r="X126" s="93"/>
      <c r="Y126" s="94"/>
      <c r="Z126" s="93"/>
      <c r="AA126" s="94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5"/>
      <c r="CT126" s="93"/>
      <c r="CU126" s="87"/>
      <c r="CV126" s="87"/>
      <c r="CW126" s="93">
        <f>CW124+CW125</f>
        <v>-1008.2</v>
      </c>
      <c r="CX126" s="93">
        <f>SUM(S126:V126)</f>
        <v>795.63000000000011</v>
      </c>
      <c r="CY126" s="93"/>
      <c r="CZ126" s="93"/>
      <c r="DA126" s="93"/>
      <c r="DB126" s="93"/>
      <c r="DC126" s="93"/>
      <c r="DD126" s="93"/>
      <c r="DE126" s="93"/>
      <c r="DF126" s="93"/>
      <c r="DG126" s="93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U126" s="87"/>
    </row>
    <row r="127" spans="2:125" s="92" customFormat="1" ht="12.75" customHeight="1">
      <c r="B127" s="113"/>
      <c r="C127" s="93"/>
      <c r="D127" s="93"/>
      <c r="E127" s="93"/>
      <c r="F127" s="93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94"/>
      <c r="Z127" s="87"/>
      <c r="AA127" s="94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95"/>
      <c r="CT127" s="93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U127" s="87"/>
    </row>
    <row r="128" spans="2:125" s="92" customFormat="1" ht="12.75" customHeight="1">
      <c r="B128" s="113" t="s">
        <v>82</v>
      </c>
      <c r="C128" s="93"/>
      <c r="D128" s="93"/>
      <c r="E128" s="93"/>
      <c r="F128" s="93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94"/>
      <c r="Z128" s="87"/>
      <c r="AA128" s="94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95"/>
      <c r="CT128" s="93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U128" s="87"/>
    </row>
    <row r="129" spans="2:125" s="92" customFormat="1" ht="12.75" customHeight="1">
      <c r="B129" s="95" t="s">
        <v>83</v>
      </c>
      <c r="C129" s="114"/>
      <c r="D129" s="114"/>
      <c r="E129" s="114"/>
      <c r="F129" s="114"/>
      <c r="G129" s="114"/>
      <c r="H129" s="114"/>
      <c r="I129" s="87"/>
      <c r="J129" s="87"/>
      <c r="K129" s="87">
        <v>326.10000000000002</v>
      </c>
      <c r="L129" s="87">
        <v>479.8</v>
      </c>
      <c r="M129" s="87">
        <v>187.7</v>
      </c>
      <c r="N129" s="87">
        <v>320.60000000000002</v>
      </c>
      <c r="O129" s="87" t="e">
        <f>#REF!</f>
        <v>#REF!</v>
      </c>
      <c r="P129" s="87" t="e">
        <f>#REF!</f>
        <v>#REF!</v>
      </c>
      <c r="Q129" s="87" t="e">
        <f>#REF!</f>
        <v>#REF!</v>
      </c>
      <c r="R129" s="87" t="e">
        <f>#REF!</f>
        <v>#REF!</v>
      </c>
      <c r="S129" s="87" t="e">
        <f>#REF!</f>
        <v>#REF!</v>
      </c>
      <c r="T129" s="87">
        <f>$CX$129/4</f>
        <v>0</v>
      </c>
      <c r="U129" s="87">
        <f>$CX$129/4</f>
        <v>0</v>
      </c>
      <c r="V129" s="87" t="e">
        <f>CX129-SUM(S129:U129)</f>
        <v>#REF!</v>
      </c>
      <c r="W129" s="87"/>
      <c r="X129" s="87"/>
      <c r="Y129" s="94"/>
      <c r="Z129" s="87"/>
      <c r="AA129" s="94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95"/>
      <c r="CT129" s="114"/>
      <c r="CU129" s="114"/>
      <c r="CV129" s="93">
        <v>1314.2</v>
      </c>
      <c r="CW129" s="93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U129" s="87"/>
    </row>
    <row r="130" spans="2:125" s="92" customFormat="1" ht="12.75" customHeight="1">
      <c r="B130" s="95" t="s">
        <v>84</v>
      </c>
      <c r="C130" s="114"/>
      <c r="D130" s="114"/>
      <c r="E130" s="114"/>
      <c r="F130" s="114"/>
      <c r="G130" s="114"/>
      <c r="H130" s="114"/>
      <c r="I130" s="87"/>
      <c r="J130" s="87"/>
      <c r="K130" s="87"/>
      <c r="L130" s="87"/>
      <c r="M130" s="87"/>
      <c r="N130" s="87"/>
      <c r="O130" s="87" t="e">
        <f t="shared" ref="O130:V130" si="228">O129-O131</f>
        <v>#REF!</v>
      </c>
      <c r="P130" s="87" t="e">
        <f t="shared" si="228"/>
        <v>#REF!</v>
      </c>
      <c r="Q130" s="87" t="e">
        <f t="shared" si="228"/>
        <v>#REF!</v>
      </c>
      <c r="R130" s="87" t="e">
        <f t="shared" si="228"/>
        <v>#REF!</v>
      </c>
      <c r="S130" s="87" t="e">
        <f t="shared" si="228"/>
        <v>#REF!</v>
      </c>
      <c r="T130" s="87">
        <f t="shared" si="228"/>
        <v>0</v>
      </c>
      <c r="U130" s="87">
        <f t="shared" si="228"/>
        <v>0</v>
      </c>
      <c r="V130" s="87" t="e">
        <f t="shared" si="228"/>
        <v>#REF!</v>
      </c>
      <c r="W130" s="87"/>
      <c r="X130" s="87"/>
      <c r="Y130" s="94"/>
      <c r="Z130" s="87"/>
      <c r="AA130" s="94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95"/>
      <c r="CT130" s="114"/>
      <c r="CU130" s="114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U130" s="87"/>
    </row>
    <row r="131" spans="2:125" s="92" customFormat="1" ht="12.75" customHeight="1">
      <c r="B131" s="95" t="s">
        <v>85</v>
      </c>
      <c r="C131" s="114"/>
      <c r="D131" s="114"/>
      <c r="E131" s="114"/>
      <c r="F131" s="114"/>
      <c r="G131" s="114"/>
      <c r="H131" s="114"/>
      <c r="I131" s="87"/>
      <c r="J131" s="87"/>
      <c r="K131" s="87">
        <v>31.3</v>
      </c>
      <c r="L131" s="87">
        <v>36.9</v>
      </c>
      <c r="M131" s="87">
        <v>36.1</v>
      </c>
      <c r="N131" s="87">
        <v>36.5</v>
      </c>
      <c r="O131" s="87">
        <v>37.299999999999997</v>
      </c>
      <c r="P131" s="87">
        <v>37.200000000000003</v>
      </c>
      <c r="Q131" s="87">
        <v>37.200000000000003</v>
      </c>
      <c r="R131" s="87">
        <v>37.200000000000003</v>
      </c>
      <c r="S131" s="87">
        <f>$CX131/4</f>
        <v>0</v>
      </c>
      <c r="T131" s="87">
        <f>$CX131/4</f>
        <v>0</v>
      </c>
      <c r="U131" s="87">
        <f>$CX131/4</f>
        <v>0</v>
      </c>
      <c r="V131" s="87">
        <f>$CX131/4</f>
        <v>0</v>
      </c>
      <c r="W131" s="87"/>
      <c r="X131" s="87"/>
      <c r="Y131" s="94"/>
      <c r="Z131" s="87"/>
      <c r="AA131" s="94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95"/>
      <c r="CT131" s="114"/>
      <c r="CU131" s="114"/>
      <c r="CV131" s="93">
        <f>SUM(K131:N131)</f>
        <v>140.80000000000001</v>
      </c>
      <c r="CW131" s="93">
        <f>SUM(O131:R131)</f>
        <v>148.9</v>
      </c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U131" s="87"/>
    </row>
    <row r="132" spans="2:125" s="92" customFormat="1" ht="12.75" customHeight="1">
      <c r="B132" s="95" t="s">
        <v>80</v>
      </c>
      <c r="C132" s="114"/>
      <c r="D132" s="114"/>
      <c r="E132" s="114"/>
      <c r="F132" s="114"/>
      <c r="G132" s="114"/>
      <c r="H132" s="114"/>
      <c r="I132" s="93"/>
      <c r="J132" s="93"/>
      <c r="K132" s="93">
        <v>2243.1190000000001</v>
      </c>
      <c r="L132" s="93">
        <f>2976.230393-735.820341</f>
        <v>2240.4100519999997</v>
      </c>
      <c r="M132" s="93">
        <v>2231.8939999999998</v>
      </c>
      <c r="N132" s="93">
        <v>2221.7640000000001</v>
      </c>
      <c r="O132" s="93">
        <v>2222.567</v>
      </c>
      <c r="P132" s="93">
        <v>2220.096</v>
      </c>
      <c r="Q132" s="93">
        <f>Q133*2-P132</f>
        <v>2214.904</v>
      </c>
      <c r="R132" s="93">
        <f>CW132</f>
        <v>0</v>
      </c>
      <c r="S132" s="93">
        <f>2976.230393-770.826493</f>
        <v>2205.4038999999998</v>
      </c>
      <c r="T132" s="93">
        <f>T133*2-S132</f>
        <v>2202.5960999999993</v>
      </c>
      <c r="U132" s="93">
        <f>U133*2-T132</f>
        <v>2201.2038999999991</v>
      </c>
      <c r="V132" s="93">
        <f>CX132</f>
        <v>0</v>
      </c>
      <c r="W132" s="93"/>
      <c r="X132" s="93"/>
      <c r="Y132" s="94"/>
      <c r="Z132" s="93"/>
      <c r="AA132" s="94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5"/>
      <c r="CT132" s="114"/>
      <c r="CU132" s="114"/>
      <c r="CV132" s="114">
        <f>N132</f>
        <v>2221.7640000000001</v>
      </c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U132" s="87"/>
    </row>
    <row r="133" spans="2:125" s="92" customFormat="1" ht="12.75" customHeight="1">
      <c r="B133" s="95" t="s">
        <v>86</v>
      </c>
      <c r="C133" s="114"/>
      <c r="D133" s="114"/>
      <c r="E133" s="114"/>
      <c r="F133" s="114"/>
      <c r="G133" s="114"/>
      <c r="H133" s="114"/>
      <c r="I133" s="114"/>
      <c r="J133" s="114"/>
      <c r="K133" s="114">
        <v>2244.3000000000002</v>
      </c>
      <c r="L133" s="114">
        <v>2241.4</v>
      </c>
      <c r="M133" s="114">
        <v>2237</v>
      </c>
      <c r="N133" s="114">
        <f>AVERAGE(M132:N132)</f>
        <v>2226.8289999999997</v>
      </c>
      <c r="O133" s="114">
        <v>2222.6</v>
      </c>
      <c r="P133" s="114">
        <v>2221.4</v>
      </c>
      <c r="Q133" s="114">
        <f>Q100-(P100-P133)</f>
        <v>2217.5</v>
      </c>
      <c r="R133" s="114">
        <f>R100-(Q100-Q133)</f>
        <v>2208.8000000000002</v>
      </c>
      <c r="S133" s="114">
        <v>2207.1999999999998</v>
      </c>
      <c r="T133" s="114">
        <f>S133-(S100-S133)</f>
        <v>2203.9999999999995</v>
      </c>
      <c r="U133" s="114">
        <f>T133-(T100-T133)</f>
        <v>2201.8999999999992</v>
      </c>
      <c r="V133" s="114">
        <f>U133-(U100-U133)</f>
        <v>2206.7999999999984</v>
      </c>
      <c r="W133" s="114"/>
      <c r="X133" s="114"/>
      <c r="Y133" s="94"/>
      <c r="Z133" s="114"/>
      <c r="AA133" s="9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114"/>
      <c r="BK133" s="114"/>
      <c r="BL133" s="114"/>
      <c r="BM133" s="114"/>
      <c r="BN133" s="114"/>
      <c r="BO133" s="114"/>
      <c r="BP133" s="114"/>
      <c r="BQ133" s="114"/>
      <c r="BR133" s="114"/>
      <c r="BS133" s="114"/>
      <c r="BT133" s="114"/>
      <c r="BU133" s="114"/>
      <c r="BV133" s="114"/>
      <c r="BW133" s="114"/>
      <c r="BX133" s="114"/>
      <c r="BY133" s="114"/>
      <c r="BZ133" s="114"/>
      <c r="CA133" s="114"/>
      <c r="CB133" s="114"/>
      <c r="CC133" s="114"/>
      <c r="CD133" s="114"/>
      <c r="CE133" s="114"/>
      <c r="CF133" s="114"/>
      <c r="CG133" s="114"/>
      <c r="CH133" s="114"/>
      <c r="CI133" s="114"/>
      <c r="CJ133" s="114"/>
      <c r="CK133" s="114"/>
      <c r="CL133" s="114"/>
      <c r="CM133" s="114"/>
      <c r="CN133" s="114"/>
      <c r="CO133" s="114"/>
      <c r="CP133" s="114"/>
      <c r="CQ133" s="114"/>
      <c r="CR133" s="114"/>
      <c r="CS133" s="95"/>
      <c r="CT133" s="114"/>
      <c r="CU133" s="114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U133" s="87"/>
    </row>
    <row r="134" spans="2:125" s="115" customFormat="1" ht="12.75" customHeight="1">
      <c r="B134" s="95" t="s">
        <v>87</v>
      </c>
      <c r="C134" s="94"/>
      <c r="D134" s="94"/>
      <c r="E134" s="94"/>
      <c r="F134" s="94"/>
      <c r="G134" s="94"/>
      <c r="H134" s="94"/>
      <c r="I134" s="94"/>
      <c r="J134" s="94"/>
      <c r="K134" s="94">
        <f t="shared" ref="K134:V134" si="229">ROUND(K98/K133,2)</f>
        <v>-1.79</v>
      </c>
      <c r="L134" s="94">
        <f t="shared" si="229"/>
        <v>-1.67</v>
      </c>
      <c r="M134" s="94">
        <f t="shared" si="229"/>
        <v>-1.74</v>
      </c>
      <c r="N134" s="94">
        <f t="shared" si="229"/>
        <v>-1.9</v>
      </c>
      <c r="O134" s="94" t="e">
        <f t="shared" si="229"/>
        <v>#REF!</v>
      </c>
      <c r="P134" s="94" t="e">
        <f t="shared" si="229"/>
        <v>#REF!</v>
      </c>
      <c r="Q134" s="94" t="e">
        <f t="shared" si="229"/>
        <v>#REF!</v>
      </c>
      <c r="R134" s="94" t="e">
        <f t="shared" si="229"/>
        <v>#REF!</v>
      </c>
      <c r="S134" s="94" t="e">
        <f t="shared" si="229"/>
        <v>#REF!</v>
      </c>
      <c r="T134" s="94" t="e">
        <f t="shared" si="229"/>
        <v>#REF!</v>
      </c>
      <c r="U134" s="94" t="e">
        <f t="shared" si="229"/>
        <v>#REF!</v>
      </c>
      <c r="V134" s="94" t="e">
        <f t="shared" si="229"/>
        <v>#REF!</v>
      </c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5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U134" s="94"/>
    </row>
    <row r="135" spans="2:125" s="92" customFormat="1" ht="12.75" customHeight="1">
      <c r="B135" s="95" t="s">
        <v>88</v>
      </c>
      <c r="C135" s="114"/>
      <c r="D135" s="114"/>
      <c r="E135" s="114"/>
      <c r="F135" s="114"/>
      <c r="G135" s="114"/>
      <c r="H135" s="114"/>
      <c r="I135" s="94"/>
      <c r="J135" s="94"/>
      <c r="K135" s="94"/>
      <c r="L135" s="94"/>
      <c r="M135" s="94"/>
      <c r="N135" s="94"/>
      <c r="O135" s="94" t="e">
        <f>-#REF!</f>
        <v>#REF!</v>
      </c>
      <c r="P135" s="94" t="e">
        <f>-#REF!</f>
        <v>#REF!</v>
      </c>
      <c r="Q135" s="94" t="e">
        <f>-#REF!</f>
        <v>#REF!</v>
      </c>
      <c r="R135" s="94" t="e">
        <f>-#REF!</f>
        <v>#REF!</v>
      </c>
      <c r="S135" s="94" t="e">
        <f>-#REF!</f>
        <v>#REF!</v>
      </c>
      <c r="T135" s="94">
        <f>$CX$135/4</f>
        <v>0</v>
      </c>
      <c r="U135" s="94">
        <f>$CX$135/4</f>
        <v>0</v>
      </c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5"/>
      <c r="CT135" s="114"/>
      <c r="CU135" s="114"/>
      <c r="CV135" s="11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U135" s="87"/>
    </row>
    <row r="136" spans="2:125" s="92" customFormat="1" ht="12.75" customHeight="1">
      <c r="B136" s="95" t="s">
        <v>78</v>
      </c>
      <c r="C136" s="114"/>
      <c r="D136" s="114"/>
      <c r="E136" s="114"/>
      <c r="F136" s="114"/>
      <c r="G136" s="114"/>
      <c r="H136" s="114"/>
      <c r="I136" s="93"/>
      <c r="J136" s="93"/>
      <c r="K136" s="93">
        <f t="shared" ref="K136:U136" si="230">K96+K90+K89+K129</f>
        <v>-3021.7999999999997</v>
      </c>
      <c r="L136" s="93">
        <f t="shared" si="230"/>
        <v>-2563</v>
      </c>
      <c r="M136" s="93">
        <f t="shared" si="230"/>
        <v>-2950.9000000000005</v>
      </c>
      <c r="N136" s="93">
        <f t="shared" si="230"/>
        <v>-3537.7999999999997</v>
      </c>
      <c r="O136" s="93" t="e">
        <f t="shared" si="230"/>
        <v>#REF!</v>
      </c>
      <c r="P136" s="93" t="e">
        <f t="shared" si="230"/>
        <v>#REF!</v>
      </c>
      <c r="Q136" s="93" t="e">
        <f t="shared" si="230"/>
        <v>#REF!</v>
      </c>
      <c r="R136" s="93" t="e">
        <f t="shared" si="230"/>
        <v>#REF!</v>
      </c>
      <c r="S136" s="93" t="e">
        <f t="shared" si="230"/>
        <v>#REF!</v>
      </c>
      <c r="T136" s="93" t="e">
        <f t="shared" si="230"/>
        <v>#REF!</v>
      </c>
      <c r="U136" s="93" t="e">
        <f t="shared" si="230"/>
        <v>#REF!</v>
      </c>
      <c r="V136" s="93"/>
      <c r="W136" s="93"/>
      <c r="X136" s="93"/>
      <c r="Y136" s="94"/>
      <c r="Z136" s="93"/>
      <c r="AA136" s="94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5"/>
      <c r="CT136" s="114"/>
      <c r="CU136" s="114"/>
      <c r="CV136" s="93" t="e">
        <f>CV96+CV90+CV89+CV129</f>
        <v>#REF!</v>
      </c>
      <c r="CW136" s="93" t="e">
        <f>CW96+CW90+CW89+CW129</f>
        <v>#REF!</v>
      </c>
      <c r="CX136" s="93" t="e">
        <f>CX96+CX90+CX89+CX129</f>
        <v>#REF!</v>
      </c>
      <c r="CY136" s="93"/>
      <c r="CZ136" s="93"/>
      <c r="DA136" s="93"/>
      <c r="DB136" s="93"/>
      <c r="DC136" s="93"/>
      <c r="DD136" s="93"/>
      <c r="DE136" s="93"/>
      <c r="DF136" s="93"/>
      <c r="DG136" s="93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U136" s="87"/>
    </row>
    <row r="137" spans="2:125" s="92" customFormat="1" ht="12.75" customHeight="1">
      <c r="B137" s="95"/>
      <c r="C137" s="114"/>
      <c r="D137" s="114"/>
      <c r="E137" s="114"/>
      <c r="F137" s="114"/>
      <c r="G137" s="114"/>
      <c r="H137" s="11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5"/>
      <c r="CT137" s="114"/>
      <c r="CU137" s="114"/>
      <c r="CV137" s="11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U137" s="87"/>
    </row>
    <row r="138" spans="2:125" s="92" customFormat="1" ht="12.75" customHeight="1">
      <c r="B138" s="95" t="s">
        <v>89</v>
      </c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94"/>
      <c r="Z138" s="114"/>
      <c r="AA138" s="9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  <c r="BS138" s="114"/>
      <c r="BT138" s="114"/>
      <c r="BU138" s="114"/>
      <c r="BV138" s="114"/>
      <c r="BW138" s="114"/>
      <c r="BX138" s="114"/>
      <c r="BY138" s="114"/>
      <c r="BZ138" s="114"/>
      <c r="CA138" s="114"/>
      <c r="CB138" s="114"/>
      <c r="CC138" s="114"/>
      <c r="CD138" s="114"/>
      <c r="CE138" s="114"/>
      <c r="CF138" s="114"/>
      <c r="CG138" s="114"/>
      <c r="CH138" s="114"/>
      <c r="CI138" s="114"/>
      <c r="CJ138" s="114"/>
      <c r="CK138" s="114"/>
      <c r="CL138" s="114"/>
      <c r="CM138" s="114"/>
      <c r="CN138" s="114"/>
      <c r="CO138" s="114"/>
      <c r="CP138" s="114"/>
      <c r="CQ138" s="114"/>
      <c r="CR138" s="114"/>
      <c r="CS138" s="95"/>
      <c r="CT138" s="114"/>
      <c r="CU138" s="114"/>
      <c r="CV138" s="114"/>
      <c r="CW138" s="114"/>
      <c r="CX138" s="114"/>
      <c r="CY138" s="114"/>
      <c r="CZ138" s="114"/>
      <c r="DA138" s="114"/>
      <c r="DB138" s="114"/>
      <c r="DC138" s="114"/>
      <c r="DD138" s="114"/>
      <c r="DE138" s="114"/>
      <c r="DF138" s="114"/>
      <c r="DG138" s="114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U138" s="87"/>
    </row>
    <row r="139" spans="2:125" s="92" customFormat="1" ht="12.75" customHeight="1">
      <c r="B139" s="95" t="s">
        <v>90</v>
      </c>
      <c r="C139" s="114"/>
      <c r="D139" s="114"/>
      <c r="E139" s="114"/>
      <c r="F139" s="114"/>
      <c r="G139" s="114"/>
      <c r="H139" s="114"/>
      <c r="I139" s="114"/>
      <c r="J139" s="114"/>
      <c r="K139" s="114">
        <v>0</v>
      </c>
      <c r="L139" s="114">
        <v>0</v>
      </c>
      <c r="M139" s="114">
        <v>0</v>
      </c>
      <c r="N139" s="114">
        <v>195</v>
      </c>
      <c r="O139" s="114">
        <f>90-P139-Q139</f>
        <v>35</v>
      </c>
      <c r="P139" s="114">
        <v>21</v>
      </c>
      <c r="Q139" s="114">
        <v>34</v>
      </c>
      <c r="R139" s="114">
        <v>16</v>
      </c>
      <c r="S139" s="114"/>
      <c r="T139" s="114"/>
      <c r="U139" s="114"/>
      <c r="V139" s="114"/>
      <c r="W139" s="114"/>
      <c r="X139" s="114"/>
      <c r="Y139" s="94"/>
      <c r="Z139" s="114"/>
      <c r="AA139" s="9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  <c r="BX139" s="114"/>
      <c r="BY139" s="114"/>
      <c r="BZ139" s="114"/>
      <c r="CA139" s="114"/>
      <c r="CB139" s="114"/>
      <c r="CC139" s="114"/>
      <c r="CD139" s="114"/>
      <c r="CE139" s="114"/>
      <c r="CF139" s="114"/>
      <c r="CG139" s="114"/>
      <c r="CH139" s="114"/>
      <c r="CI139" s="114"/>
      <c r="CJ139" s="114"/>
      <c r="CK139" s="114"/>
      <c r="CL139" s="114"/>
      <c r="CM139" s="114"/>
      <c r="CN139" s="114"/>
      <c r="CO139" s="114"/>
      <c r="CP139" s="114"/>
      <c r="CQ139" s="114"/>
      <c r="CR139" s="114"/>
      <c r="CS139" s="95"/>
      <c r="CT139" s="114"/>
      <c r="CU139" s="114"/>
      <c r="CV139" s="93">
        <f t="shared" ref="CV139:CV144" si="231">SUM(K139:N139)</f>
        <v>195</v>
      </c>
      <c r="CW139" s="93">
        <f t="shared" ref="CW139:CW144" si="232">SUM(O139:R139)</f>
        <v>106</v>
      </c>
      <c r="CX139" s="116">
        <f>CX85/CW143-1</f>
        <v>0.17784746140269703</v>
      </c>
      <c r="CY139" s="116"/>
      <c r="CZ139" s="116"/>
      <c r="DA139" s="116"/>
      <c r="DB139" s="116"/>
      <c r="DC139" s="116"/>
      <c r="DD139" s="116"/>
      <c r="DE139" s="116"/>
      <c r="DF139" s="116"/>
      <c r="DG139" s="116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U139" s="87"/>
    </row>
    <row r="140" spans="2:125" s="92" customFormat="1" ht="12.75" customHeight="1">
      <c r="B140" s="95" t="s">
        <v>91</v>
      </c>
      <c r="C140" s="114"/>
      <c r="D140" s="114"/>
      <c r="E140" s="114"/>
      <c r="F140" s="114"/>
      <c r="G140" s="114"/>
      <c r="H140" s="114"/>
      <c r="I140" s="87"/>
      <c r="J140" s="87"/>
      <c r="K140" s="87">
        <v>0</v>
      </c>
      <c r="L140" s="87">
        <v>0</v>
      </c>
      <c r="M140" s="87">
        <v>0</v>
      </c>
      <c r="N140" s="87">
        <v>0</v>
      </c>
      <c r="O140" s="87">
        <v>0</v>
      </c>
      <c r="P140" s="87">
        <v>0</v>
      </c>
      <c r="Q140" s="87">
        <v>93.2</v>
      </c>
      <c r="R140" s="87">
        <v>0</v>
      </c>
      <c r="S140" s="87"/>
      <c r="T140" s="87"/>
      <c r="U140" s="87"/>
      <c r="V140" s="87"/>
      <c r="W140" s="87"/>
      <c r="X140" s="87"/>
      <c r="Y140" s="94"/>
      <c r="Z140" s="87"/>
      <c r="AA140" s="94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95"/>
      <c r="CT140" s="114"/>
      <c r="CU140" s="114"/>
      <c r="CV140" s="93">
        <f t="shared" si="231"/>
        <v>0</v>
      </c>
      <c r="CW140" s="93">
        <f t="shared" si="232"/>
        <v>93.2</v>
      </c>
      <c r="CX140" s="116">
        <f>1-(CW144/CW82)</f>
        <v>0.66671688809752094</v>
      </c>
      <c r="CY140" s="116"/>
      <c r="CZ140" s="116"/>
      <c r="DA140" s="116"/>
      <c r="DB140" s="116"/>
      <c r="DC140" s="116"/>
      <c r="DD140" s="116"/>
      <c r="DE140" s="116"/>
      <c r="DF140" s="116"/>
      <c r="DG140" s="116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  <c r="DS140" s="87"/>
      <c r="DU140" s="87"/>
    </row>
    <row r="141" spans="2:125" s="92" customFormat="1" ht="12.75" customHeight="1">
      <c r="B141" s="95" t="s">
        <v>92</v>
      </c>
      <c r="C141" s="114"/>
      <c r="D141" s="114"/>
      <c r="E141" s="114"/>
      <c r="F141" s="114"/>
      <c r="G141" s="114"/>
      <c r="H141" s="114"/>
      <c r="I141" s="87"/>
      <c r="J141" s="87"/>
      <c r="K141" s="87">
        <v>0</v>
      </c>
      <c r="L141" s="87">
        <v>0</v>
      </c>
      <c r="M141" s="87">
        <v>0</v>
      </c>
      <c r="N141" s="87">
        <v>0</v>
      </c>
      <c r="O141" s="87">
        <v>0</v>
      </c>
      <c r="P141" s="87">
        <v>0</v>
      </c>
      <c r="Q141" s="87">
        <v>141.4</v>
      </c>
      <c r="R141" s="87">
        <v>604</v>
      </c>
      <c r="S141" s="87"/>
      <c r="T141" s="87"/>
      <c r="U141" s="87"/>
      <c r="V141" s="87"/>
      <c r="W141" s="87"/>
      <c r="X141" s="87"/>
      <c r="Y141" s="94"/>
      <c r="Z141" s="87"/>
      <c r="AA141" s="94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95"/>
      <c r="CT141" s="114"/>
      <c r="CU141" s="114"/>
      <c r="CV141" s="93">
        <f t="shared" si="231"/>
        <v>0</v>
      </c>
      <c r="CW141" s="93">
        <f t="shared" si="232"/>
        <v>745.4</v>
      </c>
      <c r="CX141" s="116"/>
      <c r="CY141" s="116"/>
      <c r="CZ141" s="116"/>
      <c r="DA141" s="116"/>
      <c r="DB141" s="116"/>
      <c r="DC141" s="116"/>
      <c r="DD141" s="116"/>
      <c r="DE141" s="116"/>
      <c r="DF141" s="116"/>
      <c r="DG141" s="116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U141" s="87"/>
    </row>
    <row r="142" spans="2:125" s="92" customFormat="1" ht="12.75" customHeight="1">
      <c r="B142" s="95" t="s">
        <v>93</v>
      </c>
      <c r="C142" s="114"/>
      <c r="D142" s="114"/>
      <c r="E142" s="114"/>
      <c r="F142" s="114"/>
      <c r="G142" s="114"/>
      <c r="H142" s="114"/>
      <c r="I142" s="87"/>
      <c r="J142" s="87"/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-173.6</v>
      </c>
      <c r="R142" s="87">
        <v>0</v>
      </c>
      <c r="S142" s="87"/>
      <c r="T142" s="87"/>
      <c r="U142" s="87"/>
      <c r="V142" s="87"/>
      <c r="W142" s="87"/>
      <c r="X142" s="87"/>
      <c r="Y142" s="94"/>
      <c r="Z142" s="87"/>
      <c r="AA142" s="94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95"/>
      <c r="CT142" s="114"/>
      <c r="CU142" s="114"/>
      <c r="CV142" s="93">
        <f t="shared" si="231"/>
        <v>0</v>
      </c>
      <c r="CW142" s="93">
        <f t="shared" si="232"/>
        <v>-173.6</v>
      </c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  <c r="DS142" s="87"/>
      <c r="DU142" s="87"/>
    </row>
    <row r="143" spans="2:125" s="92" customFormat="1" ht="12.75" customHeight="1">
      <c r="B143" s="95" t="s">
        <v>94</v>
      </c>
      <c r="C143" s="114"/>
      <c r="D143" s="114"/>
      <c r="E143" s="114"/>
      <c r="F143" s="114"/>
      <c r="G143" s="114"/>
      <c r="H143" s="114"/>
      <c r="I143" s="116"/>
      <c r="J143" s="116"/>
      <c r="K143" s="116">
        <f t="shared" ref="K143:P143" si="233">K85-K139</f>
        <v>1547.3</v>
      </c>
      <c r="L143" s="116">
        <f t="shared" si="233"/>
        <v>1589.9</v>
      </c>
      <c r="M143" s="116">
        <f t="shared" si="233"/>
        <v>1463.6</v>
      </c>
      <c r="N143" s="116">
        <f t="shared" si="233"/>
        <v>1599.1</v>
      </c>
      <c r="O143" s="116">
        <f t="shared" si="233"/>
        <v>1542.4</v>
      </c>
      <c r="P143" s="116">
        <f t="shared" si="233"/>
        <v>1574.2</v>
      </c>
      <c r="Q143" s="116">
        <f>Q85-Q139-Q141</f>
        <v>1577.5</v>
      </c>
      <c r="R143" s="116">
        <f>R85-R141-R139</f>
        <v>1141.8000000000002</v>
      </c>
      <c r="S143" s="116">
        <f>S85/O143-1</f>
        <v>4.5967323651452174E-2</v>
      </c>
      <c r="T143" s="116">
        <f>T85/P143-1</f>
        <v>0.11504256130097823</v>
      </c>
      <c r="U143" s="116">
        <f>U85/Q143-1</f>
        <v>5.3058637083993609E-2</v>
      </c>
      <c r="V143" s="116">
        <f>V85/R143-1</f>
        <v>0.61499386932912925</v>
      </c>
      <c r="W143" s="116"/>
      <c r="X143" s="116"/>
      <c r="Y143" s="94"/>
      <c r="Z143" s="116"/>
      <c r="AA143" s="94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95"/>
      <c r="CT143" s="114"/>
      <c r="CU143" s="114"/>
      <c r="CV143" s="114">
        <f t="shared" si="231"/>
        <v>6199.9</v>
      </c>
      <c r="CW143" s="114">
        <f t="shared" si="232"/>
        <v>5835.9000000000005</v>
      </c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U143" s="87"/>
    </row>
    <row r="144" spans="2:125" s="92" customFormat="1" ht="12.75" customHeight="1">
      <c r="B144" s="95" t="s">
        <v>95</v>
      </c>
      <c r="C144" s="114"/>
      <c r="D144" s="114"/>
      <c r="E144" s="114"/>
      <c r="F144" s="114"/>
      <c r="G144" s="114"/>
      <c r="H144" s="114"/>
      <c r="I144" s="87"/>
      <c r="J144" s="87"/>
      <c r="K144" s="87">
        <f t="shared" ref="K144:R144" si="234">K83-K140</f>
        <v>1046.8</v>
      </c>
      <c r="L144" s="87">
        <f t="shared" si="234"/>
        <v>988.5</v>
      </c>
      <c r="M144" s="87">
        <f t="shared" si="234"/>
        <v>1083.4000000000001</v>
      </c>
      <c r="N144" s="87">
        <f t="shared" si="234"/>
        <v>1228.3</v>
      </c>
      <c r="O144" s="87">
        <f t="shared" si="234"/>
        <v>1147.8</v>
      </c>
      <c r="P144" s="87">
        <f t="shared" si="234"/>
        <v>1164.2</v>
      </c>
      <c r="Q144" s="87">
        <f t="shared" si="234"/>
        <v>1271</v>
      </c>
      <c r="R144" s="87">
        <f t="shared" si="234"/>
        <v>1283.5999999999999</v>
      </c>
      <c r="S144" s="87"/>
      <c r="T144" s="87"/>
      <c r="U144" s="87"/>
      <c r="V144" s="87"/>
      <c r="W144" s="87"/>
      <c r="X144" s="87"/>
      <c r="Y144" s="94"/>
      <c r="Z144" s="87"/>
      <c r="AA144" s="94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95"/>
      <c r="CT144" s="114"/>
      <c r="CU144" s="114"/>
      <c r="CV144" s="114">
        <f t="shared" si="231"/>
        <v>4347</v>
      </c>
      <c r="CW144" s="114">
        <f t="shared" si="232"/>
        <v>4866.6000000000004</v>
      </c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U144" s="87"/>
    </row>
    <row r="145" spans="2:125" s="83" customFormat="1" ht="12.75" customHeight="1">
      <c r="B145" s="75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94"/>
      <c r="Z145" s="62"/>
      <c r="AA145" s="94"/>
      <c r="AB145" s="62"/>
      <c r="AC145" s="114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75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U145" s="87"/>
    </row>
    <row r="146" spans="2:125" s="83" customFormat="1" ht="12.75" customHeight="1">
      <c r="B146" s="75"/>
      <c r="C146" s="62"/>
      <c r="D146" s="62"/>
      <c r="E146" s="62"/>
      <c r="F146" s="62"/>
      <c r="G146" s="62"/>
      <c r="H146" s="62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75"/>
      <c r="CT146" s="62"/>
      <c r="CU146" s="62"/>
      <c r="CV146" s="62"/>
      <c r="CW146" s="62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U146" s="87"/>
    </row>
    <row r="147" spans="2:125" s="83" customFormat="1" ht="12.75" customHeight="1">
      <c r="B147" s="75" t="s">
        <v>610</v>
      </c>
      <c r="C147" s="62"/>
      <c r="D147" s="62"/>
      <c r="E147" s="62"/>
      <c r="F147" s="62"/>
      <c r="G147" s="62"/>
      <c r="H147" s="62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94"/>
      <c r="Z147" s="105"/>
      <c r="AA147" s="94"/>
      <c r="AB147" s="105"/>
      <c r="AC147" s="116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17">
        <v>0.75</v>
      </c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75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 t="s">
        <v>611</v>
      </c>
      <c r="DD147" s="62"/>
      <c r="DE147" s="62"/>
      <c r="DF147" s="62"/>
      <c r="DG147" s="62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U147" s="87"/>
    </row>
    <row r="148" spans="2:125" s="83" customFormat="1" ht="12.75" customHeight="1">
      <c r="B148" s="110"/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75"/>
      <c r="CT148" s="101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U148" s="87"/>
    </row>
    <row r="149" spans="2:125" s="83" customFormat="1" ht="12.75" customHeight="1">
      <c r="B149" s="36" t="s">
        <v>622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94"/>
      <c r="Z149" s="26"/>
      <c r="AA149" s="94"/>
      <c r="AB149" s="26"/>
      <c r="AC149" s="30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75"/>
      <c r="CT149" s="26"/>
      <c r="CU149" s="26"/>
      <c r="CV149" s="26"/>
      <c r="CW149" s="26"/>
      <c r="CX149" s="26"/>
      <c r="CY149" s="26"/>
      <c r="CZ149" s="26"/>
      <c r="DA149" s="31"/>
      <c r="DB149" s="31"/>
      <c r="DC149" s="30">
        <f t="shared" ref="DC149:DL149" si="235">(DC57+DC20+DC15+DC14+DC9+DC28+DC45+DC19+DC17+DC48+DC58+DC40+DC10+DC41+DC46+DC23+DC53+DC27+DC54+DC29+DC56+DC50+DC52+DC59+DC51)</f>
        <v>25281</v>
      </c>
      <c r="DD149" s="30">
        <f t="shared" si="235"/>
        <v>26164.290000000005</v>
      </c>
      <c r="DE149" s="30">
        <f t="shared" si="235"/>
        <v>24327.929899999999</v>
      </c>
      <c r="DF149" s="30">
        <f t="shared" si="235"/>
        <v>20641.866499000007</v>
      </c>
      <c r="DG149" s="30">
        <f t="shared" si="235"/>
        <v>19745.3021271</v>
      </c>
      <c r="DH149" s="30">
        <f t="shared" si="235"/>
        <v>18752.111614450005</v>
      </c>
      <c r="DI149" s="30">
        <f t="shared" si="235"/>
        <v>18214.823087391203</v>
      </c>
      <c r="DJ149" s="30">
        <f t="shared" si="235"/>
        <v>17872.496544387261</v>
      </c>
      <c r="DK149" s="30">
        <f t="shared" si="235"/>
        <v>15144.350200442426</v>
      </c>
      <c r="DL149" s="30" t="e">
        <f t="shared" si="235"/>
        <v>#VALUE!</v>
      </c>
      <c r="DM149" s="30"/>
      <c r="DN149" s="30"/>
      <c r="DO149" s="30"/>
      <c r="DP149" s="30"/>
      <c r="DQ149" s="30"/>
      <c r="DR149" s="30"/>
      <c r="DS149" s="30"/>
      <c r="DU149" s="87"/>
    </row>
    <row r="150" spans="2:125" s="83" customFormat="1" ht="12.75" customHeight="1">
      <c r="B150" s="100" t="s">
        <v>623</v>
      </c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94"/>
      <c r="Z150" s="118"/>
      <c r="AA150" s="94"/>
      <c r="AB150" s="118"/>
      <c r="AC150" s="116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  <c r="BH150" s="118"/>
      <c r="BI150" s="118"/>
      <c r="BJ150" s="118"/>
      <c r="BK150" s="118"/>
      <c r="BL150" s="118"/>
      <c r="BM150" s="118"/>
      <c r="BN150" s="118"/>
      <c r="BO150" s="118"/>
      <c r="BP150" s="118"/>
      <c r="BQ150" s="118"/>
      <c r="BR150" s="118"/>
      <c r="BS150" s="118"/>
      <c r="BT150" s="118"/>
      <c r="BU150" s="118"/>
      <c r="BV150" s="118"/>
      <c r="BW150" s="118"/>
      <c r="BX150" s="118"/>
      <c r="BY150" s="118"/>
      <c r="BZ150" s="118"/>
      <c r="CA150" s="118"/>
      <c r="CB150" s="118"/>
      <c r="CC150" s="118"/>
      <c r="CD150" s="118"/>
      <c r="CE150" s="118"/>
      <c r="CF150" s="118"/>
      <c r="CG150" s="118"/>
      <c r="CH150" s="118"/>
      <c r="CI150" s="118"/>
      <c r="CJ150" s="118"/>
      <c r="CK150" s="118"/>
      <c r="CL150" s="118"/>
      <c r="CM150" s="118"/>
      <c r="CN150" s="118"/>
      <c r="CO150" s="118"/>
      <c r="CP150" s="118"/>
      <c r="CQ150" s="118"/>
      <c r="CR150" s="118"/>
      <c r="CS150" s="75"/>
      <c r="CT150" s="118"/>
      <c r="CU150" s="118"/>
      <c r="CV150" s="118"/>
      <c r="CW150" s="118"/>
      <c r="CX150" s="118"/>
      <c r="CY150" s="118"/>
      <c r="CZ150" s="118"/>
      <c r="DA150" s="118"/>
      <c r="DB150" s="118"/>
      <c r="DC150" s="119">
        <f t="shared" ref="DC150:DL150" si="236">DC149/DC82</f>
        <v>0.62666699717416097</v>
      </c>
      <c r="DD150" s="119">
        <f t="shared" si="236"/>
        <v>0.65587055799517013</v>
      </c>
      <c r="DE150" s="119">
        <f t="shared" si="236"/>
        <v>0.65276444068664363</v>
      </c>
      <c r="DF150" s="119">
        <f t="shared" si="236"/>
        <v>0.62469193710058102</v>
      </c>
      <c r="DG150" s="119">
        <f t="shared" si="236"/>
        <v>0.6235203467164383</v>
      </c>
      <c r="DH150" s="119">
        <f t="shared" si="236"/>
        <v>0.62022694986475435</v>
      </c>
      <c r="DI150" s="119">
        <f t="shared" si="236"/>
        <v>0.6187322199412556</v>
      </c>
      <c r="DJ150" s="119">
        <f t="shared" si="236"/>
        <v>0.61892781987670664</v>
      </c>
      <c r="DK150" s="119">
        <f t="shared" si="236"/>
        <v>0.58304505354805714</v>
      </c>
      <c r="DL150" s="119" t="e">
        <f t="shared" si="236"/>
        <v>#VALUE!</v>
      </c>
      <c r="DM150" s="119"/>
      <c r="DN150" s="119"/>
      <c r="DO150" s="119"/>
      <c r="DP150" s="119"/>
      <c r="DQ150" s="119"/>
      <c r="DR150" s="119"/>
      <c r="DS150" s="119"/>
      <c r="DU150" s="87"/>
    </row>
    <row r="151" spans="2:125" s="83" customFormat="1" ht="12.75" customHeight="1">
      <c r="B151" s="110"/>
      <c r="C151" s="101"/>
      <c r="D151" s="101"/>
      <c r="E151" s="101"/>
      <c r="F151" s="101"/>
      <c r="G151" s="84"/>
      <c r="H151" s="84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94"/>
      <c r="Z151" s="105"/>
      <c r="AA151" s="94"/>
      <c r="AB151" s="105"/>
      <c r="AC151" s="116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  <c r="BH151" s="105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  <c r="BZ151" s="105"/>
      <c r="CA151" s="105"/>
      <c r="CB151" s="105"/>
      <c r="CC151" s="105"/>
      <c r="CD151" s="105"/>
      <c r="CE151" s="105"/>
      <c r="CF151" s="105"/>
      <c r="CG151" s="105"/>
      <c r="CH151" s="105"/>
      <c r="CI151" s="105"/>
      <c r="CJ151" s="105"/>
      <c r="CK151" s="105"/>
      <c r="CL151" s="105"/>
      <c r="CM151" s="105"/>
      <c r="CN151" s="105"/>
      <c r="CO151" s="105"/>
      <c r="CP151" s="105"/>
      <c r="CQ151" s="105"/>
      <c r="CR151" s="105"/>
      <c r="CS151" s="75"/>
      <c r="CT151" s="101"/>
      <c r="CU151" s="84"/>
      <c r="CV151" s="84"/>
      <c r="CW151" s="105"/>
      <c r="CX151" s="105"/>
      <c r="CY151" s="105"/>
      <c r="CZ151" s="105"/>
      <c r="DA151" s="105"/>
      <c r="DB151" s="105"/>
      <c r="DC151" s="105"/>
      <c r="DD151" s="105"/>
      <c r="DE151" s="105"/>
      <c r="DF151" s="105"/>
      <c r="DG151" s="105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U151" s="87"/>
    </row>
    <row r="152" spans="2:125" s="83" customFormat="1" ht="12.75" customHeight="1">
      <c r="B152" s="100" t="s">
        <v>330</v>
      </c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7">
        <f>9675+453+238</f>
        <v>10366</v>
      </c>
      <c r="CK152" s="84"/>
      <c r="CL152" s="84"/>
      <c r="CM152" s="84"/>
      <c r="CN152" s="84"/>
      <c r="CO152" s="84"/>
      <c r="CP152" s="84"/>
      <c r="CQ152" s="84"/>
      <c r="CR152" s="84"/>
      <c r="CS152" s="75"/>
      <c r="CT152" s="101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U152" s="87"/>
    </row>
    <row r="153" spans="2:125" s="83" customFormat="1" ht="12.75" customHeight="1">
      <c r="B153" s="100" t="s">
        <v>814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7">
        <v>9643</v>
      </c>
      <c r="CK153" s="84"/>
      <c r="CL153" s="84"/>
      <c r="CM153" s="84"/>
      <c r="CN153" s="84"/>
      <c r="CO153" s="84"/>
      <c r="CP153" s="84"/>
      <c r="CQ153" s="84"/>
      <c r="CR153" s="84"/>
      <c r="CS153" s="75"/>
      <c r="CT153" s="101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U153" s="87"/>
    </row>
    <row r="154" spans="2:125" s="83" customFormat="1" ht="12.75" customHeight="1">
      <c r="B154" s="100" t="s">
        <v>815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7">
        <v>5535</v>
      </c>
      <c r="CK154" s="84"/>
      <c r="CL154" s="84"/>
      <c r="CM154" s="84"/>
      <c r="CN154" s="84"/>
      <c r="CO154" s="84"/>
      <c r="CP154" s="84"/>
      <c r="CQ154" s="84"/>
      <c r="CR154" s="84"/>
      <c r="CS154" s="75"/>
      <c r="CT154" s="101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U154" s="87"/>
    </row>
    <row r="155" spans="2:125" s="83" customFormat="1" ht="12.75" customHeight="1">
      <c r="B155" s="100" t="s">
        <v>816</v>
      </c>
      <c r="C155" s="101"/>
      <c r="D155" s="101"/>
      <c r="E155" s="101"/>
      <c r="F155" s="101"/>
      <c r="G155" s="84"/>
      <c r="H155" s="84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94"/>
      <c r="Z155" s="88"/>
      <c r="AA155" s="94"/>
      <c r="AB155" s="88"/>
      <c r="AC155" s="87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88"/>
      <c r="CB155" s="88"/>
      <c r="CC155" s="88"/>
      <c r="CD155" s="88"/>
      <c r="CE155" s="88"/>
      <c r="CF155" s="88"/>
      <c r="CG155" s="88"/>
      <c r="CH155" s="88"/>
      <c r="CI155" s="88"/>
      <c r="CJ155" s="87">
        <v>6810</v>
      </c>
      <c r="CK155" s="88"/>
      <c r="CL155" s="88"/>
      <c r="CM155" s="88"/>
      <c r="CN155" s="88"/>
      <c r="CO155" s="88"/>
      <c r="CP155" s="88"/>
      <c r="CQ155" s="88"/>
      <c r="CR155" s="88"/>
      <c r="CS155" s="75"/>
      <c r="CT155" s="101"/>
      <c r="CU155" s="84"/>
      <c r="CV155" s="84"/>
      <c r="CW155" s="88"/>
      <c r="CX155" s="88"/>
      <c r="CY155" s="88"/>
      <c r="CZ155" s="88"/>
      <c r="DA155" s="88"/>
      <c r="DB155" s="88"/>
      <c r="DC155" s="88"/>
      <c r="DD155" s="88"/>
      <c r="DE155" s="88"/>
      <c r="DF155" s="88"/>
      <c r="DG155" s="88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U155" s="87"/>
    </row>
    <row r="156" spans="2:125" s="83" customFormat="1" ht="12.75" customHeight="1">
      <c r="B156" s="100" t="s">
        <v>817</v>
      </c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7">
        <v>20059</v>
      </c>
      <c r="CK156" s="84"/>
      <c r="CL156" s="84"/>
      <c r="CM156" s="84"/>
      <c r="CN156" s="84"/>
      <c r="CO156" s="84"/>
      <c r="CP156" s="84"/>
      <c r="CQ156" s="84"/>
      <c r="CR156" s="84"/>
      <c r="CS156" s="75"/>
      <c r="CT156" s="101"/>
      <c r="CU156" s="84"/>
      <c r="CV156" s="84"/>
      <c r="CW156" s="84"/>
      <c r="CX156" s="84"/>
      <c r="CY156" s="84"/>
      <c r="CZ156" s="84"/>
      <c r="DA156" s="84"/>
      <c r="DB156" s="84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U156" s="87"/>
    </row>
    <row r="157" spans="2:125" s="83" customFormat="1" ht="12.75" customHeight="1">
      <c r="B157" s="100" t="s">
        <v>818</v>
      </c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7">
        <f>21213+22497</f>
        <v>43710</v>
      </c>
      <c r="CK157" s="84"/>
      <c r="CL157" s="84"/>
      <c r="CM157" s="84"/>
      <c r="CN157" s="84"/>
      <c r="CO157" s="84"/>
      <c r="CP157" s="84"/>
      <c r="CQ157" s="84"/>
      <c r="CR157" s="84"/>
      <c r="CS157" s="75"/>
      <c r="CT157" s="101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U157" s="87"/>
    </row>
    <row r="158" spans="2:125" s="83" customFormat="1" ht="12.75" customHeight="1">
      <c r="B158" s="100" t="s">
        <v>819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7">
        <v>10972</v>
      </c>
      <c r="CK158" s="84"/>
      <c r="CL158" s="84"/>
      <c r="CM158" s="84"/>
      <c r="CN158" s="84"/>
      <c r="CO158" s="84"/>
      <c r="CP158" s="84"/>
      <c r="CQ158" s="84"/>
      <c r="CR158" s="84"/>
      <c r="CS158" s="75"/>
      <c r="CT158" s="101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U158" s="87"/>
    </row>
    <row r="159" spans="2:125" s="83" customFormat="1" ht="12.75" customHeight="1">
      <c r="B159" s="100" t="s">
        <v>813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7">
        <f>SUM(CJ152:CJ158)</f>
        <v>107095</v>
      </c>
      <c r="CK159" s="84"/>
      <c r="CL159" s="84"/>
      <c r="CM159" s="84"/>
      <c r="CN159" s="84"/>
      <c r="CO159" s="84"/>
      <c r="CP159" s="84"/>
      <c r="CQ159" s="84"/>
      <c r="CR159" s="84"/>
      <c r="CS159" s="75"/>
      <c r="CT159" s="101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U159" s="87"/>
    </row>
    <row r="160" spans="2:125" s="83" customFormat="1" ht="12.75" customHeight="1">
      <c r="B160" s="110"/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75"/>
      <c r="CT160" s="101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U160" s="87"/>
    </row>
    <row r="161" spans="2:125" s="92" customFormat="1" ht="12.75" customHeight="1">
      <c r="B161" s="113" t="s">
        <v>331</v>
      </c>
      <c r="C161" s="93"/>
      <c r="D161" s="93"/>
      <c r="E161" s="93"/>
      <c r="F161" s="93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94"/>
      <c r="Z161" s="87"/>
      <c r="AA161" s="94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  <c r="CG161" s="87"/>
      <c r="CH161" s="87"/>
      <c r="CI161" s="87"/>
      <c r="CJ161" s="87">
        <f>2979+28684</f>
        <v>31663</v>
      </c>
      <c r="CK161" s="87"/>
      <c r="CL161" s="87"/>
      <c r="CM161" s="87"/>
      <c r="CN161" s="87"/>
      <c r="CO161" s="87"/>
      <c r="CP161" s="87"/>
      <c r="CQ161" s="87"/>
      <c r="CR161" s="87"/>
      <c r="CS161" s="95"/>
      <c r="CT161" s="93"/>
      <c r="CU161" s="87"/>
      <c r="CV161" s="87"/>
      <c r="CW161" s="87"/>
      <c r="CX161" s="87"/>
      <c r="CY161" s="87"/>
      <c r="CZ161" s="87"/>
      <c r="DA161" s="87"/>
      <c r="DB161" s="87"/>
      <c r="DC161" s="87"/>
      <c r="DD161" s="87"/>
      <c r="DE161" s="87"/>
      <c r="DF161" s="87"/>
      <c r="DG161" s="87"/>
      <c r="DH161" s="87"/>
      <c r="DI161" s="87"/>
      <c r="DJ161" s="87"/>
      <c r="DK161" s="87"/>
      <c r="DL161" s="87"/>
      <c r="DM161" s="87"/>
      <c r="DN161" s="87"/>
      <c r="DO161" s="87"/>
      <c r="DP161" s="87"/>
      <c r="DQ161" s="87"/>
      <c r="DR161" s="87"/>
      <c r="DS161" s="87"/>
      <c r="DU161" s="87"/>
    </row>
    <row r="162" spans="2:125" s="92" customFormat="1" ht="12.75" customHeight="1">
      <c r="B162" s="113" t="s">
        <v>820</v>
      </c>
      <c r="C162" s="93"/>
      <c r="D162" s="93"/>
      <c r="E162" s="93"/>
      <c r="F162" s="93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94"/>
      <c r="Z162" s="87"/>
      <c r="AA162" s="94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  <c r="BM162" s="87"/>
      <c r="BN162" s="87"/>
      <c r="BO162" s="87"/>
      <c r="BP162" s="87"/>
      <c r="BQ162" s="87"/>
      <c r="BR162" s="87"/>
      <c r="BS162" s="87"/>
      <c r="BT162" s="87"/>
      <c r="BU162" s="87"/>
      <c r="BV162" s="87"/>
      <c r="BW162" s="87"/>
      <c r="BX162" s="87"/>
      <c r="BY162" s="87"/>
      <c r="BZ162" s="87"/>
      <c r="CA162" s="87"/>
      <c r="CB162" s="87"/>
      <c r="CC162" s="87"/>
      <c r="CD162" s="87"/>
      <c r="CE162" s="87"/>
      <c r="CF162" s="87"/>
      <c r="CG162" s="87"/>
      <c r="CH162" s="87"/>
      <c r="CI162" s="87"/>
      <c r="CJ162" s="87">
        <v>3482</v>
      </c>
      <c r="CK162" s="87"/>
      <c r="CL162" s="87"/>
      <c r="CM162" s="87"/>
      <c r="CN162" s="87"/>
      <c r="CO162" s="87"/>
      <c r="CP162" s="87"/>
      <c r="CQ162" s="87"/>
      <c r="CR162" s="87"/>
      <c r="CS162" s="95"/>
      <c r="CT162" s="93"/>
      <c r="CU162" s="87"/>
      <c r="CV162" s="87"/>
      <c r="CW162" s="87"/>
      <c r="CX162" s="87"/>
      <c r="CY162" s="87"/>
      <c r="CZ162" s="87"/>
      <c r="DA162" s="87"/>
      <c r="DB162" s="87"/>
      <c r="DC162" s="87"/>
      <c r="DD162" s="87"/>
      <c r="DE162" s="87"/>
      <c r="DF162" s="87"/>
      <c r="DG162" s="87"/>
      <c r="DH162" s="87"/>
      <c r="DI162" s="87"/>
      <c r="DJ162" s="87"/>
      <c r="DK162" s="87"/>
      <c r="DL162" s="87"/>
      <c r="DM162" s="87"/>
      <c r="DN162" s="87"/>
      <c r="DO162" s="87"/>
      <c r="DP162" s="87"/>
      <c r="DQ162" s="87"/>
      <c r="DR162" s="87"/>
      <c r="DS162" s="87"/>
      <c r="DU162" s="87"/>
    </row>
    <row r="163" spans="2:125" s="92" customFormat="1" ht="12.75" customHeight="1">
      <c r="B163" s="113" t="s">
        <v>821</v>
      </c>
      <c r="C163" s="93"/>
      <c r="D163" s="93"/>
      <c r="E163" s="93"/>
      <c r="F163" s="93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94"/>
      <c r="Z163" s="87"/>
      <c r="AA163" s="94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  <c r="BX163" s="87"/>
      <c r="BY163" s="87"/>
      <c r="BZ163" s="87"/>
      <c r="CA163" s="87"/>
      <c r="CB163" s="87"/>
      <c r="CC163" s="87"/>
      <c r="CD163" s="87"/>
      <c r="CE163" s="87"/>
      <c r="CF163" s="87"/>
      <c r="CG163" s="87"/>
      <c r="CH163" s="87"/>
      <c r="CI163" s="87"/>
      <c r="CJ163" s="87">
        <v>13501</v>
      </c>
      <c r="CK163" s="87"/>
      <c r="CL163" s="87"/>
      <c r="CM163" s="87"/>
      <c r="CN163" s="87"/>
      <c r="CO163" s="87"/>
      <c r="CP163" s="87"/>
      <c r="CQ163" s="87"/>
      <c r="CR163" s="87"/>
      <c r="CS163" s="95"/>
      <c r="CT163" s="93"/>
      <c r="CU163" s="87"/>
      <c r="CV163" s="87"/>
      <c r="CW163" s="87"/>
      <c r="CX163" s="87"/>
      <c r="CY163" s="87"/>
      <c r="CZ163" s="87"/>
      <c r="DA163" s="87"/>
      <c r="DB163" s="87"/>
      <c r="DC163" s="87"/>
      <c r="DD163" s="87"/>
      <c r="DE163" s="87"/>
      <c r="DF163" s="87"/>
      <c r="DG163" s="87"/>
      <c r="DH163" s="87"/>
      <c r="DI163" s="87"/>
      <c r="DJ163" s="87"/>
      <c r="DK163" s="87"/>
      <c r="DL163" s="87"/>
      <c r="DM163" s="87"/>
      <c r="DN163" s="87"/>
      <c r="DO163" s="87"/>
      <c r="DP163" s="87"/>
      <c r="DQ163" s="87"/>
      <c r="DR163" s="87"/>
      <c r="DS163" s="87"/>
      <c r="DU163" s="87"/>
    </row>
    <row r="164" spans="2:125" s="92" customFormat="1" ht="12.75" customHeight="1">
      <c r="B164" s="113" t="s">
        <v>474</v>
      </c>
      <c r="C164" s="93"/>
      <c r="D164" s="93"/>
      <c r="E164" s="93"/>
      <c r="F164" s="93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94"/>
      <c r="Z164" s="87"/>
      <c r="AA164" s="94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  <c r="BX164" s="87"/>
      <c r="BY164" s="87"/>
      <c r="BZ164" s="87"/>
      <c r="CA164" s="87"/>
      <c r="CB164" s="87"/>
      <c r="CC164" s="87"/>
      <c r="CD164" s="87"/>
      <c r="CE164" s="87"/>
      <c r="CF164" s="87"/>
      <c r="CG164" s="87"/>
      <c r="CH164" s="87"/>
      <c r="CI164" s="87"/>
      <c r="CJ164" s="87">
        <f>1438+2974</f>
        <v>4412</v>
      </c>
      <c r="CK164" s="87"/>
      <c r="CL164" s="87"/>
      <c r="CM164" s="87"/>
      <c r="CN164" s="87"/>
      <c r="CO164" s="87"/>
      <c r="CP164" s="87"/>
      <c r="CQ164" s="87"/>
      <c r="CR164" s="87"/>
      <c r="CS164" s="95"/>
      <c r="CT164" s="93"/>
      <c r="CU164" s="87"/>
      <c r="CV164" s="87"/>
      <c r="CW164" s="87"/>
      <c r="CX164" s="87"/>
      <c r="CY164" s="87"/>
      <c r="CZ164" s="87"/>
      <c r="DA164" s="87"/>
      <c r="DB164" s="87"/>
      <c r="DC164" s="87"/>
      <c r="DD164" s="87"/>
      <c r="DE164" s="87"/>
      <c r="DF164" s="87"/>
      <c r="DG164" s="87"/>
      <c r="DH164" s="87"/>
      <c r="DI164" s="87"/>
      <c r="DJ164" s="87"/>
      <c r="DK164" s="87"/>
      <c r="DL164" s="87"/>
      <c r="DM164" s="87"/>
      <c r="DN164" s="87"/>
      <c r="DO164" s="87"/>
      <c r="DP164" s="87"/>
      <c r="DQ164" s="87"/>
      <c r="DR164" s="87"/>
      <c r="DS164" s="87"/>
      <c r="DU164" s="87"/>
    </row>
    <row r="165" spans="2:125" s="92" customFormat="1" ht="12.75" customHeight="1">
      <c r="B165" s="113" t="s">
        <v>822</v>
      </c>
      <c r="C165" s="93"/>
      <c r="D165" s="93"/>
      <c r="E165" s="93"/>
      <c r="F165" s="93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94"/>
      <c r="Z165" s="87"/>
      <c r="AA165" s="94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>
        <v>1768</v>
      </c>
      <c r="CK165" s="87"/>
      <c r="CL165" s="87"/>
      <c r="CM165" s="87"/>
      <c r="CN165" s="87"/>
      <c r="CO165" s="87"/>
      <c r="CP165" s="87"/>
      <c r="CQ165" s="87"/>
      <c r="CR165" s="87"/>
      <c r="CS165" s="95"/>
      <c r="CT165" s="93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  <c r="DH165" s="87"/>
      <c r="DI165" s="87"/>
      <c r="DJ165" s="87"/>
      <c r="DK165" s="87"/>
      <c r="DL165" s="87"/>
      <c r="DM165" s="87"/>
      <c r="DN165" s="87"/>
      <c r="DO165" s="87"/>
      <c r="DP165" s="87"/>
      <c r="DQ165" s="87"/>
      <c r="DR165" s="87"/>
      <c r="DS165" s="87"/>
      <c r="DU165" s="87"/>
    </row>
    <row r="166" spans="2:125" s="92" customFormat="1" ht="12.75" customHeight="1">
      <c r="B166" s="113" t="s">
        <v>823</v>
      </c>
      <c r="C166" s="93"/>
      <c r="D166" s="93"/>
      <c r="E166" s="93"/>
      <c r="F166" s="93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94"/>
      <c r="Z166" s="87"/>
      <c r="AA166" s="94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  <c r="BQ166" s="87"/>
      <c r="BR166" s="87"/>
      <c r="BS166" s="87"/>
      <c r="BT166" s="87"/>
      <c r="BU166" s="87"/>
      <c r="BV166" s="87"/>
      <c r="BW166" s="87"/>
      <c r="BX166" s="87"/>
      <c r="BY166" s="87"/>
      <c r="BZ166" s="87"/>
      <c r="CA166" s="87"/>
      <c r="CB166" s="87"/>
      <c r="CC166" s="87"/>
      <c r="CD166" s="87"/>
      <c r="CE166" s="87"/>
      <c r="CF166" s="87"/>
      <c r="CG166" s="87"/>
      <c r="CH166" s="87"/>
      <c r="CI166" s="87"/>
      <c r="CJ166" s="87">
        <v>8951</v>
      </c>
      <c r="CK166" s="87"/>
      <c r="CL166" s="87"/>
      <c r="CM166" s="87"/>
      <c r="CN166" s="87"/>
      <c r="CO166" s="87"/>
      <c r="CP166" s="87"/>
      <c r="CQ166" s="87"/>
      <c r="CR166" s="87"/>
      <c r="CS166" s="95"/>
      <c r="CT166" s="93"/>
      <c r="CU166" s="87"/>
      <c r="CV166" s="87"/>
      <c r="CW166" s="87"/>
      <c r="CX166" s="87"/>
      <c r="CY166" s="87"/>
      <c r="CZ166" s="87"/>
      <c r="DA166" s="87"/>
      <c r="DB166" s="87"/>
      <c r="DC166" s="87"/>
      <c r="DD166" s="87"/>
      <c r="DE166" s="87"/>
      <c r="DF166" s="87"/>
      <c r="DG166" s="87"/>
      <c r="DH166" s="87"/>
      <c r="DI166" s="87"/>
      <c r="DJ166" s="87"/>
      <c r="DK166" s="87"/>
      <c r="DL166" s="87"/>
      <c r="DM166" s="87"/>
      <c r="DN166" s="87"/>
      <c r="DO166" s="87"/>
      <c r="DP166" s="87"/>
      <c r="DQ166" s="87"/>
      <c r="DR166" s="87"/>
      <c r="DS166" s="87"/>
      <c r="DU166" s="87"/>
    </row>
    <row r="167" spans="2:125" s="92" customFormat="1" ht="12.75" customHeight="1">
      <c r="B167" s="113" t="s">
        <v>824</v>
      </c>
      <c r="C167" s="93"/>
      <c r="D167" s="93"/>
      <c r="E167" s="93"/>
      <c r="F167" s="93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94"/>
      <c r="Z167" s="87"/>
      <c r="AA167" s="94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>
        <v>43318</v>
      </c>
      <c r="CK167" s="87"/>
      <c r="CL167" s="87"/>
      <c r="CM167" s="87"/>
      <c r="CN167" s="87"/>
      <c r="CO167" s="87"/>
      <c r="CP167" s="87"/>
      <c r="CQ167" s="87"/>
      <c r="CR167" s="87"/>
      <c r="CS167" s="95"/>
      <c r="CT167" s="93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  <c r="DH167" s="87"/>
      <c r="DI167" s="87"/>
      <c r="DJ167" s="87"/>
      <c r="DK167" s="87"/>
      <c r="DL167" s="87"/>
      <c r="DM167" s="87"/>
      <c r="DN167" s="87"/>
      <c r="DO167" s="87"/>
      <c r="DP167" s="87"/>
      <c r="DQ167" s="87"/>
      <c r="DR167" s="87"/>
      <c r="DS167" s="87"/>
      <c r="DU167" s="87"/>
    </row>
    <row r="168" spans="2:125" s="92" customFormat="1" ht="12.75" customHeight="1">
      <c r="B168" s="113" t="s">
        <v>825</v>
      </c>
      <c r="C168" s="93"/>
      <c r="D168" s="93"/>
      <c r="E168" s="93"/>
      <c r="F168" s="93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94"/>
      <c r="Z168" s="87"/>
      <c r="AA168" s="94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  <c r="BQ168" s="87"/>
      <c r="BR168" s="87"/>
      <c r="BS168" s="87"/>
      <c r="BT168" s="87"/>
      <c r="BU168" s="87"/>
      <c r="BV168" s="87"/>
      <c r="BW168" s="87"/>
      <c r="BX168" s="87"/>
      <c r="BY168" s="87"/>
      <c r="BZ168" s="87"/>
      <c r="CA168" s="87"/>
      <c r="CB168" s="87"/>
      <c r="CC168" s="87"/>
      <c r="CD168" s="87"/>
      <c r="CE168" s="87"/>
      <c r="CF168" s="87"/>
      <c r="CG168" s="87"/>
      <c r="CH168" s="87"/>
      <c r="CI168" s="87"/>
      <c r="CJ168" s="87">
        <f>SUM(CJ161:CJ167)</f>
        <v>107095</v>
      </c>
      <c r="CK168" s="87"/>
      <c r="CL168" s="87"/>
      <c r="CM168" s="87"/>
      <c r="CN168" s="87"/>
      <c r="CO168" s="87"/>
      <c r="CP168" s="87"/>
      <c r="CQ168" s="87"/>
      <c r="CR168" s="87"/>
      <c r="CS168" s="95"/>
      <c r="CT168" s="93"/>
      <c r="CU168" s="87"/>
      <c r="CV168" s="87"/>
      <c r="CW168" s="87"/>
      <c r="CX168" s="87"/>
      <c r="CY168" s="87"/>
      <c r="CZ168" s="87"/>
      <c r="DA168" s="87"/>
      <c r="DB168" s="87"/>
      <c r="DC168" s="87"/>
      <c r="DD168" s="87"/>
      <c r="DE168" s="87"/>
      <c r="DF168" s="87"/>
      <c r="DG168" s="87"/>
      <c r="DH168" s="87"/>
      <c r="DI168" s="87"/>
      <c r="DJ168" s="87"/>
      <c r="DK168" s="87"/>
      <c r="DL168" s="87"/>
      <c r="DM168" s="87"/>
      <c r="DN168" s="87"/>
      <c r="DO168" s="87"/>
      <c r="DP168" s="87"/>
      <c r="DQ168" s="87"/>
      <c r="DR168" s="87"/>
      <c r="DS168" s="87"/>
      <c r="DU168" s="87"/>
    </row>
    <row r="169" spans="2:125" s="83" customFormat="1" ht="12.75" customHeight="1">
      <c r="B169" s="110"/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94"/>
      <c r="AB169" s="84"/>
      <c r="AC169" s="8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75"/>
      <c r="CT169" s="101"/>
      <c r="CU169" s="84"/>
      <c r="CV169" s="84"/>
      <c r="CW169" s="84"/>
      <c r="CX169" s="84"/>
      <c r="CY169" s="84"/>
      <c r="CZ169" s="84"/>
      <c r="DA169" s="84"/>
      <c r="DB169" s="84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U169" s="87"/>
    </row>
    <row r="170" spans="2:125" s="83" customFormat="1" ht="12.75" customHeight="1">
      <c r="B170" s="110"/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94"/>
      <c r="AB170" s="84"/>
      <c r="AC170" s="87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75"/>
      <c r="CT170" s="101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4"/>
      <c r="DL170" s="84"/>
      <c r="DM170" s="84"/>
      <c r="DN170" s="84"/>
      <c r="DO170" s="84"/>
      <c r="DP170" s="84"/>
      <c r="DQ170" s="84"/>
      <c r="DR170" s="84"/>
      <c r="DS170" s="84"/>
      <c r="DU170" s="87"/>
    </row>
    <row r="171" spans="2:125" s="83" customFormat="1" ht="12.75" customHeight="1">
      <c r="B171" s="110"/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94"/>
      <c r="AB171" s="84"/>
      <c r="AC171" s="87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75"/>
      <c r="CT171" s="101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4"/>
      <c r="DL171" s="84"/>
      <c r="DM171" s="84"/>
      <c r="DN171" s="84"/>
      <c r="DO171" s="84"/>
      <c r="DP171" s="84"/>
      <c r="DQ171" s="84"/>
      <c r="DR171" s="84"/>
      <c r="DS171" s="84"/>
      <c r="DU171" s="87"/>
    </row>
    <row r="172" spans="2:125" s="83" customFormat="1" ht="12.75" customHeight="1">
      <c r="B172" s="110"/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94"/>
      <c r="AB172" s="84"/>
      <c r="AC172" s="87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75"/>
      <c r="CT172" s="101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4"/>
      <c r="DL172" s="84"/>
      <c r="DM172" s="84"/>
      <c r="DN172" s="84"/>
      <c r="DO172" s="84"/>
      <c r="DP172" s="84"/>
      <c r="DQ172" s="84"/>
      <c r="DR172" s="84"/>
      <c r="DS172" s="84"/>
      <c r="DU172" s="87"/>
    </row>
    <row r="173" spans="2:125" s="83" customFormat="1" ht="12.75" customHeight="1">
      <c r="B173" s="110"/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94"/>
      <c r="AB173" s="84"/>
      <c r="AC173" s="87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75"/>
      <c r="CT173" s="101"/>
      <c r="CU173" s="84"/>
      <c r="CV173" s="84"/>
      <c r="CW173" s="84"/>
      <c r="CX173" s="84"/>
      <c r="CY173" s="84"/>
      <c r="CZ173" s="84"/>
      <c r="DA173" s="84"/>
      <c r="DB173" s="84"/>
      <c r="DC173" s="84"/>
      <c r="DD173" s="84"/>
      <c r="DE173" s="84"/>
      <c r="DF173" s="84"/>
      <c r="DG173" s="84"/>
      <c r="DH173" s="84"/>
      <c r="DI173" s="84"/>
      <c r="DJ173" s="84"/>
      <c r="DK173" s="84"/>
      <c r="DL173" s="84"/>
      <c r="DM173" s="84"/>
      <c r="DN173" s="84"/>
      <c r="DO173" s="84"/>
      <c r="DP173" s="84"/>
      <c r="DQ173" s="84"/>
      <c r="DR173" s="84"/>
      <c r="DS173" s="84"/>
      <c r="DU173" s="87"/>
    </row>
    <row r="174" spans="2:125" s="83" customFormat="1" ht="12.75" customHeight="1">
      <c r="B174" s="110"/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94"/>
      <c r="AB174" s="84"/>
      <c r="AC174" s="87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75"/>
      <c r="CT174" s="101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4"/>
      <c r="DL174" s="84"/>
      <c r="DM174" s="84"/>
      <c r="DN174" s="84"/>
      <c r="DO174" s="84"/>
      <c r="DP174" s="84"/>
      <c r="DQ174" s="84"/>
      <c r="DR174" s="84"/>
      <c r="DS174" s="84"/>
      <c r="DU174" s="87"/>
    </row>
    <row r="175" spans="2:125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75"/>
      <c r="CT175" s="101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U175" s="87"/>
    </row>
    <row r="176" spans="2:125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75"/>
      <c r="CT176" s="101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U176" s="87"/>
    </row>
    <row r="177" spans="2:125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75"/>
      <c r="CT177" s="101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U177" s="87"/>
    </row>
    <row r="178" spans="2:125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75"/>
      <c r="CT178" s="101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U178" s="87"/>
    </row>
    <row r="179" spans="2:125" s="83" customFormat="1" ht="12.75" customHeight="1">
      <c r="B179" s="110"/>
      <c r="C179" s="101"/>
      <c r="D179" s="101"/>
      <c r="E179" s="101"/>
      <c r="F179" s="101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94"/>
      <c r="Z179" s="84"/>
      <c r="AA179" s="94"/>
      <c r="AB179" s="84"/>
      <c r="AC179" s="87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75"/>
      <c r="CT179" s="101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  <c r="DM179" s="84"/>
      <c r="DN179" s="84"/>
      <c r="DO179" s="84"/>
      <c r="DP179" s="84"/>
      <c r="DQ179" s="84"/>
      <c r="DR179" s="84"/>
      <c r="DS179" s="84"/>
      <c r="DU179" s="87"/>
    </row>
    <row r="180" spans="2:125" s="83" customFormat="1" ht="12.75" customHeight="1">
      <c r="B180" s="110"/>
      <c r="C180" s="101"/>
      <c r="D180" s="101"/>
      <c r="E180" s="101"/>
      <c r="F180" s="101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94"/>
      <c r="Z180" s="84"/>
      <c r="AA180" s="94"/>
      <c r="AB180" s="84"/>
      <c r="AC180" s="87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75"/>
      <c r="CT180" s="101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U180" s="87"/>
    </row>
    <row r="181" spans="2:125" s="83" customFormat="1" ht="12.75" customHeight="1">
      <c r="B181" s="110"/>
      <c r="C181" s="101"/>
      <c r="D181" s="101"/>
      <c r="E181" s="101"/>
      <c r="F181" s="101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94"/>
      <c r="Z181" s="84"/>
      <c r="AA181" s="94"/>
      <c r="AB181" s="84"/>
      <c r="AC181" s="87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75"/>
      <c r="CT181" s="101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4"/>
      <c r="DL181" s="84"/>
      <c r="DM181" s="84"/>
      <c r="DN181" s="84"/>
      <c r="DO181" s="84"/>
      <c r="DP181" s="84"/>
      <c r="DQ181" s="84"/>
      <c r="DR181" s="84"/>
      <c r="DS181" s="84"/>
      <c r="DU181" s="87"/>
    </row>
    <row r="182" spans="2:125" s="83" customFormat="1" ht="12.75" customHeight="1">
      <c r="B182" s="110"/>
      <c r="C182" s="101"/>
      <c r="D182" s="101"/>
      <c r="E182" s="101"/>
      <c r="F182" s="101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94"/>
      <c r="Z182" s="84"/>
      <c r="AA182" s="94"/>
      <c r="AB182" s="84"/>
      <c r="AC182" s="87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75"/>
      <c r="CT182" s="101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  <c r="DM182" s="84"/>
      <c r="DN182" s="84"/>
      <c r="DO182" s="84"/>
      <c r="DP182" s="84"/>
      <c r="DQ182" s="84"/>
      <c r="DR182" s="84"/>
      <c r="DS182" s="84"/>
      <c r="DU182" s="87"/>
    </row>
    <row r="183" spans="2:125" s="83" customFormat="1" ht="12.75" customHeight="1">
      <c r="B183" s="110"/>
      <c r="C183" s="101"/>
      <c r="D183" s="101"/>
      <c r="E183" s="101"/>
      <c r="F183" s="101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94"/>
      <c r="Z183" s="84"/>
      <c r="AA183" s="94"/>
      <c r="AB183" s="84"/>
      <c r="AC183" s="87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75"/>
      <c r="CT183" s="101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4"/>
      <c r="DF183" s="84"/>
      <c r="DG183" s="84"/>
      <c r="DH183" s="84"/>
      <c r="DI183" s="84"/>
      <c r="DJ183" s="84"/>
      <c r="DK183" s="84"/>
      <c r="DL183" s="84"/>
      <c r="DM183" s="84"/>
      <c r="DN183" s="84"/>
      <c r="DO183" s="84"/>
      <c r="DP183" s="84"/>
      <c r="DQ183" s="84"/>
      <c r="DR183" s="84"/>
      <c r="DS183" s="84"/>
      <c r="DU183" s="87"/>
    </row>
    <row r="184" spans="2:125" s="83" customFormat="1" ht="12.75" customHeight="1">
      <c r="B184" s="110"/>
      <c r="C184" s="101"/>
      <c r="D184" s="101"/>
      <c r="E184" s="101"/>
      <c r="F184" s="101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94"/>
      <c r="Z184" s="84"/>
      <c r="AA184" s="94"/>
      <c r="AB184" s="84"/>
      <c r="AC184" s="87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75"/>
      <c r="CT184" s="101"/>
      <c r="CU184" s="84"/>
      <c r="CV184" s="84"/>
      <c r="CW184" s="84"/>
      <c r="CX184" s="84"/>
      <c r="CY184" s="84"/>
      <c r="CZ184" s="84"/>
      <c r="DA184" s="84"/>
      <c r="DB184" s="84"/>
      <c r="DC184" s="84"/>
      <c r="DD184" s="84"/>
      <c r="DE184" s="84"/>
      <c r="DF184" s="84"/>
      <c r="DG184" s="84"/>
      <c r="DH184" s="84"/>
      <c r="DI184" s="84"/>
      <c r="DJ184" s="84"/>
      <c r="DK184" s="84"/>
      <c r="DL184" s="84"/>
      <c r="DM184" s="84"/>
      <c r="DN184" s="84"/>
      <c r="DO184" s="84"/>
      <c r="DP184" s="84"/>
      <c r="DQ184" s="84"/>
      <c r="DR184" s="84"/>
      <c r="DS184" s="84"/>
      <c r="DU184" s="87"/>
    </row>
    <row r="185" spans="2:125" s="83" customFormat="1" ht="12.75" customHeight="1">
      <c r="B185" s="110"/>
      <c r="C185" s="101"/>
      <c r="D185" s="101"/>
      <c r="E185" s="101"/>
      <c r="F185" s="101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94"/>
      <c r="Z185" s="84"/>
      <c r="AA185" s="94"/>
      <c r="AB185" s="84"/>
      <c r="AC185" s="87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75"/>
      <c r="CT185" s="101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4"/>
      <c r="DF185" s="84"/>
      <c r="DG185" s="84"/>
      <c r="DH185" s="84"/>
      <c r="DI185" s="84"/>
      <c r="DJ185" s="84"/>
      <c r="DK185" s="84"/>
      <c r="DL185" s="84"/>
      <c r="DM185" s="84"/>
      <c r="DN185" s="84"/>
      <c r="DO185" s="84"/>
      <c r="DP185" s="84"/>
      <c r="DQ185" s="84"/>
      <c r="DR185" s="84"/>
      <c r="DS185" s="84"/>
      <c r="DU185" s="87"/>
    </row>
    <row r="186" spans="2:125" s="83" customFormat="1" ht="12.75" customHeight="1">
      <c r="B186" s="110"/>
      <c r="C186" s="101"/>
      <c r="D186" s="101"/>
      <c r="E186" s="101"/>
      <c r="F186" s="101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94"/>
      <c r="Z186" s="84"/>
      <c r="AA186" s="94"/>
      <c r="AB186" s="84"/>
      <c r="AC186" s="87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75"/>
      <c r="CT186" s="101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4"/>
      <c r="DF186" s="84"/>
      <c r="DG186" s="84"/>
      <c r="DH186" s="84"/>
      <c r="DI186" s="84"/>
      <c r="DJ186" s="84"/>
      <c r="DK186" s="84"/>
      <c r="DL186" s="84"/>
      <c r="DM186" s="84"/>
      <c r="DN186" s="84"/>
      <c r="DO186" s="84"/>
      <c r="DP186" s="84"/>
      <c r="DQ186" s="84"/>
      <c r="DR186" s="84"/>
      <c r="DS186" s="84"/>
      <c r="DU186" s="87"/>
    </row>
    <row r="187" spans="2:125" s="83" customFormat="1" ht="12.75" customHeight="1">
      <c r="B187" s="110"/>
      <c r="C187" s="101"/>
      <c r="D187" s="101"/>
      <c r="E187" s="101"/>
      <c r="F187" s="101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94"/>
      <c r="Z187" s="84"/>
      <c r="AA187" s="94"/>
      <c r="AB187" s="84"/>
      <c r="AC187" s="87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75"/>
      <c r="CT187" s="101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  <c r="DM187" s="84"/>
      <c r="DN187" s="84"/>
      <c r="DO187" s="84"/>
      <c r="DP187" s="84"/>
      <c r="DQ187" s="84"/>
      <c r="DR187" s="84"/>
      <c r="DS187" s="84"/>
      <c r="DU187" s="87"/>
    </row>
    <row r="188" spans="2:125" s="83" customFormat="1" ht="12.75" customHeight="1">
      <c r="B188" s="110"/>
      <c r="C188" s="101"/>
      <c r="D188" s="101"/>
      <c r="E188" s="101"/>
      <c r="F188" s="101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94"/>
      <c r="Z188" s="84"/>
      <c r="AA188" s="94"/>
      <c r="AB188" s="84"/>
      <c r="AC188" s="87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75"/>
      <c r="CT188" s="101"/>
      <c r="CU188" s="84"/>
      <c r="CV188" s="84"/>
      <c r="CW188" s="84"/>
      <c r="CX188" s="84"/>
      <c r="CY188" s="84"/>
      <c r="CZ188" s="84"/>
      <c r="DA188" s="84"/>
      <c r="DB188" s="84"/>
      <c r="DC188" s="84"/>
      <c r="DD188" s="84"/>
      <c r="DE188" s="84"/>
      <c r="DF188" s="84"/>
      <c r="DG188" s="84"/>
      <c r="DH188" s="84"/>
      <c r="DI188" s="84"/>
      <c r="DJ188" s="84"/>
      <c r="DK188" s="84"/>
      <c r="DL188" s="84"/>
      <c r="DM188" s="84"/>
      <c r="DN188" s="84"/>
      <c r="DO188" s="84"/>
      <c r="DP188" s="84"/>
      <c r="DQ188" s="84"/>
      <c r="DR188" s="84"/>
      <c r="DS188" s="84"/>
      <c r="DU188" s="87"/>
    </row>
    <row r="189" spans="2:125" s="83" customFormat="1" ht="12.75" customHeight="1">
      <c r="B189" s="110"/>
      <c r="C189" s="101"/>
      <c r="D189" s="101"/>
      <c r="E189" s="101"/>
      <c r="F189" s="101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94"/>
      <c r="Z189" s="84"/>
      <c r="AA189" s="94"/>
      <c r="AB189" s="84"/>
      <c r="AC189" s="87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75"/>
      <c r="CT189" s="101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DR189" s="84"/>
      <c r="DS189" s="84"/>
      <c r="DU189" s="87"/>
    </row>
    <row r="190" spans="2:125" s="83" customFormat="1" ht="12.75" customHeight="1">
      <c r="B190" s="110"/>
      <c r="C190" s="101"/>
      <c r="D190" s="101"/>
      <c r="E190" s="101"/>
      <c r="F190" s="101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94"/>
      <c r="Z190" s="84"/>
      <c r="AA190" s="94"/>
      <c r="AB190" s="84"/>
      <c r="AC190" s="87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75"/>
      <c r="CT190" s="101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DR190" s="84"/>
      <c r="DS190" s="84"/>
      <c r="DU190" s="87"/>
    </row>
    <row r="191" spans="2:125" s="83" customFormat="1" ht="12.75" customHeight="1">
      <c r="B191" s="110"/>
      <c r="C191" s="101"/>
      <c r="D191" s="101"/>
      <c r="E191" s="101"/>
      <c r="F191" s="101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94"/>
      <c r="Z191" s="84"/>
      <c r="AA191" s="94"/>
      <c r="AB191" s="84"/>
      <c r="AC191" s="87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75"/>
      <c r="CT191" s="101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  <c r="DS191" s="84"/>
      <c r="DU191" s="87"/>
    </row>
    <row r="192" spans="2:125" s="83" customFormat="1" ht="12.75" customHeight="1">
      <c r="B192" s="110"/>
      <c r="C192" s="101"/>
      <c r="D192" s="101"/>
      <c r="E192" s="101"/>
      <c r="F192" s="101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94"/>
      <c r="Z192" s="84"/>
      <c r="AA192" s="94"/>
      <c r="AB192" s="84"/>
      <c r="AC192" s="87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75"/>
      <c r="CT192" s="101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  <c r="DM192" s="84"/>
      <c r="DN192" s="84"/>
      <c r="DO192" s="84"/>
      <c r="DP192" s="84"/>
      <c r="DQ192" s="84"/>
      <c r="DR192" s="84"/>
      <c r="DS192" s="84"/>
      <c r="DU192" s="87"/>
    </row>
    <row r="193" spans="2:125" s="83" customFormat="1" ht="12.75" customHeight="1">
      <c r="B193" s="110"/>
      <c r="C193" s="101"/>
      <c r="D193" s="101"/>
      <c r="E193" s="101"/>
      <c r="F193" s="101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94"/>
      <c r="Z193" s="84"/>
      <c r="AA193" s="94"/>
      <c r="AB193" s="84"/>
      <c r="AC193" s="87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75"/>
      <c r="CT193" s="101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U193" s="87"/>
    </row>
    <row r="194" spans="2:125" s="83" customFormat="1" ht="12.75" customHeight="1">
      <c r="B194" s="110"/>
      <c r="C194" s="101"/>
      <c r="D194" s="101"/>
      <c r="E194" s="101"/>
      <c r="F194" s="101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94"/>
      <c r="Z194" s="84"/>
      <c r="AA194" s="94"/>
      <c r="AB194" s="84"/>
      <c r="AC194" s="87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75"/>
      <c r="CT194" s="101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U194" s="87"/>
    </row>
    <row r="195" spans="2:125" s="83" customFormat="1" ht="12.75" customHeight="1">
      <c r="B195" s="110"/>
      <c r="C195" s="101"/>
      <c r="D195" s="101"/>
      <c r="E195" s="101"/>
      <c r="F195" s="101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94"/>
      <c r="Z195" s="84"/>
      <c r="AA195" s="94"/>
      <c r="AB195" s="84"/>
      <c r="AC195" s="87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75"/>
      <c r="CT195" s="101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DR195" s="84"/>
      <c r="DS195" s="84"/>
      <c r="DU195" s="87"/>
    </row>
    <row r="196" spans="2:125" s="83" customFormat="1" ht="12.75" customHeight="1">
      <c r="B196" s="110"/>
      <c r="C196" s="101"/>
      <c r="D196" s="101"/>
      <c r="E196" s="101"/>
      <c r="F196" s="101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94"/>
      <c r="Z196" s="84"/>
      <c r="AA196" s="94"/>
      <c r="AB196" s="84"/>
      <c r="AC196" s="87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75"/>
      <c r="CT196" s="101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DR196" s="84"/>
      <c r="DS196" s="84"/>
      <c r="DU196" s="87"/>
    </row>
    <row r="197" spans="2:125" s="83" customFormat="1" ht="12.75" customHeight="1">
      <c r="B197" s="110"/>
      <c r="C197" s="101"/>
      <c r="D197" s="101"/>
      <c r="E197" s="101"/>
      <c r="F197" s="101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94"/>
      <c r="Z197" s="84"/>
      <c r="AA197" s="94"/>
      <c r="AB197" s="84"/>
      <c r="AC197" s="87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75"/>
      <c r="CT197" s="101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U197" s="87"/>
    </row>
    <row r="198" spans="2:125" s="83" customFormat="1" ht="12.75" customHeight="1">
      <c r="B198" s="110"/>
      <c r="C198" s="101"/>
      <c r="D198" s="101"/>
      <c r="E198" s="101"/>
      <c r="F198" s="101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94"/>
      <c r="Z198" s="84"/>
      <c r="AA198" s="94"/>
      <c r="AB198" s="84"/>
      <c r="AC198" s="87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75"/>
      <c r="CT198" s="101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U198" s="87"/>
    </row>
    <row r="199" spans="2:125" s="83" customFormat="1" ht="12.75" customHeight="1">
      <c r="B199" s="110"/>
      <c r="C199" s="101"/>
      <c r="D199" s="101"/>
      <c r="E199" s="101"/>
      <c r="F199" s="101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94"/>
      <c r="Z199" s="84"/>
      <c r="AA199" s="94"/>
      <c r="AB199" s="84"/>
      <c r="AC199" s="87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75"/>
      <c r="CT199" s="101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U199" s="87"/>
    </row>
    <row r="200" spans="2:125" s="83" customFormat="1" ht="12.75" customHeight="1">
      <c r="B200" s="110"/>
      <c r="C200" s="101"/>
      <c r="D200" s="101"/>
      <c r="E200" s="101"/>
      <c r="F200" s="101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94"/>
      <c r="Z200" s="84"/>
      <c r="AA200" s="94"/>
      <c r="AB200" s="84"/>
      <c r="AC200" s="87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75"/>
      <c r="CT200" s="101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  <c r="DS200" s="84"/>
      <c r="DU200" s="87"/>
    </row>
    <row r="201" spans="2:125" s="83" customFormat="1" ht="12.75" customHeight="1">
      <c r="B201" s="110"/>
      <c r="C201" s="101"/>
      <c r="D201" s="101"/>
      <c r="E201" s="101"/>
      <c r="F201" s="101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75"/>
      <c r="CT201" s="101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U201" s="87"/>
    </row>
    <row r="202" spans="2:125" s="83" customFormat="1" ht="12.75" customHeight="1">
      <c r="B202" s="110"/>
      <c r="C202" s="101"/>
      <c r="D202" s="101"/>
      <c r="E202" s="101"/>
      <c r="F202" s="101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94"/>
      <c r="Z202" s="84"/>
      <c r="AA202" s="94"/>
      <c r="AB202" s="84"/>
      <c r="AC202" s="87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75"/>
      <c r="CT202" s="101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U202" s="87"/>
    </row>
    <row r="203" spans="2:125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75"/>
      <c r="CT203" s="101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U203" s="87"/>
    </row>
    <row r="204" spans="2:125" s="83" customFormat="1" ht="12.75" customHeight="1">
      <c r="B204" s="110"/>
      <c r="C204" s="101"/>
      <c r="D204" s="101"/>
      <c r="E204" s="101"/>
      <c r="F204" s="101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94"/>
      <c r="Z204" s="84"/>
      <c r="AA204" s="94"/>
      <c r="AB204" s="84"/>
      <c r="AC204" s="87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75"/>
      <c r="CT204" s="101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  <c r="DM204" s="84"/>
      <c r="DN204" s="84"/>
      <c r="DO204" s="84"/>
      <c r="DP204" s="84"/>
      <c r="DQ204" s="84"/>
      <c r="DR204" s="84"/>
      <c r="DS204" s="84"/>
      <c r="DU204" s="87"/>
    </row>
    <row r="205" spans="2:125" s="83" customFormat="1" ht="12.75" customHeight="1">
      <c r="B205" s="110"/>
      <c r="C205" s="101"/>
      <c r="D205" s="101"/>
      <c r="E205" s="101"/>
      <c r="F205" s="101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94"/>
      <c r="Z205" s="84"/>
      <c r="AA205" s="94"/>
      <c r="AB205" s="84"/>
      <c r="AC205" s="87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75"/>
      <c r="CT205" s="101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  <c r="DS205" s="84"/>
      <c r="DU205" s="87"/>
    </row>
    <row r="206" spans="2:125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75"/>
      <c r="CT206" s="101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U206" s="87"/>
    </row>
    <row r="207" spans="2:125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75"/>
      <c r="CT207" s="101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U207" s="87"/>
    </row>
    <row r="208" spans="2:125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75"/>
      <c r="CT208" s="101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U208" s="87"/>
    </row>
    <row r="209" spans="2:125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75"/>
      <c r="CT209" s="101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U209" s="87"/>
    </row>
    <row r="210" spans="2:125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75"/>
      <c r="CT210" s="101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U210" s="87"/>
    </row>
    <row r="211" spans="2:125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75"/>
      <c r="CT211" s="101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U211" s="87"/>
    </row>
    <row r="212" spans="2:125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75"/>
      <c r="CT212" s="101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U212" s="87"/>
    </row>
    <row r="213" spans="2:125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75"/>
      <c r="CT213" s="101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U213" s="87"/>
    </row>
    <row r="214" spans="2:125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75"/>
      <c r="CT214" s="101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U214" s="87"/>
    </row>
    <row r="215" spans="2:125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75"/>
      <c r="CT215" s="101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U215" s="87"/>
    </row>
    <row r="216" spans="2:125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75"/>
      <c r="CT216" s="101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U216" s="87"/>
    </row>
    <row r="217" spans="2:125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75"/>
      <c r="CT217" s="101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U217" s="87"/>
    </row>
    <row r="218" spans="2:125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75"/>
      <c r="CT218" s="101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U218" s="87"/>
    </row>
    <row r="219" spans="2:125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75"/>
      <c r="CT219" s="101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U219" s="87"/>
    </row>
    <row r="220" spans="2:125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75"/>
      <c r="CT220" s="101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U220" s="87"/>
    </row>
    <row r="221" spans="2:125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75"/>
      <c r="CT221" s="101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U221" s="87"/>
    </row>
    <row r="222" spans="2:125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75"/>
      <c r="CT222" s="101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U222" s="87"/>
    </row>
    <row r="223" spans="2:125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75"/>
      <c r="CT223" s="101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U223" s="87"/>
    </row>
    <row r="224" spans="2:125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75"/>
      <c r="CT224" s="101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U224" s="87"/>
    </row>
    <row r="225" spans="2:125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75"/>
      <c r="CT225" s="101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U225" s="87"/>
    </row>
    <row r="226" spans="2:125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75"/>
      <c r="CT226" s="101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U226" s="87"/>
    </row>
    <row r="227" spans="2:125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75"/>
      <c r="CT227" s="101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U227" s="87"/>
    </row>
    <row r="228" spans="2:125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75"/>
      <c r="CT228" s="101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U228" s="87"/>
    </row>
    <row r="229" spans="2:125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75"/>
      <c r="CT229" s="101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U229" s="87"/>
    </row>
    <row r="230" spans="2:125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75"/>
      <c r="CT230" s="101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U230" s="87"/>
    </row>
    <row r="231" spans="2:125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75"/>
      <c r="CT231" s="101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U231" s="87"/>
    </row>
    <row r="232" spans="2:125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75"/>
      <c r="CT232" s="101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U232" s="87"/>
    </row>
    <row r="233" spans="2:125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75"/>
      <c r="CT233" s="101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U233" s="87"/>
    </row>
    <row r="234" spans="2:125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75"/>
      <c r="CT234" s="101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U234" s="87"/>
    </row>
    <row r="235" spans="2:125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75"/>
      <c r="CT235" s="101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U235" s="87"/>
    </row>
    <row r="236" spans="2:125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75"/>
      <c r="CT236" s="101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U236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CW90:CW91 CT97 CW98 CT89:CT91 CT83:CV83 CT85:CT86 CX85 CT92:CT93 CW86 CV85:CV86 CU85:CU86 CU89:CV91 CX89:CX91 CU97:CV97 CX94 CU94:CW94 CT94 CU92:CV93 CX92:CX93 CW9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0"/>
  <sheetViews>
    <sheetView zoomScale="175" zoomScaleNormal="175" workbookViewId="0">
      <selection activeCell="C8" sqref="C8"/>
    </sheetView>
  </sheetViews>
  <sheetFormatPr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8">
      <c r="A1" s="5" t="s">
        <v>8</v>
      </c>
    </row>
    <row r="2" spans="1:8">
      <c r="B2" s="75" t="s">
        <v>761</v>
      </c>
      <c r="C2" s="75" t="s">
        <v>763</v>
      </c>
    </row>
    <row r="3" spans="1:8">
      <c r="B3" s="75" t="s">
        <v>762</v>
      </c>
      <c r="C3" s="75" t="s">
        <v>772</v>
      </c>
    </row>
    <row r="4" spans="1:8">
      <c r="B4" s="75" t="s">
        <v>773</v>
      </c>
    </row>
    <row r="5" spans="1:8">
      <c r="B5" s="75" t="s">
        <v>208</v>
      </c>
      <c r="C5" s="75" t="s">
        <v>774</v>
      </c>
    </row>
    <row r="6" spans="1:8">
      <c r="B6" s="75" t="s">
        <v>211</v>
      </c>
    </row>
    <row r="7" spans="1:8">
      <c r="C7" s="75" t="s">
        <v>793</v>
      </c>
      <c r="D7" s="75" t="s">
        <v>794</v>
      </c>
      <c r="E7" s="75" t="s">
        <v>795</v>
      </c>
      <c r="F7" s="75" t="s">
        <v>796</v>
      </c>
      <c r="G7" s="75" t="s">
        <v>797</v>
      </c>
      <c r="H7" s="75" t="s">
        <v>799</v>
      </c>
    </row>
    <row r="8" spans="1:8">
      <c r="C8" s="75" t="s">
        <v>802</v>
      </c>
      <c r="D8" s="75" t="s">
        <v>805</v>
      </c>
      <c r="E8" s="75"/>
      <c r="F8" s="75"/>
      <c r="G8" s="75"/>
      <c r="H8" s="75" t="s">
        <v>803</v>
      </c>
    </row>
    <row r="9" spans="1:8">
      <c r="C9" s="75" t="s">
        <v>800</v>
      </c>
      <c r="D9" s="75" t="s">
        <v>806</v>
      </c>
      <c r="H9" s="75" t="s">
        <v>801</v>
      </c>
    </row>
    <row r="10" spans="1:8">
      <c r="C10" s="75" t="s">
        <v>807</v>
      </c>
      <c r="D10" s="75" t="s">
        <v>804</v>
      </c>
      <c r="H10" s="75" t="s">
        <v>808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211</v>
      </c>
    </row>
    <row r="4" spans="1:12">
      <c r="C4" s="18" t="s">
        <v>499</v>
      </c>
    </row>
    <row r="5" spans="1:12">
      <c r="C5" s="4" t="s">
        <v>500</v>
      </c>
    </row>
    <row r="7" spans="1:12">
      <c r="C7" s="18" t="s">
        <v>422</v>
      </c>
    </row>
    <row r="8" spans="1:12">
      <c r="C8" t="s">
        <v>423</v>
      </c>
    </row>
    <row r="9" spans="1:12">
      <c r="C9" t="s">
        <v>452</v>
      </c>
    </row>
    <row r="12" spans="1:12">
      <c r="B12" s="4" t="s">
        <v>324</v>
      </c>
      <c r="D12" s="32" t="s">
        <v>105</v>
      </c>
      <c r="E12" s="32" t="s">
        <v>491</v>
      </c>
      <c r="F12" s="32" t="s">
        <v>496</v>
      </c>
      <c r="G12" s="32" t="s">
        <v>492</v>
      </c>
      <c r="H12" s="32" t="s">
        <v>493</v>
      </c>
      <c r="I12" s="32" t="s">
        <v>495</v>
      </c>
      <c r="J12" s="32" t="s">
        <v>494</v>
      </c>
      <c r="K12" s="32" t="s">
        <v>497</v>
      </c>
      <c r="L12" s="32" t="s">
        <v>498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838</v>
      </c>
    </row>
    <row r="4" spans="1:3">
      <c r="B4" s="1" t="s">
        <v>3</v>
      </c>
      <c r="C4" s="1" t="s">
        <v>311</v>
      </c>
    </row>
    <row r="5" spans="1:3">
      <c r="C5" s="1" t="s">
        <v>312</v>
      </c>
    </row>
    <row r="6" spans="1:3">
      <c r="C6" s="1" t="s">
        <v>424</v>
      </c>
    </row>
    <row r="7" spans="1:3">
      <c r="C7" s="1" t="s">
        <v>482</v>
      </c>
    </row>
    <row r="8" spans="1:3">
      <c r="B8" s="1" t="s">
        <v>193</v>
      </c>
      <c r="C8" s="1" t="s">
        <v>204</v>
      </c>
    </row>
    <row r="9" spans="1:3">
      <c r="B9" s="1" t="s">
        <v>194</v>
      </c>
      <c r="C9" s="1" t="s">
        <v>195</v>
      </c>
    </row>
    <row r="10" spans="1:3">
      <c r="B10" s="1" t="s">
        <v>184</v>
      </c>
      <c r="C10" s="1" t="s">
        <v>483</v>
      </c>
    </row>
    <row r="11" spans="1:3">
      <c r="B11" s="1" t="s">
        <v>309</v>
      </c>
      <c r="C11" s="1" t="s">
        <v>310</v>
      </c>
    </row>
    <row r="12" spans="1:3">
      <c r="B12" s="1" t="s">
        <v>5</v>
      </c>
      <c r="C12" s="1" t="s">
        <v>425</v>
      </c>
    </row>
    <row r="13" spans="1:3">
      <c r="B13" s="1" t="s">
        <v>306</v>
      </c>
      <c r="C13" s="1" t="s">
        <v>307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196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201</v>
      </c>
    </row>
    <row r="43" spans="3:8">
      <c r="C43" s="1" t="s">
        <v>202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5"/>
  <sheetViews>
    <sheetView zoomScale="130" zoomScaleNormal="130" workbookViewId="0"/>
  </sheetViews>
  <sheetFormatPr defaultRowHeight="12.75"/>
  <cols>
    <col min="1" max="1" width="5" bestFit="1" customWidth="1"/>
  </cols>
  <sheetData>
    <row r="1" spans="1:3">
      <c r="A1" s="5" t="s">
        <v>8</v>
      </c>
    </row>
    <row r="2" spans="1:3">
      <c r="B2" s="75" t="s">
        <v>761</v>
      </c>
      <c r="C2" s="75" t="s">
        <v>898</v>
      </c>
    </row>
    <row r="3" spans="1:3">
      <c r="B3" s="75" t="s">
        <v>762</v>
      </c>
      <c r="C3" s="75" t="s">
        <v>899</v>
      </c>
    </row>
    <row r="4" spans="1:3">
      <c r="B4" s="75" t="s">
        <v>766</v>
      </c>
      <c r="C4" s="75" t="s">
        <v>900</v>
      </c>
    </row>
    <row r="5" spans="1:3">
      <c r="B5" s="75" t="s">
        <v>3</v>
      </c>
      <c r="C5" s="75" t="s">
        <v>901</v>
      </c>
    </row>
    <row r="6" spans="1:3">
      <c r="B6" s="75" t="s">
        <v>269</v>
      </c>
      <c r="C6" s="75" t="s">
        <v>902</v>
      </c>
    </row>
    <row r="7" spans="1:3">
      <c r="B7" s="75" t="s">
        <v>418</v>
      </c>
      <c r="C7" s="75" t="s">
        <v>903</v>
      </c>
    </row>
    <row r="8" spans="1:3">
      <c r="B8" s="75" t="s">
        <v>6</v>
      </c>
      <c r="C8" s="75" t="s">
        <v>904</v>
      </c>
    </row>
    <row r="9" spans="1:3">
      <c r="B9" s="75"/>
      <c r="C9" s="75" t="s">
        <v>905</v>
      </c>
    </row>
    <row r="10" spans="1:3">
      <c r="B10" s="75"/>
      <c r="C10" s="75" t="s">
        <v>906</v>
      </c>
    </row>
    <row r="11" spans="1:3">
      <c r="B11" s="75"/>
      <c r="C11" s="75" t="s">
        <v>907</v>
      </c>
    </row>
    <row r="12" spans="1:3">
      <c r="B12" s="75"/>
      <c r="C12" s="75" t="s">
        <v>908</v>
      </c>
    </row>
    <row r="13" spans="1:3">
      <c r="B13" s="75"/>
      <c r="C13" s="75" t="s">
        <v>909</v>
      </c>
    </row>
    <row r="14" spans="1:3">
      <c r="B14" s="75"/>
      <c r="C14" s="75"/>
    </row>
    <row r="15" spans="1:3">
      <c r="B15" s="75" t="s">
        <v>211</v>
      </c>
    </row>
    <row r="16" spans="1:3">
      <c r="C16" s="18" t="s">
        <v>910</v>
      </c>
    </row>
    <row r="18" spans="3:3">
      <c r="C18" s="18" t="s">
        <v>911</v>
      </c>
    </row>
    <row r="20" spans="3:3">
      <c r="C20" s="18" t="s">
        <v>912</v>
      </c>
    </row>
    <row r="21" spans="3:3">
      <c r="C21" s="75" t="s">
        <v>913</v>
      </c>
    </row>
    <row r="23" spans="3:3">
      <c r="C23" s="18" t="s">
        <v>914</v>
      </c>
    </row>
    <row r="24" spans="3:3">
      <c r="C24" s="75" t="s">
        <v>915</v>
      </c>
    </row>
    <row r="25" spans="3:3">
      <c r="C25" s="75" t="s">
        <v>916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5" t="s">
        <v>761</v>
      </c>
      <c r="C2" s="75" t="s">
        <v>920</v>
      </c>
    </row>
    <row r="3" spans="1:3">
      <c r="B3" s="75" t="s">
        <v>762</v>
      </c>
      <c r="C3" s="75" t="s">
        <v>921</v>
      </c>
    </row>
    <row r="4" spans="1:3">
      <c r="B4" s="75" t="s">
        <v>766</v>
      </c>
      <c r="C4" s="75" t="s">
        <v>922</v>
      </c>
    </row>
    <row r="5" spans="1:3">
      <c r="B5" s="75" t="s">
        <v>3</v>
      </c>
      <c r="C5" s="75" t="s">
        <v>923</v>
      </c>
    </row>
    <row r="6" spans="1:3">
      <c r="B6" s="75" t="s">
        <v>269</v>
      </c>
      <c r="C6" s="75" t="s">
        <v>919</v>
      </c>
    </row>
    <row r="7" spans="1:3">
      <c r="B7" s="75" t="s">
        <v>211</v>
      </c>
    </row>
    <row r="8" spans="1:3">
      <c r="C8" s="18" t="s">
        <v>927</v>
      </c>
    </row>
    <row r="9" spans="1:3">
      <c r="C9" s="75" t="s">
        <v>924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599</v>
      </c>
    </row>
    <row r="4" spans="1:3">
      <c r="A4" s="5"/>
      <c r="B4" t="s">
        <v>3</v>
      </c>
      <c r="C4" t="s">
        <v>600</v>
      </c>
    </row>
    <row r="5" spans="1:3">
      <c r="A5" s="5"/>
      <c r="B5" t="s">
        <v>271</v>
      </c>
      <c r="C5" t="s">
        <v>207</v>
      </c>
    </row>
    <row r="6" spans="1:3">
      <c r="B6" t="s">
        <v>197</v>
      </c>
      <c r="C6" t="s">
        <v>198</v>
      </c>
    </row>
    <row r="7" spans="1:3">
      <c r="B7" t="s">
        <v>5</v>
      </c>
      <c r="C7" t="s">
        <v>598</v>
      </c>
    </row>
    <row r="8" spans="1:3">
      <c r="B8" s="4" t="s">
        <v>447</v>
      </c>
      <c r="C8" s="4" t="s">
        <v>604</v>
      </c>
    </row>
    <row r="9" spans="1:3">
      <c r="B9" t="s">
        <v>211</v>
      </c>
    </row>
    <row r="10" spans="1:3">
      <c r="C10" s="18" t="s">
        <v>601</v>
      </c>
    </row>
    <row r="11" spans="1:3">
      <c r="C11" s="4" t="s">
        <v>602</v>
      </c>
    </row>
    <row r="12" spans="1:3">
      <c r="C12" s="4" t="s">
        <v>603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Master Pipeline</vt:lpstr>
      <vt:lpstr>Main</vt:lpstr>
      <vt:lpstr>Model</vt:lpstr>
      <vt:lpstr>Keytruda</vt:lpstr>
      <vt:lpstr>Vytorin</vt:lpstr>
      <vt:lpstr>Gardasil</vt:lpstr>
      <vt:lpstr>Lynparza</vt:lpstr>
      <vt:lpstr>Padcev</vt:lpstr>
      <vt:lpstr>Rotateq</vt:lpstr>
      <vt:lpstr>V940</vt:lpstr>
      <vt:lpstr>Zostavax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2023-01-11T17:36:01Z</dcterms:modified>
</cp:coreProperties>
</file>