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8F1B6A91-A038-487E-8D78-A1A8C1C909B2}" xr6:coauthVersionLast="47" xr6:coauthVersionMax="47" xr10:uidLastSave="{00000000-0000-0000-0000-000000000000}"/>
  <bookViews>
    <workbookView xWindow="9300" yWindow="390" windowWidth="19320" windowHeight="14700" activeTab="1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TX001" sheetId="8" r:id="rId7"/>
    <sheet name="VX-880" sheetId="7" r:id="rId8"/>
    <sheet name="VX-121" sheetId="12" r:id="rId9"/>
    <sheet name="VX-548" sheetId="13" r:id="rId10"/>
    <sheet name="inaxaplin" sheetId="10" r:id="rId11"/>
    <sheet name="IP" sheetId="4" r:id="rId12"/>
    <sheet name="Compounds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0" i="3" l="1"/>
  <c r="AP29" i="3"/>
  <c r="AO22" i="3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CK22" i="3" s="1"/>
  <c r="CL22" i="3" s="1"/>
  <c r="CM22" i="3" s="1"/>
  <c r="CN22" i="3" s="1"/>
  <c r="CO22" i="3" s="1"/>
  <c r="CP22" i="3" s="1"/>
  <c r="CQ22" i="3" s="1"/>
  <c r="CR22" i="3" s="1"/>
  <c r="CS22" i="3" s="1"/>
  <c r="CT22" i="3" s="1"/>
  <c r="CU22" i="3" s="1"/>
  <c r="CV22" i="3" s="1"/>
  <c r="CW22" i="3" s="1"/>
  <c r="CX22" i="3" s="1"/>
  <c r="CY22" i="3" s="1"/>
  <c r="CZ22" i="3" s="1"/>
  <c r="AN22" i="3"/>
  <c r="AA19" i="3"/>
  <c r="AA20" i="3" s="1"/>
  <c r="AA21" i="3" s="1"/>
  <c r="AA28" i="3" s="1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8" i="3"/>
  <c r="AB24" i="3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A24" i="3"/>
  <c r="Z24" i="3"/>
  <c r="Z22" i="3"/>
  <c r="Z23" i="3" s="1"/>
  <c r="Z21" i="3"/>
  <c r="Z20" i="3"/>
  <c r="Z19" i="3"/>
  <c r="Z30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27" i="3"/>
  <c r="AA9" i="3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I4" i="3"/>
  <c r="AJ4" i="3" s="1"/>
  <c r="AK4" i="3" s="1"/>
  <c r="AL4" i="3" s="1"/>
  <c r="AM4" i="3" s="1"/>
  <c r="AH5" i="3"/>
  <c r="AI5" i="3" s="1"/>
  <c r="AJ5" i="3" s="1"/>
  <c r="AK5" i="3" s="1"/>
  <c r="AL5" i="3" s="1"/>
  <c r="AM5" i="3" s="1"/>
  <c r="AI6" i="3"/>
  <c r="AJ6" i="3" s="1"/>
  <c r="AK6" i="3" s="1"/>
  <c r="AL6" i="3" s="1"/>
  <c r="AM6" i="3" s="1"/>
  <c r="AF7" i="3"/>
  <c r="AG7" i="3" s="1"/>
  <c r="AH7" i="3" s="1"/>
  <c r="AI7" i="3" s="1"/>
  <c r="AJ7" i="3" s="1"/>
  <c r="AK7" i="3" s="1"/>
  <c r="AL7" i="3" s="1"/>
  <c r="AM7" i="3" s="1"/>
  <c r="K69" i="3"/>
  <c r="K62" i="3"/>
  <c r="K63" i="3" s="1"/>
  <c r="K58" i="3"/>
  <c r="K59" i="3" s="1"/>
  <c r="L24" i="3"/>
  <c r="M24" i="3" s="1"/>
  <c r="N24" i="3" s="1"/>
  <c r="K44" i="3"/>
  <c r="K48" i="3" s="1"/>
  <c r="K35" i="3"/>
  <c r="K30" i="3"/>
  <c r="F19" i="3"/>
  <c r="J17" i="3"/>
  <c r="J19" i="3"/>
  <c r="F17" i="3"/>
  <c r="Y17" i="3"/>
  <c r="X17" i="3"/>
  <c r="X12" i="3"/>
  <c r="X14" i="3" s="1"/>
  <c r="Y13" i="3"/>
  <c r="Y11" i="3"/>
  <c r="Y10" i="3"/>
  <c r="Y9" i="3"/>
  <c r="Y8" i="3"/>
  <c r="F12" i="3"/>
  <c r="F14" i="3" s="1"/>
  <c r="F26" i="3" s="1"/>
  <c r="G19" i="3"/>
  <c r="K19" i="3"/>
  <c r="L16" i="3"/>
  <c r="M16" i="3" s="1"/>
  <c r="N16" i="3" s="1"/>
  <c r="L15" i="3"/>
  <c r="L17" i="3" s="1"/>
  <c r="L11" i="3"/>
  <c r="M11" i="3" s="1"/>
  <c r="N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L10" i="3"/>
  <c r="M10" i="3" s="1"/>
  <c r="L9" i="3"/>
  <c r="M9" i="3" s="1"/>
  <c r="N9" i="3" s="1"/>
  <c r="Z9" i="3" s="1"/>
  <c r="L8" i="3"/>
  <c r="M8" i="3" s="1"/>
  <c r="N8" i="3" s="1"/>
  <c r="T3" i="3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K17" i="3"/>
  <c r="I17" i="3"/>
  <c r="I18" i="3" s="1"/>
  <c r="I20" i="3" s="1"/>
  <c r="I28" i="3" s="1"/>
  <c r="H17" i="3"/>
  <c r="H18" i="3" s="1"/>
  <c r="H20" i="3" s="1"/>
  <c r="H28" i="3" s="1"/>
  <c r="G17" i="3"/>
  <c r="J12" i="3"/>
  <c r="J14" i="3" s="1"/>
  <c r="I12" i="3"/>
  <c r="I26" i="3" s="1"/>
  <c r="H12" i="3"/>
  <c r="H26" i="3" s="1"/>
  <c r="G12" i="3"/>
  <c r="G14" i="3" s="1"/>
  <c r="G26" i="3" s="1"/>
  <c r="K12" i="3"/>
  <c r="K14" i="3" s="1"/>
  <c r="K26" i="3" s="1"/>
  <c r="M5" i="1"/>
  <c r="M4" i="1"/>
  <c r="AA22" i="3" l="1"/>
  <c r="AA23" i="3"/>
  <c r="J18" i="3"/>
  <c r="J20" i="3" s="1"/>
  <c r="J28" i="3" s="1"/>
  <c r="Y12" i="3"/>
  <c r="K39" i="3"/>
  <c r="K71" i="3"/>
  <c r="Y14" i="3"/>
  <c r="Y26" i="3" s="1"/>
  <c r="H22" i="3"/>
  <c r="I22" i="3"/>
  <c r="Z16" i="3"/>
  <c r="L19" i="3"/>
  <c r="M19" i="3" s="1"/>
  <c r="N19" i="3" s="1"/>
  <c r="J26" i="3"/>
  <c r="G18" i="3"/>
  <c r="G20" i="3" s="1"/>
  <c r="G22" i="3" s="1"/>
  <c r="G23" i="3" s="1"/>
  <c r="X18" i="3"/>
  <c r="M15" i="3"/>
  <c r="F18" i="3"/>
  <c r="F20" i="3" s="1"/>
  <c r="N10" i="3"/>
  <c r="Z10" i="3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M12" i="3"/>
  <c r="N12" i="3"/>
  <c r="L12" i="3"/>
  <c r="Z8" i="3"/>
  <c r="AA8" i="3" s="1"/>
  <c r="K18" i="3"/>
  <c r="K20" i="3" s="1"/>
  <c r="M7" i="1"/>
  <c r="AA30" i="3" l="1"/>
  <c r="AB19" i="3"/>
  <c r="AB20" i="3" s="1"/>
  <c r="AB21" i="3" s="1"/>
  <c r="AB8" i="3"/>
  <c r="AA12" i="3"/>
  <c r="G28" i="3"/>
  <c r="Y18" i="3"/>
  <c r="J22" i="3"/>
  <c r="J23" i="3" s="1"/>
  <c r="K28" i="3"/>
  <c r="K22" i="3"/>
  <c r="N15" i="3"/>
  <c r="N17" i="3" s="1"/>
  <c r="Z15" i="3"/>
  <c r="M17" i="3"/>
  <c r="L13" i="3"/>
  <c r="L14" i="3" s="1"/>
  <c r="N13" i="3"/>
  <c r="N14" i="3" s="1"/>
  <c r="N26" i="3" s="1"/>
  <c r="M13" i="3"/>
  <c r="M14" i="3" s="1"/>
  <c r="M26" i="3" s="1"/>
  <c r="F28" i="3"/>
  <c r="F22" i="3"/>
  <c r="F23" i="3" s="1"/>
  <c r="Z12" i="3"/>
  <c r="AB22" i="3" l="1"/>
  <c r="AB28" i="3"/>
  <c r="Z17" i="3"/>
  <c r="AC8" i="3"/>
  <c r="AB12" i="3"/>
  <c r="L26" i="3"/>
  <c r="L18" i="3"/>
  <c r="L20" i="3" s="1"/>
  <c r="M18" i="3"/>
  <c r="M20" i="3" s="1"/>
  <c r="Z13" i="3"/>
  <c r="Z14" i="3" s="1"/>
  <c r="N18" i="3"/>
  <c r="N20" i="3" s="1"/>
  <c r="K50" i="3"/>
  <c r="K23" i="3"/>
  <c r="AB23" i="3" l="1"/>
  <c r="AB30" i="3"/>
  <c r="AD8" i="3"/>
  <c r="AC12" i="3"/>
  <c r="AA17" i="3"/>
  <c r="AA18" i="3" s="1"/>
  <c r="Z26" i="3"/>
  <c r="Z18" i="3"/>
  <c r="N22" i="3"/>
  <c r="N23" i="3" s="1"/>
  <c r="N28" i="3"/>
  <c r="M28" i="3"/>
  <c r="M22" i="3"/>
  <c r="M23" i="3" s="1"/>
  <c r="L21" i="3"/>
  <c r="L28" i="3" s="1"/>
  <c r="AC19" i="3" l="1"/>
  <c r="AC20" i="3" s="1"/>
  <c r="AC21" i="3" s="1"/>
  <c r="AB17" i="3"/>
  <c r="AB18" i="3" s="1"/>
  <c r="AE8" i="3"/>
  <c r="AD12" i="3"/>
  <c r="L22" i="3"/>
  <c r="AC28" i="3" l="1"/>
  <c r="AC22" i="3"/>
  <c r="AF8" i="3"/>
  <c r="AE12" i="3"/>
  <c r="AC17" i="3"/>
  <c r="AC18" i="3" s="1"/>
  <c r="L30" i="3"/>
  <c r="M30" i="3" s="1"/>
  <c r="N30" i="3" s="1"/>
  <c r="L23" i="3"/>
  <c r="AC23" i="3" l="1"/>
  <c r="AC30" i="3"/>
  <c r="AD17" i="3"/>
  <c r="AD18" i="3" s="1"/>
  <c r="AG8" i="3"/>
  <c r="AF12" i="3"/>
  <c r="AD19" i="3" l="1"/>
  <c r="AD20" i="3" s="1"/>
  <c r="AD21" i="3" s="1"/>
  <c r="AH8" i="3"/>
  <c r="AG12" i="3"/>
  <c r="AE17" i="3"/>
  <c r="AE18" i="3" s="1"/>
  <c r="AD22" i="3" l="1"/>
  <c r="AD28" i="3"/>
  <c r="AF17" i="3"/>
  <c r="AF18" i="3" s="1"/>
  <c r="AI8" i="3"/>
  <c r="AH12" i="3"/>
  <c r="AD23" i="3" l="1"/>
  <c r="AD30" i="3"/>
  <c r="AJ8" i="3"/>
  <c r="AI12" i="3"/>
  <c r="AG17" i="3"/>
  <c r="AG18" i="3" s="1"/>
  <c r="AE19" i="3" l="1"/>
  <c r="AE20" i="3" s="1"/>
  <c r="AE21" i="3" s="1"/>
  <c r="AH17" i="3"/>
  <c r="AH18" i="3" s="1"/>
  <c r="AK8" i="3"/>
  <c r="AJ12" i="3"/>
  <c r="AE22" i="3" l="1"/>
  <c r="AE28" i="3"/>
  <c r="AL8" i="3"/>
  <c r="AK12" i="3"/>
  <c r="AI17" i="3"/>
  <c r="AI18" i="3" s="1"/>
  <c r="AE23" i="3" l="1"/>
  <c r="AE30" i="3"/>
  <c r="AJ17" i="3"/>
  <c r="AJ18" i="3" s="1"/>
  <c r="AM8" i="3"/>
  <c r="AM12" i="3" s="1"/>
  <c r="AL12" i="3"/>
  <c r="AF19" i="3" l="1"/>
  <c r="AF20" i="3" s="1"/>
  <c r="AF21" i="3" s="1"/>
  <c r="AK17" i="3"/>
  <c r="AK18" i="3" s="1"/>
  <c r="AF28" i="3" l="1"/>
  <c r="AF22" i="3"/>
  <c r="AM17" i="3"/>
  <c r="AM18" i="3" s="1"/>
  <c r="AL17" i="3"/>
  <c r="AL18" i="3" s="1"/>
  <c r="AF23" i="3" l="1"/>
  <c r="AF30" i="3"/>
  <c r="AG19" i="3" l="1"/>
  <c r="AG20" i="3" s="1"/>
  <c r="AG21" i="3" s="1"/>
  <c r="AG28" i="3" l="1"/>
  <c r="AG22" i="3"/>
  <c r="AG23" i="3" l="1"/>
  <c r="AG30" i="3"/>
  <c r="AH19" i="3" l="1"/>
  <c r="AH20" i="3" s="1"/>
  <c r="AH21" i="3" s="1"/>
  <c r="AH22" i="3" l="1"/>
  <c r="AH28" i="3"/>
  <c r="AH23" i="3" l="1"/>
  <c r="AH30" i="3"/>
  <c r="AI19" i="3" l="1"/>
  <c r="AI20" i="3" s="1"/>
  <c r="AI21" i="3" s="1"/>
  <c r="AI22" i="3" l="1"/>
  <c r="AI28" i="3"/>
  <c r="AI23" i="3" l="1"/>
  <c r="AI30" i="3"/>
  <c r="AJ19" i="3" l="1"/>
  <c r="AJ20" i="3" s="1"/>
  <c r="AJ21" i="3" s="1"/>
  <c r="AJ28" i="3" l="1"/>
  <c r="AJ22" i="3"/>
  <c r="AJ23" i="3" l="1"/>
  <c r="AJ30" i="3"/>
  <c r="AK19" i="3" l="1"/>
  <c r="AK20" i="3" s="1"/>
  <c r="AK21" i="3" s="1"/>
  <c r="AK22" i="3" l="1"/>
  <c r="AK28" i="3"/>
  <c r="AK23" i="3" l="1"/>
  <c r="AK30" i="3"/>
  <c r="AL19" i="3" l="1"/>
  <c r="AL20" i="3" s="1"/>
  <c r="AL21" i="3" s="1"/>
  <c r="AL28" i="3" l="1"/>
  <c r="AL22" i="3"/>
  <c r="AL23" i="3" l="1"/>
  <c r="AL30" i="3"/>
  <c r="AM19" i="3" l="1"/>
  <c r="AM20" i="3" s="1"/>
  <c r="AM21" i="3" s="1"/>
  <c r="AM28" i="3" l="1"/>
  <c r="AM22" i="3"/>
  <c r="AM23" i="3" l="1"/>
  <c r="AM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</authors>
  <commentList>
    <comment ref="Z12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</t>
      </text>
    </comment>
  </commentList>
</comments>
</file>

<file path=xl/sharedStrings.xml><?xml version="1.0" encoding="utf-8"?>
<sst xmlns="http://schemas.openxmlformats.org/spreadsheetml/2006/main" count="462" uniqueCount="305">
  <si>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</si>
  <si>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</si>
  <si>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</si>
  <si>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</si>
  <si>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</si>
  <si>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</si>
  <si>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</si>
  <si>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</si>
  <si>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</si>
  <si>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</si>
  <si>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</si>
  <si>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</si>
  <si>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</si>
  <si>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</si>
  <si>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</si>
  <si>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</si>
  <si>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</si>
  <si>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</si>
  <si>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</si>
  <si>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</si>
  <si>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</si>
  <si>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</si>
  <si>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</si>
  <si>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</si>
  <si>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</si>
  <si>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</si>
  <si>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</si>
  <si>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</si>
  <si>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</si>
  <si>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</si>
  <si>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</si>
  <si>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</si>
  <si>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</si>
  <si>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</si>
  <si>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</si>
  <si>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</si>
  <si>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</si>
  <si>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</si>
  <si>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</si>
  <si>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</si>
  <si>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</si>
  <si>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</si>
  <si>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</si>
  <si>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</si>
  <si>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</si>
  <si>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</si>
  <si>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IND 2H22</t>
  </si>
  <si>
    <t>VX-121</t>
  </si>
  <si>
    <t>VX-548</t>
  </si>
  <si>
    <t>III in 2H22</t>
  </si>
  <si>
    <t>Pain</t>
  </si>
  <si>
    <t>Nav1.8</t>
  </si>
  <si>
    <t>mRNA</t>
  </si>
  <si>
    <t>CRISPR</t>
  </si>
  <si>
    <t>VX-880</t>
  </si>
  <si>
    <t>T1D</t>
  </si>
  <si>
    <t>cell therapy</t>
  </si>
  <si>
    <t>AAT</t>
  </si>
  <si>
    <t>corrector</t>
  </si>
  <si>
    <t>IND 2022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</si>
  <si>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</si>
  <si>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</si>
  <si>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</si>
  <si>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</si>
  <si>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</si>
  <si>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</si>
  <si>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</si>
  <si>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</si>
  <si>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</si>
  <si>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</si>
  <si>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</si>
  <si>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</si>
  <si>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</si>
  <si>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</si>
  <si>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</si>
  <si>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</si>
  <si>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</si>
  <si>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</si>
  <si>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</si>
  <si>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</si>
  <si>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</si>
  <si>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</si>
  <si>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</si>
  <si>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</si>
  <si>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</si>
  <si>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</si>
  <si>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</si>
  <si>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</si>
  <si>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</si>
  <si>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</si>
  <si>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</si>
  <si>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</si>
  <si>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</si>
  <si>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</si>
  <si>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</si>
  <si>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</si>
  <si>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</si>
  <si>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</si>
  <si>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</si>
  <si>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</si>
  <si>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</si>
  <si>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</si>
  <si>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</si>
  <si>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</si>
  <si>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</si>
  <si>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</si>
  <si>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</si>
  <si>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</si>
  <si>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</si>
  <si>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</si>
  <si>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</si>
  <si>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</si>
  <si>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</si>
  <si>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</si>
  <si>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</si>
  <si>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</si>
  <si>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</si>
  <si>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</si>
  <si>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</si>
  <si>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</si>
  <si>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</si>
  <si>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</si>
  <si>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</si>
  <si>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</si>
  <si>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</si>
  <si>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</si>
  <si>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</si>
  <si>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</si>
  <si>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</si>
  <si>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</si>
  <si>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</si>
  <si>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</si>
  <si>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</si>
  <si>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</si>
  <si>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</si>
  <si>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8/4/22: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</si>
  <si>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</si>
  <si>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</si>
  <si>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</si>
  <si>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</si>
  <si>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</si>
  <si>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</si>
  <si>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</si>
  <si>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</si>
  <si>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</si>
  <si>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</si>
  <si>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</si>
  <si>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</si>
  <si>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</si>
  <si>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</si>
  <si>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</si>
  <si>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</si>
  <si>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</si>
  <si>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</si>
  <si>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</si>
  <si>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</si>
  <si>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</si>
  <si>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</si>
  <si>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</si>
  <si>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</si>
  <si>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</si>
  <si>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</si>
  <si>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</si>
  <si>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</si>
  <si>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</si>
  <si>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</si>
  <si>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</si>
  <si>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</si>
  <si>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</si>
  <si>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</si>
  <si>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</si>
  <si>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</si>
  <si>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</si>
  <si>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</si>
  <si>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</si>
  <si>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</si>
  <si>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</si>
  <si>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</si>
  <si>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</si>
  <si>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</si>
  <si>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</si>
  <si>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</si>
  <si>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</si>
  <si>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</si>
  <si>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</si>
  <si>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</si>
  <si>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</si>
  <si>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</si>
  <si>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</si>
  <si>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</si>
  <si>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</si>
  <si>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</si>
  <si>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</si>
  <si>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</si>
  <si>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</si>
  <si>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</si>
  <si>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</si>
  <si>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</si>
  <si>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</si>
  <si>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</si>
  <si>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</si>
  <si>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</si>
  <si>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</si>
  <si>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</si>
  <si>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</si>
  <si>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</si>
  <si>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</si>
  <si>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</si>
  <si>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</si>
  <si>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</si>
  <si>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</si>
  <si>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</si>
  <si>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</si>
  <si>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</si>
  <si>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</si>
  <si>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</si>
  <si>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</si>
  <si>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</si>
  <si>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</si>
  <si>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</si>
  <si>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</si>
  <si>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</si>
  <si>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</si>
  <si>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</si>
  <si>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</si>
  <si>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</si>
  <si>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</si>
  <si>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</si>
  <si>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</si>
  <si>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</si>
  <si>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</si>
  <si>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</si>
  <si>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</si>
  <si>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</si>
  <si>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</si>
  <si>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</si>
  <si>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</si>
  <si>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</si>
  <si>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</si>
  <si>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</si>
  <si>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</si>
  <si>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</si>
  <si>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</si>
  <si>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</si>
  <si>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IND-enabling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</si>
  <si>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</si>
  <si>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</si>
  <si>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</si>
  <si>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</si>
  <si>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</si>
  <si>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</si>
  <si>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</si>
  <si>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</si>
  <si>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</si>
  <si>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</si>
  <si>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</si>
  <si>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</si>
  <si>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</si>
  <si>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</si>
  <si>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</si>
  <si>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</si>
  <si>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</si>
  <si>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</si>
  <si>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interim analysis at 1 year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</si>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</sst>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0" fontId="0" fillId="0" borderId="0" xfId="0" applyFont="1"/>
    <xf numFmtId="9" fontId="0" fillId="0" borderId="0" xfId="0" applyNumberFormat="1" applyAlignment="1">
      <alignment horizontal="right"/>
    </xf>
    <xf numFmtId="0" fontId="6" fillId="0" borderId="4" xfId="1" applyFont="1" applyBorder="1"/>
    <xf numFmtId="4" fontId="0" fillId="0" borderId="0" xfId="0" applyNumberFormat="1" applyAlignment="1">
      <alignment horizontal="right"/>
    </xf>
    <xf numFmtId="168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66675</xdr:rowOff>
    </xdr:from>
    <xdr:to>
      <xdr:col>11</xdr:col>
      <xdr:colOff>28575</xdr:colOff>
      <xdr:row>73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6686550" y="66675"/>
          <a:ext cx="0" cy="10972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0</xdr:row>
      <xdr:rowOff>38100</xdr:rowOff>
    </xdr:from>
    <xdr:to>
      <xdr:col>25</xdr:col>
      <xdr:colOff>28575</xdr:colOff>
      <xdr:row>53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15106650" y="38100"/>
          <a:ext cx="0" cy="774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2" dT="2022-07-21T11:22:03.36" personId="{FB8BFC03-2370-4716-A729-D8FACAD01755}" id="{40D7F6D4-94FB-41AD-9B66-6EAA39E6AF95}">
    <text>Q122: reiterates 8.4-8.6B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3"/>
  <sheetViews>
    <sheetView workbookViewId="0"/>
  </sheetViews>
  <sheetFormatPr defaultRowHeight="12.75" x14ac:dyDescent="0.2"/>
  <cols>
    <col min="1" max="1" width="4" customWidth="1"/>
    <col min="2" max="2" width="9.42578125" customWidth="1"/>
    <col min="3" max="3" width="27.5703125" customWidth="1"/>
    <col min="4" max="4" width="22.42578125" customWidth="1"/>
    <col min="5" max="5" width="16.5703125" customWidth="1"/>
    <col min="8" max="8" width="11.5703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263.08999999999997</v>
      </c>
    </row>
    <row r="3" spans="2:14" x14ac:dyDescent="0.2">
      <c r="B3" s="19" t="s">
        <v>21</v>
      </c>
      <c r="C3" s="8" t="s">
        <v>124</v>
      </c>
      <c r="D3" s="8" t="s">
        <v>15</v>
      </c>
      <c r="E3" s="8"/>
      <c r="F3" s="8"/>
      <c r="G3" s="8"/>
      <c r="H3" s="9" t="s">
        <v>39</v>
      </c>
      <c r="L3" t="s">
        <v>1</v>
      </c>
      <c r="M3" s="2">
        <v>255.75596100000001</v>
      </c>
      <c r="N3" s="3" t="s">
        <v>6</v>
      </c>
    </row>
    <row r="4" spans="2:14" x14ac:dyDescent="0.2">
      <c r="B4" s="19" t="s">
        <v>22</v>
      </c>
      <c r="C4" s="8" t="s">
        <v>123</v>
      </c>
      <c r="D4" s="8" t="s">
        <v>15</v>
      </c>
      <c r="E4" s="8"/>
      <c r="F4" s="8"/>
      <c r="G4" s="8"/>
      <c r="H4" s="9" t="s">
        <v>39</v>
      </c>
      <c r="L4" t="s">
        <v>2</v>
      </c>
      <c r="M4" s="2">
        <f>+M3*M2</f>
        <v>67286.835779489993</v>
      </c>
      <c r="N4" s="3"/>
    </row>
    <row r="5" spans="2:14" x14ac:dyDescent="0.2">
      <c r="B5" s="19" t="s">
        <v>23</v>
      </c>
      <c r="C5" s="8" t="s">
        <v>119</v>
      </c>
      <c r="D5" s="8" t="s">
        <v>15</v>
      </c>
      <c r="E5" s="13" t="s">
        <v>118</v>
      </c>
      <c r="F5" s="8"/>
      <c r="G5" s="8"/>
      <c r="H5" s="9" t="s">
        <v>39</v>
      </c>
      <c r="L5" t="s">
        <v>3</v>
      </c>
      <c r="M5" s="2">
        <f>7600.1+638</f>
        <v>8238.1</v>
      </c>
      <c r="N5" s="3" t="s">
        <v>6</v>
      </c>
    </row>
    <row r="6" spans="2:14" x14ac:dyDescent="0.2">
      <c r="B6" s="19" t="s">
        <v>13</v>
      </c>
      <c r="C6" s="8" t="s">
        <v>14</v>
      </c>
      <c r="D6" s="8" t="s">
        <v>16</v>
      </c>
      <c r="E6" s="13" t="s">
        <v>17</v>
      </c>
      <c r="F6" s="8"/>
      <c r="G6" s="8"/>
      <c r="H6" s="9" t="s">
        <v>19</v>
      </c>
      <c r="L6" t="s">
        <v>4</v>
      </c>
      <c r="M6" s="2">
        <v>0</v>
      </c>
      <c r="N6" s="3" t="s">
        <v>6</v>
      </c>
    </row>
    <row r="7" spans="2:14" x14ac:dyDescent="0.2">
      <c r="B7" s="7"/>
      <c r="C7" s="8"/>
      <c r="D7" s="8"/>
      <c r="E7" s="8"/>
      <c r="F7" s="8"/>
      <c r="G7" s="8"/>
      <c r="H7" s="9"/>
      <c r="L7" t="s">
        <v>5</v>
      </c>
      <c r="M7" s="2">
        <f>+M4-M5+M6</f>
        <v>59048.735779489994</v>
      </c>
      <c r="N7" s="3"/>
    </row>
    <row r="8" spans="2:14" x14ac:dyDescent="0.2">
      <c r="B8" s="7"/>
      <c r="C8" s="8"/>
      <c r="D8" s="8"/>
      <c r="E8" s="8"/>
      <c r="F8" s="8"/>
      <c r="G8" s="8"/>
      <c r="H8" s="9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19" t="s">
        <v>36</v>
      </c>
      <c r="C10" s="8" t="s">
        <v>171</v>
      </c>
      <c r="D10" s="8" t="s">
        <v>43</v>
      </c>
      <c r="E10" s="8" t="s">
        <v>53</v>
      </c>
      <c r="F10" s="8" t="s">
        <v>44</v>
      </c>
      <c r="G10" s="8"/>
      <c r="H10" s="9" t="s">
        <v>38</v>
      </c>
    </row>
    <row r="11" spans="2:14" x14ac:dyDescent="0.2">
      <c r="B11" s="7" t="s">
        <v>47</v>
      </c>
      <c r="C11" s="8"/>
      <c r="D11" s="8" t="s">
        <v>15</v>
      </c>
      <c r="E11" s="8"/>
      <c r="F11" s="8" t="s">
        <v>44</v>
      </c>
      <c r="G11" s="8"/>
      <c r="H11" s="9"/>
    </row>
    <row r="12" spans="2:14" x14ac:dyDescent="0.2">
      <c r="B12" s="19" t="s">
        <v>40</v>
      </c>
      <c r="C12" s="8" t="s">
        <v>167</v>
      </c>
      <c r="D12" s="8" t="s">
        <v>41</v>
      </c>
      <c r="E12" s="8"/>
      <c r="F12" s="8" t="s">
        <v>42</v>
      </c>
      <c r="G12" s="8"/>
      <c r="H12" s="9"/>
    </row>
    <row r="13" spans="2:14" x14ac:dyDescent="0.2">
      <c r="B13" s="19" t="s">
        <v>48</v>
      </c>
      <c r="C13" s="8"/>
      <c r="D13" s="13" t="s">
        <v>50</v>
      </c>
      <c r="E13" s="8" t="s">
        <v>51</v>
      </c>
      <c r="F13" s="13" t="s">
        <v>49</v>
      </c>
      <c r="G13" s="8"/>
      <c r="H13" s="9"/>
      <c r="J13" t="s">
        <v>170</v>
      </c>
    </row>
    <row r="14" spans="2:14" x14ac:dyDescent="0.2">
      <c r="B14" s="19" t="s">
        <v>54</v>
      </c>
      <c r="C14" s="8"/>
      <c r="D14" s="13" t="s">
        <v>55</v>
      </c>
      <c r="E14" s="8" t="s">
        <v>56</v>
      </c>
      <c r="F14" s="13" t="s">
        <v>60</v>
      </c>
      <c r="G14" s="8"/>
      <c r="H14" s="9"/>
      <c r="J14" t="s">
        <v>155</v>
      </c>
    </row>
    <row r="15" spans="2:14" x14ac:dyDescent="0.2">
      <c r="B15" s="24" t="s">
        <v>204</v>
      </c>
      <c r="C15" s="8" t="s">
        <v>205</v>
      </c>
      <c r="D15" s="13" t="s">
        <v>15</v>
      </c>
      <c r="E15" s="13" t="s">
        <v>206</v>
      </c>
      <c r="F15" s="13" t="s">
        <v>44</v>
      </c>
      <c r="G15" s="8"/>
      <c r="H15" s="9"/>
    </row>
    <row r="16" spans="2:14" x14ac:dyDescent="0.2">
      <c r="B16" s="7"/>
      <c r="C16" s="8"/>
      <c r="D16" s="8" t="s">
        <v>15</v>
      </c>
      <c r="E16" s="8" t="s">
        <v>52</v>
      </c>
      <c r="F16" s="13" t="s">
        <v>46</v>
      </c>
      <c r="G16" s="8"/>
      <c r="H16" s="9" t="s">
        <v>45</v>
      </c>
      <c r="J16" t="s">
        <v>176</v>
      </c>
    </row>
    <row r="17" spans="2:10" x14ac:dyDescent="0.2">
      <c r="B17" s="7"/>
      <c r="C17" s="8"/>
      <c r="D17" s="13" t="s">
        <v>61</v>
      </c>
      <c r="E17" s="13" t="s">
        <v>53</v>
      </c>
      <c r="F17" s="13" t="s">
        <v>244</v>
      </c>
      <c r="G17" s="8"/>
      <c r="H17" s="9"/>
      <c r="J17" t="s">
        <v>186</v>
      </c>
    </row>
    <row r="18" spans="2:10" x14ac:dyDescent="0.2">
      <c r="B18" s="7"/>
      <c r="C18" s="8"/>
      <c r="D18" s="13" t="s">
        <v>132</v>
      </c>
      <c r="E18" s="13" t="s">
        <v>53</v>
      </c>
      <c r="F18" s="13"/>
      <c r="G18" s="8"/>
      <c r="H18" s="9" t="s">
        <v>131</v>
      </c>
    </row>
    <row r="19" spans="2:10" x14ac:dyDescent="0.2">
      <c r="B19" s="7"/>
      <c r="C19" s="8"/>
      <c r="D19" s="13" t="s">
        <v>55</v>
      </c>
      <c r="E19" s="13" t="s">
        <v>177</v>
      </c>
      <c r="F19" s="13" t="s">
        <v>59</v>
      </c>
      <c r="G19" s="8"/>
      <c r="H19" s="9"/>
    </row>
    <row r="20" spans="2:10" x14ac:dyDescent="0.2">
      <c r="B20" s="10"/>
      <c r="C20" s="11"/>
      <c r="D20" s="11" t="s">
        <v>57</v>
      </c>
      <c r="E20" s="11" t="s">
        <v>58</v>
      </c>
      <c r="F20" s="11" t="s">
        <v>59</v>
      </c>
      <c r="G20" s="11"/>
      <c r="H20" s="12"/>
    </row>
    <row r="22" spans="2:10" x14ac:dyDescent="0.2">
      <c r="B22" t="s">
        <v>135</v>
      </c>
      <c r="E22" s="20" t="s">
        <v>133</v>
      </c>
    </row>
    <row r="23" spans="2:10" x14ac:dyDescent="0.2">
      <c r="E23" s="20" t="s">
        <v>134</v>
      </c>
    </row>
    <row r="24" spans="2:10" x14ac:dyDescent="0.2">
      <c r="E24" s="20" t="s">
        <v>136</v>
      </c>
    </row>
    <row r="25" spans="2:10" x14ac:dyDescent="0.2">
      <c r="E25" s="20" t="s">
        <v>145</v>
      </c>
    </row>
    <row r="26" spans="2:10" x14ac:dyDescent="0.2">
      <c r="E26" s="20" t="s">
        <v>146</v>
      </c>
    </row>
    <row r="27" spans="2:10" x14ac:dyDescent="0.2">
      <c r="E27" s="20" t="s">
        <v>163</v>
      </c>
    </row>
    <row r="28" spans="2:10" x14ac:dyDescent="0.2">
      <c r="E28" s="20" t="s">
        <v>166</v>
      </c>
    </row>
    <row r="29" spans="2:10" x14ac:dyDescent="0.2">
      <c r="E29" s="20" t="s">
        <v>168</v>
      </c>
    </row>
    <row r="30" spans="2:10" x14ac:dyDescent="0.2">
      <c r="E30" s="20" t="s">
        <v>172</v>
      </c>
    </row>
    <row r="31" spans="2:10" x14ac:dyDescent="0.2">
      <c r="E31" s="20" t="s">
        <v>178</v>
      </c>
    </row>
    <row r="32" spans="2:10" x14ac:dyDescent="0.2">
      <c r="E32" s="20" t="s">
        <v>180</v>
      </c>
    </row>
    <row r="33" spans="5:5" x14ac:dyDescent="0.2">
      <c r="E33" s="20" t="s">
        <v>181</v>
      </c>
    </row>
    <row r="34" spans="5:5" x14ac:dyDescent="0.2">
      <c r="E34" s="20" t="s">
        <v>182</v>
      </c>
    </row>
    <row r="35" spans="5:5" x14ac:dyDescent="0.2">
      <c r="E35" s="20" t="s">
        <v>183</v>
      </c>
    </row>
    <row r="36" spans="5:5" x14ac:dyDescent="0.2">
      <c r="E36" s="20" t="s">
        <v>184</v>
      </c>
    </row>
    <row r="37" spans="5:5" x14ac:dyDescent="0.2">
      <c r="E37" s="20" t="s">
        <v>245</v>
      </c>
    </row>
    <row r="38" spans="5:5" x14ac:dyDescent="0.2">
      <c r="E38" s="20" t="s">
        <v>246</v>
      </c>
    </row>
    <row r="39" spans="5:5" x14ac:dyDescent="0.2">
      <c r="E39" s="20" t="s">
        <v>260</v>
      </c>
    </row>
    <row r="40" spans="5:5" x14ac:dyDescent="0.2">
      <c r="E40" s="20" t="s">
        <v>261</v>
      </c>
    </row>
    <row r="41" spans="5:5" x14ac:dyDescent="0.2">
      <c r="E41" s="20" t="s">
        <v>262</v>
      </c>
    </row>
    <row r="42" spans="5:5" x14ac:dyDescent="0.2">
      <c r="E42" s="20" t="s">
        <v>264</v>
      </c>
    </row>
    <row r="43" spans="5:5" x14ac:dyDescent="0.2">
      <c r="E43" s="20" t="s">
        <v>265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4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10" location="'CTX001'!A1" display="CTX001" xr:uid="{EE1FBA3F-8223-4960-A117-1323E22DA27E}"/>
    <hyperlink ref="B5" location="Orkambi!A1" display="Orkambi" xr:uid="{5B227DE1-747D-41D9-AFFC-27BF0DF44345}"/>
    <hyperlink ref="B13" location="'VX-548'!A1" display="VX-548" xr:uid="{C5FCC979-874F-4CAD-BE67-3603EB5F3567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22"/>
  <sheetViews>
    <sheetView workbookViewId="0">
      <selection activeCell="E23" sqref="E2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5" x14ac:dyDescent="0.2">
      <c r="A1" s="14" t="s">
        <v>20</v>
      </c>
    </row>
    <row r="2" spans="1:5" x14ac:dyDescent="0.2">
      <c r="B2" t="s">
        <v>7</v>
      </c>
      <c r="C2" t="s">
        <v>48</v>
      </c>
    </row>
    <row r="3" spans="1:5" x14ac:dyDescent="0.2">
      <c r="B3" t="s">
        <v>8</v>
      </c>
    </row>
    <row r="4" spans="1:5" x14ac:dyDescent="0.2">
      <c r="B4" t="s">
        <v>9</v>
      </c>
      <c r="C4" t="s">
        <v>50</v>
      </c>
    </row>
    <row r="5" spans="1:5" x14ac:dyDescent="0.2">
      <c r="B5" t="s">
        <v>10</v>
      </c>
      <c r="C5" t="s">
        <v>51</v>
      </c>
    </row>
    <row r="6" spans="1:5" x14ac:dyDescent="0.2">
      <c r="B6" t="s">
        <v>247</v>
      </c>
      <c r="C6" t="s">
        <v>251</v>
      </c>
    </row>
    <row r="7" spans="1:5" x14ac:dyDescent="0.2">
      <c r="B7" t="s">
        <v>141</v>
      </c>
    </row>
    <row r="8" spans="1:5" x14ac:dyDescent="0.2">
      <c r="C8" s="21" t="s">
        <v>258</v>
      </c>
    </row>
    <row r="9" spans="1:5" x14ac:dyDescent="0.2">
      <c r="C9" s="21"/>
      <c r="D9" t="s">
        <v>249</v>
      </c>
    </row>
    <row r="10" spans="1:5" x14ac:dyDescent="0.2">
      <c r="C10" s="22" t="s">
        <v>248</v>
      </c>
      <c r="D10" s="26">
        <v>101</v>
      </c>
    </row>
    <row r="11" spans="1:5" x14ac:dyDescent="0.2">
      <c r="C11" s="22" t="s">
        <v>250</v>
      </c>
      <c r="D11" s="26">
        <v>137.80000000000001</v>
      </c>
      <c r="E11" t="s">
        <v>255</v>
      </c>
    </row>
    <row r="12" spans="1:5" x14ac:dyDescent="0.2">
      <c r="C12" s="22" t="s">
        <v>252</v>
      </c>
      <c r="D12" s="26">
        <v>86.9</v>
      </c>
      <c r="E12" t="s">
        <v>256</v>
      </c>
    </row>
    <row r="13" spans="1:5" x14ac:dyDescent="0.2">
      <c r="C13" s="22" t="s">
        <v>253</v>
      </c>
      <c r="D13" s="26">
        <v>112.9</v>
      </c>
      <c r="E13" t="s">
        <v>256</v>
      </c>
    </row>
    <row r="14" spans="1:5" x14ac:dyDescent="0.2">
      <c r="C14" s="22" t="s">
        <v>254</v>
      </c>
      <c r="D14" s="26">
        <v>115.6</v>
      </c>
      <c r="E14" t="s">
        <v>256</v>
      </c>
    </row>
    <row r="15" spans="1:5" x14ac:dyDescent="0.2">
      <c r="C15" s="22"/>
      <c r="D15" s="26"/>
    </row>
    <row r="16" spans="1:5" x14ac:dyDescent="0.2">
      <c r="C16" s="22"/>
      <c r="D16" s="26"/>
    </row>
    <row r="17" spans="3:5" x14ac:dyDescent="0.2">
      <c r="C17" s="21" t="s">
        <v>257</v>
      </c>
    </row>
    <row r="18" spans="3:5" x14ac:dyDescent="0.2">
      <c r="D18" t="s">
        <v>249</v>
      </c>
    </row>
    <row r="19" spans="3:5" x14ac:dyDescent="0.2">
      <c r="C19" t="s">
        <v>248</v>
      </c>
      <c r="D19">
        <v>72.7</v>
      </c>
    </row>
    <row r="20" spans="3:5" x14ac:dyDescent="0.2">
      <c r="C20" s="22" t="s">
        <v>250</v>
      </c>
      <c r="D20">
        <v>110.5</v>
      </c>
      <c r="E20" t="s">
        <v>259</v>
      </c>
    </row>
    <row r="21" spans="3:5" x14ac:dyDescent="0.2">
      <c r="C21" s="22" t="s">
        <v>252</v>
      </c>
      <c r="D21">
        <v>95.1</v>
      </c>
      <c r="E21" t="s">
        <v>256</v>
      </c>
    </row>
    <row r="22" spans="3:5" x14ac:dyDescent="0.2">
      <c r="C22" s="22" t="s">
        <v>254</v>
      </c>
      <c r="D22">
        <v>85.2</v>
      </c>
      <c r="E22" t="s">
        <v>256</v>
      </c>
    </row>
  </sheetData>
  <hyperlinks>
    <hyperlink ref="A1" location="Main!A1" display="Main" xr:uid="{9F1444FB-1FC7-4AF6-9D19-F860F1DDD4D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167</v>
      </c>
    </row>
    <row r="4" spans="1:3" x14ac:dyDescent="0.2">
      <c r="B4" t="s">
        <v>9</v>
      </c>
      <c r="C4" t="s">
        <v>169</v>
      </c>
    </row>
    <row r="5" spans="1:3" x14ac:dyDescent="0.2">
      <c r="B5" t="s">
        <v>10</v>
      </c>
      <c r="C5" t="s">
        <v>209</v>
      </c>
    </row>
    <row r="6" spans="1:3" x14ac:dyDescent="0.2">
      <c r="B6" t="s">
        <v>141</v>
      </c>
    </row>
    <row r="7" spans="1:3" x14ac:dyDescent="0.2">
      <c r="C7" s="21" t="s">
        <v>242</v>
      </c>
    </row>
    <row r="8" spans="1:3" x14ac:dyDescent="0.2">
      <c r="C8" t="s">
        <v>243</v>
      </c>
    </row>
    <row r="9" spans="1:3" x14ac:dyDescent="0.2">
      <c r="C9" t="s">
        <v>263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4" t="s">
        <v>20</v>
      </c>
    </row>
    <row r="2" spans="1:9" x14ac:dyDescent="0.2">
      <c r="B2" t="s">
        <v>68</v>
      </c>
      <c r="C2" t="s">
        <v>70</v>
      </c>
      <c r="D2" t="s">
        <v>71</v>
      </c>
      <c r="E2" t="s">
        <v>73</v>
      </c>
      <c r="F2" t="s">
        <v>75</v>
      </c>
      <c r="G2" t="s">
        <v>80</v>
      </c>
      <c r="H2" t="s">
        <v>81</v>
      </c>
      <c r="I2" t="s">
        <v>84</v>
      </c>
    </row>
    <row r="3" spans="1:9" x14ac:dyDescent="0.2">
      <c r="B3">
        <v>11390600</v>
      </c>
      <c r="C3" t="s">
        <v>69</v>
      </c>
      <c r="D3" t="s">
        <v>72</v>
      </c>
      <c r="E3" t="s">
        <v>74</v>
      </c>
      <c r="F3">
        <v>2</v>
      </c>
      <c r="G3" s="18">
        <v>44019</v>
      </c>
      <c r="H3" s="18">
        <v>44761</v>
      </c>
      <c r="I3" t="s">
        <v>85</v>
      </c>
    </row>
    <row r="4" spans="1:9" x14ac:dyDescent="0.2">
      <c r="B4">
        <v>11370798</v>
      </c>
      <c r="C4" t="s">
        <v>79</v>
      </c>
      <c r="D4" t="s">
        <v>82</v>
      </c>
      <c r="E4" t="s">
        <v>83</v>
      </c>
      <c r="F4">
        <v>2</v>
      </c>
      <c r="G4" s="18">
        <v>44074</v>
      </c>
      <c r="H4" s="18">
        <v>44740</v>
      </c>
      <c r="I4" t="s">
        <v>86</v>
      </c>
    </row>
    <row r="5" spans="1:9" x14ac:dyDescent="0.2">
      <c r="B5">
        <v>11369692</v>
      </c>
      <c r="C5" t="s">
        <v>87</v>
      </c>
      <c r="D5" t="s">
        <v>82</v>
      </c>
      <c r="E5" t="s">
        <v>88</v>
      </c>
      <c r="F5">
        <v>5</v>
      </c>
      <c r="G5" s="18">
        <v>42671</v>
      </c>
      <c r="H5" s="18">
        <v>44740</v>
      </c>
      <c r="I5" t="s">
        <v>89</v>
      </c>
    </row>
    <row r="6" spans="1:9" x14ac:dyDescent="0.2">
      <c r="B6">
        <v>11358977</v>
      </c>
      <c r="C6" t="s">
        <v>90</v>
      </c>
      <c r="D6" t="s">
        <v>82</v>
      </c>
      <c r="E6" t="s">
        <v>91</v>
      </c>
      <c r="F6">
        <v>8</v>
      </c>
      <c r="G6" s="18">
        <v>43236</v>
      </c>
      <c r="H6" s="18">
        <v>44726</v>
      </c>
      <c r="I6" t="s">
        <v>51</v>
      </c>
    </row>
    <row r="7" spans="1:9" x14ac:dyDescent="0.2">
      <c r="B7">
        <v>11345700</v>
      </c>
      <c r="C7" t="s">
        <v>93</v>
      </c>
      <c r="D7" t="s">
        <v>82</v>
      </c>
      <c r="E7" t="s">
        <v>92</v>
      </c>
      <c r="F7">
        <v>1</v>
      </c>
      <c r="G7" s="18">
        <v>43899</v>
      </c>
      <c r="H7" s="18">
        <v>44712</v>
      </c>
      <c r="I7" t="s">
        <v>94</v>
      </c>
    </row>
    <row r="8" spans="1:9" x14ac:dyDescent="0.2">
      <c r="B8">
        <v>11291662</v>
      </c>
      <c r="C8" t="s">
        <v>95</v>
      </c>
      <c r="D8" t="s">
        <v>82</v>
      </c>
      <c r="E8" t="s">
        <v>96</v>
      </c>
      <c r="F8">
        <v>3</v>
      </c>
      <c r="G8" s="18">
        <v>43804</v>
      </c>
      <c r="H8" s="18">
        <v>44656</v>
      </c>
      <c r="I8" t="s">
        <v>13</v>
      </c>
    </row>
    <row r="9" spans="1:9" x14ac:dyDescent="0.2">
      <c r="B9">
        <v>11268077</v>
      </c>
      <c r="C9" t="s">
        <v>99</v>
      </c>
      <c r="D9" t="s">
        <v>82</v>
      </c>
      <c r="E9" t="s">
        <v>100</v>
      </c>
      <c r="F9">
        <v>5</v>
      </c>
      <c r="G9" s="18">
        <v>43501</v>
      </c>
      <c r="H9" s="18">
        <v>44628</v>
      </c>
      <c r="I9" t="s">
        <v>101</v>
      </c>
    </row>
    <row r="10" spans="1:9" x14ac:dyDescent="0.2">
      <c r="B10">
        <v>11253509</v>
      </c>
      <c r="C10" t="s">
        <v>102</v>
      </c>
      <c r="D10" t="s">
        <v>82</v>
      </c>
      <c r="E10" t="s">
        <v>103</v>
      </c>
      <c r="F10">
        <v>2</v>
      </c>
      <c r="G10" s="18">
        <v>43259</v>
      </c>
      <c r="H10" s="18">
        <v>44614</v>
      </c>
    </row>
    <row r="11" spans="1:9" x14ac:dyDescent="0.2">
      <c r="B11">
        <v>11203571</v>
      </c>
      <c r="C11" t="s">
        <v>210</v>
      </c>
      <c r="D11" t="s">
        <v>82</v>
      </c>
      <c r="E11" t="s">
        <v>211</v>
      </c>
      <c r="F11">
        <v>8</v>
      </c>
      <c r="G11" s="18">
        <v>41835</v>
      </c>
      <c r="H11" s="18">
        <v>44551</v>
      </c>
      <c r="I11" t="s">
        <v>51</v>
      </c>
    </row>
    <row r="12" spans="1:9" x14ac:dyDescent="0.2">
      <c r="B12">
        <v>11186566</v>
      </c>
      <c r="C12" t="s">
        <v>212</v>
      </c>
      <c r="D12" t="s">
        <v>82</v>
      </c>
      <c r="E12" t="s">
        <v>213</v>
      </c>
      <c r="F12">
        <v>6</v>
      </c>
      <c r="G12" s="18">
        <v>43803</v>
      </c>
      <c r="H12" s="18">
        <v>44530</v>
      </c>
      <c r="I12" t="s">
        <v>214</v>
      </c>
    </row>
    <row r="13" spans="1:9" x14ac:dyDescent="0.2">
      <c r="B13">
        <v>11179394</v>
      </c>
      <c r="C13" t="s">
        <v>215</v>
      </c>
      <c r="D13" t="s">
        <v>82</v>
      </c>
      <c r="E13" t="s">
        <v>216</v>
      </c>
      <c r="F13">
        <v>3</v>
      </c>
      <c r="G13" s="18">
        <v>42172</v>
      </c>
      <c r="H13" s="18">
        <v>44523</v>
      </c>
      <c r="I13" t="s">
        <v>217</v>
      </c>
    </row>
    <row r="14" spans="1:9" x14ac:dyDescent="0.2">
      <c r="B14">
        <v>11179367</v>
      </c>
      <c r="C14" t="s">
        <v>218</v>
      </c>
      <c r="D14" t="s">
        <v>82</v>
      </c>
      <c r="E14" t="s">
        <v>219</v>
      </c>
      <c r="F14">
        <v>2</v>
      </c>
      <c r="G14" s="18">
        <v>43500</v>
      </c>
      <c r="H14" s="18">
        <v>44523</v>
      </c>
      <c r="I14" t="s">
        <v>220</v>
      </c>
    </row>
    <row r="15" spans="1:9" x14ac:dyDescent="0.2">
      <c r="B15">
        <v>11155533</v>
      </c>
      <c r="C15" t="s">
        <v>221</v>
      </c>
      <c r="D15" t="s">
        <v>82</v>
      </c>
      <c r="E15" t="s">
        <v>222</v>
      </c>
      <c r="F15">
        <v>2</v>
      </c>
      <c r="G15" s="18">
        <v>43915</v>
      </c>
      <c r="H15" s="18">
        <v>44495</v>
      </c>
      <c r="I15" t="s">
        <v>223</v>
      </c>
    </row>
    <row r="16" spans="1:9" x14ac:dyDescent="0.2">
      <c r="B16">
        <v>11147770</v>
      </c>
      <c r="C16" t="s">
        <v>224</v>
      </c>
      <c r="D16" t="s">
        <v>82</v>
      </c>
      <c r="E16" t="s">
        <v>225</v>
      </c>
      <c r="F16">
        <v>2</v>
      </c>
      <c r="G16" s="18">
        <v>43536</v>
      </c>
      <c r="H16" s="18">
        <v>44488</v>
      </c>
      <c r="I16" t="s">
        <v>220</v>
      </c>
    </row>
    <row r="17" spans="2:9" x14ac:dyDescent="0.2">
      <c r="B17">
        <v>11124805</v>
      </c>
      <c r="C17" t="s">
        <v>226</v>
      </c>
      <c r="D17" t="s">
        <v>82</v>
      </c>
      <c r="E17" t="s">
        <v>227</v>
      </c>
      <c r="F17">
        <v>7</v>
      </c>
      <c r="G17" s="18">
        <v>42929</v>
      </c>
      <c r="H17" s="18">
        <v>44460</v>
      </c>
      <c r="I17" t="s">
        <v>228</v>
      </c>
    </row>
    <row r="18" spans="2:9" x14ac:dyDescent="0.2">
      <c r="B18">
        <v>11117900</v>
      </c>
      <c r="C18" t="s">
        <v>79</v>
      </c>
      <c r="D18" t="s">
        <v>82</v>
      </c>
      <c r="E18" t="s">
        <v>83</v>
      </c>
      <c r="F18">
        <v>3</v>
      </c>
      <c r="G18" s="18">
        <v>43683</v>
      </c>
      <c r="H18" s="18">
        <v>44453</v>
      </c>
    </row>
    <row r="19" spans="2:9" x14ac:dyDescent="0.2">
      <c r="B19">
        <v>11110108</v>
      </c>
      <c r="C19" t="s">
        <v>229</v>
      </c>
      <c r="D19" t="s">
        <v>82</v>
      </c>
      <c r="E19" t="s">
        <v>230</v>
      </c>
      <c r="F19">
        <v>2</v>
      </c>
      <c r="G19" s="18">
        <v>43005</v>
      </c>
      <c r="H19" s="18">
        <v>44446</v>
      </c>
    </row>
    <row r="20" spans="2:9" x14ac:dyDescent="0.2">
      <c r="B20">
        <v>11110086</v>
      </c>
      <c r="C20" t="s">
        <v>231</v>
      </c>
      <c r="D20" t="s">
        <v>82</v>
      </c>
      <c r="E20" t="s">
        <v>232</v>
      </c>
      <c r="F20">
        <v>3</v>
      </c>
      <c r="G20" s="18">
        <v>43656</v>
      </c>
      <c r="H20" s="18">
        <v>44446</v>
      </c>
    </row>
    <row r="21" spans="2:9" x14ac:dyDescent="0.2">
      <c r="B21">
        <v>11084804</v>
      </c>
      <c r="C21" t="s">
        <v>233</v>
      </c>
      <c r="D21" t="s">
        <v>82</v>
      </c>
      <c r="E21" t="s">
        <v>234</v>
      </c>
      <c r="F21">
        <v>5</v>
      </c>
      <c r="G21" s="18">
        <v>43874</v>
      </c>
      <c r="H21" s="18">
        <v>44418</v>
      </c>
      <c r="I21" t="s">
        <v>214</v>
      </c>
    </row>
    <row r="22" spans="2:9" x14ac:dyDescent="0.2">
      <c r="B22">
        <v>11066417</v>
      </c>
      <c r="C22" t="s">
        <v>236</v>
      </c>
      <c r="D22" t="s">
        <v>82</v>
      </c>
      <c r="E22" t="s">
        <v>235</v>
      </c>
      <c r="F22">
        <v>6</v>
      </c>
      <c r="G22" s="18">
        <v>43510</v>
      </c>
      <c r="H22" s="18">
        <v>44397</v>
      </c>
    </row>
    <row r="23" spans="2:9" x14ac:dyDescent="0.2">
      <c r="B23">
        <v>11059826</v>
      </c>
      <c r="C23" t="s">
        <v>237</v>
      </c>
      <c r="D23" t="s">
        <v>82</v>
      </c>
      <c r="E23" t="s">
        <v>238</v>
      </c>
      <c r="F23">
        <v>5</v>
      </c>
      <c r="G23" s="18">
        <v>43578</v>
      </c>
      <c r="H23" s="18">
        <v>44390</v>
      </c>
      <c r="I23" t="s">
        <v>239</v>
      </c>
    </row>
    <row r="24" spans="2:9" x14ac:dyDescent="0.2">
      <c r="B24">
        <v>11052075</v>
      </c>
      <c r="C24" t="s">
        <v>240</v>
      </c>
      <c r="D24" t="s">
        <v>82</v>
      </c>
      <c r="E24" t="s">
        <v>241</v>
      </c>
      <c r="G24" s="18">
        <v>43679</v>
      </c>
      <c r="H24" s="18">
        <v>44383</v>
      </c>
      <c r="I24" t="s">
        <v>220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4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108</v>
      </c>
    </row>
    <row r="3" spans="1:6" x14ac:dyDescent="0.2">
      <c r="B3" t="s">
        <v>107</v>
      </c>
      <c r="C3" t="s">
        <v>104</v>
      </c>
      <c r="D3" t="s">
        <v>106</v>
      </c>
      <c r="E3" t="s">
        <v>105</v>
      </c>
      <c r="F3" s="18">
        <v>40686</v>
      </c>
    </row>
    <row r="4" spans="1:6" x14ac:dyDescent="0.2">
      <c r="B4" t="s">
        <v>117</v>
      </c>
      <c r="C4" t="s">
        <v>116</v>
      </c>
      <c r="D4" t="s">
        <v>118</v>
      </c>
      <c r="E4" t="s">
        <v>15</v>
      </c>
      <c r="F4" s="18">
        <v>42187</v>
      </c>
    </row>
    <row r="5" spans="1:6" x14ac:dyDescent="0.2">
      <c r="B5" t="s">
        <v>121</v>
      </c>
      <c r="C5" t="s">
        <v>120</v>
      </c>
      <c r="E5" t="s">
        <v>15</v>
      </c>
    </row>
    <row r="6" spans="1:6" x14ac:dyDescent="0.2">
      <c r="B6" t="s">
        <v>21</v>
      </c>
      <c r="C6" t="s">
        <v>122</v>
      </c>
      <c r="E6" t="s">
        <v>15</v>
      </c>
    </row>
    <row r="8" spans="1:6" x14ac:dyDescent="0.2">
      <c r="F8" t="s">
        <v>37</v>
      </c>
    </row>
    <row r="9" spans="1:6" x14ac:dyDescent="0.2">
      <c r="B9" t="s">
        <v>112</v>
      </c>
      <c r="D9" t="s">
        <v>114</v>
      </c>
      <c r="E9" t="s">
        <v>105</v>
      </c>
      <c r="F9" t="s">
        <v>60</v>
      </c>
    </row>
    <row r="10" spans="1:6" x14ac:dyDescent="0.2">
      <c r="B10" t="s">
        <v>113</v>
      </c>
      <c r="D10" t="s">
        <v>114</v>
      </c>
      <c r="E10" t="s">
        <v>105</v>
      </c>
      <c r="F10" t="s">
        <v>60</v>
      </c>
    </row>
    <row r="11" spans="1:6" x14ac:dyDescent="0.2">
      <c r="B11" t="s">
        <v>76</v>
      </c>
      <c r="C11" t="s">
        <v>77</v>
      </c>
      <c r="D11" t="s">
        <v>78</v>
      </c>
      <c r="E11" t="s">
        <v>115</v>
      </c>
      <c r="F11" t="s">
        <v>60</v>
      </c>
    </row>
    <row r="12" spans="1:6" x14ac:dyDescent="0.2">
      <c r="B12" t="s">
        <v>266</v>
      </c>
      <c r="D12" t="s">
        <v>51</v>
      </c>
      <c r="E12" t="s">
        <v>50</v>
      </c>
      <c r="F12" t="s">
        <v>267</v>
      </c>
    </row>
    <row r="13" spans="1:6" x14ac:dyDescent="0.2">
      <c r="B13" t="s">
        <v>109</v>
      </c>
      <c r="D13" t="s">
        <v>110</v>
      </c>
      <c r="E13" t="s">
        <v>105</v>
      </c>
      <c r="F13" t="s">
        <v>111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CZ7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5" bestFit="1" customWidth="1"/>
    <col min="2" max="2" width="17.5703125" customWidth="1"/>
    <col min="3" max="14" width="9.140625" style="3"/>
    <col min="42" max="42" width="10.7109375" bestFit="1" customWidth="1"/>
  </cols>
  <sheetData>
    <row r="1" spans="1:39" x14ac:dyDescent="0.2">
      <c r="A1" s="14" t="s">
        <v>20</v>
      </c>
    </row>
    <row r="3" spans="1:39" x14ac:dyDescent="0.2"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6</v>
      </c>
      <c r="L3" s="3" t="s">
        <v>33</v>
      </c>
      <c r="M3" s="3" t="s">
        <v>34</v>
      </c>
      <c r="N3" s="3" t="s">
        <v>35</v>
      </c>
      <c r="S3">
        <v>2015</v>
      </c>
      <c r="T3">
        <f>+S3+1</f>
        <v>2016</v>
      </c>
      <c r="U3">
        <f t="shared" ref="U3:AM3" si="0">+T3+1</f>
        <v>2017</v>
      </c>
      <c r="V3">
        <f t="shared" si="0"/>
        <v>2018</v>
      </c>
      <c r="W3">
        <f t="shared" si="0"/>
        <v>2019</v>
      </c>
      <c r="X3">
        <f t="shared" si="0"/>
        <v>2020</v>
      </c>
      <c r="Y3">
        <f t="shared" si="0"/>
        <v>2021</v>
      </c>
      <c r="Z3">
        <f t="shared" si="0"/>
        <v>2022</v>
      </c>
      <c r="AA3">
        <f t="shared" si="0"/>
        <v>2023</v>
      </c>
      <c r="AB3">
        <f t="shared" si="0"/>
        <v>2024</v>
      </c>
      <c r="AC3">
        <f t="shared" si="0"/>
        <v>2025</v>
      </c>
      <c r="AD3">
        <f t="shared" si="0"/>
        <v>2026</v>
      </c>
      <c r="AE3">
        <f t="shared" si="0"/>
        <v>2027</v>
      </c>
      <c r="AF3">
        <f t="shared" si="0"/>
        <v>2028</v>
      </c>
      <c r="AG3">
        <f t="shared" si="0"/>
        <v>2029</v>
      </c>
      <c r="AH3">
        <f t="shared" si="0"/>
        <v>2030</v>
      </c>
      <c r="AI3">
        <f t="shared" si="0"/>
        <v>2031</v>
      </c>
      <c r="AJ3">
        <f t="shared" si="0"/>
        <v>2032</v>
      </c>
      <c r="AK3">
        <f t="shared" si="0"/>
        <v>2033</v>
      </c>
      <c r="AL3">
        <f t="shared" si="0"/>
        <v>2034</v>
      </c>
      <c r="AM3">
        <f t="shared" si="0"/>
        <v>2035</v>
      </c>
    </row>
    <row r="4" spans="1:39" x14ac:dyDescent="0.2">
      <c r="B4" t="s">
        <v>54</v>
      </c>
      <c r="AD4" s="2">
        <v>200</v>
      </c>
      <c r="AE4" s="2">
        <v>400</v>
      </c>
      <c r="AF4" s="2">
        <v>600</v>
      </c>
      <c r="AG4" s="2">
        <v>800</v>
      </c>
      <c r="AH4" s="2">
        <v>1000</v>
      </c>
      <c r="AI4" s="2">
        <f>+AH4*1.01</f>
        <v>1010</v>
      </c>
      <c r="AJ4" s="2">
        <f t="shared" ref="AJ4:AM6" si="1">+AI4*1.01</f>
        <v>1020.1</v>
      </c>
      <c r="AK4" s="2">
        <f t="shared" si="1"/>
        <v>1030.3009999999999</v>
      </c>
      <c r="AL4" s="2">
        <f t="shared" si="1"/>
        <v>1040.60401</v>
      </c>
      <c r="AM4" s="2">
        <f t="shared" si="1"/>
        <v>1051.0100500999999</v>
      </c>
    </row>
    <row r="5" spans="1:39" s="2" customFormat="1" x14ac:dyDescent="0.2">
      <c r="B5" s="2" t="s">
        <v>48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AB5" s="2">
        <v>200</v>
      </c>
      <c r="AC5" s="2">
        <v>500</v>
      </c>
      <c r="AD5" s="2">
        <v>800</v>
      </c>
      <c r="AE5" s="2">
        <v>1100</v>
      </c>
      <c r="AF5" s="2">
        <v>1400</v>
      </c>
      <c r="AG5" s="2">
        <v>1700</v>
      </c>
      <c r="AH5" s="2">
        <f>+AG5*1.01</f>
        <v>1717</v>
      </c>
      <c r="AI5" s="2">
        <f t="shared" ref="AI5:AM5" si="2">+AH5*1.01</f>
        <v>1734.17</v>
      </c>
      <c r="AJ5" s="2">
        <f t="shared" si="2"/>
        <v>1751.5117</v>
      </c>
      <c r="AK5" s="2">
        <f t="shared" si="2"/>
        <v>1769.0268169999999</v>
      </c>
      <c r="AL5" s="2">
        <f t="shared" si="2"/>
        <v>1786.71708517</v>
      </c>
      <c r="AM5" s="2">
        <f t="shared" si="2"/>
        <v>1804.5842560217</v>
      </c>
    </row>
    <row r="6" spans="1:39" s="2" customFormat="1" x14ac:dyDescent="0.2">
      <c r="B6" s="2" t="s">
        <v>40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AD6" s="2">
        <v>200</v>
      </c>
      <c r="AE6" s="2">
        <v>400</v>
      </c>
      <c r="AF6" s="2">
        <v>600</v>
      </c>
      <c r="AG6" s="2">
        <v>800</v>
      </c>
      <c r="AH6" s="2">
        <v>1000</v>
      </c>
      <c r="AI6" s="2">
        <f>+AH6*1.01</f>
        <v>1010</v>
      </c>
      <c r="AJ6" s="2">
        <f t="shared" si="1"/>
        <v>1020.1</v>
      </c>
      <c r="AK6" s="2">
        <f t="shared" si="1"/>
        <v>1030.3009999999999</v>
      </c>
      <c r="AL6" s="2">
        <f t="shared" si="1"/>
        <v>1040.60401</v>
      </c>
      <c r="AM6" s="2">
        <f t="shared" si="1"/>
        <v>1051.0100500999999</v>
      </c>
    </row>
    <row r="7" spans="1:39" s="2" customFormat="1" x14ac:dyDescent="0.2">
      <c r="B7" s="2" t="s">
        <v>36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AA7" s="2">
        <v>100</v>
      </c>
      <c r="AB7" s="2">
        <v>300</v>
      </c>
      <c r="AC7" s="2">
        <v>500</v>
      </c>
      <c r="AD7" s="2">
        <v>800</v>
      </c>
      <c r="AE7" s="2">
        <v>1000</v>
      </c>
      <c r="AF7" s="2">
        <f>+AE7*1.01</f>
        <v>1010</v>
      </c>
      <c r="AG7" s="2">
        <f t="shared" ref="AG7:AM7" si="3">+AF7*1.01</f>
        <v>1020.1</v>
      </c>
      <c r="AH7" s="2">
        <f t="shared" si="3"/>
        <v>1030.3009999999999</v>
      </c>
      <c r="AI7" s="2">
        <f t="shared" si="3"/>
        <v>1040.60401</v>
      </c>
      <c r="AJ7" s="2">
        <f t="shared" si="3"/>
        <v>1051.0100500999999</v>
      </c>
      <c r="AK7" s="2">
        <f t="shared" si="3"/>
        <v>1061.5201506009998</v>
      </c>
      <c r="AL7" s="2">
        <f t="shared" si="3"/>
        <v>1072.1353521070098</v>
      </c>
      <c r="AM7" s="2">
        <f t="shared" si="3"/>
        <v>1082.8567056280799</v>
      </c>
    </row>
    <row r="8" spans="1:39" s="2" customFormat="1" x14ac:dyDescent="0.2">
      <c r="B8" s="2" t="s">
        <v>21</v>
      </c>
      <c r="C8" s="15"/>
      <c r="D8" s="15"/>
      <c r="E8" s="15"/>
      <c r="F8" s="15">
        <v>1091</v>
      </c>
      <c r="G8" s="15">
        <v>1193.2</v>
      </c>
      <c r="H8" s="15"/>
      <c r="I8" s="15"/>
      <c r="J8" s="15">
        <v>1693</v>
      </c>
      <c r="K8" s="15">
        <v>1761.6</v>
      </c>
      <c r="L8" s="15">
        <f>+K8+100</f>
        <v>1861.6</v>
      </c>
      <c r="M8" s="15">
        <f t="shared" ref="M8:N8" si="4">+L8+100</f>
        <v>1961.6</v>
      </c>
      <c r="N8" s="15">
        <f t="shared" si="4"/>
        <v>2061.6</v>
      </c>
      <c r="Y8" s="2">
        <f>SUM(G8:J8)</f>
        <v>2886.2</v>
      </c>
      <c r="Z8" s="2">
        <f t="shared" ref="Z8:Z10" si="5">SUM(K8:N8)</f>
        <v>7646.4</v>
      </c>
      <c r="AA8" s="2">
        <f>+Z8*1.2</f>
        <v>9175.6799999999985</v>
      </c>
      <c r="AB8" s="2">
        <f>+AA8*1.1</f>
        <v>10093.248</v>
      </c>
      <c r="AC8" s="2">
        <f>+AB8*1.02</f>
        <v>10295.11296</v>
      </c>
      <c r="AD8" s="2">
        <f t="shared" ref="AD8:AK8" si="6">+AC8*1.02</f>
        <v>10501.015219200001</v>
      </c>
      <c r="AE8" s="2">
        <f t="shared" si="6"/>
        <v>10711.035523584002</v>
      </c>
      <c r="AF8" s="2">
        <f t="shared" si="6"/>
        <v>10925.256234055681</v>
      </c>
      <c r="AG8" s="2">
        <f t="shared" si="6"/>
        <v>11143.761358736796</v>
      </c>
      <c r="AH8" s="2">
        <f t="shared" si="6"/>
        <v>11366.636585911532</v>
      </c>
      <c r="AI8" s="2">
        <f t="shared" si="6"/>
        <v>11593.969317629762</v>
      </c>
      <c r="AJ8" s="2">
        <f t="shared" si="6"/>
        <v>11825.848703982358</v>
      </c>
      <c r="AK8" s="2">
        <f t="shared" si="6"/>
        <v>12062.365678062006</v>
      </c>
      <c r="AL8" s="2">
        <f>+AK8*0.5</f>
        <v>6031.1828390310029</v>
      </c>
      <c r="AM8" s="2">
        <f>+AL8*0.1</f>
        <v>603.11828390310029</v>
      </c>
    </row>
    <row r="9" spans="1:39" s="2" customFormat="1" x14ac:dyDescent="0.2">
      <c r="B9" s="2" t="s">
        <v>22</v>
      </c>
      <c r="C9" s="15"/>
      <c r="D9" s="15"/>
      <c r="E9" s="15"/>
      <c r="F9" s="15">
        <v>128</v>
      </c>
      <c r="G9" s="15">
        <v>125.1</v>
      </c>
      <c r="H9" s="15"/>
      <c r="I9" s="15"/>
      <c r="J9" s="15">
        <v>80</v>
      </c>
      <c r="K9" s="15">
        <v>64.8</v>
      </c>
      <c r="L9" s="15">
        <f>K9-1</f>
        <v>63.8</v>
      </c>
      <c r="M9" s="15">
        <f t="shared" ref="M9:N9" si="7">L9-1</f>
        <v>62.8</v>
      </c>
      <c r="N9" s="15">
        <f t="shared" si="7"/>
        <v>61.8</v>
      </c>
      <c r="Y9" s="2">
        <f t="shared" ref="Y9:Y13" si="8">SUM(G9:J9)</f>
        <v>205.1</v>
      </c>
      <c r="Z9" s="2">
        <f t="shared" si="5"/>
        <v>253.2</v>
      </c>
      <c r="AA9" s="2">
        <f>+Z9*0.9</f>
        <v>227.88</v>
      </c>
      <c r="AB9" s="2">
        <f t="shared" ref="AB9:AM9" si="9">+AA9*0.9</f>
        <v>205.09200000000001</v>
      </c>
      <c r="AC9" s="2">
        <f t="shared" si="9"/>
        <v>184.58280000000002</v>
      </c>
      <c r="AD9" s="2">
        <f t="shared" si="9"/>
        <v>166.12452000000002</v>
      </c>
      <c r="AE9" s="2">
        <f t="shared" si="9"/>
        <v>149.51206800000003</v>
      </c>
      <c r="AF9" s="2">
        <f t="shared" si="9"/>
        <v>134.56086120000003</v>
      </c>
      <c r="AG9" s="2">
        <f t="shared" si="9"/>
        <v>121.10477508000004</v>
      </c>
      <c r="AH9" s="2">
        <f t="shared" si="9"/>
        <v>108.99429757200004</v>
      </c>
      <c r="AI9" s="2">
        <f t="shared" si="9"/>
        <v>98.09486781480004</v>
      </c>
      <c r="AJ9" s="2">
        <f t="shared" si="9"/>
        <v>88.285381033320036</v>
      </c>
      <c r="AK9" s="2">
        <f t="shared" si="9"/>
        <v>79.456842929988028</v>
      </c>
      <c r="AL9" s="2">
        <f t="shared" si="9"/>
        <v>71.511158636989222</v>
      </c>
      <c r="AM9" s="2">
        <f t="shared" si="9"/>
        <v>64.360042773290303</v>
      </c>
    </row>
    <row r="10" spans="1:39" s="2" customFormat="1" x14ac:dyDescent="0.2">
      <c r="B10" s="2" t="s">
        <v>23</v>
      </c>
      <c r="C10" s="15"/>
      <c r="D10" s="15"/>
      <c r="E10" s="15"/>
      <c r="F10" s="15">
        <v>215</v>
      </c>
      <c r="G10" s="15">
        <v>218.7</v>
      </c>
      <c r="H10" s="15"/>
      <c r="I10" s="15"/>
      <c r="J10" s="15">
        <v>147</v>
      </c>
      <c r="K10" s="15">
        <v>132.1</v>
      </c>
      <c r="L10" s="15">
        <f t="shared" ref="L10:N10" si="10">K10-1</f>
        <v>131.1</v>
      </c>
      <c r="M10" s="15">
        <f t="shared" si="10"/>
        <v>130.1</v>
      </c>
      <c r="N10" s="15">
        <f t="shared" si="10"/>
        <v>129.1</v>
      </c>
      <c r="Y10" s="2">
        <f t="shared" si="8"/>
        <v>365.7</v>
      </c>
      <c r="Z10" s="2">
        <f t="shared" si="5"/>
        <v>522.4</v>
      </c>
      <c r="AA10" s="2">
        <f t="shared" ref="AA10:AM10" si="11">+Z10*0.9</f>
        <v>470.15999999999997</v>
      </c>
      <c r="AB10" s="2">
        <f t="shared" si="11"/>
        <v>423.14400000000001</v>
      </c>
      <c r="AC10" s="2">
        <f t="shared" si="11"/>
        <v>380.82960000000003</v>
      </c>
      <c r="AD10" s="2">
        <f t="shared" si="11"/>
        <v>342.74664000000001</v>
      </c>
      <c r="AE10" s="2">
        <f t="shared" si="11"/>
        <v>308.47197600000004</v>
      </c>
      <c r="AF10" s="2">
        <f t="shared" si="11"/>
        <v>277.62477840000003</v>
      </c>
      <c r="AG10" s="2">
        <f t="shared" si="11"/>
        <v>249.86230056000002</v>
      </c>
      <c r="AH10" s="2">
        <f t="shared" si="11"/>
        <v>224.87607050400001</v>
      </c>
      <c r="AI10" s="2">
        <f t="shared" si="11"/>
        <v>202.38846345360002</v>
      </c>
      <c r="AJ10" s="2">
        <f t="shared" si="11"/>
        <v>182.14961710824002</v>
      </c>
      <c r="AK10" s="2">
        <f t="shared" si="11"/>
        <v>163.93465539741604</v>
      </c>
      <c r="AL10" s="2">
        <f t="shared" si="11"/>
        <v>147.54118985767442</v>
      </c>
      <c r="AM10" s="2">
        <f t="shared" si="11"/>
        <v>132.78707087190699</v>
      </c>
    </row>
    <row r="11" spans="1:39" s="2" customFormat="1" x14ac:dyDescent="0.2">
      <c r="B11" s="2" t="s">
        <v>13</v>
      </c>
      <c r="C11" s="15"/>
      <c r="D11" s="15"/>
      <c r="E11" s="15"/>
      <c r="F11" s="15">
        <v>193</v>
      </c>
      <c r="G11" s="15">
        <v>186.3</v>
      </c>
      <c r="H11" s="15"/>
      <c r="I11" s="15"/>
      <c r="J11" s="15">
        <v>152</v>
      </c>
      <c r="K11" s="15">
        <v>139</v>
      </c>
      <c r="L11" s="15">
        <f t="shared" ref="L11:N11" si="12">K11-1</f>
        <v>138</v>
      </c>
      <c r="M11" s="15">
        <f t="shared" si="12"/>
        <v>137</v>
      </c>
      <c r="N11" s="15">
        <f t="shared" si="12"/>
        <v>136</v>
      </c>
      <c r="Y11" s="2">
        <f t="shared" si="8"/>
        <v>338.3</v>
      </c>
      <c r="Z11" s="2">
        <f>SUM(K11:N11)</f>
        <v>550</v>
      </c>
      <c r="AA11" s="2">
        <f t="shared" ref="AA11:AM11" si="13">+Z11*0.9</f>
        <v>495</v>
      </c>
      <c r="AB11" s="2">
        <f t="shared" si="13"/>
        <v>445.5</v>
      </c>
      <c r="AC11" s="2">
        <f t="shared" si="13"/>
        <v>400.95</v>
      </c>
      <c r="AD11" s="2">
        <f t="shared" si="13"/>
        <v>360.85500000000002</v>
      </c>
      <c r="AE11" s="2">
        <f t="shared" si="13"/>
        <v>324.76950000000005</v>
      </c>
      <c r="AF11" s="2">
        <f t="shared" si="13"/>
        <v>292.29255000000006</v>
      </c>
      <c r="AG11" s="2">
        <f t="shared" si="13"/>
        <v>263.06329500000004</v>
      </c>
      <c r="AH11" s="2">
        <f t="shared" si="13"/>
        <v>236.75696550000004</v>
      </c>
      <c r="AI11" s="2">
        <f t="shared" si="13"/>
        <v>213.08126895000004</v>
      </c>
      <c r="AJ11" s="2">
        <f t="shared" si="13"/>
        <v>191.77314205500005</v>
      </c>
      <c r="AK11" s="2">
        <f t="shared" si="13"/>
        <v>172.59582784950004</v>
      </c>
      <c r="AL11" s="2">
        <f t="shared" si="13"/>
        <v>155.33624506455004</v>
      </c>
      <c r="AM11" s="2">
        <f t="shared" si="13"/>
        <v>139.80262055809504</v>
      </c>
    </row>
    <row r="12" spans="1:39" s="16" customFormat="1" x14ac:dyDescent="0.2">
      <c r="B12" s="16" t="s">
        <v>24</v>
      </c>
      <c r="C12" s="17"/>
      <c r="D12" s="17"/>
      <c r="E12" s="17"/>
      <c r="F12" s="17">
        <f t="shared" ref="F12:J12" si="14">SUM(F8:F11)</f>
        <v>1627</v>
      </c>
      <c r="G12" s="17">
        <f t="shared" si="14"/>
        <v>1723.3</v>
      </c>
      <c r="H12" s="17">
        <f t="shared" si="14"/>
        <v>0</v>
      </c>
      <c r="I12" s="17">
        <f t="shared" si="14"/>
        <v>0</v>
      </c>
      <c r="J12" s="17">
        <f t="shared" si="14"/>
        <v>2072</v>
      </c>
      <c r="K12" s="17">
        <f>SUM(K8:K11)</f>
        <v>2097.5</v>
      </c>
      <c r="L12" s="17">
        <f t="shared" ref="L12:N12" si="15">SUM(L8:L11)</f>
        <v>2194.5</v>
      </c>
      <c r="M12" s="17">
        <f t="shared" si="15"/>
        <v>2291.5</v>
      </c>
      <c r="N12" s="17">
        <f t="shared" si="15"/>
        <v>2388.5</v>
      </c>
      <c r="X12" s="16">
        <f t="shared" ref="X12" si="16">SUM(X8:X11)</f>
        <v>0</v>
      </c>
      <c r="Y12" s="16">
        <f>SUM(Y8:Y11)</f>
        <v>3795.2999999999997</v>
      </c>
      <c r="Z12" s="16">
        <f>SUM(Z8:Z11)</f>
        <v>8972</v>
      </c>
      <c r="AA12" s="16">
        <f>SUM(AA4:AA11)</f>
        <v>10468.719999999998</v>
      </c>
      <c r="AB12" s="16">
        <f t="shared" ref="AB12:AM12" si="17">SUM(AB4:AB11)</f>
        <v>11666.984</v>
      </c>
      <c r="AC12" s="16">
        <f t="shared" si="17"/>
        <v>12261.47536</v>
      </c>
      <c r="AD12" s="16">
        <f t="shared" si="17"/>
        <v>13370.741379199999</v>
      </c>
      <c r="AE12" s="16">
        <f t="shared" si="17"/>
        <v>14393.789067584003</v>
      </c>
      <c r="AF12" s="16">
        <f t="shared" si="17"/>
        <v>15239.734423655682</v>
      </c>
      <c r="AG12" s="16">
        <f t="shared" si="17"/>
        <v>16097.891729376797</v>
      </c>
      <c r="AH12" s="16">
        <f t="shared" si="17"/>
        <v>16684.564919487533</v>
      </c>
      <c r="AI12" s="16">
        <f t="shared" si="17"/>
        <v>16902.307927848167</v>
      </c>
      <c r="AJ12" s="16">
        <f t="shared" si="17"/>
        <v>17130.77859427892</v>
      </c>
      <c r="AK12" s="16">
        <f t="shared" si="17"/>
        <v>17369.501971839913</v>
      </c>
      <c r="AL12" s="16">
        <f t="shared" si="17"/>
        <v>11345.631889867229</v>
      </c>
      <c r="AM12" s="16">
        <f t="shared" si="17"/>
        <v>5929.5290799561726</v>
      </c>
    </row>
    <row r="13" spans="1:39" s="2" customFormat="1" x14ac:dyDescent="0.2">
      <c r="B13" s="2" t="s">
        <v>62</v>
      </c>
      <c r="C13" s="15"/>
      <c r="D13" s="15"/>
      <c r="E13" s="15"/>
      <c r="F13" s="15">
        <v>203.1</v>
      </c>
      <c r="G13" s="15">
        <v>192.3</v>
      </c>
      <c r="H13" s="15"/>
      <c r="I13" s="15"/>
      <c r="J13" s="15">
        <v>247.4</v>
      </c>
      <c r="K13" s="15">
        <v>145.80000000000001</v>
      </c>
      <c r="L13" s="15">
        <f>L12*0.07</f>
        <v>153.61500000000001</v>
      </c>
      <c r="M13" s="15">
        <f>M12*0.07</f>
        <v>160.405</v>
      </c>
      <c r="N13" s="15">
        <f>N12*0.07</f>
        <v>167.19500000000002</v>
      </c>
      <c r="Y13" s="2">
        <f t="shared" si="8"/>
        <v>439.70000000000005</v>
      </c>
      <c r="Z13" s="2">
        <f>SUM(K13:N13)</f>
        <v>627.0150000000001</v>
      </c>
      <c r="AA13" s="2">
        <f>+AA12*0.07</f>
        <v>732.81039999999985</v>
      </c>
      <c r="AB13" s="2">
        <f t="shared" ref="AB13:AM13" si="18">+AB12*0.07</f>
        <v>816.68888000000015</v>
      </c>
      <c r="AC13" s="2">
        <f t="shared" si="18"/>
        <v>858.30327520000014</v>
      </c>
      <c r="AD13" s="2">
        <f t="shared" si="18"/>
        <v>935.95189654399996</v>
      </c>
      <c r="AE13" s="2">
        <f t="shared" si="18"/>
        <v>1007.5652347308803</v>
      </c>
      <c r="AF13" s="2">
        <f t="shared" si="18"/>
        <v>1066.7814096558977</v>
      </c>
      <c r="AG13" s="2">
        <f t="shared" si="18"/>
        <v>1126.852421056376</v>
      </c>
      <c r="AH13" s="2">
        <f t="shared" si="18"/>
        <v>1167.9195443641274</v>
      </c>
      <c r="AI13" s="2">
        <f t="shared" si="18"/>
        <v>1183.1615549493717</v>
      </c>
      <c r="AJ13" s="2">
        <f t="shared" si="18"/>
        <v>1199.1545015995246</v>
      </c>
      <c r="AK13" s="2">
        <f t="shared" si="18"/>
        <v>1215.865138028794</v>
      </c>
      <c r="AL13" s="2">
        <f t="shared" si="18"/>
        <v>794.19423229070605</v>
      </c>
      <c r="AM13" s="2">
        <f t="shared" si="18"/>
        <v>415.0670355969321</v>
      </c>
    </row>
    <row r="14" spans="1:39" s="2" customFormat="1" x14ac:dyDescent="0.2">
      <c r="B14" s="2" t="s">
        <v>63</v>
      </c>
      <c r="C14" s="15"/>
      <c r="D14" s="15"/>
      <c r="E14" s="15"/>
      <c r="F14" s="15">
        <f t="shared" ref="F14" si="19">+F12-F13</f>
        <v>1423.9</v>
      </c>
      <c r="G14" s="15">
        <f>+G12-G13</f>
        <v>1531</v>
      </c>
      <c r="H14" s="15">
        <v>0</v>
      </c>
      <c r="I14" s="15">
        <v>0</v>
      </c>
      <c r="J14" s="15">
        <f>+J12-J13</f>
        <v>1824.6</v>
      </c>
      <c r="K14" s="15">
        <f>+K12-K13</f>
        <v>1951.7</v>
      </c>
      <c r="L14" s="15">
        <f t="shared" ref="L14:N14" si="20">+L12-L13</f>
        <v>2040.885</v>
      </c>
      <c r="M14" s="15">
        <f t="shared" si="20"/>
        <v>2131.0949999999998</v>
      </c>
      <c r="N14" s="15">
        <f t="shared" si="20"/>
        <v>2221.3049999999998</v>
      </c>
      <c r="X14" s="2">
        <f t="shared" ref="X14" si="21">+X12-X13</f>
        <v>0</v>
      </c>
      <c r="Y14" s="2">
        <f>+Y12-Y13</f>
        <v>3355.5999999999995</v>
      </c>
      <c r="Z14" s="2">
        <f>+Z12-Z13</f>
        <v>8344.9850000000006</v>
      </c>
      <c r="AA14" s="2">
        <f>+AA12-AA13</f>
        <v>9735.9095999999972</v>
      </c>
      <c r="AB14" s="2">
        <f t="shared" ref="AB14:AM14" si="22">+AB12-AB13</f>
        <v>10850.295120000001</v>
      </c>
      <c r="AC14" s="2">
        <f t="shared" si="22"/>
        <v>11403.1720848</v>
      </c>
      <c r="AD14" s="2">
        <f t="shared" si="22"/>
        <v>12434.789482655999</v>
      </c>
      <c r="AE14" s="2">
        <f t="shared" si="22"/>
        <v>13386.223832853122</v>
      </c>
      <c r="AF14" s="2">
        <f t="shared" si="22"/>
        <v>14172.953013999784</v>
      </c>
      <c r="AG14" s="2">
        <f t="shared" si="22"/>
        <v>14971.039308320422</v>
      </c>
      <c r="AH14" s="2">
        <f t="shared" si="22"/>
        <v>15516.645375123406</v>
      </c>
      <c r="AI14" s="2">
        <f t="shared" si="22"/>
        <v>15719.146372898795</v>
      </c>
      <c r="AJ14" s="2">
        <f t="shared" si="22"/>
        <v>15931.624092679394</v>
      </c>
      <c r="AK14" s="2">
        <f t="shared" si="22"/>
        <v>16153.636833811119</v>
      </c>
      <c r="AL14" s="2">
        <f t="shared" si="22"/>
        <v>10551.437657576524</v>
      </c>
      <c r="AM14" s="2">
        <f t="shared" si="22"/>
        <v>5514.4620443592403</v>
      </c>
    </row>
    <row r="15" spans="1:39" s="2" customFormat="1" x14ac:dyDescent="0.2">
      <c r="B15" s="2" t="s">
        <v>64</v>
      </c>
      <c r="C15" s="15"/>
      <c r="D15" s="15"/>
      <c r="E15" s="15"/>
      <c r="F15" s="15">
        <v>175</v>
      </c>
      <c r="G15" s="15">
        <v>151</v>
      </c>
      <c r="H15" s="15"/>
      <c r="I15" s="15"/>
      <c r="J15" s="15">
        <v>210</v>
      </c>
      <c r="K15" s="15">
        <v>167</v>
      </c>
      <c r="L15" s="15">
        <f>+K15</f>
        <v>167</v>
      </c>
      <c r="M15" s="15">
        <f t="shared" ref="M15:N15" si="23">+L15</f>
        <v>167</v>
      </c>
      <c r="N15" s="15">
        <f t="shared" si="23"/>
        <v>167</v>
      </c>
      <c r="X15" s="2">
        <v>609</v>
      </c>
      <c r="Y15" s="2">
        <v>673</v>
      </c>
      <c r="Z15" s="2">
        <f t="shared" ref="Z15:Z16" si="24">SUM(K15:N15)</f>
        <v>668</v>
      </c>
      <c r="AA15" s="2">
        <f>+AA12*0.1</f>
        <v>1046.8719999999998</v>
      </c>
      <c r="AB15" s="2">
        <f t="shared" ref="AB15:AM15" si="25">+AB12*0.1</f>
        <v>1166.6984</v>
      </c>
      <c r="AC15" s="2">
        <f t="shared" si="25"/>
        <v>1226.1475360000002</v>
      </c>
      <c r="AD15" s="2">
        <f t="shared" si="25"/>
        <v>1337.0741379199999</v>
      </c>
      <c r="AE15" s="2">
        <f t="shared" si="25"/>
        <v>1439.3789067584003</v>
      </c>
      <c r="AF15" s="2">
        <f t="shared" si="25"/>
        <v>1523.9734423655682</v>
      </c>
      <c r="AG15" s="2">
        <f t="shared" si="25"/>
        <v>1609.7891729376797</v>
      </c>
      <c r="AH15" s="2">
        <f t="shared" si="25"/>
        <v>1668.4564919487534</v>
      </c>
      <c r="AI15" s="2">
        <f t="shared" si="25"/>
        <v>1690.2307927848169</v>
      </c>
      <c r="AJ15" s="2">
        <f t="shared" si="25"/>
        <v>1713.077859427892</v>
      </c>
      <c r="AK15" s="2">
        <f t="shared" si="25"/>
        <v>1736.9501971839913</v>
      </c>
      <c r="AL15" s="2">
        <f t="shared" si="25"/>
        <v>1134.5631889867229</v>
      </c>
      <c r="AM15" s="2">
        <f t="shared" si="25"/>
        <v>592.95290799561724</v>
      </c>
    </row>
    <row r="16" spans="1:39" s="2" customFormat="1" x14ac:dyDescent="0.2">
      <c r="B16" s="2" t="s">
        <v>65</v>
      </c>
      <c r="C16" s="15"/>
      <c r="D16" s="15"/>
      <c r="E16" s="15"/>
      <c r="F16" s="15">
        <v>364</v>
      </c>
      <c r="G16" s="15">
        <v>380</v>
      </c>
      <c r="H16" s="15"/>
      <c r="I16" s="15"/>
      <c r="J16" s="15">
        <v>493</v>
      </c>
      <c r="K16" s="15">
        <v>520</v>
      </c>
      <c r="L16" s="15">
        <f>+K16</f>
        <v>520</v>
      </c>
      <c r="M16" s="15">
        <f t="shared" ref="M16:N16" si="26">+L16</f>
        <v>520</v>
      </c>
      <c r="N16" s="15">
        <f t="shared" si="26"/>
        <v>520</v>
      </c>
      <c r="X16" s="2">
        <v>1372</v>
      </c>
      <c r="Y16" s="2">
        <v>1658</v>
      </c>
      <c r="Z16" s="2">
        <f t="shared" si="24"/>
        <v>2080</v>
      </c>
    </row>
    <row r="17" spans="2:104" s="2" customFormat="1" x14ac:dyDescent="0.2">
      <c r="B17" s="2" t="s">
        <v>66</v>
      </c>
      <c r="C17" s="15"/>
      <c r="D17" s="15"/>
      <c r="E17" s="15"/>
      <c r="F17" s="15">
        <f t="shared" ref="F17" si="27">SUM(F15:F16)</f>
        <v>539</v>
      </c>
      <c r="G17" s="15">
        <f>SUM(G15:G16)</f>
        <v>531</v>
      </c>
      <c r="H17" s="15">
        <f t="shared" ref="H17:K17" si="28">SUM(H15:H16)</f>
        <v>0</v>
      </c>
      <c r="I17" s="15">
        <f t="shared" si="28"/>
        <v>0</v>
      </c>
      <c r="J17" s="15">
        <f>SUM(J15:J16)</f>
        <v>703</v>
      </c>
      <c r="K17" s="15">
        <f t="shared" si="28"/>
        <v>687</v>
      </c>
      <c r="L17" s="15">
        <f t="shared" ref="L17:N17" si="29">SUM(L15:L16)</f>
        <v>687</v>
      </c>
      <c r="M17" s="15">
        <f t="shared" si="29"/>
        <v>687</v>
      </c>
      <c r="N17" s="15">
        <f t="shared" si="29"/>
        <v>687</v>
      </c>
      <c r="X17" s="15">
        <f t="shared" ref="X17:Z17" si="30">SUM(X15:X16)</f>
        <v>1981</v>
      </c>
      <c r="Y17" s="15">
        <f t="shared" si="30"/>
        <v>2331</v>
      </c>
      <c r="Z17" s="15">
        <f t="shared" si="30"/>
        <v>2748</v>
      </c>
      <c r="AA17" s="15">
        <f t="shared" ref="AA17:AM17" si="31">SUM(AA15:AA16)</f>
        <v>1046.8719999999998</v>
      </c>
      <c r="AB17" s="15">
        <f t="shared" si="31"/>
        <v>1166.6984</v>
      </c>
      <c r="AC17" s="15">
        <f t="shared" si="31"/>
        <v>1226.1475360000002</v>
      </c>
      <c r="AD17" s="15">
        <f t="shared" si="31"/>
        <v>1337.0741379199999</v>
      </c>
      <c r="AE17" s="15">
        <f t="shared" si="31"/>
        <v>1439.3789067584003</v>
      </c>
      <c r="AF17" s="15">
        <f t="shared" si="31"/>
        <v>1523.9734423655682</v>
      </c>
      <c r="AG17" s="15">
        <f t="shared" si="31"/>
        <v>1609.7891729376797</v>
      </c>
      <c r="AH17" s="15">
        <f t="shared" si="31"/>
        <v>1668.4564919487534</v>
      </c>
      <c r="AI17" s="15">
        <f t="shared" si="31"/>
        <v>1690.2307927848169</v>
      </c>
      <c r="AJ17" s="15">
        <f t="shared" si="31"/>
        <v>1713.077859427892</v>
      </c>
      <c r="AK17" s="15">
        <f t="shared" si="31"/>
        <v>1736.9501971839913</v>
      </c>
      <c r="AL17" s="15">
        <f t="shared" si="31"/>
        <v>1134.5631889867229</v>
      </c>
      <c r="AM17" s="15">
        <f t="shared" si="31"/>
        <v>592.95290799561724</v>
      </c>
    </row>
    <row r="18" spans="2:104" x14ac:dyDescent="0.2">
      <c r="B18" s="2" t="s">
        <v>67</v>
      </c>
      <c r="F18" s="15">
        <f t="shared" ref="F18" si="32">F14-F17</f>
        <v>884.90000000000009</v>
      </c>
      <c r="G18" s="15">
        <f>G14-G17</f>
        <v>1000</v>
      </c>
      <c r="H18" s="15">
        <f t="shared" ref="H18:K18" si="33">H14-H17</f>
        <v>0</v>
      </c>
      <c r="I18" s="15">
        <f t="shared" si="33"/>
        <v>0</v>
      </c>
      <c r="J18" s="15">
        <f>J14-J17</f>
        <v>1121.5999999999999</v>
      </c>
      <c r="K18" s="15">
        <f t="shared" si="33"/>
        <v>1264.7</v>
      </c>
      <c r="L18" s="15">
        <f t="shared" ref="L18:N18" si="34">L14-L17</f>
        <v>1353.885</v>
      </c>
      <c r="M18" s="15">
        <f t="shared" si="34"/>
        <v>1444.0949999999998</v>
      </c>
      <c r="N18" s="15">
        <f t="shared" si="34"/>
        <v>1534.3049999999998</v>
      </c>
      <c r="X18" s="15">
        <f t="shared" ref="X18:Z18" si="35">X14-X17</f>
        <v>-1981</v>
      </c>
      <c r="Y18" s="15">
        <f t="shared" si="35"/>
        <v>1024.5999999999995</v>
      </c>
      <c r="Z18" s="15">
        <f t="shared" si="35"/>
        <v>5596.9850000000006</v>
      </c>
      <c r="AA18" s="15">
        <f t="shared" ref="AA18:AM18" si="36">AA14-AA17</f>
        <v>8689.0375999999978</v>
      </c>
      <c r="AB18" s="15">
        <f t="shared" si="36"/>
        <v>9683.5967200000014</v>
      </c>
      <c r="AC18" s="15">
        <f t="shared" si="36"/>
        <v>10177.0245488</v>
      </c>
      <c r="AD18" s="15">
        <f t="shared" si="36"/>
        <v>11097.715344736</v>
      </c>
      <c r="AE18" s="15">
        <f t="shared" si="36"/>
        <v>11946.844926094722</v>
      </c>
      <c r="AF18" s="15">
        <f t="shared" si="36"/>
        <v>12648.979571634216</v>
      </c>
      <c r="AG18" s="15">
        <f t="shared" si="36"/>
        <v>13361.250135382743</v>
      </c>
      <c r="AH18" s="15">
        <f t="shared" si="36"/>
        <v>13848.188883174653</v>
      </c>
      <c r="AI18" s="15">
        <f t="shared" si="36"/>
        <v>14028.915580113979</v>
      </c>
      <c r="AJ18" s="15">
        <f t="shared" si="36"/>
        <v>14218.546233251502</v>
      </c>
      <c r="AK18" s="15">
        <f t="shared" si="36"/>
        <v>14416.686636627128</v>
      </c>
      <c r="AL18" s="15">
        <f t="shared" si="36"/>
        <v>9416.8744685898</v>
      </c>
      <c r="AM18" s="15">
        <f t="shared" si="36"/>
        <v>4921.5091363636229</v>
      </c>
    </row>
    <row r="19" spans="2:104" s="2" customFormat="1" x14ac:dyDescent="0.2">
      <c r="B19" s="2" t="s">
        <v>126</v>
      </c>
      <c r="C19" s="15"/>
      <c r="D19" s="15"/>
      <c r="E19" s="15"/>
      <c r="F19" s="15">
        <f>2.3-16.3</f>
        <v>-14</v>
      </c>
      <c r="G19" s="15">
        <f>1.5-15.7</f>
        <v>-14.2</v>
      </c>
      <c r="H19" s="15"/>
      <c r="I19" s="15"/>
      <c r="J19" s="15">
        <f>1.2-15.1</f>
        <v>-13.9</v>
      </c>
      <c r="K19" s="15">
        <f>1.6-14.9</f>
        <v>-13.3</v>
      </c>
      <c r="L19" s="15">
        <f>+K19</f>
        <v>-13.3</v>
      </c>
      <c r="M19" s="15">
        <f t="shared" ref="M19:N19" si="37">+L19</f>
        <v>-13.3</v>
      </c>
      <c r="N19" s="15">
        <f t="shared" si="37"/>
        <v>-13.3</v>
      </c>
      <c r="Z19" s="2">
        <f t="shared" ref="Z19:Z21" si="38">SUM(K19:N19)</f>
        <v>-53.2</v>
      </c>
      <c r="AA19" s="2">
        <f>+Z30*$AP$28</f>
        <v>117.64368</v>
      </c>
      <c r="AB19" s="2">
        <f>+AA30*$AP$28</f>
        <v>188.09713023999998</v>
      </c>
      <c r="AC19" s="2">
        <f>+AB30*$AP$28</f>
        <v>267.07068104191995</v>
      </c>
      <c r="AD19" s="2">
        <f>+AC30*$AP$28</f>
        <v>350.62344288065538</v>
      </c>
      <c r="AE19" s="2">
        <f>+AD30*$AP$28</f>
        <v>442.21015318158857</v>
      </c>
      <c r="AF19" s="2">
        <f>+AE30*$AP$28</f>
        <v>541.32259381579911</v>
      </c>
      <c r="AG19" s="2">
        <f>+AF30*$AP$28</f>
        <v>646.84501113939916</v>
      </c>
      <c r="AH19" s="2">
        <f>+AG30*$AP$28</f>
        <v>758.90977231157626</v>
      </c>
      <c r="AI19" s="2">
        <f>+AH30*$AP$28</f>
        <v>875.76656155546607</v>
      </c>
      <c r="AJ19" s="2">
        <f>+AI30*$AP$28</f>
        <v>995.00401868882159</v>
      </c>
      <c r="AK19" s="2">
        <f>+AJ30*$AP$28</f>
        <v>1116.7124207043441</v>
      </c>
      <c r="AL19" s="2">
        <f>+AK30*$AP$28</f>
        <v>1240.979613162996</v>
      </c>
      <c r="AM19" s="2">
        <f>+AL30*$AP$28</f>
        <v>1326.2424458170185</v>
      </c>
    </row>
    <row r="20" spans="2:104" x14ac:dyDescent="0.2">
      <c r="B20" s="2" t="s">
        <v>127</v>
      </c>
      <c r="F20" s="15">
        <f>+F18+F19</f>
        <v>870.90000000000009</v>
      </c>
      <c r="G20" s="15">
        <f>+G18+G19</f>
        <v>985.8</v>
      </c>
      <c r="H20" s="15">
        <f t="shared" ref="H20:K20" si="39">+H18+H19</f>
        <v>0</v>
      </c>
      <c r="I20" s="15">
        <f t="shared" si="39"/>
        <v>0</v>
      </c>
      <c r="J20" s="15">
        <f t="shared" si="39"/>
        <v>1107.6999999999998</v>
      </c>
      <c r="K20" s="15">
        <f t="shared" si="39"/>
        <v>1251.4000000000001</v>
      </c>
      <c r="L20" s="15">
        <f t="shared" ref="L20" si="40">+L18+L19</f>
        <v>1340.585</v>
      </c>
      <c r="M20" s="15">
        <f t="shared" ref="M20" si="41">+M18+M19</f>
        <v>1430.7949999999998</v>
      </c>
      <c r="N20" s="15">
        <f t="shared" ref="N20" si="42">+N18+N19</f>
        <v>1521.0049999999999</v>
      </c>
      <c r="Z20" s="2">
        <f>+Z18+Z19</f>
        <v>5543.7850000000008</v>
      </c>
      <c r="AA20" s="2">
        <f t="shared" ref="AA20:AM20" si="43">+AA18+AA19</f>
        <v>8806.6812799999971</v>
      </c>
      <c r="AB20" s="2">
        <f t="shared" si="43"/>
        <v>9871.6938502400008</v>
      </c>
      <c r="AC20" s="2">
        <f t="shared" si="43"/>
        <v>10444.09522984192</v>
      </c>
      <c r="AD20" s="2">
        <f t="shared" si="43"/>
        <v>11448.338787616654</v>
      </c>
      <c r="AE20" s="2">
        <f t="shared" si="43"/>
        <v>12389.05507927631</v>
      </c>
      <c r="AF20" s="2">
        <f t="shared" si="43"/>
        <v>13190.302165450015</v>
      </c>
      <c r="AG20" s="2">
        <f t="shared" si="43"/>
        <v>14008.095146522142</v>
      </c>
      <c r="AH20" s="2">
        <f t="shared" si="43"/>
        <v>14607.098655486228</v>
      </c>
      <c r="AI20" s="2">
        <f t="shared" si="43"/>
        <v>14904.682141669444</v>
      </c>
      <c r="AJ20" s="2">
        <f t="shared" si="43"/>
        <v>15213.550251940324</v>
      </c>
      <c r="AK20" s="2">
        <f t="shared" si="43"/>
        <v>15533.399057331471</v>
      </c>
      <c r="AL20" s="2">
        <f t="shared" si="43"/>
        <v>10657.854081752796</v>
      </c>
      <c r="AM20" s="2">
        <f t="shared" si="43"/>
        <v>6247.751582180641</v>
      </c>
    </row>
    <row r="21" spans="2:104" s="2" customFormat="1" x14ac:dyDescent="0.2">
      <c r="B21" s="2" t="s">
        <v>128</v>
      </c>
      <c r="C21" s="15"/>
      <c r="D21" s="15"/>
      <c r="E21" s="15"/>
      <c r="F21" s="15">
        <v>198</v>
      </c>
      <c r="G21" s="15">
        <v>206</v>
      </c>
      <c r="H21" s="15"/>
      <c r="I21" s="15"/>
      <c r="J21" s="15">
        <v>239</v>
      </c>
      <c r="K21" s="15">
        <v>249</v>
      </c>
      <c r="L21" s="15">
        <f>+L20*0.2</f>
        <v>268.11700000000002</v>
      </c>
      <c r="M21" s="15">
        <v>249</v>
      </c>
      <c r="N21" s="15">
        <v>249</v>
      </c>
      <c r="Z21" s="2">
        <f t="shared" si="38"/>
        <v>1015.117</v>
      </c>
      <c r="AA21" s="2">
        <f>+AA20*0.2</f>
        <v>1761.3362559999996</v>
      </c>
      <c r="AB21" s="2">
        <f t="shared" ref="AB21:AM21" si="44">+AB20*0.2</f>
        <v>1974.3387700480002</v>
      </c>
      <c r="AC21" s="2">
        <f t="shared" si="44"/>
        <v>2088.8190459683842</v>
      </c>
      <c r="AD21" s="2">
        <f t="shared" si="44"/>
        <v>2289.6677575233311</v>
      </c>
      <c r="AE21" s="2">
        <f t="shared" si="44"/>
        <v>2477.8110158552622</v>
      </c>
      <c r="AF21" s="2">
        <f t="shared" si="44"/>
        <v>2638.0604330900032</v>
      </c>
      <c r="AG21" s="2">
        <f t="shared" si="44"/>
        <v>2801.6190293044288</v>
      </c>
      <c r="AH21" s="2">
        <f t="shared" si="44"/>
        <v>2921.4197310972459</v>
      </c>
      <c r="AI21" s="2">
        <f t="shared" si="44"/>
        <v>2980.9364283338891</v>
      </c>
      <c r="AJ21" s="2">
        <f t="shared" si="44"/>
        <v>3042.7100503880647</v>
      </c>
      <c r="AK21" s="2">
        <f t="shared" si="44"/>
        <v>3106.6798114662943</v>
      </c>
      <c r="AL21" s="2">
        <f t="shared" si="44"/>
        <v>2131.5708163505592</v>
      </c>
      <c r="AM21" s="2">
        <f t="shared" si="44"/>
        <v>1249.5503164361282</v>
      </c>
    </row>
    <row r="22" spans="2:104" x14ac:dyDescent="0.2">
      <c r="B22" s="2" t="s">
        <v>129</v>
      </c>
      <c r="F22" s="15">
        <f>+F20-F21</f>
        <v>672.90000000000009</v>
      </c>
      <c r="G22" s="15">
        <f>+G20-G21</f>
        <v>779.8</v>
      </c>
      <c r="H22" s="15">
        <f t="shared" ref="H22:N22" si="45">+H20-H21</f>
        <v>0</v>
      </c>
      <c r="I22" s="15">
        <f t="shared" si="45"/>
        <v>0</v>
      </c>
      <c r="J22" s="15">
        <f t="shared" si="45"/>
        <v>868.69999999999982</v>
      </c>
      <c r="K22" s="15">
        <f t="shared" si="45"/>
        <v>1002.4000000000001</v>
      </c>
      <c r="L22" s="15">
        <f t="shared" si="45"/>
        <v>1072.4680000000001</v>
      </c>
      <c r="M22" s="15">
        <f t="shared" si="45"/>
        <v>1181.7949999999998</v>
      </c>
      <c r="N22" s="15">
        <f t="shared" si="45"/>
        <v>1272.0049999999999</v>
      </c>
      <c r="Z22" s="2">
        <f>+Z20-Z21</f>
        <v>4528.6680000000006</v>
      </c>
      <c r="AA22" s="2">
        <f t="shared" ref="AA22:AM22" si="46">+AA20-AA21</f>
        <v>7045.3450239999975</v>
      </c>
      <c r="AB22" s="2">
        <f t="shared" si="46"/>
        <v>7897.355080192001</v>
      </c>
      <c r="AC22" s="2">
        <f t="shared" si="46"/>
        <v>8355.276183873535</v>
      </c>
      <c r="AD22" s="2">
        <f t="shared" si="46"/>
        <v>9158.6710300933228</v>
      </c>
      <c r="AE22" s="2">
        <f t="shared" si="46"/>
        <v>9911.244063421047</v>
      </c>
      <c r="AF22" s="2">
        <f t="shared" si="46"/>
        <v>10552.241732360013</v>
      </c>
      <c r="AG22" s="2">
        <f t="shared" si="46"/>
        <v>11206.476117217713</v>
      </c>
      <c r="AH22" s="2">
        <f t="shared" si="46"/>
        <v>11685.678924388983</v>
      </c>
      <c r="AI22" s="2">
        <f t="shared" si="46"/>
        <v>11923.745713335555</v>
      </c>
      <c r="AJ22" s="2">
        <f t="shared" si="46"/>
        <v>12170.840201552259</v>
      </c>
      <c r="AK22" s="2">
        <f t="shared" si="46"/>
        <v>12426.719245865177</v>
      </c>
      <c r="AL22" s="2">
        <f t="shared" si="46"/>
        <v>8526.2832654022368</v>
      </c>
      <c r="AM22" s="2">
        <f t="shared" si="46"/>
        <v>4998.201265744513</v>
      </c>
      <c r="AN22" s="2">
        <f>+AM22*(1+$AP$26)</f>
        <v>4748.291202457287</v>
      </c>
      <c r="AO22" s="2">
        <f t="shared" ref="AO22:CZ22" si="47">+AN22*(1+$AP$26)</f>
        <v>4510.8766423344223</v>
      </c>
      <c r="AP22" s="2">
        <f t="shared" si="47"/>
        <v>4285.3328102177011</v>
      </c>
      <c r="AQ22" s="2">
        <f t="shared" si="47"/>
        <v>4071.0661697068158</v>
      </c>
      <c r="AR22" s="2">
        <f t="shared" si="47"/>
        <v>3867.5128612214749</v>
      </c>
      <c r="AS22" s="2">
        <f t="shared" si="47"/>
        <v>3674.1372181604011</v>
      </c>
      <c r="AT22" s="2">
        <f t="shared" si="47"/>
        <v>3490.4303572523809</v>
      </c>
      <c r="AU22" s="2">
        <f t="shared" si="47"/>
        <v>3315.9088393897619</v>
      </c>
      <c r="AV22" s="2">
        <f t="shared" si="47"/>
        <v>3150.1133974202735</v>
      </c>
      <c r="AW22" s="2">
        <f t="shared" si="47"/>
        <v>2992.6077275492598</v>
      </c>
      <c r="AX22" s="2">
        <f t="shared" si="47"/>
        <v>2842.9773411717965</v>
      </c>
      <c r="AY22" s="2">
        <f t="shared" si="47"/>
        <v>2700.8284741132065</v>
      </c>
      <c r="AZ22" s="2">
        <f t="shared" si="47"/>
        <v>2565.7870504075463</v>
      </c>
      <c r="BA22" s="2">
        <f t="shared" si="47"/>
        <v>2437.4976978871687</v>
      </c>
      <c r="BB22" s="2">
        <f t="shared" si="47"/>
        <v>2315.6228129928099</v>
      </c>
      <c r="BC22" s="2">
        <f t="shared" si="47"/>
        <v>2199.8416723431692</v>
      </c>
      <c r="BD22" s="2">
        <f t="shared" si="47"/>
        <v>2089.8495887260106</v>
      </c>
      <c r="BE22" s="2">
        <f t="shared" si="47"/>
        <v>1985.35710928971</v>
      </c>
      <c r="BF22" s="2">
        <f t="shared" si="47"/>
        <v>1886.0892538252244</v>
      </c>
      <c r="BG22" s="2">
        <f t="shared" si="47"/>
        <v>1791.7847911339632</v>
      </c>
      <c r="BH22" s="2">
        <f t="shared" si="47"/>
        <v>1702.195551577265</v>
      </c>
      <c r="BI22" s="2">
        <f t="shared" si="47"/>
        <v>1617.0857739984017</v>
      </c>
      <c r="BJ22" s="2">
        <f t="shared" si="47"/>
        <v>1536.2314852984816</v>
      </c>
      <c r="BK22" s="2">
        <f t="shared" si="47"/>
        <v>1459.4199110335576</v>
      </c>
      <c r="BL22" s="2">
        <f t="shared" si="47"/>
        <v>1386.4489154818796</v>
      </c>
      <c r="BM22" s="2">
        <f t="shared" si="47"/>
        <v>1317.1264697077854</v>
      </c>
      <c r="BN22" s="2">
        <f t="shared" si="47"/>
        <v>1251.2701462223961</v>
      </c>
      <c r="BO22" s="2">
        <f t="shared" si="47"/>
        <v>1188.7066389112763</v>
      </c>
      <c r="BP22" s="2">
        <f t="shared" si="47"/>
        <v>1129.2713069657125</v>
      </c>
      <c r="BQ22" s="2">
        <f t="shared" si="47"/>
        <v>1072.8077416174267</v>
      </c>
      <c r="BR22" s="2">
        <f t="shared" si="47"/>
        <v>1019.1673545365553</v>
      </c>
      <c r="BS22" s="2">
        <f t="shared" si="47"/>
        <v>968.20898680972755</v>
      </c>
      <c r="BT22" s="2">
        <f t="shared" si="47"/>
        <v>919.79853746924118</v>
      </c>
      <c r="BU22" s="2">
        <f t="shared" si="47"/>
        <v>873.8086105957791</v>
      </c>
      <c r="BV22" s="2">
        <f t="shared" si="47"/>
        <v>830.11818006599015</v>
      </c>
      <c r="BW22" s="2">
        <f t="shared" si="47"/>
        <v>788.61227106269064</v>
      </c>
      <c r="BX22" s="2">
        <f t="shared" si="47"/>
        <v>749.18165750955609</v>
      </c>
      <c r="BY22" s="2">
        <f t="shared" si="47"/>
        <v>711.72257463407823</v>
      </c>
      <c r="BZ22" s="2">
        <f t="shared" si="47"/>
        <v>676.13644590237425</v>
      </c>
      <c r="CA22" s="2">
        <f t="shared" si="47"/>
        <v>642.32962360725548</v>
      </c>
      <c r="CB22" s="2">
        <f t="shared" si="47"/>
        <v>610.21314242689266</v>
      </c>
      <c r="CC22" s="2">
        <f t="shared" si="47"/>
        <v>579.70248530554795</v>
      </c>
      <c r="CD22" s="2">
        <f t="shared" si="47"/>
        <v>550.71736104027048</v>
      </c>
      <c r="CE22" s="2">
        <f t="shared" si="47"/>
        <v>523.18149298825688</v>
      </c>
      <c r="CF22" s="2">
        <f t="shared" si="47"/>
        <v>497.02241833884403</v>
      </c>
      <c r="CG22" s="2">
        <f t="shared" si="47"/>
        <v>472.17129742190178</v>
      </c>
      <c r="CH22" s="2">
        <f t="shared" si="47"/>
        <v>448.56273255080669</v>
      </c>
      <c r="CI22" s="2">
        <f t="shared" si="47"/>
        <v>426.13459592326632</v>
      </c>
      <c r="CJ22" s="2">
        <f t="shared" si="47"/>
        <v>404.82786612710299</v>
      </c>
      <c r="CK22" s="2">
        <f t="shared" si="47"/>
        <v>384.58647282074782</v>
      </c>
      <c r="CL22" s="2">
        <f t="shared" si="47"/>
        <v>365.3571491797104</v>
      </c>
      <c r="CM22" s="2">
        <f t="shared" si="47"/>
        <v>347.08929172072487</v>
      </c>
      <c r="CN22" s="2">
        <f t="shared" si="47"/>
        <v>329.7348271346886</v>
      </c>
      <c r="CO22" s="2">
        <f t="shared" si="47"/>
        <v>313.24808577795415</v>
      </c>
      <c r="CP22" s="2">
        <f t="shared" si="47"/>
        <v>297.58568148905641</v>
      </c>
      <c r="CQ22" s="2">
        <f t="shared" si="47"/>
        <v>282.7063974146036</v>
      </c>
      <c r="CR22" s="2">
        <f t="shared" si="47"/>
        <v>268.5710775438734</v>
      </c>
      <c r="CS22" s="2">
        <f t="shared" si="47"/>
        <v>255.14252366667972</v>
      </c>
      <c r="CT22" s="2">
        <f t="shared" si="47"/>
        <v>242.38539748334571</v>
      </c>
      <c r="CU22" s="2">
        <f t="shared" si="47"/>
        <v>230.26612760917843</v>
      </c>
      <c r="CV22" s="2">
        <f t="shared" si="47"/>
        <v>218.75282122871948</v>
      </c>
      <c r="CW22" s="2">
        <f t="shared" si="47"/>
        <v>207.8151801672835</v>
      </c>
      <c r="CX22" s="2">
        <f t="shared" si="47"/>
        <v>197.42442115891933</v>
      </c>
      <c r="CY22" s="2">
        <f t="shared" si="47"/>
        <v>187.55320010097336</v>
      </c>
      <c r="CZ22" s="2">
        <f t="shared" si="47"/>
        <v>178.17554009592467</v>
      </c>
    </row>
    <row r="23" spans="2:104" s="1" customFormat="1" x14ac:dyDescent="0.2">
      <c r="B23" s="1" t="s">
        <v>130</v>
      </c>
      <c r="C23" s="25"/>
      <c r="D23" s="25"/>
      <c r="E23" s="25"/>
      <c r="F23" s="25">
        <f t="shared" ref="F23:J23" si="48">+F22/F24</f>
        <v>2.5575826681870013</v>
      </c>
      <c r="G23" s="25">
        <f t="shared" si="48"/>
        <v>2.9774723176785032</v>
      </c>
      <c r="H23" s="25"/>
      <c r="I23" s="25"/>
      <c r="J23" s="25">
        <f t="shared" si="48"/>
        <v>3.3801556420233454</v>
      </c>
      <c r="K23" s="25">
        <f>+K22/K24</f>
        <v>3.8867778208607993</v>
      </c>
      <c r="L23" s="25">
        <f t="shared" ref="L23:N23" si="49">+L22/L24</f>
        <v>4.1584645211322222</v>
      </c>
      <c r="M23" s="25">
        <f t="shared" si="49"/>
        <v>4.582376890267545</v>
      </c>
      <c r="N23" s="25">
        <f t="shared" si="49"/>
        <v>4.9321636293136875</v>
      </c>
      <c r="Z23" s="1">
        <f>+Z22/Z24</f>
        <v>17.559782861574256</v>
      </c>
      <c r="AA23" s="1">
        <f t="shared" ref="AA23:AM23" si="50">+AA22/AA24</f>
        <v>27.318127274137254</v>
      </c>
      <c r="AB23" s="1">
        <f t="shared" si="50"/>
        <v>30.621772315595198</v>
      </c>
      <c r="AC23" s="1">
        <f t="shared" si="50"/>
        <v>32.39734852219285</v>
      </c>
      <c r="AD23" s="1">
        <f t="shared" si="50"/>
        <v>35.512489453638324</v>
      </c>
      <c r="AE23" s="1">
        <f t="shared" si="50"/>
        <v>38.430570234280914</v>
      </c>
      <c r="AF23" s="1">
        <f t="shared" si="50"/>
        <v>40.916020676076052</v>
      </c>
      <c r="AG23" s="1">
        <f t="shared" si="50"/>
        <v>43.452796111739879</v>
      </c>
      <c r="AH23" s="1">
        <f t="shared" si="50"/>
        <v>45.310891525354727</v>
      </c>
      <c r="AI23" s="1">
        <f t="shared" si="50"/>
        <v>46.233988807039765</v>
      </c>
      <c r="AJ23" s="1">
        <f t="shared" si="50"/>
        <v>47.192090738861033</v>
      </c>
      <c r="AK23" s="1">
        <f t="shared" si="50"/>
        <v>48.184254539996815</v>
      </c>
      <c r="AL23" s="1">
        <f t="shared" si="50"/>
        <v>33.060423673525541</v>
      </c>
      <c r="AM23" s="1">
        <f t="shared" si="50"/>
        <v>19.380384900133826</v>
      </c>
    </row>
    <row r="24" spans="2:104" s="2" customFormat="1" x14ac:dyDescent="0.2">
      <c r="B24" s="2" t="s">
        <v>1</v>
      </c>
      <c r="C24" s="15"/>
      <c r="D24" s="15"/>
      <c r="E24" s="15"/>
      <c r="F24" s="15">
        <v>263.10000000000002</v>
      </c>
      <c r="G24" s="15">
        <v>261.89999999999998</v>
      </c>
      <c r="H24" s="15"/>
      <c r="I24" s="15"/>
      <c r="J24" s="15">
        <v>257</v>
      </c>
      <c r="K24" s="15">
        <v>257.89999999999998</v>
      </c>
      <c r="L24" s="15">
        <f>+K24</f>
        <v>257.89999999999998</v>
      </c>
      <c r="M24" s="15">
        <f t="shared" ref="M24:N24" si="51">+L24</f>
        <v>257.89999999999998</v>
      </c>
      <c r="N24" s="15">
        <f t="shared" si="51"/>
        <v>257.89999999999998</v>
      </c>
      <c r="Z24" s="2">
        <f>AVERAGE(K24:N24)</f>
        <v>257.89999999999998</v>
      </c>
      <c r="AA24" s="2">
        <f>+Z24</f>
        <v>257.89999999999998</v>
      </c>
      <c r="AB24" s="2">
        <f t="shared" ref="AB24:AM24" si="52">+AA24</f>
        <v>257.89999999999998</v>
      </c>
      <c r="AC24" s="2">
        <f t="shared" si="52"/>
        <v>257.89999999999998</v>
      </c>
      <c r="AD24" s="2">
        <f t="shared" si="52"/>
        <v>257.89999999999998</v>
      </c>
      <c r="AE24" s="2">
        <f t="shared" si="52"/>
        <v>257.89999999999998</v>
      </c>
      <c r="AF24" s="2">
        <f t="shared" si="52"/>
        <v>257.89999999999998</v>
      </c>
      <c r="AG24" s="2">
        <f t="shared" si="52"/>
        <v>257.89999999999998</v>
      </c>
      <c r="AH24" s="2">
        <f t="shared" si="52"/>
        <v>257.89999999999998</v>
      </c>
      <c r="AI24" s="2">
        <f t="shared" si="52"/>
        <v>257.89999999999998</v>
      </c>
      <c r="AJ24" s="2">
        <f t="shared" si="52"/>
        <v>257.89999999999998</v>
      </c>
      <c r="AK24" s="2">
        <f t="shared" si="52"/>
        <v>257.89999999999998</v>
      </c>
      <c r="AL24" s="2">
        <f t="shared" si="52"/>
        <v>257.89999999999998</v>
      </c>
      <c r="AM24" s="2">
        <f t="shared" si="52"/>
        <v>257.89999999999998</v>
      </c>
    </row>
    <row r="26" spans="2:104" x14ac:dyDescent="0.2">
      <c r="B26" s="2" t="s">
        <v>185</v>
      </c>
      <c r="F26" s="23">
        <f t="shared" ref="F26:G26" si="53">F14/F12</f>
        <v>0.87516902274124164</v>
      </c>
      <c r="G26" s="23">
        <f t="shared" ref="G26:K26" si="54">G14/G12</f>
        <v>0.888411768119306</v>
      </c>
      <c r="H26" s="23" t="e">
        <f t="shared" si="54"/>
        <v>#DIV/0!</v>
      </c>
      <c r="I26" s="23" t="e">
        <f t="shared" si="54"/>
        <v>#DIV/0!</v>
      </c>
      <c r="J26" s="23">
        <f t="shared" si="54"/>
        <v>0.88059845559845551</v>
      </c>
      <c r="K26" s="23">
        <f t="shared" ref="K26:L26" si="55">K14/K12</f>
        <v>0.93048867699642435</v>
      </c>
      <c r="L26" s="23">
        <f t="shared" si="55"/>
        <v>0.93</v>
      </c>
      <c r="M26" s="23">
        <f>M14/M12</f>
        <v>0.92999999999999994</v>
      </c>
      <c r="N26" s="23">
        <f>N14/N12</f>
        <v>0.92999999999999994</v>
      </c>
      <c r="Y26" s="23">
        <f t="shared" ref="Y26:Z26" si="56">Y14/Y12</f>
        <v>0.88414618080257157</v>
      </c>
      <c r="Z26" s="23">
        <f t="shared" si="56"/>
        <v>0.93011424431564871</v>
      </c>
      <c r="AA26" s="23">
        <f t="shared" ref="AA26:AM26" si="57">AA14/AA12</f>
        <v>0.92999999999999994</v>
      </c>
      <c r="AB26" s="23">
        <f t="shared" si="57"/>
        <v>0.93</v>
      </c>
      <c r="AC26" s="23">
        <f t="shared" si="57"/>
        <v>0.93</v>
      </c>
      <c r="AD26" s="23">
        <f t="shared" si="57"/>
        <v>0.92999999999999994</v>
      </c>
      <c r="AE26" s="23">
        <f t="shared" si="57"/>
        <v>0.92999999999999994</v>
      </c>
      <c r="AF26" s="23">
        <f t="shared" si="57"/>
        <v>0.93</v>
      </c>
      <c r="AG26" s="23">
        <f t="shared" si="57"/>
        <v>0.93</v>
      </c>
      <c r="AH26" s="23">
        <f t="shared" si="57"/>
        <v>0.93</v>
      </c>
      <c r="AI26" s="23">
        <f t="shared" si="57"/>
        <v>0.92999999999999994</v>
      </c>
      <c r="AJ26" s="23">
        <f t="shared" si="57"/>
        <v>0.92999999999999994</v>
      </c>
      <c r="AK26" s="23">
        <f t="shared" si="57"/>
        <v>0.93</v>
      </c>
      <c r="AL26" s="23">
        <f t="shared" si="57"/>
        <v>0.93</v>
      </c>
      <c r="AM26" s="23">
        <f t="shared" si="57"/>
        <v>0.92999999999999994</v>
      </c>
      <c r="AO26" t="s">
        <v>303</v>
      </c>
      <c r="AP26" s="27">
        <v>-0.05</v>
      </c>
    </row>
    <row r="27" spans="2:104" x14ac:dyDescent="0.2">
      <c r="B27" s="2" t="s">
        <v>299</v>
      </c>
      <c r="F27" s="23"/>
      <c r="G27" s="23"/>
      <c r="H27" s="23"/>
      <c r="I27" s="23"/>
      <c r="J27" s="23"/>
      <c r="K27" s="23"/>
      <c r="L27" s="23"/>
      <c r="M27" s="23"/>
      <c r="N27" s="23"/>
      <c r="Y27" s="23"/>
      <c r="Z27" s="23">
        <f>+Z15/Z12</f>
        <v>7.4453856442264821E-2</v>
      </c>
      <c r="AA27" s="23">
        <f t="shared" ref="AA27:AM27" si="58">+AA15/AA12</f>
        <v>0.1</v>
      </c>
      <c r="AB27" s="23">
        <f t="shared" si="58"/>
        <v>9.9999999999999992E-2</v>
      </c>
      <c r="AC27" s="23">
        <f t="shared" si="58"/>
        <v>0.1</v>
      </c>
      <c r="AD27" s="23">
        <f t="shared" si="58"/>
        <v>0.1</v>
      </c>
      <c r="AE27" s="23">
        <f t="shared" si="58"/>
        <v>0.1</v>
      </c>
      <c r="AF27" s="23">
        <f t="shared" si="58"/>
        <v>0.1</v>
      </c>
      <c r="AG27" s="23">
        <f t="shared" si="58"/>
        <v>0.1</v>
      </c>
      <c r="AH27" s="23">
        <f t="shared" si="58"/>
        <v>0.1</v>
      </c>
      <c r="AI27" s="23">
        <f t="shared" si="58"/>
        <v>0.1</v>
      </c>
      <c r="AJ27" s="23">
        <f t="shared" si="58"/>
        <v>0.1</v>
      </c>
      <c r="AK27" s="23">
        <f t="shared" si="58"/>
        <v>0.1</v>
      </c>
      <c r="AL27" s="23">
        <f t="shared" si="58"/>
        <v>0.1</v>
      </c>
      <c r="AM27" s="23">
        <f t="shared" si="58"/>
        <v>9.9999999999999992E-2</v>
      </c>
      <c r="AO27" t="s">
        <v>301</v>
      </c>
      <c r="AP27" s="27">
        <v>7.0000000000000007E-2</v>
      </c>
    </row>
    <row r="28" spans="2:104" x14ac:dyDescent="0.2">
      <c r="B28" s="2" t="s">
        <v>188</v>
      </c>
      <c r="F28" s="23">
        <f t="shared" ref="F28:G28" si="59">F21/F20</f>
        <v>0.22735101619014811</v>
      </c>
      <c r="G28" s="23">
        <f>G21/G20</f>
        <v>0.20896733617366606</v>
      </c>
      <c r="H28" s="23" t="e">
        <f t="shared" ref="H28:N28" si="60">H21/H20</f>
        <v>#DIV/0!</v>
      </c>
      <c r="I28" s="23" t="e">
        <f t="shared" si="60"/>
        <v>#DIV/0!</v>
      </c>
      <c r="J28" s="23">
        <f t="shared" si="60"/>
        <v>0.21576239053895463</v>
      </c>
      <c r="K28" s="23">
        <f t="shared" si="60"/>
        <v>0.19897714559693142</v>
      </c>
      <c r="L28" s="23">
        <f t="shared" si="60"/>
        <v>0.2</v>
      </c>
      <c r="M28" s="23">
        <f t="shared" si="60"/>
        <v>0.17402912366900922</v>
      </c>
      <c r="N28" s="23">
        <f t="shared" si="60"/>
        <v>0.16370754862738782</v>
      </c>
      <c r="Z28" s="27">
        <f>+Z21/Z20</f>
        <v>0.18310901306598287</v>
      </c>
      <c r="AA28" s="27">
        <f t="shared" ref="AA28:AM28" si="61">+AA21/AA20</f>
        <v>0.2</v>
      </c>
      <c r="AB28" s="27">
        <f t="shared" si="61"/>
        <v>0.2</v>
      </c>
      <c r="AC28" s="27">
        <f t="shared" si="61"/>
        <v>0.20000000000000004</v>
      </c>
      <c r="AD28" s="27">
        <f t="shared" si="61"/>
        <v>0.2</v>
      </c>
      <c r="AE28" s="27">
        <f t="shared" si="61"/>
        <v>0.2</v>
      </c>
      <c r="AF28" s="27">
        <f t="shared" si="61"/>
        <v>0.2</v>
      </c>
      <c r="AG28" s="27">
        <f t="shared" si="61"/>
        <v>0.2</v>
      </c>
      <c r="AH28" s="27">
        <f t="shared" si="61"/>
        <v>0.2</v>
      </c>
      <c r="AI28" s="27">
        <f t="shared" si="61"/>
        <v>0.2</v>
      </c>
      <c r="AJ28" s="27">
        <f t="shared" si="61"/>
        <v>0.2</v>
      </c>
      <c r="AK28" s="27">
        <f t="shared" si="61"/>
        <v>0.2</v>
      </c>
      <c r="AL28" s="27">
        <f t="shared" si="61"/>
        <v>0.2</v>
      </c>
      <c r="AM28" s="27">
        <f t="shared" si="61"/>
        <v>0.2</v>
      </c>
      <c r="AO28" t="s">
        <v>300</v>
      </c>
      <c r="AP28" s="27">
        <v>0.01</v>
      </c>
    </row>
    <row r="29" spans="2:104" x14ac:dyDescent="0.2">
      <c r="AO29" t="s">
        <v>302</v>
      </c>
      <c r="AP29" s="2">
        <f>NPV(AP27,AA22:BX22)+Main!M5-Main!M6</f>
        <v>104060.75684749277</v>
      </c>
    </row>
    <row r="30" spans="2:104" s="2" customFormat="1" x14ac:dyDescent="0.2">
      <c r="B30" s="2" t="s">
        <v>3</v>
      </c>
      <c r="C30" s="15"/>
      <c r="D30" s="15"/>
      <c r="E30" s="15"/>
      <c r="F30" s="15"/>
      <c r="G30" s="15"/>
      <c r="H30" s="15"/>
      <c r="I30" s="15"/>
      <c r="J30" s="15"/>
      <c r="K30" s="15">
        <f>7600.1+638</f>
        <v>8238.1</v>
      </c>
      <c r="L30" s="15">
        <f>+K30+L22</f>
        <v>9310.5680000000011</v>
      </c>
      <c r="M30" s="15">
        <f t="shared" ref="M30:N30" si="62">+L30+M22</f>
        <v>10492.363000000001</v>
      </c>
      <c r="N30" s="15">
        <f t="shared" si="62"/>
        <v>11764.368</v>
      </c>
      <c r="Z30" s="2">
        <f>+N30</f>
        <v>11764.368</v>
      </c>
      <c r="AA30" s="2">
        <f>+Z30+AA22</f>
        <v>18809.713023999997</v>
      </c>
      <c r="AB30" s="2">
        <f t="shared" ref="AB30:AM30" si="63">+AA30+AB22</f>
        <v>26707.068104191996</v>
      </c>
      <c r="AC30" s="2">
        <f t="shared" si="63"/>
        <v>35062.344288065535</v>
      </c>
      <c r="AD30" s="2">
        <f t="shared" si="63"/>
        <v>44221.015318158854</v>
      </c>
      <c r="AE30" s="2">
        <f t="shared" si="63"/>
        <v>54132.259381579905</v>
      </c>
      <c r="AF30" s="2">
        <f t="shared" si="63"/>
        <v>64684.501113939914</v>
      </c>
      <c r="AG30" s="2">
        <f t="shared" si="63"/>
        <v>75890.977231157623</v>
      </c>
      <c r="AH30" s="2">
        <f t="shared" si="63"/>
        <v>87576.656155546603</v>
      </c>
      <c r="AI30" s="2">
        <f t="shared" si="63"/>
        <v>99500.401868882152</v>
      </c>
      <c r="AJ30" s="2">
        <f t="shared" si="63"/>
        <v>111671.24207043441</v>
      </c>
      <c r="AK30" s="2">
        <f t="shared" si="63"/>
        <v>124097.9613162996</v>
      </c>
      <c r="AL30" s="2">
        <f t="shared" si="63"/>
        <v>132624.24458170185</v>
      </c>
      <c r="AM30" s="2">
        <f t="shared" si="63"/>
        <v>137622.44584744636</v>
      </c>
      <c r="AO30" s="2" t="s">
        <v>304</v>
      </c>
      <c r="AP30" s="1">
        <f>AP29/Main!M3</f>
        <v>406.87519634192518</v>
      </c>
    </row>
    <row r="31" spans="2:104" s="2" customFormat="1" x14ac:dyDescent="0.2">
      <c r="B31" s="2" t="s">
        <v>269</v>
      </c>
      <c r="C31" s="15"/>
      <c r="D31" s="15"/>
      <c r="E31" s="15"/>
      <c r="F31" s="15"/>
      <c r="G31" s="15"/>
      <c r="H31" s="15"/>
      <c r="I31" s="15"/>
      <c r="J31" s="15"/>
      <c r="K31" s="15">
        <v>1292.8</v>
      </c>
      <c r="L31" s="15"/>
      <c r="M31" s="15"/>
      <c r="N31" s="15"/>
    </row>
    <row r="32" spans="2:104" s="2" customFormat="1" x14ac:dyDescent="0.2">
      <c r="B32" s="2" t="s">
        <v>270</v>
      </c>
      <c r="C32" s="15"/>
      <c r="D32" s="15"/>
      <c r="E32" s="15"/>
      <c r="F32" s="15"/>
      <c r="G32" s="15"/>
      <c r="H32" s="15"/>
      <c r="I32" s="15"/>
      <c r="J32" s="15"/>
      <c r="K32" s="15">
        <v>338.9</v>
      </c>
      <c r="L32" s="15"/>
      <c r="M32" s="15"/>
      <c r="N32" s="15"/>
    </row>
    <row r="33" spans="2:14" s="2" customFormat="1" x14ac:dyDescent="0.2">
      <c r="B33" s="2" t="s">
        <v>271</v>
      </c>
      <c r="C33" s="15"/>
      <c r="D33" s="15"/>
      <c r="E33" s="15"/>
      <c r="F33" s="15"/>
      <c r="G33" s="15"/>
      <c r="H33" s="15"/>
      <c r="I33" s="15"/>
      <c r="J33" s="15"/>
      <c r="K33" s="15">
        <v>491.5</v>
      </c>
      <c r="L33" s="15"/>
      <c r="M33" s="15"/>
      <c r="N33" s="15"/>
    </row>
    <row r="34" spans="2:14" s="2" customFormat="1" x14ac:dyDescent="0.2">
      <c r="B34" s="2" t="s">
        <v>272</v>
      </c>
      <c r="C34" s="15"/>
      <c r="D34" s="15"/>
      <c r="E34" s="15"/>
      <c r="F34" s="15"/>
      <c r="G34" s="15"/>
      <c r="H34" s="15"/>
      <c r="I34" s="15"/>
      <c r="J34" s="15"/>
      <c r="K34" s="15">
        <v>1107.4000000000001</v>
      </c>
      <c r="L34" s="15"/>
      <c r="M34" s="15"/>
      <c r="N34" s="15"/>
    </row>
    <row r="35" spans="2:14" s="2" customFormat="1" x14ac:dyDescent="0.2">
      <c r="B35" s="2" t="s">
        <v>273</v>
      </c>
      <c r="C35" s="15"/>
      <c r="D35" s="15"/>
      <c r="E35" s="15"/>
      <c r="F35" s="15"/>
      <c r="G35" s="15"/>
      <c r="H35" s="15"/>
      <c r="I35" s="15"/>
      <c r="J35" s="15"/>
      <c r="K35" s="15">
        <f>1002.2+400</f>
        <v>1402.2</v>
      </c>
      <c r="L35" s="15"/>
      <c r="M35" s="15"/>
      <c r="N35" s="15"/>
    </row>
    <row r="36" spans="2:14" s="2" customFormat="1" x14ac:dyDescent="0.2">
      <c r="B36" s="2" t="s">
        <v>128</v>
      </c>
      <c r="C36" s="15"/>
      <c r="D36" s="15"/>
      <c r="E36" s="15"/>
      <c r="F36" s="15"/>
      <c r="G36" s="15"/>
      <c r="H36" s="15"/>
      <c r="I36" s="15"/>
      <c r="J36" s="15"/>
      <c r="K36" s="15">
        <v>945.5</v>
      </c>
      <c r="L36" s="15"/>
      <c r="M36" s="15"/>
      <c r="N36" s="15"/>
    </row>
    <row r="37" spans="2:14" s="2" customFormat="1" x14ac:dyDescent="0.2">
      <c r="B37" s="2" t="s">
        <v>274</v>
      </c>
      <c r="C37" s="15"/>
      <c r="D37" s="15"/>
      <c r="E37" s="15"/>
      <c r="F37" s="15"/>
      <c r="G37" s="15"/>
      <c r="H37" s="15"/>
      <c r="I37" s="15"/>
      <c r="J37" s="15"/>
      <c r="K37" s="15">
        <v>329</v>
      </c>
      <c r="L37" s="15"/>
      <c r="M37" s="15"/>
      <c r="N37" s="15"/>
    </row>
    <row r="38" spans="2:14" s="2" customFormat="1" x14ac:dyDescent="0.2">
      <c r="B38" s="2" t="s">
        <v>275</v>
      </c>
      <c r="C38" s="15"/>
      <c r="D38" s="15"/>
      <c r="E38" s="15"/>
      <c r="F38" s="15"/>
      <c r="G38" s="15"/>
      <c r="H38" s="15"/>
      <c r="I38" s="15"/>
      <c r="J38" s="15"/>
      <c r="K38" s="15">
        <v>110.7</v>
      </c>
      <c r="L38" s="15"/>
      <c r="M38" s="15"/>
      <c r="N38" s="15"/>
    </row>
    <row r="39" spans="2:14" s="2" customFormat="1" x14ac:dyDescent="0.2">
      <c r="B39" s="2" t="s">
        <v>268</v>
      </c>
      <c r="C39" s="15"/>
      <c r="D39" s="15"/>
      <c r="E39" s="15"/>
      <c r="F39" s="15"/>
      <c r="G39" s="15"/>
      <c r="H39" s="15"/>
      <c r="I39" s="15"/>
      <c r="J39" s="15"/>
      <c r="K39" s="15">
        <f>SUM(K30:K38)</f>
        <v>14256.1</v>
      </c>
      <c r="L39" s="15"/>
      <c r="M39" s="15"/>
      <c r="N39" s="15"/>
    </row>
    <row r="41" spans="2:14" s="2" customFormat="1" x14ac:dyDescent="0.2">
      <c r="B41" s="2" t="s">
        <v>276</v>
      </c>
      <c r="C41" s="15"/>
      <c r="D41" s="15"/>
      <c r="E41" s="15"/>
      <c r="F41" s="15"/>
      <c r="G41" s="15"/>
      <c r="H41" s="15"/>
      <c r="I41" s="15"/>
      <c r="J41" s="15"/>
      <c r="K41" s="15">
        <v>173.6</v>
      </c>
      <c r="L41" s="15"/>
      <c r="M41" s="15"/>
      <c r="N41" s="15"/>
    </row>
    <row r="42" spans="2:14" s="2" customFormat="1" x14ac:dyDescent="0.2">
      <c r="B42" s="2" t="s">
        <v>277</v>
      </c>
      <c r="C42" s="15"/>
      <c r="D42" s="15"/>
      <c r="E42" s="15"/>
      <c r="F42" s="15"/>
      <c r="G42" s="15"/>
      <c r="H42" s="15"/>
      <c r="I42" s="15"/>
      <c r="J42" s="15"/>
      <c r="K42" s="15">
        <v>1720.5</v>
      </c>
      <c r="L42" s="15"/>
      <c r="M42" s="15"/>
      <c r="N42" s="15"/>
    </row>
    <row r="43" spans="2:14" s="2" customFormat="1" x14ac:dyDescent="0.2">
      <c r="B43" s="2" t="s">
        <v>278</v>
      </c>
      <c r="C43" s="15"/>
      <c r="D43" s="15"/>
      <c r="E43" s="15"/>
      <c r="F43" s="15"/>
      <c r="G43" s="15"/>
      <c r="H43" s="15"/>
      <c r="I43" s="15"/>
      <c r="J43" s="15"/>
      <c r="K43" s="15">
        <v>286.10000000000002</v>
      </c>
      <c r="L43" s="15"/>
      <c r="M43" s="15"/>
      <c r="N43" s="15"/>
    </row>
    <row r="44" spans="2:14" s="2" customFormat="1" x14ac:dyDescent="0.2">
      <c r="B44" s="2" t="s">
        <v>274</v>
      </c>
      <c r="C44" s="15"/>
      <c r="D44" s="15"/>
      <c r="E44" s="15"/>
      <c r="F44" s="15"/>
      <c r="G44" s="15"/>
      <c r="H44" s="15"/>
      <c r="I44" s="15"/>
      <c r="J44" s="15"/>
      <c r="K44" s="15">
        <f>495.5+377</f>
        <v>872.5</v>
      </c>
      <c r="L44" s="15"/>
      <c r="M44" s="15"/>
      <c r="N44" s="15"/>
    </row>
    <row r="45" spans="2:14" s="2" customFormat="1" x14ac:dyDescent="0.2">
      <c r="B45" s="2" t="s">
        <v>279</v>
      </c>
      <c r="C45" s="15"/>
      <c r="D45" s="15"/>
      <c r="E45" s="15"/>
      <c r="F45" s="15"/>
      <c r="G45" s="15"/>
      <c r="H45" s="15"/>
      <c r="I45" s="15"/>
      <c r="J45" s="15"/>
      <c r="K45" s="15">
        <v>179</v>
      </c>
      <c r="L45" s="15"/>
      <c r="M45" s="15"/>
      <c r="N45" s="15"/>
    </row>
    <row r="46" spans="2:14" s="2" customFormat="1" x14ac:dyDescent="0.2">
      <c r="B46" s="2" t="s">
        <v>280</v>
      </c>
      <c r="C46" s="15"/>
      <c r="D46" s="15"/>
      <c r="E46" s="15"/>
      <c r="F46" s="15"/>
      <c r="G46" s="15"/>
      <c r="H46" s="15"/>
      <c r="I46" s="15"/>
      <c r="J46" s="15"/>
      <c r="K46" s="15">
        <v>117.4</v>
      </c>
      <c r="L46" s="15"/>
      <c r="M46" s="15"/>
      <c r="N46" s="15"/>
    </row>
    <row r="47" spans="2:14" s="2" customFormat="1" x14ac:dyDescent="0.2">
      <c r="B47" s="2" t="s">
        <v>282</v>
      </c>
      <c r="C47" s="15"/>
      <c r="D47" s="15"/>
      <c r="E47" s="15"/>
      <c r="F47" s="15"/>
      <c r="G47" s="15"/>
      <c r="H47" s="15"/>
      <c r="I47" s="15"/>
      <c r="J47" s="15"/>
      <c r="K47" s="15">
        <v>10907</v>
      </c>
      <c r="L47" s="15"/>
      <c r="M47" s="15"/>
      <c r="N47" s="15"/>
    </row>
    <row r="48" spans="2:14" s="2" customFormat="1" x14ac:dyDescent="0.2">
      <c r="B48" s="2" t="s">
        <v>281</v>
      </c>
      <c r="C48" s="15"/>
      <c r="D48" s="15"/>
      <c r="E48" s="15"/>
      <c r="F48" s="15"/>
      <c r="G48" s="15"/>
      <c r="H48" s="15"/>
      <c r="I48" s="15"/>
      <c r="J48" s="15"/>
      <c r="K48" s="15">
        <f>SUM(K41:K47)</f>
        <v>14256.1</v>
      </c>
      <c r="L48" s="15"/>
      <c r="M48" s="15"/>
      <c r="N48" s="15"/>
    </row>
    <row r="50" spans="2:14" s="2" customFormat="1" x14ac:dyDescent="0.2">
      <c r="B50" s="2" t="s">
        <v>283</v>
      </c>
      <c r="C50" s="15"/>
      <c r="D50" s="15"/>
      <c r="E50" s="15"/>
      <c r="F50" s="15"/>
      <c r="G50" s="15"/>
      <c r="H50" s="15"/>
      <c r="I50" s="15"/>
      <c r="J50" s="15"/>
      <c r="K50" s="15">
        <f>+K22</f>
        <v>1002.4000000000001</v>
      </c>
      <c r="L50" s="15"/>
      <c r="M50" s="15"/>
      <c r="N50" s="15"/>
    </row>
    <row r="51" spans="2:14" s="2" customFormat="1" x14ac:dyDescent="0.2">
      <c r="B51" s="2" t="s">
        <v>284</v>
      </c>
      <c r="C51" s="15"/>
      <c r="D51" s="15"/>
      <c r="E51" s="15"/>
      <c r="F51" s="15"/>
      <c r="G51" s="15"/>
      <c r="H51" s="15"/>
      <c r="I51" s="15"/>
      <c r="J51" s="15"/>
      <c r="K51" s="15">
        <v>762.1</v>
      </c>
      <c r="L51" s="15"/>
      <c r="M51" s="15"/>
      <c r="N51" s="15"/>
    </row>
    <row r="52" spans="2:14" s="2" customFormat="1" x14ac:dyDescent="0.2">
      <c r="B52" s="2" t="s">
        <v>285</v>
      </c>
      <c r="C52" s="15"/>
      <c r="D52" s="15"/>
      <c r="E52" s="15"/>
      <c r="F52" s="15"/>
      <c r="G52" s="15"/>
      <c r="H52" s="15"/>
      <c r="I52" s="15"/>
      <c r="J52" s="15"/>
      <c r="K52" s="15">
        <v>130.30000000000001</v>
      </c>
      <c r="L52" s="15"/>
      <c r="M52" s="15"/>
      <c r="N52" s="15"/>
    </row>
    <row r="53" spans="2:14" s="2" customFormat="1" x14ac:dyDescent="0.2">
      <c r="B53" s="2" t="s">
        <v>286</v>
      </c>
      <c r="C53" s="15"/>
      <c r="D53" s="15"/>
      <c r="E53" s="15"/>
      <c r="F53" s="15"/>
      <c r="G53" s="15"/>
      <c r="H53" s="15"/>
      <c r="I53" s="15"/>
      <c r="J53" s="15"/>
      <c r="K53" s="15">
        <v>35.9</v>
      </c>
      <c r="L53" s="15"/>
      <c r="M53" s="15"/>
      <c r="N53" s="15"/>
    </row>
    <row r="54" spans="2:14" s="2" customFormat="1" x14ac:dyDescent="0.2">
      <c r="B54" s="2" t="s">
        <v>279</v>
      </c>
      <c r="C54" s="15"/>
      <c r="D54" s="15"/>
      <c r="E54" s="15"/>
      <c r="F54" s="15"/>
      <c r="G54" s="15"/>
      <c r="H54" s="15"/>
      <c r="I54" s="15"/>
      <c r="J54" s="15"/>
      <c r="K54" s="15">
        <v>-7.5</v>
      </c>
      <c r="L54" s="15"/>
      <c r="M54" s="15"/>
      <c r="N54" s="15"/>
    </row>
    <row r="55" spans="2:14" s="2" customFormat="1" x14ac:dyDescent="0.2">
      <c r="B55" s="2" t="s">
        <v>128</v>
      </c>
      <c r="C55" s="15"/>
      <c r="D55" s="15"/>
      <c r="E55" s="15"/>
      <c r="F55" s="15"/>
      <c r="G55" s="15"/>
      <c r="H55" s="15"/>
      <c r="I55" s="15"/>
      <c r="J55" s="15"/>
      <c r="K55" s="15">
        <v>-12.3</v>
      </c>
      <c r="L55" s="15"/>
      <c r="M55" s="15"/>
      <c r="N55" s="15"/>
    </row>
    <row r="56" spans="2:14" s="2" customFormat="1" x14ac:dyDescent="0.2">
      <c r="B56" s="2" t="s">
        <v>287</v>
      </c>
      <c r="C56" s="15"/>
      <c r="D56" s="15"/>
      <c r="E56" s="15"/>
      <c r="F56" s="15"/>
      <c r="G56" s="15"/>
      <c r="H56" s="15"/>
      <c r="I56" s="15"/>
      <c r="J56" s="15"/>
      <c r="K56" s="15">
        <v>75.599999999999994</v>
      </c>
      <c r="L56" s="15"/>
      <c r="M56" s="15"/>
      <c r="N56" s="15"/>
    </row>
    <row r="57" spans="2:14" s="2" customFormat="1" x14ac:dyDescent="0.2">
      <c r="B57" s="2" t="s">
        <v>288</v>
      </c>
      <c r="C57" s="15"/>
      <c r="D57" s="15"/>
      <c r="E57" s="15"/>
      <c r="F57" s="15"/>
      <c r="G57" s="15"/>
      <c r="H57" s="15"/>
      <c r="I57" s="15"/>
      <c r="J57" s="15"/>
      <c r="K57" s="15">
        <v>4.9000000000000004</v>
      </c>
      <c r="L57" s="15"/>
      <c r="M57" s="15"/>
      <c r="N57" s="15"/>
    </row>
    <row r="58" spans="2:14" s="2" customFormat="1" x14ac:dyDescent="0.2">
      <c r="B58" s="2" t="s">
        <v>289</v>
      </c>
      <c r="C58" s="15"/>
      <c r="D58" s="15"/>
      <c r="E58" s="15"/>
      <c r="F58" s="15"/>
      <c r="G58" s="15"/>
      <c r="H58" s="15"/>
      <c r="I58" s="15"/>
      <c r="J58" s="15"/>
      <c r="K58" s="15">
        <f>-165.2+2+67.6-14.5+61.6+15.7</f>
        <v>-32.799999999999997</v>
      </c>
      <c r="L58" s="15"/>
      <c r="M58" s="15"/>
      <c r="N58" s="15"/>
    </row>
    <row r="59" spans="2:14" s="2" customFormat="1" x14ac:dyDescent="0.2">
      <c r="B59" s="2" t="s">
        <v>293</v>
      </c>
      <c r="C59" s="15"/>
      <c r="D59" s="15"/>
      <c r="E59" s="15"/>
      <c r="F59" s="15"/>
      <c r="G59" s="15"/>
      <c r="H59" s="15"/>
      <c r="I59" s="15"/>
      <c r="J59" s="15"/>
      <c r="K59" s="15">
        <f>SUM(K51:K58)</f>
        <v>956.20000000000016</v>
      </c>
      <c r="L59" s="15"/>
      <c r="M59" s="15"/>
      <c r="N59" s="15"/>
    </row>
    <row r="61" spans="2:14" s="2" customFormat="1" x14ac:dyDescent="0.2">
      <c r="B61" s="2" t="s">
        <v>290</v>
      </c>
      <c r="C61" s="15"/>
      <c r="D61" s="15"/>
      <c r="E61" s="15"/>
      <c r="F61" s="15"/>
      <c r="G61" s="15"/>
      <c r="H61" s="15"/>
      <c r="I61" s="15"/>
      <c r="J61" s="15"/>
      <c r="K61" s="15">
        <v>-63.6</v>
      </c>
      <c r="L61" s="15"/>
      <c r="M61" s="15"/>
      <c r="N61" s="15"/>
    </row>
    <row r="62" spans="2:14" s="2" customFormat="1" x14ac:dyDescent="0.2">
      <c r="B62" s="2" t="s">
        <v>291</v>
      </c>
      <c r="C62" s="15"/>
      <c r="D62" s="15"/>
      <c r="E62" s="15"/>
      <c r="F62" s="15"/>
      <c r="G62" s="15"/>
      <c r="H62" s="15"/>
      <c r="I62" s="15"/>
      <c r="J62" s="15"/>
      <c r="K62" s="15">
        <f>-117.1+129.7</f>
        <v>12.599999999999994</v>
      </c>
      <c r="L62" s="15"/>
      <c r="M62" s="15"/>
      <c r="N62" s="15"/>
    </row>
    <row r="63" spans="2:14" s="2" customFormat="1" x14ac:dyDescent="0.2">
      <c r="B63" s="2" t="s">
        <v>292</v>
      </c>
      <c r="C63" s="15"/>
      <c r="D63" s="15"/>
      <c r="E63" s="15"/>
      <c r="F63" s="15"/>
      <c r="G63" s="15"/>
      <c r="H63" s="15"/>
      <c r="I63" s="15"/>
      <c r="J63" s="15"/>
      <c r="K63" s="15">
        <f>K61+K62</f>
        <v>-51.000000000000007</v>
      </c>
      <c r="L63" s="15"/>
      <c r="M63" s="15"/>
      <c r="N63" s="15"/>
    </row>
    <row r="65" spans="2:14" s="2" customFormat="1" x14ac:dyDescent="0.2">
      <c r="B65" s="2" t="s">
        <v>297</v>
      </c>
      <c r="C65" s="15"/>
      <c r="D65" s="15"/>
      <c r="E65" s="15"/>
      <c r="F65" s="15"/>
      <c r="G65" s="15"/>
      <c r="H65" s="15"/>
      <c r="I65" s="15"/>
      <c r="J65" s="15"/>
      <c r="K65" s="15">
        <v>33.700000000000003</v>
      </c>
      <c r="L65" s="15"/>
      <c r="M65" s="15"/>
      <c r="N65" s="15"/>
    </row>
    <row r="66" spans="2:14" s="2" customFormat="1" x14ac:dyDescent="0.2">
      <c r="B66" s="2" t="s">
        <v>298</v>
      </c>
      <c r="C66" s="15"/>
      <c r="D66" s="15"/>
      <c r="E66" s="15"/>
      <c r="F66" s="15"/>
      <c r="G66" s="15"/>
      <c r="H66" s="15"/>
      <c r="I66" s="15"/>
      <c r="J66" s="15"/>
      <c r="K66" s="15">
        <v>-117.5</v>
      </c>
      <c r="L66" s="15"/>
      <c r="M66" s="15"/>
      <c r="N66" s="15"/>
    </row>
    <row r="67" spans="2:14" s="2" customFormat="1" x14ac:dyDescent="0.2">
      <c r="B67" s="2" t="s">
        <v>274</v>
      </c>
      <c r="C67" s="15"/>
      <c r="D67" s="15"/>
      <c r="E67" s="15"/>
      <c r="F67" s="15"/>
      <c r="G67" s="15"/>
      <c r="H67" s="15"/>
      <c r="I67" s="15"/>
      <c r="J67" s="15"/>
      <c r="K67" s="15">
        <v>-12.9</v>
      </c>
      <c r="L67" s="15"/>
      <c r="M67" s="15"/>
      <c r="N67" s="15"/>
    </row>
    <row r="68" spans="2:14" s="2" customFormat="1" x14ac:dyDescent="0.2">
      <c r="B68" s="2" t="s">
        <v>275</v>
      </c>
      <c r="C68" s="15"/>
      <c r="D68" s="15"/>
      <c r="E68" s="15"/>
      <c r="F68" s="15"/>
      <c r="G68" s="15"/>
      <c r="H68" s="15"/>
      <c r="I68" s="15"/>
      <c r="J68" s="15"/>
      <c r="K68" s="15">
        <v>1.3</v>
      </c>
      <c r="L68" s="15"/>
      <c r="M68" s="15"/>
      <c r="N68" s="15"/>
    </row>
    <row r="69" spans="2:14" s="2" customFormat="1" x14ac:dyDescent="0.2">
      <c r="B69" s="2" t="s">
        <v>296</v>
      </c>
      <c r="C69" s="15"/>
      <c r="D69" s="15"/>
      <c r="E69" s="15"/>
      <c r="F69" s="15"/>
      <c r="G69" s="15"/>
      <c r="H69" s="15"/>
      <c r="I69" s="15"/>
      <c r="J69" s="15"/>
      <c r="K69" s="15">
        <f>SUM(K65:K68)</f>
        <v>-95.4</v>
      </c>
      <c r="L69" s="15"/>
      <c r="M69" s="15"/>
      <c r="N69" s="15"/>
    </row>
    <row r="70" spans="2:14" s="2" customFormat="1" x14ac:dyDescent="0.2">
      <c r="B70" s="2" t="s">
        <v>295</v>
      </c>
      <c r="C70" s="15"/>
      <c r="D70" s="15"/>
      <c r="E70" s="15"/>
      <c r="F70" s="15"/>
      <c r="G70" s="15"/>
      <c r="H70" s="15"/>
      <c r="I70" s="15"/>
      <c r="J70" s="15"/>
      <c r="K70" s="15">
        <v>-5.9</v>
      </c>
      <c r="L70" s="15"/>
      <c r="M70" s="15"/>
      <c r="N70" s="15"/>
    </row>
    <row r="71" spans="2:14" s="2" customFormat="1" x14ac:dyDescent="0.2">
      <c r="B71" s="2" t="s">
        <v>294</v>
      </c>
      <c r="C71" s="15"/>
      <c r="D71" s="15"/>
      <c r="E71" s="15"/>
      <c r="F71" s="15"/>
      <c r="G71" s="15"/>
      <c r="H71" s="15"/>
      <c r="I71" s="15"/>
      <c r="J71" s="15"/>
      <c r="K71" s="15">
        <f>+K69+K70+K63+K59</f>
        <v>803.90000000000009</v>
      </c>
      <c r="L71" s="15"/>
      <c r="M71" s="15"/>
      <c r="N71" s="15"/>
    </row>
    <row r="72" spans="2:14" s="2" customFormat="1" x14ac:dyDescent="0.2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165</v>
      </c>
    </row>
    <row r="4" spans="1:3" x14ac:dyDescent="0.2">
      <c r="B4" t="s">
        <v>9</v>
      </c>
      <c r="C4" t="s">
        <v>164</v>
      </c>
    </row>
    <row r="5" spans="1:3" x14ac:dyDescent="0.2">
      <c r="B5" t="s">
        <v>125</v>
      </c>
      <c r="C5" t="s">
        <v>187</v>
      </c>
    </row>
    <row r="6" spans="1:3" x14ac:dyDescent="0.2">
      <c r="B6" t="s">
        <v>199</v>
      </c>
      <c r="C6" t="s">
        <v>200</v>
      </c>
    </row>
    <row r="7" spans="1:3" x14ac:dyDescent="0.2">
      <c r="B7" t="s">
        <v>189</v>
      </c>
      <c r="C7" t="s">
        <v>190</v>
      </c>
    </row>
    <row r="8" spans="1:3" x14ac:dyDescent="0.2">
      <c r="B8" t="s">
        <v>191</v>
      </c>
      <c r="C8" t="s">
        <v>192</v>
      </c>
    </row>
    <row r="9" spans="1:3" x14ac:dyDescent="0.2">
      <c r="B9" t="s">
        <v>196</v>
      </c>
      <c r="C9" t="s">
        <v>197</v>
      </c>
    </row>
    <row r="10" spans="1:3" x14ac:dyDescent="0.2">
      <c r="B10" t="s">
        <v>198</v>
      </c>
      <c r="C10" t="s">
        <v>197</v>
      </c>
    </row>
    <row r="11" spans="1:3" x14ac:dyDescent="0.2">
      <c r="B11" t="s">
        <v>141</v>
      </c>
    </row>
    <row r="12" spans="1:3" x14ac:dyDescent="0.2">
      <c r="C12" s="21" t="s">
        <v>193</v>
      </c>
    </row>
    <row r="13" spans="1:3" x14ac:dyDescent="0.2">
      <c r="C13" t="s">
        <v>194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119</v>
      </c>
    </row>
    <row r="4" spans="1:3" x14ac:dyDescent="0.2">
      <c r="B4" t="s">
        <v>125</v>
      </c>
      <c r="C4" t="s">
        <v>195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125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97</v>
      </c>
      <c r="C5" t="s">
        <v>98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6"/>
  <sheetViews>
    <sheetView workbookViewId="0">
      <selection activeCell="A9" sqref="A9"/>
    </sheetView>
  </sheetViews>
  <sheetFormatPr defaultRowHeight="12.75" x14ac:dyDescent="0.2"/>
  <cols>
    <col min="1" max="1" width="5" bestFit="1" customWidth="1"/>
    <col min="2" max="2" width="13.140625" customWidth="1"/>
  </cols>
  <sheetData>
    <row r="1" spans="1:9" x14ac:dyDescent="0.2">
      <c r="A1" s="14" t="s">
        <v>20</v>
      </c>
    </row>
    <row r="2" spans="1:9" x14ac:dyDescent="0.2">
      <c r="B2" t="s">
        <v>7</v>
      </c>
      <c r="C2" t="s">
        <v>36</v>
      </c>
    </row>
    <row r="3" spans="1:9" x14ac:dyDescent="0.2">
      <c r="B3" t="s">
        <v>8</v>
      </c>
      <c r="C3" t="s">
        <v>147</v>
      </c>
    </row>
    <row r="4" spans="1:9" x14ac:dyDescent="0.2">
      <c r="B4" t="s">
        <v>9</v>
      </c>
      <c r="C4" t="s">
        <v>148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207</v>
      </c>
    </row>
    <row r="7" spans="1:9" x14ac:dyDescent="0.2">
      <c r="B7" t="s">
        <v>139</v>
      </c>
      <c r="C7" t="s">
        <v>149</v>
      </c>
    </row>
    <row r="8" spans="1:9" x14ac:dyDescent="0.2">
      <c r="B8" t="s">
        <v>125</v>
      </c>
      <c r="C8" t="s">
        <v>208</v>
      </c>
    </row>
    <row r="9" spans="1:9" x14ac:dyDescent="0.2">
      <c r="B9" t="s">
        <v>141</v>
      </c>
    </row>
    <row r="10" spans="1:9" x14ac:dyDescent="0.2">
      <c r="C10" s="21" t="s">
        <v>159</v>
      </c>
    </row>
    <row r="11" spans="1:9" x14ac:dyDescent="0.2">
      <c r="C11" s="22" t="s">
        <v>156</v>
      </c>
      <c r="I11" s="14" t="s">
        <v>179</v>
      </c>
    </row>
    <row r="12" spans="1:9" x14ac:dyDescent="0.2">
      <c r="C12" s="22" t="s">
        <v>153</v>
      </c>
    </row>
    <row r="13" spans="1:9" x14ac:dyDescent="0.2">
      <c r="C13" s="22" t="s">
        <v>150</v>
      </c>
    </row>
    <row r="14" spans="1:9" x14ac:dyDescent="0.2">
      <c r="C14" s="22" t="s">
        <v>151</v>
      </c>
    </row>
    <row r="15" spans="1:9" x14ac:dyDescent="0.2">
      <c r="C15" s="22" t="s">
        <v>152</v>
      </c>
    </row>
    <row r="16" spans="1:9" x14ac:dyDescent="0.2">
      <c r="C16" s="22" t="s">
        <v>154</v>
      </c>
    </row>
    <row r="17" spans="3:3" x14ac:dyDescent="0.2">
      <c r="C17" s="22" t="s">
        <v>160</v>
      </c>
    </row>
    <row r="19" spans="3:3" x14ac:dyDescent="0.2">
      <c r="C19" s="21" t="s">
        <v>158</v>
      </c>
    </row>
    <row r="20" spans="3:3" x14ac:dyDescent="0.2">
      <c r="C20" s="22" t="s">
        <v>160</v>
      </c>
    </row>
    <row r="22" spans="3:3" x14ac:dyDescent="0.2">
      <c r="C22" s="21" t="s">
        <v>157</v>
      </c>
    </row>
    <row r="24" spans="3:3" x14ac:dyDescent="0.2">
      <c r="C24" s="21" t="s">
        <v>161</v>
      </c>
    </row>
    <row r="26" spans="3:3" x14ac:dyDescent="0.2">
      <c r="C26" s="21" t="s">
        <v>162</v>
      </c>
    </row>
  </sheetData>
  <hyperlinks>
    <hyperlink ref="A1" location="Main!A1" display="Main" xr:uid="{B7375EF0-5582-4E12-AC44-5AB9BFB39A26}"/>
    <hyperlink ref="I11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54</v>
      </c>
    </row>
    <row r="3" spans="1:3" x14ac:dyDescent="0.2">
      <c r="B3" t="s">
        <v>9</v>
      </c>
      <c r="C3" t="s">
        <v>137</v>
      </c>
    </row>
    <row r="4" spans="1:3" x14ac:dyDescent="0.2">
      <c r="B4" t="s">
        <v>10</v>
      </c>
      <c r="C4" t="s">
        <v>138</v>
      </c>
    </row>
    <row r="5" spans="1:3" x14ac:dyDescent="0.2">
      <c r="B5" t="s">
        <v>139</v>
      </c>
      <c r="C5" t="s">
        <v>140</v>
      </c>
    </row>
    <row r="6" spans="1:3" x14ac:dyDescent="0.2">
      <c r="B6" t="s">
        <v>141</v>
      </c>
    </row>
    <row r="7" spans="1:3" x14ac:dyDescent="0.2">
      <c r="C7" s="21" t="s">
        <v>142</v>
      </c>
    </row>
    <row r="8" spans="1:3" x14ac:dyDescent="0.2">
      <c r="C8" t="s">
        <v>173</v>
      </c>
    </row>
    <row r="9" spans="1:3" x14ac:dyDescent="0.2">
      <c r="C9" t="s">
        <v>175</v>
      </c>
    </row>
    <row r="10" spans="1:3" x14ac:dyDescent="0.2">
      <c r="C10" t="s">
        <v>174</v>
      </c>
    </row>
    <row r="11" spans="1:3" x14ac:dyDescent="0.2">
      <c r="C11" t="s">
        <v>143</v>
      </c>
    </row>
    <row r="12" spans="1:3" x14ac:dyDescent="0.2">
      <c r="C12" t="s">
        <v>144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8"/>
  <sheetViews>
    <sheetView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t="s">
        <v>20</v>
      </c>
    </row>
    <row r="2" spans="1:3" x14ac:dyDescent="0.2">
      <c r="B2" t="s">
        <v>7</v>
      </c>
      <c r="C2" t="s">
        <v>47</v>
      </c>
    </row>
    <row r="3" spans="1:3" x14ac:dyDescent="0.2">
      <c r="B3" t="s">
        <v>9</v>
      </c>
      <c r="C3" t="s">
        <v>15</v>
      </c>
    </row>
    <row r="4" spans="1:3" x14ac:dyDescent="0.2">
      <c r="B4" t="s">
        <v>141</v>
      </c>
    </row>
    <row r="5" spans="1:3" x14ac:dyDescent="0.2">
      <c r="C5" s="21" t="s">
        <v>201</v>
      </c>
    </row>
    <row r="6" spans="1:3" x14ac:dyDescent="0.2">
      <c r="C6" s="22" t="s">
        <v>203</v>
      </c>
    </row>
    <row r="8" spans="1:3" x14ac:dyDescent="0.2">
      <c r="C8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Model</vt:lpstr>
      <vt:lpstr>Trikafta</vt:lpstr>
      <vt:lpstr>Orkambi</vt:lpstr>
      <vt:lpstr>Symdeko</vt:lpstr>
      <vt:lpstr>Kalydeco</vt:lpstr>
      <vt:lpstr>CTX001</vt:lpstr>
      <vt:lpstr>VX-880</vt:lpstr>
      <vt:lpstr>VX-121</vt:lpstr>
      <vt:lpstr>VX-548</vt:lpstr>
      <vt:lpstr>inaxaplin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2022-07-21T13:06:37Z</dcterms:modified>
</cp:coreProperties>
</file>